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comments61.xml" ContentType="application/vnd.openxmlformats-officedocument.spreadsheetml.comments+xml"/>
  <Override PartName="/xl/comments62.xml" ContentType="application/vnd.openxmlformats-officedocument.spreadsheetml.comments+xml"/>
  <Override PartName="/xl/comments63.xml" ContentType="application/vnd.openxmlformats-officedocument.spreadsheetml.comments+xml"/>
  <Override PartName="/xl/comments64.xml" ContentType="application/vnd.openxmlformats-officedocument.spreadsheetml.comments+xml"/>
  <Override PartName="/xl/comments65.xml" ContentType="application/vnd.openxmlformats-officedocument.spreadsheetml.comments+xml"/>
  <Override PartName="/xl/comments66.xml" ContentType="application/vnd.openxmlformats-officedocument.spreadsheetml.comments+xml"/>
  <Override PartName="/xl/comments67.xml" ContentType="application/vnd.openxmlformats-officedocument.spreadsheetml.comments+xml"/>
  <Override PartName="/xl/comments68.xml" ContentType="application/vnd.openxmlformats-officedocument.spreadsheetml.comments+xml"/>
  <Override PartName="/xl/comments69.xml" ContentType="application/vnd.openxmlformats-officedocument.spreadsheetml.comments+xml"/>
  <Override PartName="/xl/comments70.xml" ContentType="application/vnd.openxmlformats-officedocument.spreadsheetml.comments+xml"/>
  <Override PartName="/xl/comments71.xml" ContentType="application/vnd.openxmlformats-officedocument.spreadsheetml.comments+xml"/>
  <Override PartName="/xl/comments72.xml" ContentType="application/vnd.openxmlformats-officedocument.spreadsheetml.comments+xml"/>
  <Override PartName="/xl/comments7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45" yWindow="75" windowWidth="10005" windowHeight="6915" tabRatio="778"/>
  </bookViews>
  <sheets>
    <sheet name="Net Payment" sheetId="76" r:id="rId1"/>
    <sheet name="Charter Schools" sheetId="75" r:id="rId2"/>
    <sheet name="Notes" sheetId="72" r:id="rId3"/>
    <sheet name="0054" sheetId="25" r:id="rId4"/>
    <sheet name="0054 June Final" sheetId="86" r:id="rId5"/>
    <sheet name="0642" sheetId="26" r:id="rId6"/>
    <sheet name="0642 June Final" sheetId="87" r:id="rId7"/>
    <sheet name="0664" sheetId="27" r:id="rId8"/>
    <sheet name="0664 June Final" sheetId="107" r:id="rId9"/>
    <sheet name="1461" sheetId="28" r:id="rId10"/>
    <sheet name="1571" sheetId="29" r:id="rId11"/>
    <sheet name="2521" sheetId="30" r:id="rId12"/>
    <sheet name="2531" sheetId="31" r:id="rId13"/>
    <sheet name="2531 June final" sheetId="84" r:id="rId14"/>
    <sheet name="2641" sheetId="32" r:id="rId15"/>
    <sheet name="2641 June Final" sheetId="89" r:id="rId16"/>
    <sheet name="2661" sheetId="33" r:id="rId17"/>
    <sheet name="2661 June Final" sheetId="90" r:id="rId18"/>
    <sheet name="2791" sheetId="34" r:id="rId19"/>
    <sheet name="2791 June final" sheetId="82" r:id="rId20"/>
    <sheet name="2801" sheetId="35" r:id="rId21"/>
    <sheet name="2801 June Final" sheetId="91" r:id="rId22"/>
    <sheet name="2911" sheetId="36" r:id="rId23"/>
    <sheet name="2911 June final" sheetId="85" r:id="rId24"/>
    <sheet name="2941" sheetId="37" r:id="rId25"/>
    <sheet name="2941 June final" sheetId="83" r:id="rId26"/>
    <sheet name="3083" sheetId="38" r:id="rId27"/>
    <sheet name="3344" sheetId="39" r:id="rId28"/>
    <sheet name="3345" sheetId="40" r:id="rId29"/>
    <sheet name="3347" sheetId="41" r:id="rId30"/>
    <sheet name="3381" sheetId="42" r:id="rId31"/>
    <sheet name="3381 June Final" sheetId="92" r:id="rId32"/>
    <sheet name="3382" sheetId="43" r:id="rId33"/>
    <sheet name="3382 June Final" sheetId="93" r:id="rId34"/>
    <sheet name="3384" sheetId="44" r:id="rId35"/>
    <sheet name="3384 June Final" sheetId="94" r:id="rId36"/>
    <sheet name="3385" sheetId="45" r:id="rId37"/>
    <sheet name="3385 June Final" sheetId="95" r:id="rId38"/>
    <sheet name="3386" sheetId="46" r:id="rId39"/>
    <sheet name="3391" sheetId="47" r:id="rId40"/>
    <sheet name="3392" sheetId="48" r:id="rId41"/>
    <sheet name="3392 June Final" sheetId="96" r:id="rId42"/>
    <sheet name="3394" sheetId="49" r:id="rId43"/>
    <sheet name="3394 June Final" sheetId="97" r:id="rId44"/>
    <sheet name="3395" sheetId="50" r:id="rId45"/>
    <sheet name="3395 June Final" sheetId="98" r:id="rId46"/>
    <sheet name="3396" sheetId="51" r:id="rId47"/>
    <sheet name="3398" sheetId="52" r:id="rId48"/>
    <sheet name="3400" sheetId="53" r:id="rId49"/>
    <sheet name="3401" sheetId="54" r:id="rId50"/>
    <sheet name="3411" sheetId="55" r:id="rId51"/>
    <sheet name="3413" sheetId="56" r:id="rId52"/>
    <sheet name="3413 June Final" sheetId="99" r:id="rId53"/>
    <sheet name="3421" sheetId="57" r:id="rId54"/>
    <sheet name="3431" sheetId="58" r:id="rId55"/>
    <sheet name="3431 June Final" sheetId="100" r:id="rId56"/>
    <sheet name="3441" sheetId="77" r:id="rId57"/>
    <sheet name="3443" sheetId="78" r:id="rId58"/>
    <sheet name="3941" sheetId="60" r:id="rId59"/>
    <sheet name="3941 June Final" sheetId="101" r:id="rId60"/>
    <sheet name="3961" sheetId="62" r:id="rId61"/>
    <sheet name="3961 June Final" sheetId="102" r:id="rId62"/>
    <sheet name="3971" sheetId="63" r:id="rId63"/>
    <sheet name="4000" sheetId="64" r:id="rId64"/>
    <sheet name="4000 June Final" sheetId="103" r:id="rId65"/>
    <sheet name="4002" sheetId="65" r:id="rId66"/>
    <sheet name="4002 June Final" sheetId="104" r:id="rId67"/>
    <sheet name="4010" sheetId="66" r:id="rId68"/>
    <sheet name="4012" sheetId="67" r:id="rId69"/>
    <sheet name="4013" sheetId="68" r:id="rId70"/>
    <sheet name="4020" sheetId="69" r:id="rId71"/>
    <sheet name="4020 June Tch Alloc." sheetId="81" r:id="rId72"/>
    <sheet name="4020 June Final" sheetId="105" r:id="rId73"/>
    <sheet name="4037" sheetId="70" r:id="rId74"/>
    <sheet name="4037 June Final" sheetId="106" r:id="rId75"/>
    <sheet name="4040" sheetId="79" r:id="rId76"/>
    <sheet name="4041" sheetId="73" r:id="rId77"/>
  </sheets>
  <externalReferences>
    <externalReference r:id="rId78"/>
  </externalReferences>
  <definedNames>
    <definedName name="_1.__2009_10_FEFP_State_and_Local_Funding" localSheetId="3">'0054'!$B$6</definedName>
    <definedName name="_1.__2009_10_FEFP_State_and_Local_Funding" localSheetId="4">'0054 June Final'!$B$6</definedName>
    <definedName name="_1.__2009_10_FEFP_State_and_Local_Funding" localSheetId="5">'0642'!$B$6</definedName>
    <definedName name="_1.__2009_10_FEFP_State_and_Local_Funding" localSheetId="6">'0642 June Final'!$B$6</definedName>
    <definedName name="_1.__2009_10_FEFP_State_and_Local_Funding" localSheetId="7">'0664'!$B$6</definedName>
    <definedName name="_1.__2009_10_FEFP_State_and_Local_Funding" localSheetId="8">'0664 June Final'!$B$6</definedName>
    <definedName name="_1.__2009_10_FEFP_State_and_Local_Funding" localSheetId="9">'1461'!$B$6</definedName>
    <definedName name="_1.__2009_10_FEFP_State_and_Local_Funding" localSheetId="10">'1571'!$B$6</definedName>
    <definedName name="_1.__2009_10_FEFP_State_and_Local_Funding" localSheetId="11">'2521'!$B$6</definedName>
    <definedName name="_1.__2009_10_FEFP_State_and_Local_Funding" localSheetId="12">'2531'!$B$6</definedName>
    <definedName name="_1.__2009_10_FEFP_State_and_Local_Funding" localSheetId="13">'2531 June final'!$B$6</definedName>
    <definedName name="_1.__2009_10_FEFP_State_and_Local_Funding" localSheetId="14">'2641'!$B$6</definedName>
    <definedName name="_1.__2009_10_FEFP_State_and_Local_Funding" localSheetId="15">'2641 June Final'!$B$6</definedName>
    <definedName name="_1.__2009_10_FEFP_State_and_Local_Funding" localSheetId="16">'2661'!$B$6</definedName>
    <definedName name="_1.__2009_10_FEFP_State_and_Local_Funding" localSheetId="17">'2661 June Final'!$B$6</definedName>
    <definedName name="_1.__2009_10_FEFP_State_and_Local_Funding" localSheetId="18">'2791'!$B$6</definedName>
    <definedName name="_1.__2009_10_FEFP_State_and_Local_Funding" localSheetId="19">'2791 June final'!$B$6</definedName>
    <definedName name="_1.__2009_10_FEFP_State_and_Local_Funding" localSheetId="20">'2801'!$B$6</definedName>
    <definedName name="_1.__2009_10_FEFP_State_and_Local_Funding" localSheetId="21">'2801 June Final'!$B$6</definedName>
    <definedName name="_1.__2009_10_FEFP_State_and_Local_Funding" localSheetId="22">'2911'!$B$6</definedName>
    <definedName name="_1.__2009_10_FEFP_State_and_Local_Funding" localSheetId="23">'2911 June final'!$B$6</definedName>
    <definedName name="_1.__2009_10_FEFP_State_and_Local_Funding" localSheetId="24">'2941'!$B$6</definedName>
    <definedName name="_1.__2009_10_FEFP_State_and_Local_Funding" localSheetId="25">'2941 June final'!$B$6</definedName>
    <definedName name="_1.__2009_10_FEFP_State_and_Local_Funding" localSheetId="26">'3083'!$B$6</definedName>
    <definedName name="_1.__2009_10_FEFP_State_and_Local_Funding" localSheetId="27">'3344'!$B$6</definedName>
    <definedName name="_1.__2009_10_FEFP_State_and_Local_Funding" localSheetId="28">'3345'!$B$6</definedName>
    <definedName name="_1.__2009_10_FEFP_State_and_Local_Funding" localSheetId="29">'3347'!$B$6</definedName>
    <definedName name="_1.__2009_10_FEFP_State_and_Local_Funding" localSheetId="30">'3381'!$B$6</definedName>
    <definedName name="_1.__2009_10_FEFP_State_and_Local_Funding" localSheetId="31">'3381 June Final'!$B$6</definedName>
    <definedName name="_1.__2009_10_FEFP_State_and_Local_Funding" localSheetId="32">'3382'!$B$6</definedName>
    <definedName name="_1.__2009_10_FEFP_State_and_Local_Funding" localSheetId="33">'3382 June Final'!$B$6</definedName>
    <definedName name="_1.__2009_10_FEFP_State_and_Local_Funding" localSheetId="34">'3384'!$B$6</definedName>
    <definedName name="_1.__2009_10_FEFP_State_and_Local_Funding" localSheetId="35">'3384 June Final'!$B$6</definedName>
    <definedName name="_1.__2009_10_FEFP_State_and_Local_Funding" localSheetId="36">'3385'!$B$6</definedName>
    <definedName name="_1.__2009_10_FEFP_State_and_Local_Funding" localSheetId="37">'3385 June Final'!$B$6</definedName>
    <definedName name="_1.__2009_10_FEFP_State_and_Local_Funding" localSheetId="38">'3386'!$B$6</definedName>
    <definedName name="_1.__2009_10_FEFP_State_and_Local_Funding" localSheetId="39">'3391'!$B$6</definedName>
    <definedName name="_1.__2009_10_FEFP_State_and_Local_Funding" localSheetId="40">'3392'!$B$6</definedName>
    <definedName name="_1.__2009_10_FEFP_State_and_Local_Funding" localSheetId="41">'3392 June Final'!$B$6</definedName>
    <definedName name="_1.__2009_10_FEFP_State_and_Local_Funding" localSheetId="42">'3394'!$B$6</definedName>
    <definedName name="_1.__2009_10_FEFP_State_and_Local_Funding" localSheetId="43">'3394 June Final'!$B$6</definedName>
    <definedName name="_1.__2009_10_FEFP_State_and_Local_Funding" localSheetId="44">'3395'!$B$6</definedName>
    <definedName name="_1.__2009_10_FEFP_State_and_Local_Funding" localSheetId="45">'3395 June Final'!$B$6</definedName>
    <definedName name="_1.__2009_10_FEFP_State_and_Local_Funding" localSheetId="46">'3396'!$B$6</definedName>
    <definedName name="_1.__2009_10_FEFP_State_and_Local_Funding" localSheetId="47">'3398'!$B$6</definedName>
    <definedName name="_1.__2009_10_FEFP_State_and_Local_Funding" localSheetId="48">'3400'!$B$6</definedName>
    <definedName name="_1.__2009_10_FEFP_State_and_Local_Funding" localSheetId="49">'3401'!$B$6</definedName>
    <definedName name="_1.__2009_10_FEFP_State_and_Local_Funding" localSheetId="50">'3411'!$B$6</definedName>
    <definedName name="_1.__2009_10_FEFP_State_and_Local_Funding" localSheetId="51">'3413'!$B$6</definedName>
    <definedName name="_1.__2009_10_FEFP_State_and_Local_Funding" localSheetId="52">'3413 June Final'!$B$6</definedName>
    <definedName name="_1.__2009_10_FEFP_State_and_Local_Funding" localSheetId="53">'3421'!$B$6</definedName>
    <definedName name="_1.__2009_10_FEFP_State_and_Local_Funding" localSheetId="54">'3431'!$B$6</definedName>
    <definedName name="_1.__2009_10_FEFP_State_and_Local_Funding" localSheetId="55">'3431 June Final'!$B$6</definedName>
    <definedName name="_1.__2009_10_FEFP_State_and_Local_Funding" localSheetId="56">'3441'!$B$6</definedName>
    <definedName name="_1.__2009_10_FEFP_State_and_Local_Funding" localSheetId="57">'3443'!$B$6</definedName>
    <definedName name="_1.__2009_10_FEFP_State_and_Local_Funding" localSheetId="58">'3941'!$B$6</definedName>
    <definedName name="_1.__2009_10_FEFP_State_and_Local_Funding" localSheetId="59">'3941 June Final'!$B$6</definedName>
    <definedName name="_1.__2009_10_FEFP_State_and_Local_Funding" localSheetId="60">'3961'!$B$6</definedName>
    <definedName name="_1.__2009_10_FEFP_State_and_Local_Funding" localSheetId="61">'3961 June Final'!$B$6</definedName>
    <definedName name="_1.__2009_10_FEFP_State_and_Local_Funding" localSheetId="62">'3971'!$B$6</definedName>
    <definedName name="_1.__2009_10_FEFP_State_and_Local_Funding" localSheetId="63">'4000'!$B$6</definedName>
    <definedName name="_1.__2009_10_FEFP_State_and_Local_Funding" localSheetId="64">'4000 June Final'!$B$6</definedName>
    <definedName name="_1.__2009_10_FEFP_State_and_Local_Funding" localSheetId="65">'4002'!$B$6</definedName>
    <definedName name="_1.__2009_10_FEFP_State_and_Local_Funding" localSheetId="66">'4002 June Final'!$B$6</definedName>
    <definedName name="_1.__2009_10_FEFP_State_and_Local_Funding" localSheetId="67">'4010'!$B$6</definedName>
    <definedName name="_1.__2009_10_FEFP_State_and_Local_Funding" localSheetId="68">'4012'!$B$6</definedName>
    <definedName name="_1.__2009_10_FEFP_State_and_Local_Funding" localSheetId="69">'4013'!$B$6</definedName>
    <definedName name="_1.__2009_10_FEFP_State_and_Local_Funding" localSheetId="70">'4020'!$B$6</definedName>
    <definedName name="_1.__2009_10_FEFP_State_and_Local_Funding" localSheetId="72">'4020 June Final'!$B$6</definedName>
    <definedName name="_1.__2009_10_FEFP_State_and_Local_Funding" localSheetId="71">'4020 June Tch Alloc.'!$B$6</definedName>
    <definedName name="_1.__2009_10_FEFP_State_and_Local_Funding" localSheetId="73">'4037'!$B$6</definedName>
    <definedName name="_1.__2009_10_FEFP_State_and_Local_Funding" localSheetId="74">'4037 June Final'!$B$6</definedName>
    <definedName name="_1.__2009_10_FEFP_State_and_Local_Funding" localSheetId="75">#REF!</definedName>
    <definedName name="_1.__2009_10_FEFP_State_and_Local_Funding" localSheetId="76">'4041'!$B$6</definedName>
    <definedName name="_1.__2009_10_FEFP_State_and_Local_Funding" localSheetId="1">#REF!</definedName>
    <definedName name="_1.__2009_10_FEFP_State_and_Local_Funding" localSheetId="0">#REF!</definedName>
    <definedName name="_1.__2009_10_FEFP_State_and_Local_Funding">#REF!</definedName>
    <definedName name="_1.__2010_11_FEFP_State_and_Local_Funding" localSheetId="3">'0054'!$B$6</definedName>
    <definedName name="_1.__2010_11_FEFP_State_and_Local_Funding" localSheetId="4">'0054 June Final'!$B$6</definedName>
    <definedName name="_1.__2010_11_FEFP_State_and_Local_Funding" localSheetId="5">'0642'!$B$6</definedName>
    <definedName name="_1.__2010_11_FEFP_State_and_Local_Funding" localSheetId="6">'0642 June Final'!$B$6</definedName>
    <definedName name="_1.__2010_11_FEFP_State_and_Local_Funding" localSheetId="7">'0664'!$B$6</definedName>
    <definedName name="_1.__2010_11_FEFP_State_and_Local_Funding" localSheetId="8">'0664 June Final'!$B$6</definedName>
    <definedName name="_1.__2010_11_FEFP_State_and_Local_Funding" localSheetId="9">'1461'!$B$6</definedName>
    <definedName name="_1.__2010_11_FEFP_State_and_Local_Funding" localSheetId="10">'1571'!$B$6</definedName>
    <definedName name="_1.__2010_11_FEFP_State_and_Local_Funding" localSheetId="11">'2521'!$B$6</definedName>
    <definedName name="_1.__2010_11_FEFP_State_and_Local_Funding" localSheetId="12">'2531'!$B$6</definedName>
    <definedName name="_1.__2010_11_FEFP_State_and_Local_Funding" localSheetId="13">'2531 June final'!$B$6</definedName>
    <definedName name="_1.__2010_11_FEFP_State_and_Local_Funding" localSheetId="14">'2641'!$B$6</definedName>
    <definedName name="_1.__2010_11_FEFP_State_and_Local_Funding" localSheetId="15">'2641 June Final'!$B$6</definedName>
    <definedName name="_1.__2010_11_FEFP_State_and_Local_Funding" localSheetId="16">'2661'!$B$6</definedName>
    <definedName name="_1.__2010_11_FEFP_State_and_Local_Funding" localSheetId="17">'2661 June Final'!$B$6</definedName>
    <definedName name="_1.__2010_11_FEFP_State_and_Local_Funding" localSheetId="18">'2791'!$B$6</definedName>
    <definedName name="_1.__2010_11_FEFP_State_and_Local_Funding" localSheetId="19">'2791 June final'!$B$6</definedName>
    <definedName name="_1.__2010_11_FEFP_State_and_Local_Funding" localSheetId="20">'2801'!$B$6</definedName>
    <definedName name="_1.__2010_11_FEFP_State_and_Local_Funding" localSheetId="21">'2801 June Final'!$B$6</definedName>
    <definedName name="_1.__2010_11_FEFP_State_and_Local_Funding" localSheetId="22">'2911'!$B$6</definedName>
    <definedName name="_1.__2010_11_FEFP_State_and_Local_Funding" localSheetId="23">'2911 June final'!$B$6</definedName>
    <definedName name="_1.__2010_11_FEFP_State_and_Local_Funding" localSheetId="24">'2941'!$B$6</definedName>
    <definedName name="_1.__2010_11_FEFP_State_and_Local_Funding" localSheetId="25">'2941 June final'!$B$6</definedName>
    <definedName name="_1.__2010_11_FEFP_State_and_Local_Funding" localSheetId="26">'3083'!$B$6</definedName>
    <definedName name="_1.__2010_11_FEFP_State_and_Local_Funding" localSheetId="27">'3344'!$B$6</definedName>
    <definedName name="_1.__2010_11_FEFP_State_and_Local_Funding" localSheetId="28">'3345'!$B$6</definedName>
    <definedName name="_1.__2010_11_FEFP_State_and_Local_Funding" localSheetId="29">'3347'!$B$6</definedName>
    <definedName name="_1.__2010_11_FEFP_State_and_Local_Funding" localSheetId="30">'3381'!$B$6</definedName>
    <definedName name="_1.__2010_11_FEFP_State_and_Local_Funding" localSheetId="31">'3381 June Final'!$B$6</definedName>
    <definedName name="_1.__2010_11_FEFP_State_and_Local_Funding" localSheetId="32">'3382'!$B$6</definedName>
    <definedName name="_1.__2010_11_FEFP_State_and_Local_Funding" localSheetId="33">'3382 June Final'!$B$6</definedName>
    <definedName name="_1.__2010_11_FEFP_State_and_Local_Funding" localSheetId="34">'3384'!$B$6</definedName>
    <definedName name="_1.__2010_11_FEFP_State_and_Local_Funding" localSheetId="35">'3384 June Final'!$B$6</definedName>
    <definedName name="_1.__2010_11_FEFP_State_and_Local_Funding" localSheetId="36">'3385'!$B$6</definedName>
    <definedName name="_1.__2010_11_FEFP_State_and_Local_Funding" localSheetId="37">'3385 June Final'!$B$6</definedName>
    <definedName name="_1.__2010_11_FEFP_State_and_Local_Funding" localSheetId="38">'3386'!$B$6</definedName>
    <definedName name="_1.__2010_11_FEFP_State_and_Local_Funding" localSheetId="39">'3391'!$B$6</definedName>
    <definedName name="_1.__2010_11_FEFP_State_and_Local_Funding" localSheetId="40">'3392'!$B$6</definedName>
    <definedName name="_1.__2010_11_FEFP_State_and_Local_Funding" localSheetId="41">'3392 June Final'!$B$6</definedName>
    <definedName name="_1.__2010_11_FEFP_State_and_Local_Funding" localSheetId="42">'3394'!$B$6</definedName>
    <definedName name="_1.__2010_11_FEFP_State_and_Local_Funding" localSheetId="43">'3394 June Final'!$B$6</definedName>
    <definedName name="_1.__2010_11_FEFP_State_and_Local_Funding" localSheetId="44">'3395'!$B$6</definedName>
    <definedName name="_1.__2010_11_FEFP_State_and_Local_Funding" localSheetId="45">'3395 June Final'!$B$6</definedName>
    <definedName name="_1.__2010_11_FEFP_State_and_Local_Funding" localSheetId="46">'3396'!$B$6</definedName>
    <definedName name="_1.__2010_11_FEFP_State_and_Local_Funding" localSheetId="47">'3398'!$B$6</definedName>
    <definedName name="_1.__2010_11_FEFP_State_and_Local_Funding" localSheetId="48">'3400'!$B$6</definedName>
    <definedName name="_1.__2010_11_FEFP_State_and_Local_Funding" localSheetId="49">'3401'!$B$6</definedName>
    <definedName name="_1.__2010_11_FEFP_State_and_Local_Funding" localSheetId="50">'3411'!$B$6</definedName>
    <definedName name="_1.__2010_11_FEFP_State_and_Local_Funding" localSheetId="51">'3413'!$B$6</definedName>
    <definedName name="_1.__2010_11_FEFP_State_and_Local_Funding" localSheetId="52">'3413 June Final'!$B$6</definedName>
    <definedName name="_1.__2010_11_FEFP_State_and_Local_Funding" localSheetId="53">'3421'!$B$6</definedName>
    <definedName name="_1.__2010_11_FEFP_State_and_Local_Funding" localSheetId="54">'3431'!$B$6</definedName>
    <definedName name="_1.__2010_11_FEFP_State_and_Local_Funding" localSheetId="55">'3431 June Final'!$B$6</definedName>
    <definedName name="_1.__2010_11_FEFP_State_and_Local_Funding" localSheetId="56">'3441'!$B$6</definedName>
    <definedName name="_1.__2010_11_FEFP_State_and_Local_Funding" localSheetId="57">'3443'!$B$6</definedName>
    <definedName name="_1.__2010_11_FEFP_State_and_Local_Funding" localSheetId="58">'3941'!$B$6</definedName>
    <definedName name="_1.__2010_11_FEFP_State_and_Local_Funding" localSheetId="59">'3941 June Final'!$B$6</definedName>
    <definedName name="_1.__2010_11_FEFP_State_and_Local_Funding" localSheetId="60">'3961'!$B$6</definedName>
    <definedName name="_1.__2010_11_FEFP_State_and_Local_Funding" localSheetId="61">'3961 June Final'!$B$6</definedName>
    <definedName name="_1.__2010_11_FEFP_State_and_Local_Funding" localSheetId="62">'3971'!$B$6</definedName>
    <definedName name="_1.__2010_11_FEFP_State_and_Local_Funding" localSheetId="63">'4000'!$B$6</definedName>
    <definedName name="_1.__2010_11_FEFP_State_and_Local_Funding" localSheetId="64">'4000 June Final'!$B$6</definedName>
    <definedName name="_1.__2010_11_FEFP_State_and_Local_Funding" localSheetId="65">'4002'!$B$6</definedName>
    <definedName name="_1.__2010_11_FEFP_State_and_Local_Funding" localSheetId="66">'4002 June Final'!$B$6</definedName>
    <definedName name="_1.__2010_11_FEFP_State_and_Local_Funding" localSheetId="67">'4010'!$B$6</definedName>
    <definedName name="_1.__2010_11_FEFP_State_and_Local_Funding" localSheetId="68">'4012'!$B$6</definedName>
    <definedName name="_1.__2010_11_FEFP_State_and_Local_Funding" localSheetId="69">'4013'!$B$6</definedName>
    <definedName name="_1.__2010_11_FEFP_State_and_Local_Funding" localSheetId="70">'4020'!$B$6</definedName>
    <definedName name="_1.__2010_11_FEFP_State_and_Local_Funding" localSheetId="72">'4020 June Final'!$B$6</definedName>
    <definedName name="_1.__2010_11_FEFP_State_and_Local_Funding" localSheetId="71">'4020 June Tch Alloc.'!$B$6</definedName>
    <definedName name="_1.__2010_11_FEFP_State_and_Local_Funding" localSheetId="73">'4037'!$B$6</definedName>
    <definedName name="_1.__2010_11_FEFP_State_and_Local_Funding" localSheetId="74">'4037 June Final'!$B$6</definedName>
    <definedName name="_1.__2010_11_FEFP_State_and_Local_Funding" localSheetId="75">#REF!</definedName>
    <definedName name="_1.__2010_11_FEFP_State_and_Local_Funding" localSheetId="76">'4041'!$B$6</definedName>
    <definedName name="_1.__2010_11_FEFP_State_and_Local_Funding" localSheetId="1">#REF!</definedName>
    <definedName name="_1.__2010_11_FEFP_State_and_Local_Funding" localSheetId="0">#REF!</definedName>
    <definedName name="_1.__2010_11_FEFP_State_and_Local_Funding">#REF!</definedName>
    <definedName name="_101_Basic_K_3" localSheetId="3">'0054'!$B$10</definedName>
    <definedName name="_101_Basic_K_3" localSheetId="4">'0054 June Final'!$B$10</definedName>
    <definedName name="_101_Basic_K_3" localSheetId="5">'0642'!$B$10</definedName>
    <definedName name="_101_Basic_K_3" localSheetId="6">'0642 June Final'!$B$10</definedName>
    <definedName name="_101_Basic_K_3" localSheetId="7">'0664'!$B$10</definedName>
    <definedName name="_101_Basic_K_3" localSheetId="8">'0664 June Final'!$B$10</definedName>
    <definedName name="_101_Basic_K_3" localSheetId="9">'1461'!$B$10</definedName>
    <definedName name="_101_Basic_K_3" localSheetId="10">'1571'!$B$10</definedName>
    <definedName name="_101_Basic_K_3" localSheetId="11">'2521'!$B$10</definedName>
    <definedName name="_101_Basic_K_3" localSheetId="12">'2531'!$B$10</definedName>
    <definedName name="_101_Basic_K_3" localSheetId="13">'2531 June final'!$B$10</definedName>
    <definedName name="_101_Basic_K_3" localSheetId="14">'2641'!$B$10</definedName>
    <definedName name="_101_Basic_K_3" localSheetId="15">'2641 June Final'!$B$10</definedName>
    <definedName name="_101_Basic_K_3" localSheetId="16">'2661'!$B$10</definedName>
    <definedName name="_101_Basic_K_3" localSheetId="17">'2661 June Final'!$B$10</definedName>
    <definedName name="_101_Basic_K_3" localSheetId="18">'2791'!$B$10</definedName>
    <definedName name="_101_Basic_K_3" localSheetId="19">'2791 June final'!$B$10</definedName>
    <definedName name="_101_Basic_K_3" localSheetId="20">'2801'!$B$10</definedName>
    <definedName name="_101_Basic_K_3" localSheetId="21">'2801 June Final'!$B$10</definedName>
    <definedName name="_101_Basic_K_3" localSheetId="22">'2911'!$B$10</definedName>
    <definedName name="_101_Basic_K_3" localSheetId="23">'2911 June final'!$B$10</definedName>
    <definedName name="_101_Basic_K_3" localSheetId="24">'2941'!$B$10</definedName>
    <definedName name="_101_Basic_K_3" localSheetId="25">'2941 June final'!$B$10</definedName>
    <definedName name="_101_Basic_K_3" localSheetId="26">'3083'!$B$10</definedName>
    <definedName name="_101_Basic_K_3" localSheetId="27">'3344'!$B$10</definedName>
    <definedName name="_101_Basic_K_3" localSheetId="28">'3345'!$B$10</definedName>
    <definedName name="_101_Basic_K_3" localSheetId="29">'3347'!$B$10</definedName>
    <definedName name="_101_Basic_K_3" localSheetId="30">'3381'!$B$10</definedName>
    <definedName name="_101_Basic_K_3" localSheetId="31">'3381 June Final'!$B$10</definedName>
    <definedName name="_101_Basic_K_3" localSheetId="32">'3382'!$B$10</definedName>
    <definedName name="_101_Basic_K_3" localSheetId="33">'3382 June Final'!$B$10</definedName>
    <definedName name="_101_Basic_K_3" localSheetId="34">'3384'!$B$10</definedName>
    <definedName name="_101_Basic_K_3" localSheetId="35">'3384 June Final'!$B$10</definedName>
    <definedName name="_101_Basic_K_3" localSheetId="36">'3385'!$B$10</definedName>
    <definedName name="_101_Basic_K_3" localSheetId="37">'3385 June Final'!$B$10</definedName>
    <definedName name="_101_Basic_K_3" localSheetId="38">'3386'!$B$10</definedName>
    <definedName name="_101_Basic_K_3" localSheetId="39">'3391'!$B$10</definedName>
    <definedName name="_101_Basic_K_3" localSheetId="40">'3392'!$B$10</definedName>
    <definedName name="_101_Basic_K_3" localSheetId="41">'3392 June Final'!$B$10</definedName>
    <definedName name="_101_Basic_K_3" localSheetId="42">'3394'!$B$10</definedName>
    <definedName name="_101_Basic_K_3" localSheetId="43">'3394 June Final'!$B$10</definedName>
    <definedName name="_101_Basic_K_3" localSheetId="44">'3395'!$B$10</definedName>
    <definedName name="_101_Basic_K_3" localSheetId="45">'3395 June Final'!$B$10</definedName>
    <definedName name="_101_Basic_K_3" localSheetId="46">'3396'!$B$10</definedName>
    <definedName name="_101_Basic_K_3" localSheetId="47">'3398'!$B$10</definedName>
    <definedName name="_101_Basic_K_3" localSheetId="48">'3400'!$B$10</definedName>
    <definedName name="_101_Basic_K_3" localSheetId="49">'3401'!$B$10</definedName>
    <definedName name="_101_Basic_K_3" localSheetId="50">'3411'!$B$10</definedName>
    <definedName name="_101_Basic_K_3" localSheetId="51">'3413'!$B$10</definedName>
    <definedName name="_101_Basic_K_3" localSheetId="52">'3413 June Final'!$B$10</definedName>
    <definedName name="_101_Basic_K_3" localSheetId="53">'3421'!$B$10</definedName>
    <definedName name="_101_Basic_K_3" localSheetId="54">'3431'!$B$10</definedName>
    <definedName name="_101_Basic_K_3" localSheetId="55">'3431 June Final'!$B$10</definedName>
    <definedName name="_101_Basic_K_3" localSheetId="56">'3441'!$B$10</definedName>
    <definedName name="_101_Basic_K_3" localSheetId="57">'3443'!$B$10</definedName>
    <definedName name="_101_Basic_K_3" localSheetId="58">'3941'!$B$10</definedName>
    <definedName name="_101_Basic_K_3" localSheetId="59">'3941 June Final'!$B$10</definedName>
    <definedName name="_101_Basic_K_3" localSheetId="60">'3961'!$B$10</definedName>
    <definedName name="_101_Basic_K_3" localSheetId="61">'3961 June Final'!$B$10</definedName>
    <definedName name="_101_Basic_K_3" localSheetId="62">'3971'!$B$10</definedName>
    <definedName name="_101_Basic_K_3" localSheetId="63">'4000'!$B$10</definedName>
    <definedName name="_101_Basic_K_3" localSheetId="64">'4000 June Final'!$B$10</definedName>
    <definedName name="_101_Basic_K_3" localSheetId="65">'4002'!$B$10</definedName>
    <definedName name="_101_Basic_K_3" localSheetId="66">'4002 June Final'!$B$10</definedName>
    <definedName name="_101_Basic_K_3" localSheetId="67">'4010'!$B$10</definedName>
    <definedName name="_101_Basic_K_3" localSheetId="68">'4012'!$B$10</definedName>
    <definedName name="_101_Basic_K_3" localSheetId="69">'4013'!$B$10</definedName>
    <definedName name="_101_Basic_K_3" localSheetId="70">'4020'!$B$10</definedName>
    <definedName name="_101_Basic_K_3" localSheetId="72">'4020 June Final'!$B$10</definedName>
    <definedName name="_101_Basic_K_3" localSheetId="71">'4020 June Tch Alloc.'!$B$10</definedName>
    <definedName name="_101_Basic_K_3" localSheetId="73">'4037'!$B$10</definedName>
    <definedName name="_101_Basic_K_3" localSheetId="74">'4037 June Final'!$B$10</definedName>
    <definedName name="_101_Basic_K_3" localSheetId="75">#REF!</definedName>
    <definedName name="_101_Basic_K_3" localSheetId="76">'4041'!$B$10</definedName>
    <definedName name="_101_Basic_K_3" localSheetId="1">#REF!</definedName>
    <definedName name="_101_Basic_K_3" localSheetId="0">#REF!</definedName>
    <definedName name="_101_Basic_K_3">#REF!</definedName>
    <definedName name="_102_Basic_4_8" localSheetId="3">'0054'!$B$12</definedName>
    <definedName name="_102_Basic_4_8" localSheetId="4">'0054 June Final'!$B$12</definedName>
    <definedName name="_102_Basic_4_8" localSheetId="5">'0642'!$B$12</definedName>
    <definedName name="_102_Basic_4_8" localSheetId="6">'0642 June Final'!$B$12</definedName>
    <definedName name="_102_Basic_4_8" localSheetId="7">'0664'!$B$12</definedName>
    <definedName name="_102_Basic_4_8" localSheetId="8">'0664 June Final'!$B$12</definedName>
    <definedName name="_102_Basic_4_8" localSheetId="9">'1461'!$B$12</definedName>
    <definedName name="_102_Basic_4_8" localSheetId="10">'1571'!$B$12</definedName>
    <definedName name="_102_Basic_4_8" localSheetId="11">'2521'!$B$12</definedName>
    <definedName name="_102_Basic_4_8" localSheetId="12">'2531'!$B$12</definedName>
    <definedName name="_102_Basic_4_8" localSheetId="13">'2531 June final'!$B$12</definedName>
    <definedName name="_102_Basic_4_8" localSheetId="14">'2641'!$B$12</definedName>
    <definedName name="_102_Basic_4_8" localSheetId="15">'2641 June Final'!$B$12</definedName>
    <definedName name="_102_Basic_4_8" localSheetId="16">'2661'!$B$12</definedName>
    <definedName name="_102_Basic_4_8" localSheetId="17">'2661 June Final'!$B$12</definedName>
    <definedName name="_102_Basic_4_8" localSheetId="18">'2791'!$B$12</definedName>
    <definedName name="_102_Basic_4_8" localSheetId="19">'2791 June final'!$B$12</definedName>
    <definedName name="_102_Basic_4_8" localSheetId="20">'2801'!$B$12</definedName>
    <definedName name="_102_Basic_4_8" localSheetId="21">'2801 June Final'!$B$12</definedName>
    <definedName name="_102_Basic_4_8" localSheetId="22">'2911'!$B$12</definedName>
    <definedName name="_102_Basic_4_8" localSheetId="23">'2911 June final'!$B$12</definedName>
    <definedName name="_102_Basic_4_8" localSheetId="24">'2941'!$B$12</definedName>
    <definedName name="_102_Basic_4_8" localSheetId="25">'2941 June final'!$B$12</definedName>
    <definedName name="_102_Basic_4_8" localSheetId="26">'3083'!$B$12</definedName>
    <definedName name="_102_Basic_4_8" localSheetId="27">'3344'!$B$12</definedName>
    <definedName name="_102_Basic_4_8" localSheetId="28">'3345'!$B$12</definedName>
    <definedName name="_102_Basic_4_8" localSheetId="29">'3347'!$B$12</definedName>
    <definedName name="_102_Basic_4_8" localSheetId="30">'3381'!$B$12</definedName>
    <definedName name="_102_Basic_4_8" localSheetId="31">'3381 June Final'!$B$12</definedName>
    <definedName name="_102_Basic_4_8" localSheetId="32">'3382'!$B$12</definedName>
    <definedName name="_102_Basic_4_8" localSheetId="33">'3382 June Final'!$B$12</definedName>
    <definedName name="_102_Basic_4_8" localSheetId="34">'3384'!$B$12</definedName>
    <definedName name="_102_Basic_4_8" localSheetId="35">'3384 June Final'!$B$12</definedName>
    <definedName name="_102_Basic_4_8" localSheetId="36">'3385'!$B$12</definedName>
    <definedName name="_102_Basic_4_8" localSheetId="37">'3385 June Final'!$B$12</definedName>
    <definedName name="_102_Basic_4_8" localSheetId="38">'3386'!$B$12</definedName>
    <definedName name="_102_Basic_4_8" localSheetId="39">'3391'!$B$12</definedName>
    <definedName name="_102_Basic_4_8" localSheetId="40">'3392'!$B$12</definedName>
    <definedName name="_102_Basic_4_8" localSheetId="41">'3392 June Final'!$B$12</definedName>
    <definedName name="_102_Basic_4_8" localSheetId="42">'3394'!$B$12</definedName>
    <definedName name="_102_Basic_4_8" localSheetId="43">'3394 June Final'!$B$12</definedName>
    <definedName name="_102_Basic_4_8" localSheetId="44">'3395'!$B$12</definedName>
    <definedName name="_102_Basic_4_8" localSheetId="45">'3395 June Final'!$B$12</definedName>
    <definedName name="_102_Basic_4_8" localSheetId="46">'3396'!$B$12</definedName>
    <definedName name="_102_Basic_4_8" localSheetId="47">'3398'!$B$12</definedName>
    <definedName name="_102_Basic_4_8" localSheetId="48">'3400'!$B$12</definedName>
    <definedName name="_102_Basic_4_8" localSheetId="49">'3401'!$B$12</definedName>
    <definedName name="_102_Basic_4_8" localSheetId="50">'3411'!$B$12</definedName>
    <definedName name="_102_Basic_4_8" localSheetId="51">'3413'!$B$12</definedName>
    <definedName name="_102_Basic_4_8" localSheetId="52">'3413 June Final'!$B$12</definedName>
    <definedName name="_102_Basic_4_8" localSheetId="53">'3421'!$B$12</definedName>
    <definedName name="_102_Basic_4_8" localSheetId="54">'3431'!$B$12</definedName>
    <definedName name="_102_Basic_4_8" localSheetId="55">'3431 June Final'!$B$12</definedName>
    <definedName name="_102_Basic_4_8" localSheetId="56">'3441'!$B$12</definedName>
    <definedName name="_102_Basic_4_8" localSheetId="57">'3443'!$B$12</definedName>
    <definedName name="_102_Basic_4_8" localSheetId="58">'3941'!$B$12</definedName>
    <definedName name="_102_Basic_4_8" localSheetId="59">'3941 June Final'!$B$12</definedName>
    <definedName name="_102_Basic_4_8" localSheetId="60">'3961'!$B$12</definedName>
    <definedName name="_102_Basic_4_8" localSheetId="61">'3961 June Final'!$B$12</definedName>
    <definedName name="_102_Basic_4_8" localSheetId="62">'3971'!$B$12</definedName>
    <definedName name="_102_Basic_4_8" localSheetId="63">'4000'!$B$12</definedName>
    <definedName name="_102_Basic_4_8" localSheetId="64">'4000 June Final'!$B$12</definedName>
    <definedName name="_102_Basic_4_8" localSheetId="65">'4002'!$B$12</definedName>
    <definedName name="_102_Basic_4_8" localSheetId="66">'4002 June Final'!$B$12</definedName>
    <definedName name="_102_Basic_4_8" localSheetId="67">'4010'!$B$12</definedName>
    <definedName name="_102_Basic_4_8" localSheetId="68">'4012'!$B$12</definedName>
    <definedName name="_102_Basic_4_8" localSheetId="69">'4013'!$B$12</definedName>
    <definedName name="_102_Basic_4_8" localSheetId="70">'4020'!$B$12</definedName>
    <definedName name="_102_Basic_4_8" localSheetId="72">'4020 June Final'!$B$12</definedName>
    <definedName name="_102_Basic_4_8" localSheetId="71">'4020 June Tch Alloc.'!$B$12</definedName>
    <definedName name="_102_Basic_4_8" localSheetId="73">'4037'!$B$12</definedName>
    <definedName name="_102_Basic_4_8" localSheetId="74">'4037 June Final'!$B$12</definedName>
    <definedName name="_102_Basic_4_8" localSheetId="75">#REF!</definedName>
    <definedName name="_102_Basic_4_8" localSheetId="76">'4041'!$B$12</definedName>
    <definedName name="_102_Basic_4_8" localSheetId="1">#REF!</definedName>
    <definedName name="_102_Basic_4_8" localSheetId="0">#REF!</definedName>
    <definedName name="_102_Basic_4_8">#REF!</definedName>
    <definedName name="_103_Basic_9_12" localSheetId="3">'0054'!$B$14</definedName>
    <definedName name="_103_Basic_9_12" localSheetId="4">'0054 June Final'!$B$14</definedName>
    <definedName name="_103_Basic_9_12" localSheetId="5">'0642'!$B$14</definedName>
    <definedName name="_103_Basic_9_12" localSheetId="6">'0642 June Final'!$B$14</definedName>
    <definedName name="_103_Basic_9_12" localSheetId="7">'0664'!$B$14</definedName>
    <definedName name="_103_Basic_9_12" localSheetId="8">'0664 June Final'!$B$14</definedName>
    <definedName name="_103_Basic_9_12" localSheetId="9">'1461'!$B$14</definedName>
    <definedName name="_103_Basic_9_12" localSheetId="10">'1571'!$B$14</definedName>
    <definedName name="_103_Basic_9_12" localSheetId="11">'2521'!$B$14</definedName>
    <definedName name="_103_Basic_9_12" localSheetId="12">'2531'!$B$14</definedName>
    <definedName name="_103_Basic_9_12" localSheetId="13">'2531 June final'!$B$14</definedName>
    <definedName name="_103_Basic_9_12" localSheetId="14">'2641'!$B$14</definedName>
    <definedName name="_103_Basic_9_12" localSheetId="15">'2641 June Final'!$B$14</definedName>
    <definedName name="_103_Basic_9_12" localSheetId="16">'2661'!$B$14</definedName>
    <definedName name="_103_Basic_9_12" localSheetId="17">'2661 June Final'!$B$14</definedName>
    <definedName name="_103_Basic_9_12" localSheetId="18">'2791'!$B$14</definedName>
    <definedName name="_103_Basic_9_12" localSheetId="19">'2791 June final'!$B$14</definedName>
    <definedName name="_103_Basic_9_12" localSheetId="20">'2801'!$B$14</definedName>
    <definedName name="_103_Basic_9_12" localSheetId="21">'2801 June Final'!$B$14</definedName>
    <definedName name="_103_Basic_9_12" localSheetId="22">'2911'!$B$14</definedName>
    <definedName name="_103_Basic_9_12" localSheetId="23">'2911 June final'!$B$14</definedName>
    <definedName name="_103_Basic_9_12" localSheetId="24">'2941'!$B$14</definedName>
    <definedName name="_103_Basic_9_12" localSheetId="25">'2941 June final'!$B$14</definedName>
    <definedName name="_103_Basic_9_12" localSheetId="26">'3083'!$B$14</definedName>
    <definedName name="_103_Basic_9_12" localSheetId="27">'3344'!$B$14</definedName>
    <definedName name="_103_Basic_9_12" localSheetId="28">'3345'!$B$14</definedName>
    <definedName name="_103_Basic_9_12" localSheetId="29">'3347'!$B$14</definedName>
    <definedName name="_103_Basic_9_12" localSheetId="30">'3381'!$B$14</definedName>
    <definedName name="_103_Basic_9_12" localSheetId="31">'3381 June Final'!$B$14</definedName>
    <definedName name="_103_Basic_9_12" localSheetId="32">'3382'!$B$14</definedName>
    <definedName name="_103_Basic_9_12" localSheetId="33">'3382 June Final'!$B$14</definedName>
    <definedName name="_103_Basic_9_12" localSheetId="34">'3384'!$B$14</definedName>
    <definedName name="_103_Basic_9_12" localSheetId="35">'3384 June Final'!$B$14</definedName>
    <definedName name="_103_Basic_9_12" localSheetId="36">'3385'!$B$14</definedName>
    <definedName name="_103_Basic_9_12" localSheetId="37">'3385 June Final'!$B$14</definedName>
    <definedName name="_103_Basic_9_12" localSheetId="38">'3386'!$B$14</definedName>
    <definedName name="_103_Basic_9_12" localSheetId="39">'3391'!$B$14</definedName>
    <definedName name="_103_Basic_9_12" localSheetId="40">'3392'!$B$14</definedName>
    <definedName name="_103_Basic_9_12" localSheetId="41">'3392 June Final'!$B$14</definedName>
    <definedName name="_103_Basic_9_12" localSheetId="42">'3394'!$B$14</definedName>
    <definedName name="_103_Basic_9_12" localSheetId="43">'3394 June Final'!$B$14</definedName>
    <definedName name="_103_Basic_9_12" localSheetId="44">'3395'!$B$14</definedName>
    <definedName name="_103_Basic_9_12" localSheetId="45">'3395 June Final'!$B$14</definedName>
    <definedName name="_103_Basic_9_12" localSheetId="46">'3396'!$B$14</definedName>
    <definedName name="_103_Basic_9_12" localSheetId="47">'3398'!$B$14</definedName>
    <definedName name="_103_Basic_9_12" localSheetId="48">'3400'!$B$14</definedName>
    <definedName name="_103_Basic_9_12" localSheetId="49">'3401'!$B$14</definedName>
    <definedName name="_103_Basic_9_12" localSheetId="50">'3411'!$B$14</definedName>
    <definedName name="_103_Basic_9_12" localSheetId="51">'3413'!$B$14</definedName>
    <definedName name="_103_Basic_9_12" localSheetId="52">'3413 June Final'!$B$14</definedName>
    <definedName name="_103_Basic_9_12" localSheetId="53">'3421'!$B$14</definedName>
    <definedName name="_103_Basic_9_12" localSheetId="54">'3431'!$B$14</definedName>
    <definedName name="_103_Basic_9_12" localSheetId="55">'3431 June Final'!$B$14</definedName>
    <definedName name="_103_Basic_9_12" localSheetId="56">'3441'!$B$14</definedName>
    <definedName name="_103_Basic_9_12" localSheetId="57">'3443'!$B$14</definedName>
    <definedName name="_103_Basic_9_12" localSheetId="58">'3941'!$B$14</definedName>
    <definedName name="_103_Basic_9_12" localSheetId="59">'3941 June Final'!$B$14</definedName>
    <definedName name="_103_Basic_9_12" localSheetId="60">'3961'!$B$14</definedName>
    <definedName name="_103_Basic_9_12" localSheetId="61">'3961 June Final'!$B$14</definedName>
    <definedName name="_103_Basic_9_12" localSheetId="62">'3971'!$B$14</definedName>
    <definedName name="_103_Basic_9_12" localSheetId="63">'4000'!$B$14</definedName>
    <definedName name="_103_Basic_9_12" localSheetId="64">'4000 June Final'!$B$14</definedName>
    <definedName name="_103_Basic_9_12" localSheetId="65">'4002'!$B$14</definedName>
    <definedName name="_103_Basic_9_12" localSheetId="66">'4002 June Final'!$B$14</definedName>
    <definedName name="_103_Basic_9_12" localSheetId="67">'4010'!$B$14</definedName>
    <definedName name="_103_Basic_9_12" localSheetId="68">'4012'!$B$14</definedName>
    <definedName name="_103_Basic_9_12" localSheetId="69">'4013'!$B$14</definedName>
    <definedName name="_103_Basic_9_12" localSheetId="70">'4020'!$B$14</definedName>
    <definedName name="_103_Basic_9_12" localSheetId="72">'4020 June Final'!$B$14</definedName>
    <definedName name="_103_Basic_9_12" localSheetId="71">'4020 June Tch Alloc.'!$B$14</definedName>
    <definedName name="_103_Basic_9_12" localSheetId="73">'4037'!$B$14</definedName>
    <definedName name="_103_Basic_9_12" localSheetId="74">'4037 June Final'!$B$14</definedName>
    <definedName name="_103_Basic_9_12" localSheetId="75">#REF!</definedName>
    <definedName name="_103_Basic_9_12" localSheetId="76">'4041'!$B$14</definedName>
    <definedName name="_103_Basic_9_12" localSheetId="1">#REF!</definedName>
    <definedName name="_103_Basic_9_12" localSheetId="0">#REF!</definedName>
    <definedName name="_103_Basic_9_12">#REF!</definedName>
    <definedName name="_111_Basic_K_3_with_ESE_Services" localSheetId="3">'0054'!$B$11</definedName>
    <definedName name="_111_Basic_K_3_with_ESE_Services" localSheetId="4">'0054 June Final'!$B$11</definedName>
    <definedName name="_111_Basic_K_3_with_ESE_Services" localSheetId="5">'0642'!$B$11</definedName>
    <definedName name="_111_Basic_K_3_with_ESE_Services" localSheetId="6">'0642 June Final'!$B$11</definedName>
    <definedName name="_111_Basic_K_3_with_ESE_Services" localSheetId="7">'0664'!$B$11</definedName>
    <definedName name="_111_Basic_K_3_with_ESE_Services" localSheetId="8">'0664 June Final'!$B$11</definedName>
    <definedName name="_111_Basic_K_3_with_ESE_Services" localSheetId="9">'1461'!$B$11</definedName>
    <definedName name="_111_Basic_K_3_with_ESE_Services" localSheetId="10">'1571'!$B$11</definedName>
    <definedName name="_111_Basic_K_3_with_ESE_Services" localSheetId="11">'2521'!$B$11</definedName>
    <definedName name="_111_Basic_K_3_with_ESE_Services" localSheetId="12">'2531'!$B$11</definedName>
    <definedName name="_111_Basic_K_3_with_ESE_Services" localSheetId="13">'2531 June final'!$B$11</definedName>
    <definedName name="_111_Basic_K_3_with_ESE_Services" localSheetId="14">'2641'!$B$11</definedName>
    <definedName name="_111_Basic_K_3_with_ESE_Services" localSheetId="15">'2641 June Final'!$B$11</definedName>
    <definedName name="_111_Basic_K_3_with_ESE_Services" localSheetId="16">'2661'!$B$11</definedName>
    <definedName name="_111_Basic_K_3_with_ESE_Services" localSheetId="17">'2661 June Final'!$B$11</definedName>
    <definedName name="_111_Basic_K_3_with_ESE_Services" localSheetId="18">'2791'!$B$11</definedName>
    <definedName name="_111_Basic_K_3_with_ESE_Services" localSheetId="19">'2791 June final'!$B$11</definedName>
    <definedName name="_111_Basic_K_3_with_ESE_Services" localSheetId="20">'2801'!$B$11</definedName>
    <definedName name="_111_Basic_K_3_with_ESE_Services" localSheetId="21">'2801 June Final'!$B$11</definedName>
    <definedName name="_111_Basic_K_3_with_ESE_Services" localSheetId="22">'2911'!$B$11</definedName>
    <definedName name="_111_Basic_K_3_with_ESE_Services" localSheetId="23">'2911 June final'!$B$11</definedName>
    <definedName name="_111_Basic_K_3_with_ESE_Services" localSheetId="24">'2941'!$B$11</definedName>
    <definedName name="_111_Basic_K_3_with_ESE_Services" localSheetId="25">'2941 June final'!$B$11</definedName>
    <definedName name="_111_Basic_K_3_with_ESE_Services" localSheetId="26">'3083'!$B$11</definedName>
    <definedName name="_111_Basic_K_3_with_ESE_Services" localSheetId="27">'3344'!$B$11</definedName>
    <definedName name="_111_Basic_K_3_with_ESE_Services" localSheetId="28">'3345'!$B$11</definedName>
    <definedName name="_111_Basic_K_3_with_ESE_Services" localSheetId="29">'3347'!$B$11</definedName>
    <definedName name="_111_Basic_K_3_with_ESE_Services" localSheetId="30">'3381'!$B$11</definedName>
    <definedName name="_111_Basic_K_3_with_ESE_Services" localSheetId="31">'3381 June Final'!$B$11</definedName>
    <definedName name="_111_Basic_K_3_with_ESE_Services" localSheetId="32">'3382'!$B$11</definedName>
    <definedName name="_111_Basic_K_3_with_ESE_Services" localSheetId="33">'3382 June Final'!$B$11</definedName>
    <definedName name="_111_Basic_K_3_with_ESE_Services" localSheetId="34">'3384'!$B$11</definedName>
    <definedName name="_111_Basic_K_3_with_ESE_Services" localSheetId="35">'3384 June Final'!$B$11</definedName>
    <definedName name="_111_Basic_K_3_with_ESE_Services" localSheetId="36">'3385'!$B$11</definedName>
    <definedName name="_111_Basic_K_3_with_ESE_Services" localSheetId="37">'3385 June Final'!$B$11</definedName>
    <definedName name="_111_Basic_K_3_with_ESE_Services" localSheetId="38">'3386'!$B$11</definedName>
    <definedName name="_111_Basic_K_3_with_ESE_Services" localSheetId="39">'3391'!$B$11</definedName>
    <definedName name="_111_Basic_K_3_with_ESE_Services" localSheetId="40">'3392'!$B$11</definedName>
    <definedName name="_111_Basic_K_3_with_ESE_Services" localSheetId="41">'3392 June Final'!$B$11</definedName>
    <definedName name="_111_Basic_K_3_with_ESE_Services" localSheetId="42">'3394'!$B$11</definedName>
    <definedName name="_111_Basic_K_3_with_ESE_Services" localSheetId="43">'3394 June Final'!$B$11</definedName>
    <definedName name="_111_Basic_K_3_with_ESE_Services" localSheetId="44">'3395'!$B$11</definedName>
    <definedName name="_111_Basic_K_3_with_ESE_Services" localSheetId="45">'3395 June Final'!$B$11</definedName>
    <definedName name="_111_Basic_K_3_with_ESE_Services" localSheetId="46">'3396'!$B$11</definedName>
    <definedName name="_111_Basic_K_3_with_ESE_Services" localSheetId="47">'3398'!$B$11</definedName>
    <definedName name="_111_Basic_K_3_with_ESE_Services" localSheetId="48">'3400'!$B$11</definedName>
    <definedName name="_111_Basic_K_3_with_ESE_Services" localSheetId="49">'3401'!$B$11</definedName>
    <definedName name="_111_Basic_K_3_with_ESE_Services" localSheetId="50">'3411'!$B$11</definedName>
    <definedName name="_111_Basic_K_3_with_ESE_Services" localSheetId="51">'3413'!$B$11</definedName>
    <definedName name="_111_Basic_K_3_with_ESE_Services" localSheetId="52">'3413 June Final'!$B$11</definedName>
    <definedName name="_111_Basic_K_3_with_ESE_Services" localSheetId="53">'3421'!$B$11</definedName>
    <definedName name="_111_Basic_K_3_with_ESE_Services" localSheetId="54">'3431'!$B$11</definedName>
    <definedName name="_111_Basic_K_3_with_ESE_Services" localSheetId="55">'3431 June Final'!$B$11</definedName>
    <definedName name="_111_Basic_K_3_with_ESE_Services" localSheetId="56">'3441'!$B$11</definedName>
    <definedName name="_111_Basic_K_3_with_ESE_Services" localSheetId="57">'3443'!$B$11</definedName>
    <definedName name="_111_Basic_K_3_with_ESE_Services" localSheetId="58">'3941'!$B$11</definedName>
    <definedName name="_111_Basic_K_3_with_ESE_Services" localSheetId="59">'3941 June Final'!$B$11</definedName>
    <definedName name="_111_Basic_K_3_with_ESE_Services" localSheetId="60">'3961'!$B$11</definedName>
    <definedName name="_111_Basic_K_3_with_ESE_Services" localSheetId="61">'3961 June Final'!$B$11</definedName>
    <definedName name="_111_Basic_K_3_with_ESE_Services" localSheetId="62">'3971'!$B$11</definedName>
    <definedName name="_111_Basic_K_3_with_ESE_Services" localSheetId="63">'4000'!$B$11</definedName>
    <definedName name="_111_Basic_K_3_with_ESE_Services" localSheetId="64">'4000 June Final'!$B$11</definedName>
    <definedName name="_111_Basic_K_3_with_ESE_Services" localSheetId="65">'4002'!$B$11</definedName>
    <definedName name="_111_Basic_K_3_with_ESE_Services" localSheetId="66">'4002 June Final'!$B$11</definedName>
    <definedName name="_111_Basic_K_3_with_ESE_Services" localSheetId="67">'4010'!$B$11</definedName>
    <definedName name="_111_Basic_K_3_with_ESE_Services" localSheetId="68">'4012'!$B$11</definedName>
    <definedName name="_111_Basic_K_3_with_ESE_Services" localSheetId="69">'4013'!$B$11</definedName>
    <definedName name="_111_Basic_K_3_with_ESE_Services" localSheetId="70">'4020'!$B$11</definedName>
    <definedName name="_111_Basic_K_3_with_ESE_Services" localSheetId="72">'4020 June Final'!$B$11</definedName>
    <definedName name="_111_Basic_K_3_with_ESE_Services" localSheetId="71">'4020 June Tch Alloc.'!$B$11</definedName>
    <definedName name="_111_Basic_K_3_with_ESE_Services" localSheetId="73">'4037'!$B$11</definedName>
    <definedName name="_111_Basic_K_3_with_ESE_Services" localSheetId="74">'4037 June Final'!$B$11</definedName>
    <definedName name="_111_Basic_K_3_with_ESE_Services" localSheetId="75">#REF!</definedName>
    <definedName name="_111_Basic_K_3_with_ESE_Services" localSheetId="76">'4041'!$B$11</definedName>
    <definedName name="_111_Basic_K_3_with_ESE_Services" localSheetId="1">#REF!</definedName>
    <definedName name="_111_Basic_K_3_with_ESE_Services" localSheetId="0">#REF!</definedName>
    <definedName name="_111_Basic_K_3_with_ESE_Services">#REF!</definedName>
    <definedName name="_112_Basic_4_8_with_ESE_Services" localSheetId="3">'0054'!$B$13</definedName>
    <definedName name="_112_Basic_4_8_with_ESE_Services" localSheetId="4">'0054 June Final'!$B$13</definedName>
    <definedName name="_112_Basic_4_8_with_ESE_Services" localSheetId="5">'0642'!$B$13</definedName>
    <definedName name="_112_Basic_4_8_with_ESE_Services" localSheetId="6">'0642 June Final'!$B$13</definedName>
    <definedName name="_112_Basic_4_8_with_ESE_Services" localSheetId="7">'0664'!$B$13</definedName>
    <definedName name="_112_Basic_4_8_with_ESE_Services" localSheetId="8">'0664 June Final'!$B$13</definedName>
    <definedName name="_112_Basic_4_8_with_ESE_Services" localSheetId="9">'1461'!$B$13</definedName>
    <definedName name="_112_Basic_4_8_with_ESE_Services" localSheetId="10">'1571'!$B$13</definedName>
    <definedName name="_112_Basic_4_8_with_ESE_Services" localSheetId="11">'2521'!$B$13</definedName>
    <definedName name="_112_Basic_4_8_with_ESE_Services" localSheetId="12">'2531'!$B$13</definedName>
    <definedName name="_112_Basic_4_8_with_ESE_Services" localSheetId="13">'2531 June final'!$B$13</definedName>
    <definedName name="_112_Basic_4_8_with_ESE_Services" localSheetId="14">'2641'!$B$13</definedName>
    <definedName name="_112_Basic_4_8_with_ESE_Services" localSheetId="15">'2641 June Final'!$B$13</definedName>
    <definedName name="_112_Basic_4_8_with_ESE_Services" localSheetId="16">'2661'!$B$13</definedName>
    <definedName name="_112_Basic_4_8_with_ESE_Services" localSheetId="17">'2661 June Final'!$B$13</definedName>
    <definedName name="_112_Basic_4_8_with_ESE_Services" localSheetId="18">'2791'!$B$13</definedName>
    <definedName name="_112_Basic_4_8_with_ESE_Services" localSheetId="19">'2791 June final'!$B$13</definedName>
    <definedName name="_112_Basic_4_8_with_ESE_Services" localSheetId="20">'2801'!$B$13</definedName>
    <definedName name="_112_Basic_4_8_with_ESE_Services" localSheetId="21">'2801 June Final'!$B$13</definedName>
    <definedName name="_112_Basic_4_8_with_ESE_Services" localSheetId="22">'2911'!$B$13</definedName>
    <definedName name="_112_Basic_4_8_with_ESE_Services" localSheetId="23">'2911 June final'!$B$13</definedName>
    <definedName name="_112_Basic_4_8_with_ESE_Services" localSheetId="24">'2941'!$B$13</definedName>
    <definedName name="_112_Basic_4_8_with_ESE_Services" localSheetId="25">'2941 June final'!$B$13</definedName>
    <definedName name="_112_Basic_4_8_with_ESE_Services" localSheetId="26">'3083'!$B$13</definedName>
    <definedName name="_112_Basic_4_8_with_ESE_Services" localSheetId="27">'3344'!$B$13</definedName>
    <definedName name="_112_Basic_4_8_with_ESE_Services" localSheetId="28">'3345'!$B$13</definedName>
    <definedName name="_112_Basic_4_8_with_ESE_Services" localSheetId="29">'3347'!$B$13</definedName>
    <definedName name="_112_Basic_4_8_with_ESE_Services" localSheetId="30">'3381'!$B$13</definedName>
    <definedName name="_112_Basic_4_8_with_ESE_Services" localSheetId="31">'3381 June Final'!$B$13</definedName>
    <definedName name="_112_Basic_4_8_with_ESE_Services" localSheetId="32">'3382'!$B$13</definedName>
    <definedName name="_112_Basic_4_8_with_ESE_Services" localSheetId="33">'3382 June Final'!$B$13</definedName>
    <definedName name="_112_Basic_4_8_with_ESE_Services" localSheetId="34">'3384'!$B$13</definedName>
    <definedName name="_112_Basic_4_8_with_ESE_Services" localSheetId="35">'3384 June Final'!$B$13</definedName>
    <definedName name="_112_Basic_4_8_with_ESE_Services" localSheetId="36">'3385'!$B$13</definedName>
    <definedName name="_112_Basic_4_8_with_ESE_Services" localSheetId="37">'3385 June Final'!$B$13</definedName>
    <definedName name="_112_Basic_4_8_with_ESE_Services" localSheetId="38">'3386'!$B$13</definedName>
    <definedName name="_112_Basic_4_8_with_ESE_Services" localSheetId="39">'3391'!$B$13</definedName>
    <definedName name="_112_Basic_4_8_with_ESE_Services" localSheetId="40">'3392'!$B$13</definedName>
    <definedName name="_112_Basic_4_8_with_ESE_Services" localSheetId="41">'3392 June Final'!$B$13</definedName>
    <definedName name="_112_Basic_4_8_with_ESE_Services" localSheetId="42">'3394'!$B$13</definedName>
    <definedName name="_112_Basic_4_8_with_ESE_Services" localSheetId="43">'3394 June Final'!$B$13</definedName>
    <definedName name="_112_Basic_4_8_with_ESE_Services" localSheetId="44">'3395'!$B$13</definedName>
    <definedName name="_112_Basic_4_8_with_ESE_Services" localSheetId="45">'3395 June Final'!$B$13</definedName>
    <definedName name="_112_Basic_4_8_with_ESE_Services" localSheetId="46">'3396'!$B$13</definedName>
    <definedName name="_112_Basic_4_8_with_ESE_Services" localSheetId="47">'3398'!$B$13</definedName>
    <definedName name="_112_Basic_4_8_with_ESE_Services" localSheetId="48">'3400'!$B$13</definedName>
    <definedName name="_112_Basic_4_8_with_ESE_Services" localSheetId="49">'3401'!$B$13</definedName>
    <definedName name="_112_Basic_4_8_with_ESE_Services" localSheetId="50">'3411'!$B$13</definedName>
    <definedName name="_112_Basic_4_8_with_ESE_Services" localSheetId="51">'3413'!$B$13</definedName>
    <definedName name="_112_Basic_4_8_with_ESE_Services" localSheetId="52">'3413 June Final'!$B$13</definedName>
    <definedName name="_112_Basic_4_8_with_ESE_Services" localSheetId="53">'3421'!$B$13</definedName>
    <definedName name="_112_Basic_4_8_with_ESE_Services" localSheetId="54">'3431'!$B$13</definedName>
    <definedName name="_112_Basic_4_8_with_ESE_Services" localSheetId="55">'3431 June Final'!$B$13</definedName>
    <definedName name="_112_Basic_4_8_with_ESE_Services" localSheetId="56">'3441'!$B$13</definedName>
    <definedName name="_112_Basic_4_8_with_ESE_Services" localSheetId="57">'3443'!$B$13</definedName>
    <definedName name="_112_Basic_4_8_with_ESE_Services" localSheetId="58">'3941'!$B$13</definedName>
    <definedName name="_112_Basic_4_8_with_ESE_Services" localSheetId="59">'3941 June Final'!$B$13</definedName>
    <definedName name="_112_Basic_4_8_with_ESE_Services" localSheetId="60">'3961'!$B$13</definedName>
    <definedName name="_112_Basic_4_8_with_ESE_Services" localSheetId="61">'3961 June Final'!$B$13</definedName>
    <definedName name="_112_Basic_4_8_with_ESE_Services" localSheetId="62">'3971'!$B$13</definedName>
    <definedName name="_112_Basic_4_8_with_ESE_Services" localSheetId="63">'4000'!$B$13</definedName>
    <definedName name="_112_Basic_4_8_with_ESE_Services" localSheetId="64">'4000 June Final'!$B$13</definedName>
    <definedName name="_112_Basic_4_8_with_ESE_Services" localSheetId="65">'4002'!$B$13</definedName>
    <definedName name="_112_Basic_4_8_with_ESE_Services" localSheetId="66">'4002 June Final'!$B$13</definedName>
    <definedName name="_112_Basic_4_8_with_ESE_Services" localSheetId="67">'4010'!$B$13</definedName>
    <definedName name="_112_Basic_4_8_with_ESE_Services" localSheetId="68">'4012'!$B$13</definedName>
    <definedName name="_112_Basic_4_8_with_ESE_Services" localSheetId="69">'4013'!$B$13</definedName>
    <definedName name="_112_Basic_4_8_with_ESE_Services" localSheetId="70">'4020'!$B$13</definedName>
    <definedName name="_112_Basic_4_8_with_ESE_Services" localSheetId="72">'4020 June Final'!$B$13</definedName>
    <definedName name="_112_Basic_4_8_with_ESE_Services" localSheetId="71">'4020 June Tch Alloc.'!$B$13</definedName>
    <definedName name="_112_Basic_4_8_with_ESE_Services" localSheetId="73">'4037'!$B$13</definedName>
    <definedName name="_112_Basic_4_8_with_ESE_Services" localSheetId="74">'4037 June Final'!$B$13</definedName>
    <definedName name="_112_Basic_4_8_with_ESE_Services" localSheetId="75">#REF!</definedName>
    <definedName name="_112_Basic_4_8_with_ESE_Services" localSheetId="76">'4041'!$B$13</definedName>
    <definedName name="_112_Basic_4_8_with_ESE_Services" localSheetId="1">#REF!</definedName>
    <definedName name="_112_Basic_4_8_with_ESE_Services" localSheetId="0">#REF!</definedName>
    <definedName name="_112_Basic_4_8_with_ESE_Services">#REF!</definedName>
    <definedName name="_113_Basic_9_12_with_ESE_Services" localSheetId="3">'0054'!$B$15</definedName>
    <definedName name="_113_Basic_9_12_with_ESE_Services" localSheetId="4">'0054 June Final'!$B$15</definedName>
    <definedName name="_113_Basic_9_12_with_ESE_Services" localSheetId="5">'0642'!$B$15</definedName>
    <definedName name="_113_Basic_9_12_with_ESE_Services" localSheetId="6">'0642 June Final'!$B$15</definedName>
    <definedName name="_113_Basic_9_12_with_ESE_Services" localSheetId="7">'0664'!$B$15</definedName>
    <definedName name="_113_Basic_9_12_with_ESE_Services" localSheetId="8">'0664 June Final'!$B$15</definedName>
    <definedName name="_113_Basic_9_12_with_ESE_Services" localSheetId="9">'1461'!$B$15</definedName>
    <definedName name="_113_Basic_9_12_with_ESE_Services" localSheetId="10">'1571'!$B$15</definedName>
    <definedName name="_113_Basic_9_12_with_ESE_Services" localSheetId="11">'2521'!$B$15</definedName>
    <definedName name="_113_Basic_9_12_with_ESE_Services" localSheetId="12">'2531'!$B$15</definedName>
    <definedName name="_113_Basic_9_12_with_ESE_Services" localSheetId="13">'2531 June final'!$B$15</definedName>
    <definedName name="_113_Basic_9_12_with_ESE_Services" localSheetId="14">'2641'!$B$15</definedName>
    <definedName name="_113_Basic_9_12_with_ESE_Services" localSheetId="15">'2641 June Final'!$B$15</definedName>
    <definedName name="_113_Basic_9_12_with_ESE_Services" localSheetId="16">'2661'!$B$15</definedName>
    <definedName name="_113_Basic_9_12_with_ESE_Services" localSheetId="17">'2661 June Final'!$B$15</definedName>
    <definedName name="_113_Basic_9_12_with_ESE_Services" localSheetId="18">'2791'!$B$15</definedName>
    <definedName name="_113_Basic_9_12_with_ESE_Services" localSheetId="19">'2791 June final'!$B$15</definedName>
    <definedName name="_113_Basic_9_12_with_ESE_Services" localSheetId="20">'2801'!$B$15</definedName>
    <definedName name="_113_Basic_9_12_with_ESE_Services" localSheetId="21">'2801 June Final'!$B$15</definedName>
    <definedName name="_113_Basic_9_12_with_ESE_Services" localSheetId="22">'2911'!$B$15</definedName>
    <definedName name="_113_Basic_9_12_with_ESE_Services" localSheetId="23">'2911 June final'!$B$15</definedName>
    <definedName name="_113_Basic_9_12_with_ESE_Services" localSheetId="24">'2941'!$B$15</definedName>
    <definedName name="_113_Basic_9_12_with_ESE_Services" localSheetId="25">'2941 June final'!$B$15</definedName>
    <definedName name="_113_Basic_9_12_with_ESE_Services" localSheetId="26">'3083'!$B$15</definedName>
    <definedName name="_113_Basic_9_12_with_ESE_Services" localSheetId="27">'3344'!$B$15</definedName>
    <definedName name="_113_Basic_9_12_with_ESE_Services" localSheetId="28">'3345'!$B$15</definedName>
    <definedName name="_113_Basic_9_12_with_ESE_Services" localSheetId="29">'3347'!$B$15</definedName>
    <definedName name="_113_Basic_9_12_with_ESE_Services" localSheetId="30">'3381'!$B$15</definedName>
    <definedName name="_113_Basic_9_12_with_ESE_Services" localSheetId="31">'3381 June Final'!$B$15</definedName>
    <definedName name="_113_Basic_9_12_with_ESE_Services" localSheetId="32">'3382'!$B$15</definedName>
    <definedName name="_113_Basic_9_12_with_ESE_Services" localSheetId="33">'3382 June Final'!$B$15</definedName>
    <definedName name="_113_Basic_9_12_with_ESE_Services" localSheetId="34">'3384'!$B$15</definedName>
    <definedName name="_113_Basic_9_12_with_ESE_Services" localSheetId="35">'3384 June Final'!$B$15</definedName>
    <definedName name="_113_Basic_9_12_with_ESE_Services" localSheetId="36">'3385'!$B$15</definedName>
    <definedName name="_113_Basic_9_12_with_ESE_Services" localSheetId="37">'3385 June Final'!$B$15</definedName>
    <definedName name="_113_Basic_9_12_with_ESE_Services" localSheetId="38">'3386'!$B$15</definedName>
    <definedName name="_113_Basic_9_12_with_ESE_Services" localSheetId="39">'3391'!$B$15</definedName>
    <definedName name="_113_Basic_9_12_with_ESE_Services" localSheetId="40">'3392'!$B$15</definedName>
    <definedName name="_113_Basic_9_12_with_ESE_Services" localSheetId="41">'3392 June Final'!$B$15</definedName>
    <definedName name="_113_Basic_9_12_with_ESE_Services" localSheetId="42">'3394'!$B$15</definedName>
    <definedName name="_113_Basic_9_12_with_ESE_Services" localSheetId="43">'3394 June Final'!$B$15</definedName>
    <definedName name="_113_Basic_9_12_with_ESE_Services" localSheetId="44">'3395'!$B$15</definedName>
    <definedName name="_113_Basic_9_12_with_ESE_Services" localSheetId="45">'3395 June Final'!$B$15</definedName>
    <definedName name="_113_Basic_9_12_with_ESE_Services" localSheetId="46">'3396'!$B$15</definedName>
    <definedName name="_113_Basic_9_12_with_ESE_Services" localSheetId="47">'3398'!$B$15</definedName>
    <definedName name="_113_Basic_9_12_with_ESE_Services" localSheetId="48">'3400'!$B$15</definedName>
    <definedName name="_113_Basic_9_12_with_ESE_Services" localSheetId="49">'3401'!$B$15</definedName>
    <definedName name="_113_Basic_9_12_with_ESE_Services" localSheetId="50">'3411'!$B$15</definedName>
    <definedName name="_113_Basic_9_12_with_ESE_Services" localSheetId="51">'3413'!$B$15</definedName>
    <definedName name="_113_Basic_9_12_with_ESE_Services" localSheetId="52">'3413 June Final'!$B$15</definedName>
    <definedName name="_113_Basic_9_12_with_ESE_Services" localSheetId="53">'3421'!$B$15</definedName>
    <definedName name="_113_Basic_9_12_with_ESE_Services" localSheetId="54">'3431'!$B$15</definedName>
    <definedName name="_113_Basic_9_12_with_ESE_Services" localSheetId="55">'3431 June Final'!$B$15</definedName>
    <definedName name="_113_Basic_9_12_with_ESE_Services" localSheetId="56">'3441'!$B$15</definedName>
    <definedName name="_113_Basic_9_12_with_ESE_Services" localSheetId="57">'3443'!$B$15</definedName>
    <definedName name="_113_Basic_9_12_with_ESE_Services" localSheetId="58">'3941'!$B$15</definedName>
    <definedName name="_113_Basic_9_12_with_ESE_Services" localSheetId="59">'3941 June Final'!$B$15</definedName>
    <definedName name="_113_Basic_9_12_with_ESE_Services" localSheetId="60">'3961'!$B$15</definedName>
    <definedName name="_113_Basic_9_12_with_ESE_Services" localSheetId="61">'3961 June Final'!$B$15</definedName>
    <definedName name="_113_Basic_9_12_with_ESE_Services" localSheetId="62">'3971'!$B$15</definedName>
    <definedName name="_113_Basic_9_12_with_ESE_Services" localSheetId="63">'4000'!$B$15</definedName>
    <definedName name="_113_Basic_9_12_with_ESE_Services" localSheetId="64">'4000 June Final'!$B$15</definedName>
    <definedName name="_113_Basic_9_12_with_ESE_Services" localSheetId="65">'4002'!$B$15</definedName>
    <definedName name="_113_Basic_9_12_with_ESE_Services" localSheetId="66">'4002 June Final'!$B$15</definedName>
    <definedName name="_113_Basic_9_12_with_ESE_Services" localSheetId="67">'4010'!$B$15</definedName>
    <definedName name="_113_Basic_9_12_with_ESE_Services" localSheetId="68">'4012'!$B$15</definedName>
    <definedName name="_113_Basic_9_12_with_ESE_Services" localSheetId="69">'4013'!$B$15</definedName>
    <definedName name="_113_Basic_9_12_with_ESE_Services" localSheetId="70">'4020'!$B$15</definedName>
    <definedName name="_113_Basic_9_12_with_ESE_Services" localSheetId="72">'4020 June Final'!$B$15</definedName>
    <definedName name="_113_Basic_9_12_with_ESE_Services" localSheetId="71">'4020 June Tch Alloc.'!$B$15</definedName>
    <definedName name="_113_Basic_9_12_with_ESE_Services" localSheetId="73">'4037'!$B$15</definedName>
    <definedName name="_113_Basic_9_12_with_ESE_Services" localSheetId="74">'4037 June Final'!$B$15</definedName>
    <definedName name="_113_Basic_9_12_with_ESE_Services" localSheetId="75">#REF!</definedName>
    <definedName name="_113_Basic_9_12_with_ESE_Services" localSheetId="76">'4041'!$B$15</definedName>
    <definedName name="_113_Basic_9_12_with_ESE_Services" localSheetId="1">#REF!</definedName>
    <definedName name="_113_Basic_9_12_with_ESE_Services" localSheetId="0">#REF!</definedName>
    <definedName name="_113_Basic_9_12_with_ESE_Services">#REF!</definedName>
    <definedName name="_130_ESOL__Grade_Level_4_8" localSheetId="3">'0054'!$B$23</definedName>
    <definedName name="_130_ESOL__Grade_Level_4_8" localSheetId="4">'0054 June Final'!$B$23</definedName>
    <definedName name="_130_ESOL__Grade_Level_4_8" localSheetId="5">'0642'!$B$23</definedName>
    <definedName name="_130_ESOL__Grade_Level_4_8" localSheetId="6">'0642 June Final'!$B$23</definedName>
    <definedName name="_130_ESOL__Grade_Level_4_8" localSheetId="7">'0664'!$B$23</definedName>
    <definedName name="_130_ESOL__Grade_Level_4_8" localSheetId="8">'0664 June Final'!$B$23</definedName>
    <definedName name="_130_ESOL__Grade_Level_4_8" localSheetId="9">'1461'!$B$23</definedName>
    <definedName name="_130_ESOL__Grade_Level_4_8" localSheetId="10">'1571'!$B$23</definedName>
    <definedName name="_130_ESOL__Grade_Level_4_8" localSheetId="11">'2521'!$B$23</definedName>
    <definedName name="_130_ESOL__Grade_Level_4_8" localSheetId="12">'2531'!$B$23</definedName>
    <definedName name="_130_ESOL__Grade_Level_4_8" localSheetId="13">'2531 June final'!$B$23</definedName>
    <definedName name="_130_ESOL__Grade_Level_4_8" localSheetId="14">'2641'!$B$23</definedName>
    <definedName name="_130_ESOL__Grade_Level_4_8" localSheetId="15">'2641 June Final'!$B$23</definedName>
    <definedName name="_130_ESOL__Grade_Level_4_8" localSheetId="16">'2661'!$B$23</definedName>
    <definedName name="_130_ESOL__Grade_Level_4_8" localSheetId="17">'2661 June Final'!$B$23</definedName>
    <definedName name="_130_ESOL__Grade_Level_4_8" localSheetId="18">'2791'!$B$23</definedName>
    <definedName name="_130_ESOL__Grade_Level_4_8" localSheetId="19">'2791 June final'!$B$23</definedName>
    <definedName name="_130_ESOL__Grade_Level_4_8" localSheetId="20">'2801'!$B$23</definedName>
    <definedName name="_130_ESOL__Grade_Level_4_8" localSheetId="21">'2801 June Final'!$B$23</definedName>
    <definedName name="_130_ESOL__Grade_Level_4_8" localSheetId="22">'2911'!$B$23</definedName>
    <definedName name="_130_ESOL__Grade_Level_4_8" localSheetId="23">'2911 June final'!$B$23</definedName>
    <definedName name="_130_ESOL__Grade_Level_4_8" localSheetId="24">'2941'!$B$23</definedName>
    <definedName name="_130_ESOL__Grade_Level_4_8" localSheetId="25">'2941 June final'!$B$23</definedName>
    <definedName name="_130_ESOL__Grade_Level_4_8" localSheetId="26">'3083'!$B$23</definedName>
    <definedName name="_130_ESOL__Grade_Level_4_8" localSheetId="27">'3344'!$B$23</definedName>
    <definedName name="_130_ESOL__Grade_Level_4_8" localSheetId="28">'3345'!$B$23</definedName>
    <definedName name="_130_ESOL__Grade_Level_4_8" localSheetId="29">'3347'!$B$23</definedName>
    <definedName name="_130_ESOL__Grade_Level_4_8" localSheetId="30">'3381'!$B$23</definedName>
    <definedName name="_130_ESOL__Grade_Level_4_8" localSheetId="31">'3381 June Final'!$B$23</definedName>
    <definedName name="_130_ESOL__Grade_Level_4_8" localSheetId="32">'3382'!$B$23</definedName>
    <definedName name="_130_ESOL__Grade_Level_4_8" localSheetId="33">'3382 June Final'!$B$23</definedName>
    <definedName name="_130_ESOL__Grade_Level_4_8" localSheetId="34">'3384'!$B$23</definedName>
    <definedName name="_130_ESOL__Grade_Level_4_8" localSheetId="35">'3384 June Final'!$B$23</definedName>
    <definedName name="_130_ESOL__Grade_Level_4_8" localSheetId="36">'3385'!$B$23</definedName>
    <definedName name="_130_ESOL__Grade_Level_4_8" localSheetId="37">'3385 June Final'!$B$23</definedName>
    <definedName name="_130_ESOL__Grade_Level_4_8" localSheetId="38">'3386'!$B$23</definedName>
    <definedName name="_130_ESOL__Grade_Level_4_8" localSheetId="39">'3391'!$B$23</definedName>
    <definedName name="_130_ESOL__Grade_Level_4_8" localSheetId="40">'3392'!$B$23</definedName>
    <definedName name="_130_ESOL__Grade_Level_4_8" localSheetId="41">'3392 June Final'!$B$23</definedName>
    <definedName name="_130_ESOL__Grade_Level_4_8" localSheetId="42">'3394'!$B$23</definedName>
    <definedName name="_130_ESOL__Grade_Level_4_8" localSheetId="43">'3394 June Final'!$B$23</definedName>
    <definedName name="_130_ESOL__Grade_Level_4_8" localSheetId="44">'3395'!$B$23</definedName>
    <definedName name="_130_ESOL__Grade_Level_4_8" localSheetId="45">'3395 June Final'!$B$23</definedName>
    <definedName name="_130_ESOL__Grade_Level_4_8" localSheetId="46">'3396'!$B$23</definedName>
    <definedName name="_130_ESOL__Grade_Level_4_8" localSheetId="47">'3398'!$B$23</definedName>
    <definedName name="_130_ESOL__Grade_Level_4_8" localSheetId="48">'3400'!$B$23</definedName>
    <definedName name="_130_ESOL__Grade_Level_4_8" localSheetId="49">'3401'!$B$23</definedName>
    <definedName name="_130_ESOL__Grade_Level_4_8" localSheetId="50">'3411'!$B$23</definedName>
    <definedName name="_130_ESOL__Grade_Level_4_8" localSheetId="51">'3413'!$B$23</definedName>
    <definedName name="_130_ESOL__Grade_Level_4_8" localSheetId="52">'3413 June Final'!$B$23</definedName>
    <definedName name="_130_ESOL__Grade_Level_4_8" localSheetId="53">'3421'!$B$23</definedName>
    <definedName name="_130_ESOL__Grade_Level_4_8" localSheetId="54">'3431'!$B$23</definedName>
    <definedName name="_130_ESOL__Grade_Level_4_8" localSheetId="55">'3431 June Final'!$B$23</definedName>
    <definedName name="_130_ESOL__Grade_Level_4_8" localSheetId="56">'3441'!$B$23</definedName>
    <definedName name="_130_ESOL__Grade_Level_4_8" localSheetId="57">'3443'!$B$23</definedName>
    <definedName name="_130_ESOL__Grade_Level_4_8" localSheetId="58">'3941'!$B$23</definedName>
    <definedName name="_130_ESOL__Grade_Level_4_8" localSheetId="59">'3941 June Final'!$B$23</definedName>
    <definedName name="_130_ESOL__Grade_Level_4_8" localSheetId="60">'3961'!$B$23</definedName>
    <definedName name="_130_ESOL__Grade_Level_4_8" localSheetId="61">'3961 June Final'!$B$23</definedName>
    <definedName name="_130_ESOL__Grade_Level_4_8" localSheetId="62">'3971'!$B$23</definedName>
    <definedName name="_130_ESOL__Grade_Level_4_8" localSheetId="63">'4000'!$B$23</definedName>
    <definedName name="_130_ESOL__Grade_Level_4_8" localSheetId="64">'4000 June Final'!$B$23</definedName>
    <definedName name="_130_ESOL__Grade_Level_4_8" localSheetId="65">'4002'!$B$23</definedName>
    <definedName name="_130_ESOL__Grade_Level_4_8" localSheetId="66">'4002 June Final'!$B$23</definedName>
    <definedName name="_130_ESOL__Grade_Level_4_8" localSheetId="67">'4010'!$B$23</definedName>
    <definedName name="_130_ESOL__Grade_Level_4_8" localSheetId="68">'4012'!$B$23</definedName>
    <definedName name="_130_ESOL__Grade_Level_4_8" localSheetId="69">'4013'!$B$23</definedName>
    <definedName name="_130_ESOL__Grade_Level_4_8" localSheetId="70">'4020'!$B$23</definedName>
    <definedName name="_130_ESOL__Grade_Level_4_8" localSheetId="72">'4020 June Final'!$B$23</definedName>
    <definedName name="_130_ESOL__Grade_Level_4_8" localSheetId="71">'4020 June Tch Alloc.'!$B$23</definedName>
    <definedName name="_130_ESOL__Grade_Level_4_8" localSheetId="73">'4037'!$B$23</definedName>
    <definedName name="_130_ESOL__Grade_Level_4_8" localSheetId="74">'4037 June Final'!$B$23</definedName>
    <definedName name="_130_ESOL__Grade_Level_4_8" localSheetId="75">#REF!</definedName>
    <definedName name="_130_ESOL__Grade_Level_4_8" localSheetId="76">'4041'!$B$23</definedName>
    <definedName name="_130_ESOL__Grade_Level_4_8" localSheetId="1">#REF!</definedName>
    <definedName name="_130_ESOL__Grade_Level_4_8" localSheetId="0">#REF!</definedName>
    <definedName name="_130_ESOL__Grade_Level_4_8">#REF!</definedName>
    <definedName name="_130_ESOL__Grade_Level_9_12" localSheetId="3">'0054'!$B$24</definedName>
    <definedName name="_130_ESOL__Grade_Level_9_12" localSheetId="4">'0054 June Final'!$B$24</definedName>
    <definedName name="_130_ESOL__Grade_Level_9_12" localSheetId="5">'0642'!$B$24</definedName>
    <definedName name="_130_ESOL__Grade_Level_9_12" localSheetId="6">'0642 June Final'!$B$24</definedName>
    <definedName name="_130_ESOL__Grade_Level_9_12" localSheetId="7">'0664'!$B$24</definedName>
    <definedName name="_130_ESOL__Grade_Level_9_12" localSheetId="8">'0664 June Final'!$B$24</definedName>
    <definedName name="_130_ESOL__Grade_Level_9_12" localSheetId="9">'1461'!$B$24</definedName>
    <definedName name="_130_ESOL__Grade_Level_9_12" localSheetId="10">'1571'!$B$24</definedName>
    <definedName name="_130_ESOL__Grade_Level_9_12" localSheetId="11">'2521'!$B$24</definedName>
    <definedName name="_130_ESOL__Grade_Level_9_12" localSheetId="12">'2531'!$B$24</definedName>
    <definedName name="_130_ESOL__Grade_Level_9_12" localSheetId="13">'2531 June final'!$B$24</definedName>
    <definedName name="_130_ESOL__Grade_Level_9_12" localSheetId="14">'2641'!$B$24</definedName>
    <definedName name="_130_ESOL__Grade_Level_9_12" localSheetId="15">'2641 June Final'!$B$24</definedName>
    <definedName name="_130_ESOL__Grade_Level_9_12" localSheetId="16">'2661'!$B$24</definedName>
    <definedName name="_130_ESOL__Grade_Level_9_12" localSheetId="17">'2661 June Final'!$B$24</definedName>
    <definedName name="_130_ESOL__Grade_Level_9_12" localSheetId="18">'2791'!$B$24</definedName>
    <definedName name="_130_ESOL__Grade_Level_9_12" localSheetId="19">'2791 June final'!$B$24</definedName>
    <definedName name="_130_ESOL__Grade_Level_9_12" localSheetId="20">'2801'!$B$24</definedName>
    <definedName name="_130_ESOL__Grade_Level_9_12" localSheetId="21">'2801 June Final'!$B$24</definedName>
    <definedName name="_130_ESOL__Grade_Level_9_12" localSheetId="22">'2911'!$B$24</definedName>
    <definedName name="_130_ESOL__Grade_Level_9_12" localSheetId="23">'2911 June final'!$B$24</definedName>
    <definedName name="_130_ESOL__Grade_Level_9_12" localSheetId="24">'2941'!$B$24</definedName>
    <definedName name="_130_ESOL__Grade_Level_9_12" localSheetId="25">'2941 June final'!$B$24</definedName>
    <definedName name="_130_ESOL__Grade_Level_9_12" localSheetId="26">'3083'!$B$24</definedName>
    <definedName name="_130_ESOL__Grade_Level_9_12" localSheetId="27">'3344'!$B$24</definedName>
    <definedName name="_130_ESOL__Grade_Level_9_12" localSheetId="28">'3345'!$B$24</definedName>
    <definedName name="_130_ESOL__Grade_Level_9_12" localSheetId="29">'3347'!$B$24</definedName>
    <definedName name="_130_ESOL__Grade_Level_9_12" localSheetId="30">'3381'!$B$24</definedName>
    <definedName name="_130_ESOL__Grade_Level_9_12" localSheetId="31">'3381 June Final'!$B$24</definedName>
    <definedName name="_130_ESOL__Grade_Level_9_12" localSheetId="32">'3382'!$B$24</definedName>
    <definedName name="_130_ESOL__Grade_Level_9_12" localSheetId="33">'3382 June Final'!$B$24</definedName>
    <definedName name="_130_ESOL__Grade_Level_9_12" localSheetId="34">'3384'!$B$24</definedName>
    <definedName name="_130_ESOL__Grade_Level_9_12" localSheetId="35">'3384 June Final'!$B$24</definedName>
    <definedName name="_130_ESOL__Grade_Level_9_12" localSheetId="36">'3385'!$B$24</definedName>
    <definedName name="_130_ESOL__Grade_Level_9_12" localSheetId="37">'3385 June Final'!$B$24</definedName>
    <definedName name="_130_ESOL__Grade_Level_9_12" localSheetId="38">'3386'!$B$24</definedName>
    <definedName name="_130_ESOL__Grade_Level_9_12" localSheetId="39">'3391'!$B$24</definedName>
    <definedName name="_130_ESOL__Grade_Level_9_12" localSheetId="40">'3392'!$B$24</definedName>
    <definedName name="_130_ESOL__Grade_Level_9_12" localSheetId="41">'3392 June Final'!$B$24</definedName>
    <definedName name="_130_ESOL__Grade_Level_9_12" localSheetId="42">'3394'!$B$24</definedName>
    <definedName name="_130_ESOL__Grade_Level_9_12" localSheetId="43">'3394 June Final'!$B$24</definedName>
    <definedName name="_130_ESOL__Grade_Level_9_12" localSheetId="44">'3395'!$B$24</definedName>
    <definedName name="_130_ESOL__Grade_Level_9_12" localSheetId="45">'3395 June Final'!$B$24</definedName>
    <definedName name="_130_ESOL__Grade_Level_9_12" localSheetId="46">'3396'!$B$24</definedName>
    <definedName name="_130_ESOL__Grade_Level_9_12" localSheetId="47">'3398'!$B$24</definedName>
    <definedName name="_130_ESOL__Grade_Level_9_12" localSheetId="48">'3400'!$B$24</definedName>
    <definedName name="_130_ESOL__Grade_Level_9_12" localSheetId="49">'3401'!$B$24</definedName>
    <definedName name="_130_ESOL__Grade_Level_9_12" localSheetId="50">'3411'!$B$24</definedName>
    <definedName name="_130_ESOL__Grade_Level_9_12" localSheetId="51">'3413'!$B$24</definedName>
    <definedName name="_130_ESOL__Grade_Level_9_12" localSheetId="52">'3413 June Final'!$B$24</definedName>
    <definedName name="_130_ESOL__Grade_Level_9_12" localSheetId="53">'3421'!$B$24</definedName>
    <definedName name="_130_ESOL__Grade_Level_9_12" localSheetId="54">'3431'!$B$24</definedName>
    <definedName name="_130_ESOL__Grade_Level_9_12" localSheetId="55">'3431 June Final'!$B$24</definedName>
    <definedName name="_130_ESOL__Grade_Level_9_12" localSheetId="56">'3441'!$B$24</definedName>
    <definedName name="_130_ESOL__Grade_Level_9_12" localSheetId="57">'3443'!$B$24</definedName>
    <definedName name="_130_ESOL__Grade_Level_9_12" localSheetId="58">'3941'!$B$24</definedName>
    <definedName name="_130_ESOL__Grade_Level_9_12" localSheetId="59">'3941 June Final'!$B$24</definedName>
    <definedName name="_130_ESOL__Grade_Level_9_12" localSheetId="60">'3961'!$B$24</definedName>
    <definedName name="_130_ESOL__Grade_Level_9_12" localSheetId="61">'3961 June Final'!$B$24</definedName>
    <definedName name="_130_ESOL__Grade_Level_9_12" localSheetId="62">'3971'!$B$24</definedName>
    <definedName name="_130_ESOL__Grade_Level_9_12" localSheetId="63">'4000'!$B$24</definedName>
    <definedName name="_130_ESOL__Grade_Level_9_12" localSheetId="64">'4000 June Final'!$B$24</definedName>
    <definedName name="_130_ESOL__Grade_Level_9_12" localSheetId="65">'4002'!$B$24</definedName>
    <definedName name="_130_ESOL__Grade_Level_9_12" localSheetId="66">'4002 June Final'!$B$24</definedName>
    <definedName name="_130_ESOL__Grade_Level_9_12" localSheetId="67">'4010'!$B$24</definedName>
    <definedName name="_130_ESOL__Grade_Level_9_12" localSheetId="68">'4012'!$B$24</definedName>
    <definedName name="_130_ESOL__Grade_Level_9_12" localSheetId="69">'4013'!$B$24</definedName>
    <definedName name="_130_ESOL__Grade_Level_9_12" localSheetId="70">'4020'!$B$24</definedName>
    <definedName name="_130_ESOL__Grade_Level_9_12" localSheetId="72">'4020 June Final'!$B$24</definedName>
    <definedName name="_130_ESOL__Grade_Level_9_12" localSheetId="71">'4020 June Tch Alloc.'!$B$24</definedName>
    <definedName name="_130_ESOL__Grade_Level_9_12" localSheetId="73">'4037'!$B$24</definedName>
    <definedName name="_130_ESOL__Grade_Level_9_12" localSheetId="74">'4037 June Final'!$B$24</definedName>
    <definedName name="_130_ESOL__Grade_Level_9_12" localSheetId="75">#REF!</definedName>
    <definedName name="_130_ESOL__Grade_Level_9_12" localSheetId="76">'4041'!$B$24</definedName>
    <definedName name="_130_ESOL__Grade_Level_9_12" localSheetId="1">#REF!</definedName>
    <definedName name="_130_ESOL__Grade_Level_9_12" localSheetId="0">#REF!</definedName>
    <definedName name="_130_ESOL__Grade_Level_9_12">#REF!</definedName>
    <definedName name="_130_ESOL__Grade_Level_PK_3" localSheetId="3">'0054'!$B$22</definedName>
    <definedName name="_130_ESOL__Grade_Level_PK_3" localSheetId="4">'0054 June Final'!$B$22</definedName>
    <definedName name="_130_ESOL__Grade_Level_PK_3" localSheetId="5">'0642'!$B$22</definedName>
    <definedName name="_130_ESOL__Grade_Level_PK_3" localSheetId="6">'0642 June Final'!$B$22</definedName>
    <definedName name="_130_ESOL__Grade_Level_PK_3" localSheetId="7">'0664'!$B$22</definedName>
    <definedName name="_130_ESOL__Grade_Level_PK_3" localSheetId="8">'0664 June Final'!$B$22</definedName>
    <definedName name="_130_ESOL__Grade_Level_PK_3" localSheetId="9">'1461'!$B$22</definedName>
    <definedName name="_130_ESOL__Grade_Level_PK_3" localSheetId="10">'1571'!$B$22</definedName>
    <definedName name="_130_ESOL__Grade_Level_PK_3" localSheetId="11">'2521'!$B$22</definedName>
    <definedName name="_130_ESOL__Grade_Level_PK_3" localSheetId="12">'2531'!$B$22</definedName>
    <definedName name="_130_ESOL__Grade_Level_PK_3" localSheetId="13">'2531 June final'!$B$22</definedName>
    <definedName name="_130_ESOL__Grade_Level_PK_3" localSheetId="14">'2641'!$B$22</definedName>
    <definedName name="_130_ESOL__Grade_Level_PK_3" localSheetId="15">'2641 June Final'!$B$22</definedName>
    <definedName name="_130_ESOL__Grade_Level_PK_3" localSheetId="16">'2661'!$B$22</definedName>
    <definedName name="_130_ESOL__Grade_Level_PK_3" localSheetId="17">'2661 June Final'!$B$22</definedName>
    <definedName name="_130_ESOL__Grade_Level_PK_3" localSheetId="18">'2791'!$B$22</definedName>
    <definedName name="_130_ESOL__Grade_Level_PK_3" localSheetId="19">'2791 June final'!$B$22</definedName>
    <definedName name="_130_ESOL__Grade_Level_PK_3" localSheetId="20">'2801'!$B$22</definedName>
    <definedName name="_130_ESOL__Grade_Level_PK_3" localSheetId="21">'2801 June Final'!$B$22</definedName>
    <definedName name="_130_ESOL__Grade_Level_PK_3" localSheetId="22">'2911'!$B$22</definedName>
    <definedName name="_130_ESOL__Grade_Level_PK_3" localSheetId="23">'2911 June final'!$B$22</definedName>
    <definedName name="_130_ESOL__Grade_Level_PK_3" localSheetId="24">'2941'!$B$22</definedName>
    <definedName name="_130_ESOL__Grade_Level_PK_3" localSheetId="25">'2941 June final'!$B$22</definedName>
    <definedName name="_130_ESOL__Grade_Level_PK_3" localSheetId="26">'3083'!$B$22</definedName>
    <definedName name="_130_ESOL__Grade_Level_PK_3" localSheetId="27">'3344'!$B$22</definedName>
    <definedName name="_130_ESOL__Grade_Level_PK_3" localSheetId="28">'3345'!$B$22</definedName>
    <definedName name="_130_ESOL__Grade_Level_PK_3" localSheetId="29">'3347'!$B$22</definedName>
    <definedName name="_130_ESOL__Grade_Level_PK_3" localSheetId="30">'3381'!$B$22</definedName>
    <definedName name="_130_ESOL__Grade_Level_PK_3" localSheetId="31">'3381 June Final'!$B$22</definedName>
    <definedName name="_130_ESOL__Grade_Level_PK_3" localSheetId="32">'3382'!$B$22</definedName>
    <definedName name="_130_ESOL__Grade_Level_PK_3" localSheetId="33">'3382 June Final'!$B$22</definedName>
    <definedName name="_130_ESOL__Grade_Level_PK_3" localSheetId="34">'3384'!$B$22</definedName>
    <definedName name="_130_ESOL__Grade_Level_PK_3" localSheetId="35">'3384 June Final'!$B$22</definedName>
    <definedName name="_130_ESOL__Grade_Level_PK_3" localSheetId="36">'3385'!$B$22</definedName>
    <definedName name="_130_ESOL__Grade_Level_PK_3" localSheetId="37">'3385 June Final'!$B$22</definedName>
    <definedName name="_130_ESOL__Grade_Level_PK_3" localSheetId="38">'3386'!$B$22</definedName>
    <definedName name="_130_ESOL__Grade_Level_PK_3" localSheetId="39">'3391'!$B$22</definedName>
    <definedName name="_130_ESOL__Grade_Level_PK_3" localSheetId="40">'3392'!$B$22</definedName>
    <definedName name="_130_ESOL__Grade_Level_PK_3" localSheetId="41">'3392 June Final'!$B$22</definedName>
    <definedName name="_130_ESOL__Grade_Level_PK_3" localSheetId="42">'3394'!$B$22</definedName>
    <definedName name="_130_ESOL__Grade_Level_PK_3" localSheetId="43">'3394 June Final'!$B$22</definedName>
    <definedName name="_130_ESOL__Grade_Level_PK_3" localSheetId="44">'3395'!$B$22</definedName>
    <definedName name="_130_ESOL__Grade_Level_PK_3" localSheetId="45">'3395 June Final'!$B$22</definedName>
    <definedName name="_130_ESOL__Grade_Level_PK_3" localSheetId="46">'3396'!$B$22</definedName>
    <definedName name="_130_ESOL__Grade_Level_PK_3" localSheetId="47">'3398'!$B$22</definedName>
    <definedName name="_130_ESOL__Grade_Level_PK_3" localSheetId="48">'3400'!$B$22</definedName>
    <definedName name="_130_ESOL__Grade_Level_PK_3" localSheetId="49">'3401'!$B$22</definedName>
    <definedName name="_130_ESOL__Grade_Level_PK_3" localSheetId="50">'3411'!$B$22</definedName>
    <definedName name="_130_ESOL__Grade_Level_PK_3" localSheetId="51">'3413'!$B$22</definedName>
    <definedName name="_130_ESOL__Grade_Level_PK_3" localSheetId="52">'3413 June Final'!$B$22</definedName>
    <definedName name="_130_ESOL__Grade_Level_PK_3" localSheetId="53">'3421'!$B$22</definedName>
    <definedName name="_130_ESOL__Grade_Level_PK_3" localSheetId="54">'3431'!$B$22</definedName>
    <definedName name="_130_ESOL__Grade_Level_PK_3" localSheetId="55">'3431 June Final'!$B$22</definedName>
    <definedName name="_130_ESOL__Grade_Level_PK_3" localSheetId="56">'3441'!$B$22</definedName>
    <definedName name="_130_ESOL__Grade_Level_PK_3" localSheetId="57">'3443'!$B$22</definedName>
    <definedName name="_130_ESOL__Grade_Level_PK_3" localSheetId="58">'3941'!$B$22</definedName>
    <definedName name="_130_ESOL__Grade_Level_PK_3" localSheetId="59">'3941 June Final'!$B$22</definedName>
    <definedName name="_130_ESOL__Grade_Level_PK_3" localSheetId="60">'3961'!$B$22</definedName>
    <definedName name="_130_ESOL__Grade_Level_PK_3" localSheetId="61">'3961 June Final'!$B$22</definedName>
    <definedName name="_130_ESOL__Grade_Level_PK_3" localSheetId="62">'3971'!$B$22</definedName>
    <definedName name="_130_ESOL__Grade_Level_PK_3" localSheetId="63">'4000'!$B$22</definedName>
    <definedName name="_130_ESOL__Grade_Level_PK_3" localSheetId="64">'4000 June Final'!$B$22</definedName>
    <definedName name="_130_ESOL__Grade_Level_PK_3" localSheetId="65">'4002'!$B$22</definedName>
    <definedName name="_130_ESOL__Grade_Level_PK_3" localSheetId="66">'4002 June Final'!$B$22</definedName>
    <definedName name="_130_ESOL__Grade_Level_PK_3" localSheetId="67">'4010'!$B$22</definedName>
    <definedName name="_130_ESOL__Grade_Level_PK_3" localSheetId="68">'4012'!$B$22</definedName>
    <definedName name="_130_ESOL__Grade_Level_PK_3" localSheetId="69">'4013'!$B$22</definedName>
    <definedName name="_130_ESOL__Grade_Level_PK_3" localSheetId="70">'4020'!$B$22</definedName>
    <definedName name="_130_ESOL__Grade_Level_PK_3" localSheetId="72">'4020 June Final'!$B$22</definedName>
    <definedName name="_130_ESOL__Grade_Level_PK_3" localSheetId="71">'4020 June Tch Alloc.'!$B$22</definedName>
    <definedName name="_130_ESOL__Grade_Level_PK_3" localSheetId="73">'4037'!$B$22</definedName>
    <definedName name="_130_ESOL__Grade_Level_PK_3" localSheetId="74">'4037 June Final'!$B$22</definedName>
    <definedName name="_130_ESOL__Grade_Level_PK_3" localSheetId="75">#REF!</definedName>
    <definedName name="_130_ESOL__Grade_Level_PK_3" localSheetId="76">'4041'!$B$22</definedName>
    <definedName name="_130_ESOL__Grade_Level_PK_3" localSheetId="1">#REF!</definedName>
    <definedName name="_130_ESOL__Grade_Level_PK_3" localSheetId="0">#REF!</definedName>
    <definedName name="_130_ESOL__Grade_Level_PK_3">#REF!</definedName>
    <definedName name="_2.__ESE_Guaranteed_Allocation" localSheetId="3">'0054'!$B$27</definedName>
    <definedName name="_2.__ESE_Guaranteed_Allocation" localSheetId="4">'0054 June Final'!$B$27</definedName>
    <definedName name="_2.__ESE_Guaranteed_Allocation" localSheetId="5">'0642'!$B$27</definedName>
    <definedName name="_2.__ESE_Guaranteed_Allocation" localSheetId="6">'0642 June Final'!$B$27</definedName>
    <definedName name="_2.__ESE_Guaranteed_Allocation" localSheetId="7">'0664'!$B$27</definedName>
    <definedName name="_2.__ESE_Guaranteed_Allocation" localSheetId="8">'0664 June Final'!$B$27</definedName>
    <definedName name="_2.__ESE_Guaranteed_Allocation" localSheetId="9">'1461'!$B$27</definedName>
    <definedName name="_2.__ESE_Guaranteed_Allocation" localSheetId="10">'1571'!$B$27</definedName>
    <definedName name="_2.__ESE_Guaranteed_Allocation" localSheetId="11">'2521'!$B$27</definedName>
    <definedName name="_2.__ESE_Guaranteed_Allocation" localSheetId="12">'2531'!$B$27</definedName>
    <definedName name="_2.__ESE_Guaranteed_Allocation" localSheetId="13">'2531 June final'!$B$27</definedName>
    <definedName name="_2.__ESE_Guaranteed_Allocation" localSheetId="14">'2641'!$B$27</definedName>
    <definedName name="_2.__ESE_Guaranteed_Allocation" localSheetId="15">'2641 June Final'!$B$27</definedName>
    <definedName name="_2.__ESE_Guaranteed_Allocation" localSheetId="16">'2661'!$B$27</definedName>
    <definedName name="_2.__ESE_Guaranteed_Allocation" localSheetId="17">'2661 June Final'!$B$27</definedName>
    <definedName name="_2.__ESE_Guaranteed_Allocation" localSheetId="18">'2791'!$B$27</definedName>
    <definedName name="_2.__ESE_Guaranteed_Allocation" localSheetId="19">'2791 June final'!$B$27</definedName>
    <definedName name="_2.__ESE_Guaranteed_Allocation" localSheetId="20">'2801'!$B$27</definedName>
    <definedName name="_2.__ESE_Guaranteed_Allocation" localSheetId="21">'2801 June Final'!$B$27</definedName>
    <definedName name="_2.__ESE_Guaranteed_Allocation" localSheetId="22">'2911'!$B$27</definedName>
    <definedName name="_2.__ESE_Guaranteed_Allocation" localSheetId="23">'2911 June final'!$B$27</definedName>
    <definedName name="_2.__ESE_Guaranteed_Allocation" localSheetId="24">'2941'!$B$27</definedName>
    <definedName name="_2.__ESE_Guaranteed_Allocation" localSheetId="25">'2941 June final'!$B$27</definedName>
    <definedName name="_2.__ESE_Guaranteed_Allocation" localSheetId="26">'3083'!$B$27</definedName>
    <definedName name="_2.__ESE_Guaranteed_Allocation" localSheetId="27">'3344'!$B$27</definedName>
    <definedName name="_2.__ESE_Guaranteed_Allocation" localSheetId="28">'3345'!$B$27</definedName>
    <definedName name="_2.__ESE_Guaranteed_Allocation" localSheetId="29">'3347'!$B$27</definedName>
    <definedName name="_2.__ESE_Guaranteed_Allocation" localSheetId="30">'3381'!$B$27</definedName>
    <definedName name="_2.__ESE_Guaranteed_Allocation" localSheetId="31">'3381 June Final'!$B$27</definedName>
    <definedName name="_2.__ESE_Guaranteed_Allocation" localSheetId="32">'3382'!$B$27</definedName>
    <definedName name="_2.__ESE_Guaranteed_Allocation" localSheetId="33">'3382 June Final'!$B$27</definedName>
    <definedName name="_2.__ESE_Guaranteed_Allocation" localSheetId="34">'3384'!$B$27</definedName>
    <definedName name="_2.__ESE_Guaranteed_Allocation" localSheetId="35">'3384 June Final'!$B$27</definedName>
    <definedName name="_2.__ESE_Guaranteed_Allocation" localSheetId="36">'3385'!$B$27</definedName>
    <definedName name="_2.__ESE_Guaranteed_Allocation" localSheetId="37">'3385 June Final'!$B$27</definedName>
    <definedName name="_2.__ESE_Guaranteed_Allocation" localSheetId="38">'3386'!$B$27</definedName>
    <definedName name="_2.__ESE_Guaranteed_Allocation" localSheetId="39">'3391'!$B$27</definedName>
    <definedName name="_2.__ESE_Guaranteed_Allocation" localSheetId="40">'3392'!$B$27</definedName>
    <definedName name="_2.__ESE_Guaranteed_Allocation" localSheetId="41">'3392 June Final'!$B$27</definedName>
    <definedName name="_2.__ESE_Guaranteed_Allocation" localSheetId="42">'3394'!$B$27</definedName>
    <definedName name="_2.__ESE_Guaranteed_Allocation" localSheetId="43">'3394 June Final'!$B$27</definedName>
    <definedName name="_2.__ESE_Guaranteed_Allocation" localSheetId="44">'3395'!$B$27</definedName>
    <definedName name="_2.__ESE_Guaranteed_Allocation" localSheetId="45">'3395 June Final'!$B$27</definedName>
    <definedName name="_2.__ESE_Guaranteed_Allocation" localSheetId="46">'3396'!$B$27</definedName>
    <definedName name="_2.__ESE_Guaranteed_Allocation" localSheetId="47">'3398'!$B$27</definedName>
    <definedName name="_2.__ESE_Guaranteed_Allocation" localSheetId="48">'3400'!$B$27</definedName>
    <definedName name="_2.__ESE_Guaranteed_Allocation" localSheetId="49">'3401'!$B$27</definedName>
    <definedName name="_2.__ESE_Guaranteed_Allocation" localSheetId="50">'3411'!$B$27</definedName>
    <definedName name="_2.__ESE_Guaranteed_Allocation" localSheetId="51">'3413'!$B$27</definedName>
    <definedName name="_2.__ESE_Guaranteed_Allocation" localSheetId="52">'3413 June Final'!$B$27</definedName>
    <definedName name="_2.__ESE_Guaranteed_Allocation" localSheetId="53">'3421'!$B$27</definedName>
    <definedName name="_2.__ESE_Guaranteed_Allocation" localSheetId="54">'3431'!$B$27</definedName>
    <definedName name="_2.__ESE_Guaranteed_Allocation" localSheetId="55">'3431 June Final'!$B$27</definedName>
    <definedName name="_2.__ESE_Guaranteed_Allocation" localSheetId="56">'3441'!$B$27</definedName>
    <definedName name="_2.__ESE_Guaranteed_Allocation" localSheetId="57">'3443'!$B$27</definedName>
    <definedName name="_2.__ESE_Guaranteed_Allocation" localSheetId="58">'3941'!$B$27</definedName>
    <definedName name="_2.__ESE_Guaranteed_Allocation" localSheetId="59">'3941 June Final'!$B$27</definedName>
    <definedName name="_2.__ESE_Guaranteed_Allocation" localSheetId="60">'3961'!$B$27</definedName>
    <definedName name="_2.__ESE_Guaranteed_Allocation" localSheetId="61">'3961 June Final'!$B$27</definedName>
    <definedName name="_2.__ESE_Guaranteed_Allocation" localSheetId="62">'3971'!$B$27</definedName>
    <definedName name="_2.__ESE_Guaranteed_Allocation" localSheetId="63">'4000'!$B$27</definedName>
    <definedName name="_2.__ESE_Guaranteed_Allocation" localSheetId="64">'4000 June Final'!$B$27</definedName>
    <definedName name="_2.__ESE_Guaranteed_Allocation" localSheetId="65">'4002'!$B$27</definedName>
    <definedName name="_2.__ESE_Guaranteed_Allocation" localSheetId="66">'4002 June Final'!$B$27</definedName>
    <definedName name="_2.__ESE_Guaranteed_Allocation" localSheetId="67">'4010'!$B$27</definedName>
    <definedName name="_2.__ESE_Guaranteed_Allocation" localSheetId="68">'4012'!$B$27</definedName>
    <definedName name="_2.__ESE_Guaranteed_Allocation" localSheetId="69">'4013'!$B$27</definedName>
    <definedName name="_2.__ESE_Guaranteed_Allocation" localSheetId="70">'4020'!$B$27</definedName>
    <definedName name="_2.__ESE_Guaranteed_Allocation" localSheetId="72">'4020 June Final'!$B$27</definedName>
    <definedName name="_2.__ESE_Guaranteed_Allocation" localSheetId="71">'4020 June Tch Alloc.'!$B$27</definedName>
    <definedName name="_2.__ESE_Guaranteed_Allocation" localSheetId="73">'4037'!$B$27</definedName>
    <definedName name="_2.__ESE_Guaranteed_Allocation" localSheetId="74">'4037 June Final'!$B$27</definedName>
    <definedName name="_2.__ESE_Guaranteed_Allocation" localSheetId="75">#REF!</definedName>
    <definedName name="_2.__ESE_Guaranteed_Allocation" localSheetId="76">'4041'!$B$27</definedName>
    <definedName name="_2.__ESE_Guaranteed_Allocation" localSheetId="1">#REF!</definedName>
    <definedName name="_2.__ESE_Guaranteed_Allocation" localSheetId="0">#REF!</definedName>
    <definedName name="_2.__ESE_Guaranteed_Allocation">#REF!</definedName>
    <definedName name="_2010_11_Base_Funding_WFTE_x_BSA_x_DCD" localSheetId="3">'0054'!$L$8</definedName>
    <definedName name="_2010_11_Base_Funding_WFTE_x_BSA_x_DCD" localSheetId="4">'0054 June Final'!$L$8</definedName>
    <definedName name="_2010_11_Base_Funding_WFTE_x_BSA_x_DCD" localSheetId="5">'0642'!$L$8</definedName>
    <definedName name="_2010_11_Base_Funding_WFTE_x_BSA_x_DCD" localSheetId="6">'0642 June Final'!$L$8</definedName>
    <definedName name="_2010_11_Base_Funding_WFTE_x_BSA_x_DCD" localSheetId="7">'0664'!$L$8</definedName>
    <definedName name="_2010_11_Base_Funding_WFTE_x_BSA_x_DCD" localSheetId="8">'0664 June Final'!$L$8</definedName>
    <definedName name="_2010_11_Base_Funding_WFTE_x_BSA_x_DCD" localSheetId="9">'1461'!$L$8</definedName>
    <definedName name="_2010_11_Base_Funding_WFTE_x_BSA_x_DCD" localSheetId="10">'1571'!$L$8</definedName>
    <definedName name="_2010_11_Base_Funding_WFTE_x_BSA_x_DCD" localSheetId="11">'2521'!$L$8</definedName>
    <definedName name="_2010_11_Base_Funding_WFTE_x_BSA_x_DCD" localSheetId="12">'2531'!$L$8</definedName>
    <definedName name="_2010_11_Base_Funding_WFTE_x_BSA_x_DCD" localSheetId="13">'2531 June final'!$L$8</definedName>
    <definedName name="_2010_11_Base_Funding_WFTE_x_BSA_x_DCD" localSheetId="14">'2641'!$L$8</definedName>
    <definedName name="_2010_11_Base_Funding_WFTE_x_BSA_x_DCD" localSheetId="15">'2641 June Final'!$L$8</definedName>
    <definedName name="_2010_11_Base_Funding_WFTE_x_BSA_x_DCD" localSheetId="16">'2661'!$L$8</definedName>
    <definedName name="_2010_11_Base_Funding_WFTE_x_BSA_x_DCD" localSheetId="17">'2661 June Final'!$L$8</definedName>
    <definedName name="_2010_11_Base_Funding_WFTE_x_BSA_x_DCD" localSheetId="18">'2791'!$L$8</definedName>
    <definedName name="_2010_11_Base_Funding_WFTE_x_BSA_x_DCD" localSheetId="19">'2791 June final'!$L$8</definedName>
    <definedName name="_2010_11_Base_Funding_WFTE_x_BSA_x_DCD" localSheetId="20">'2801'!$L$8</definedName>
    <definedName name="_2010_11_Base_Funding_WFTE_x_BSA_x_DCD" localSheetId="21">'2801 June Final'!$L$8</definedName>
    <definedName name="_2010_11_Base_Funding_WFTE_x_BSA_x_DCD" localSheetId="22">'2911'!$L$8</definedName>
    <definedName name="_2010_11_Base_Funding_WFTE_x_BSA_x_DCD" localSheetId="23">'2911 June final'!$L$8</definedName>
    <definedName name="_2010_11_Base_Funding_WFTE_x_BSA_x_DCD" localSheetId="24">'2941'!$L$8</definedName>
    <definedName name="_2010_11_Base_Funding_WFTE_x_BSA_x_DCD" localSheetId="25">'2941 June final'!$L$8</definedName>
    <definedName name="_2010_11_Base_Funding_WFTE_x_BSA_x_DCD" localSheetId="26">'3083'!$L$8</definedName>
    <definedName name="_2010_11_Base_Funding_WFTE_x_BSA_x_DCD" localSheetId="27">'3344'!$L$8</definedName>
    <definedName name="_2010_11_Base_Funding_WFTE_x_BSA_x_DCD" localSheetId="28">'3345'!$L$8</definedName>
    <definedName name="_2010_11_Base_Funding_WFTE_x_BSA_x_DCD" localSheetId="29">'3347'!$L$8</definedName>
    <definedName name="_2010_11_Base_Funding_WFTE_x_BSA_x_DCD" localSheetId="30">'3381'!$L$8</definedName>
    <definedName name="_2010_11_Base_Funding_WFTE_x_BSA_x_DCD" localSheetId="31">'3381 June Final'!$L$8</definedName>
    <definedName name="_2010_11_Base_Funding_WFTE_x_BSA_x_DCD" localSheetId="32">'3382'!$L$8</definedName>
    <definedName name="_2010_11_Base_Funding_WFTE_x_BSA_x_DCD" localSheetId="33">'3382 June Final'!$L$8</definedName>
    <definedName name="_2010_11_Base_Funding_WFTE_x_BSA_x_DCD" localSheetId="34">'3384'!$L$8</definedName>
    <definedName name="_2010_11_Base_Funding_WFTE_x_BSA_x_DCD" localSheetId="35">'3384 June Final'!$L$8</definedName>
    <definedName name="_2010_11_Base_Funding_WFTE_x_BSA_x_DCD" localSheetId="36">'3385'!$L$8</definedName>
    <definedName name="_2010_11_Base_Funding_WFTE_x_BSA_x_DCD" localSheetId="37">'3385 June Final'!$L$8</definedName>
    <definedName name="_2010_11_Base_Funding_WFTE_x_BSA_x_DCD" localSheetId="38">'3386'!$L$8</definedName>
    <definedName name="_2010_11_Base_Funding_WFTE_x_BSA_x_DCD" localSheetId="39">'3391'!$L$8</definedName>
    <definedName name="_2010_11_Base_Funding_WFTE_x_BSA_x_DCD" localSheetId="40">'3392'!$L$8</definedName>
    <definedName name="_2010_11_Base_Funding_WFTE_x_BSA_x_DCD" localSheetId="41">'3392 June Final'!$L$8</definedName>
    <definedName name="_2010_11_Base_Funding_WFTE_x_BSA_x_DCD" localSheetId="42">'3394'!$L$8</definedName>
    <definedName name="_2010_11_Base_Funding_WFTE_x_BSA_x_DCD" localSheetId="43">'3394 June Final'!$L$8</definedName>
    <definedName name="_2010_11_Base_Funding_WFTE_x_BSA_x_DCD" localSheetId="44">'3395'!$L$8</definedName>
    <definedName name="_2010_11_Base_Funding_WFTE_x_BSA_x_DCD" localSheetId="45">'3395 June Final'!$L$8</definedName>
    <definedName name="_2010_11_Base_Funding_WFTE_x_BSA_x_DCD" localSheetId="46">'3396'!$L$8</definedName>
    <definedName name="_2010_11_Base_Funding_WFTE_x_BSA_x_DCD" localSheetId="47">'3398'!$L$8</definedName>
    <definedName name="_2010_11_Base_Funding_WFTE_x_BSA_x_DCD" localSheetId="48">'3400'!$L$8</definedName>
    <definedName name="_2010_11_Base_Funding_WFTE_x_BSA_x_DCD" localSheetId="49">'3401'!$L$8</definedName>
    <definedName name="_2010_11_Base_Funding_WFTE_x_BSA_x_DCD" localSheetId="50">'3411'!$L$8</definedName>
    <definedName name="_2010_11_Base_Funding_WFTE_x_BSA_x_DCD" localSheetId="51">'3413'!$L$8</definedName>
    <definedName name="_2010_11_Base_Funding_WFTE_x_BSA_x_DCD" localSheetId="52">'3413 June Final'!$L$8</definedName>
    <definedName name="_2010_11_Base_Funding_WFTE_x_BSA_x_DCD" localSheetId="53">'3421'!$L$8</definedName>
    <definedName name="_2010_11_Base_Funding_WFTE_x_BSA_x_DCD" localSheetId="54">'3431'!$L$8</definedName>
    <definedName name="_2010_11_Base_Funding_WFTE_x_BSA_x_DCD" localSheetId="55">'3431 June Final'!$L$8</definedName>
    <definedName name="_2010_11_Base_Funding_WFTE_x_BSA_x_DCD" localSheetId="56">'3441'!$L$8</definedName>
    <definedName name="_2010_11_Base_Funding_WFTE_x_BSA_x_DCD" localSheetId="57">'3443'!$L$8</definedName>
    <definedName name="_2010_11_Base_Funding_WFTE_x_BSA_x_DCD" localSheetId="58">'3941'!$L$8</definedName>
    <definedName name="_2010_11_Base_Funding_WFTE_x_BSA_x_DCD" localSheetId="59">'3941 June Final'!$L$8</definedName>
    <definedName name="_2010_11_Base_Funding_WFTE_x_BSA_x_DCD" localSheetId="60">'3961'!$L$8</definedName>
    <definedName name="_2010_11_Base_Funding_WFTE_x_BSA_x_DCD" localSheetId="61">'3961 June Final'!$L$8</definedName>
    <definedName name="_2010_11_Base_Funding_WFTE_x_BSA_x_DCD" localSheetId="62">'3971'!$L$8</definedName>
    <definedName name="_2010_11_Base_Funding_WFTE_x_BSA_x_DCD" localSheetId="63">'4000'!$L$8</definedName>
    <definedName name="_2010_11_Base_Funding_WFTE_x_BSA_x_DCD" localSheetId="64">'4000 June Final'!$L$8</definedName>
    <definedName name="_2010_11_Base_Funding_WFTE_x_BSA_x_DCD" localSheetId="65">'4002'!$L$8</definedName>
    <definedName name="_2010_11_Base_Funding_WFTE_x_BSA_x_DCD" localSheetId="66">'4002 June Final'!$L$8</definedName>
    <definedName name="_2010_11_Base_Funding_WFTE_x_BSA_x_DCD" localSheetId="67">'4010'!$L$8</definedName>
    <definedName name="_2010_11_Base_Funding_WFTE_x_BSA_x_DCD" localSheetId="68">'4012'!$L$8</definedName>
    <definedName name="_2010_11_Base_Funding_WFTE_x_BSA_x_DCD" localSheetId="69">'4013'!$L$8</definedName>
    <definedName name="_2010_11_Base_Funding_WFTE_x_BSA_x_DCD" localSheetId="70">'4020'!$L$8</definedName>
    <definedName name="_2010_11_Base_Funding_WFTE_x_BSA_x_DCD" localSheetId="72">'4020 June Final'!$L$8</definedName>
    <definedName name="_2010_11_Base_Funding_WFTE_x_BSA_x_DCD" localSheetId="71">'4020 June Tch Alloc.'!$L$8</definedName>
    <definedName name="_2010_11_Base_Funding_WFTE_x_BSA_x_DCD" localSheetId="73">'4037'!$L$8</definedName>
    <definedName name="_2010_11_Base_Funding_WFTE_x_BSA_x_DCD" localSheetId="74">'4037 June Final'!$L$8</definedName>
    <definedName name="_2010_11_Base_Funding_WFTE_x_BSA_x_DCD" localSheetId="75">#REF!</definedName>
    <definedName name="_2010_11_Base_Funding_WFTE_x_BSA_x_DCD" localSheetId="76">'4041'!$L$8</definedName>
    <definedName name="_2010_11_Base_Funding_WFTE_x_BSA_x_DCD" localSheetId="1">#REF!</definedName>
    <definedName name="_2010_11_Base_Funding_WFTE_x_BSA_x_DCD" localSheetId="0">#REF!</definedName>
    <definedName name="_2010_11_Base_Funding_WFTE_x_BSA_x_DCD">#REF!</definedName>
    <definedName name="_254_ESE_Level_4__Grade_Level_4_8" localSheetId="3">'0054'!$B$17</definedName>
    <definedName name="_254_ESE_Level_4__Grade_Level_4_8" localSheetId="4">'0054 June Final'!$B$17</definedName>
    <definedName name="_254_ESE_Level_4__Grade_Level_4_8" localSheetId="5">'0642'!$B$17</definedName>
    <definedName name="_254_ESE_Level_4__Grade_Level_4_8" localSheetId="6">'0642 June Final'!$B$17</definedName>
    <definedName name="_254_ESE_Level_4__Grade_Level_4_8" localSheetId="7">'0664'!$B$17</definedName>
    <definedName name="_254_ESE_Level_4__Grade_Level_4_8" localSheetId="8">'0664 June Final'!$B$17</definedName>
    <definedName name="_254_ESE_Level_4__Grade_Level_4_8" localSheetId="9">'1461'!$B$17</definedName>
    <definedName name="_254_ESE_Level_4__Grade_Level_4_8" localSheetId="10">'1571'!$B$17</definedName>
    <definedName name="_254_ESE_Level_4__Grade_Level_4_8" localSheetId="11">'2521'!$B$17</definedName>
    <definedName name="_254_ESE_Level_4__Grade_Level_4_8" localSheetId="12">'2531'!$B$17</definedName>
    <definedName name="_254_ESE_Level_4__Grade_Level_4_8" localSheetId="13">'2531 June final'!$B$17</definedName>
    <definedName name="_254_ESE_Level_4__Grade_Level_4_8" localSheetId="14">'2641'!$B$17</definedName>
    <definedName name="_254_ESE_Level_4__Grade_Level_4_8" localSheetId="15">'2641 June Final'!$B$17</definedName>
    <definedName name="_254_ESE_Level_4__Grade_Level_4_8" localSheetId="16">'2661'!$B$17</definedName>
    <definedName name="_254_ESE_Level_4__Grade_Level_4_8" localSheetId="17">'2661 June Final'!$B$17</definedName>
    <definedName name="_254_ESE_Level_4__Grade_Level_4_8" localSheetId="18">'2791'!$B$17</definedName>
    <definedName name="_254_ESE_Level_4__Grade_Level_4_8" localSheetId="19">'2791 June final'!$B$17</definedName>
    <definedName name="_254_ESE_Level_4__Grade_Level_4_8" localSheetId="20">'2801'!$B$17</definedName>
    <definedName name="_254_ESE_Level_4__Grade_Level_4_8" localSheetId="21">'2801 June Final'!$B$17</definedName>
    <definedName name="_254_ESE_Level_4__Grade_Level_4_8" localSheetId="22">'2911'!$B$17</definedName>
    <definedName name="_254_ESE_Level_4__Grade_Level_4_8" localSheetId="23">'2911 June final'!$B$17</definedName>
    <definedName name="_254_ESE_Level_4__Grade_Level_4_8" localSheetId="24">'2941'!$B$17</definedName>
    <definedName name="_254_ESE_Level_4__Grade_Level_4_8" localSheetId="25">'2941 June final'!$B$17</definedName>
    <definedName name="_254_ESE_Level_4__Grade_Level_4_8" localSheetId="26">'3083'!$B$17</definedName>
    <definedName name="_254_ESE_Level_4__Grade_Level_4_8" localSheetId="27">'3344'!$B$17</definedName>
    <definedName name="_254_ESE_Level_4__Grade_Level_4_8" localSheetId="28">'3345'!$B$17</definedName>
    <definedName name="_254_ESE_Level_4__Grade_Level_4_8" localSheetId="29">'3347'!$B$17</definedName>
    <definedName name="_254_ESE_Level_4__Grade_Level_4_8" localSheetId="30">'3381'!$B$17</definedName>
    <definedName name="_254_ESE_Level_4__Grade_Level_4_8" localSheetId="31">'3381 June Final'!$B$17</definedName>
    <definedName name="_254_ESE_Level_4__Grade_Level_4_8" localSheetId="32">'3382'!$B$17</definedName>
    <definedName name="_254_ESE_Level_4__Grade_Level_4_8" localSheetId="33">'3382 June Final'!$B$17</definedName>
    <definedName name="_254_ESE_Level_4__Grade_Level_4_8" localSheetId="34">'3384'!$B$17</definedName>
    <definedName name="_254_ESE_Level_4__Grade_Level_4_8" localSheetId="35">'3384 June Final'!$B$17</definedName>
    <definedName name="_254_ESE_Level_4__Grade_Level_4_8" localSheetId="36">'3385'!$B$17</definedName>
    <definedName name="_254_ESE_Level_4__Grade_Level_4_8" localSheetId="37">'3385 June Final'!$B$17</definedName>
    <definedName name="_254_ESE_Level_4__Grade_Level_4_8" localSheetId="38">'3386'!$B$17</definedName>
    <definedName name="_254_ESE_Level_4__Grade_Level_4_8" localSheetId="39">'3391'!$B$17</definedName>
    <definedName name="_254_ESE_Level_4__Grade_Level_4_8" localSheetId="40">'3392'!$B$17</definedName>
    <definedName name="_254_ESE_Level_4__Grade_Level_4_8" localSheetId="41">'3392 June Final'!$B$17</definedName>
    <definedName name="_254_ESE_Level_4__Grade_Level_4_8" localSheetId="42">'3394'!$B$17</definedName>
    <definedName name="_254_ESE_Level_4__Grade_Level_4_8" localSheetId="43">'3394 June Final'!$B$17</definedName>
    <definedName name="_254_ESE_Level_4__Grade_Level_4_8" localSheetId="44">'3395'!$B$17</definedName>
    <definedName name="_254_ESE_Level_4__Grade_Level_4_8" localSheetId="45">'3395 June Final'!$B$17</definedName>
    <definedName name="_254_ESE_Level_4__Grade_Level_4_8" localSheetId="46">'3396'!$B$17</definedName>
    <definedName name="_254_ESE_Level_4__Grade_Level_4_8" localSheetId="47">'3398'!$B$17</definedName>
    <definedName name="_254_ESE_Level_4__Grade_Level_4_8" localSheetId="48">'3400'!$B$17</definedName>
    <definedName name="_254_ESE_Level_4__Grade_Level_4_8" localSheetId="49">'3401'!$B$17</definedName>
    <definedName name="_254_ESE_Level_4__Grade_Level_4_8" localSheetId="50">'3411'!$B$17</definedName>
    <definedName name="_254_ESE_Level_4__Grade_Level_4_8" localSheetId="51">'3413'!$B$17</definedName>
    <definedName name="_254_ESE_Level_4__Grade_Level_4_8" localSheetId="52">'3413 June Final'!$B$17</definedName>
    <definedName name="_254_ESE_Level_4__Grade_Level_4_8" localSheetId="53">'3421'!$B$17</definedName>
    <definedName name="_254_ESE_Level_4__Grade_Level_4_8" localSheetId="54">'3431'!$B$17</definedName>
    <definedName name="_254_ESE_Level_4__Grade_Level_4_8" localSheetId="55">'3431 June Final'!$B$17</definedName>
    <definedName name="_254_ESE_Level_4__Grade_Level_4_8" localSheetId="56">'3441'!$B$17</definedName>
    <definedName name="_254_ESE_Level_4__Grade_Level_4_8" localSheetId="57">'3443'!$B$17</definedName>
    <definedName name="_254_ESE_Level_4__Grade_Level_4_8" localSheetId="58">'3941'!$B$17</definedName>
    <definedName name="_254_ESE_Level_4__Grade_Level_4_8" localSheetId="59">'3941 June Final'!$B$17</definedName>
    <definedName name="_254_ESE_Level_4__Grade_Level_4_8" localSheetId="60">'3961'!$B$17</definedName>
    <definedName name="_254_ESE_Level_4__Grade_Level_4_8" localSheetId="61">'3961 June Final'!$B$17</definedName>
    <definedName name="_254_ESE_Level_4__Grade_Level_4_8" localSheetId="62">'3971'!$B$17</definedName>
    <definedName name="_254_ESE_Level_4__Grade_Level_4_8" localSheetId="63">'4000'!$B$17</definedName>
    <definedName name="_254_ESE_Level_4__Grade_Level_4_8" localSheetId="64">'4000 June Final'!$B$17</definedName>
    <definedName name="_254_ESE_Level_4__Grade_Level_4_8" localSheetId="65">'4002'!$B$17</definedName>
    <definedName name="_254_ESE_Level_4__Grade_Level_4_8" localSheetId="66">'4002 June Final'!$B$17</definedName>
    <definedName name="_254_ESE_Level_4__Grade_Level_4_8" localSheetId="67">'4010'!$B$17</definedName>
    <definedName name="_254_ESE_Level_4__Grade_Level_4_8" localSheetId="68">'4012'!$B$17</definedName>
    <definedName name="_254_ESE_Level_4__Grade_Level_4_8" localSheetId="69">'4013'!$B$17</definedName>
    <definedName name="_254_ESE_Level_4__Grade_Level_4_8" localSheetId="70">'4020'!$B$17</definedName>
    <definedName name="_254_ESE_Level_4__Grade_Level_4_8" localSheetId="72">'4020 June Final'!$B$17</definedName>
    <definedName name="_254_ESE_Level_4__Grade_Level_4_8" localSheetId="71">'4020 June Tch Alloc.'!$B$17</definedName>
    <definedName name="_254_ESE_Level_4__Grade_Level_4_8" localSheetId="73">'4037'!$B$17</definedName>
    <definedName name="_254_ESE_Level_4__Grade_Level_4_8" localSheetId="74">'4037 June Final'!$B$17</definedName>
    <definedName name="_254_ESE_Level_4__Grade_Level_4_8" localSheetId="75">#REF!</definedName>
    <definedName name="_254_ESE_Level_4__Grade_Level_4_8" localSheetId="76">'4041'!$B$17</definedName>
    <definedName name="_254_ESE_Level_4__Grade_Level_4_8" localSheetId="1">#REF!</definedName>
    <definedName name="_254_ESE_Level_4__Grade_Level_4_8" localSheetId="0">#REF!</definedName>
    <definedName name="_254_ESE_Level_4__Grade_Level_4_8">#REF!</definedName>
    <definedName name="_254_ESE_Level_4__Grade_Level_9_12" localSheetId="3">'0054'!$B$18</definedName>
    <definedName name="_254_ESE_Level_4__Grade_Level_9_12" localSheetId="4">'0054 June Final'!$B$18</definedName>
    <definedName name="_254_ESE_Level_4__Grade_Level_9_12" localSheetId="5">'0642'!$B$18</definedName>
    <definedName name="_254_ESE_Level_4__Grade_Level_9_12" localSheetId="6">'0642 June Final'!$B$18</definedName>
    <definedName name="_254_ESE_Level_4__Grade_Level_9_12" localSheetId="7">'0664'!$B$18</definedName>
    <definedName name="_254_ESE_Level_4__Grade_Level_9_12" localSheetId="8">'0664 June Final'!$B$18</definedName>
    <definedName name="_254_ESE_Level_4__Grade_Level_9_12" localSheetId="9">'1461'!$B$18</definedName>
    <definedName name="_254_ESE_Level_4__Grade_Level_9_12" localSheetId="10">'1571'!$B$18</definedName>
    <definedName name="_254_ESE_Level_4__Grade_Level_9_12" localSheetId="11">'2521'!$B$18</definedName>
    <definedName name="_254_ESE_Level_4__Grade_Level_9_12" localSheetId="12">'2531'!$B$18</definedName>
    <definedName name="_254_ESE_Level_4__Grade_Level_9_12" localSheetId="13">'2531 June final'!$B$18</definedName>
    <definedName name="_254_ESE_Level_4__Grade_Level_9_12" localSheetId="14">'2641'!$B$18</definedName>
    <definedName name="_254_ESE_Level_4__Grade_Level_9_12" localSheetId="15">'2641 June Final'!$B$18</definedName>
    <definedName name="_254_ESE_Level_4__Grade_Level_9_12" localSheetId="16">'2661'!$B$18</definedName>
    <definedName name="_254_ESE_Level_4__Grade_Level_9_12" localSheetId="17">'2661 June Final'!$B$18</definedName>
    <definedName name="_254_ESE_Level_4__Grade_Level_9_12" localSheetId="18">'2791'!$B$18</definedName>
    <definedName name="_254_ESE_Level_4__Grade_Level_9_12" localSheetId="19">'2791 June final'!$B$18</definedName>
    <definedName name="_254_ESE_Level_4__Grade_Level_9_12" localSheetId="20">'2801'!$B$18</definedName>
    <definedName name="_254_ESE_Level_4__Grade_Level_9_12" localSheetId="21">'2801 June Final'!$B$18</definedName>
    <definedName name="_254_ESE_Level_4__Grade_Level_9_12" localSheetId="22">'2911'!$B$18</definedName>
    <definedName name="_254_ESE_Level_4__Grade_Level_9_12" localSheetId="23">'2911 June final'!$B$18</definedName>
    <definedName name="_254_ESE_Level_4__Grade_Level_9_12" localSheetId="24">'2941'!$B$18</definedName>
    <definedName name="_254_ESE_Level_4__Grade_Level_9_12" localSheetId="25">'2941 June final'!$B$18</definedName>
    <definedName name="_254_ESE_Level_4__Grade_Level_9_12" localSheetId="26">'3083'!$B$18</definedName>
    <definedName name="_254_ESE_Level_4__Grade_Level_9_12" localSheetId="27">'3344'!$B$18</definedName>
    <definedName name="_254_ESE_Level_4__Grade_Level_9_12" localSheetId="28">'3345'!$B$18</definedName>
    <definedName name="_254_ESE_Level_4__Grade_Level_9_12" localSheetId="29">'3347'!$B$18</definedName>
    <definedName name="_254_ESE_Level_4__Grade_Level_9_12" localSheetId="30">'3381'!$B$18</definedName>
    <definedName name="_254_ESE_Level_4__Grade_Level_9_12" localSheetId="31">'3381 June Final'!$B$18</definedName>
    <definedName name="_254_ESE_Level_4__Grade_Level_9_12" localSheetId="32">'3382'!$B$18</definedName>
    <definedName name="_254_ESE_Level_4__Grade_Level_9_12" localSheetId="33">'3382 June Final'!$B$18</definedName>
    <definedName name="_254_ESE_Level_4__Grade_Level_9_12" localSheetId="34">'3384'!$B$18</definedName>
    <definedName name="_254_ESE_Level_4__Grade_Level_9_12" localSheetId="35">'3384 June Final'!$B$18</definedName>
    <definedName name="_254_ESE_Level_4__Grade_Level_9_12" localSheetId="36">'3385'!$B$18</definedName>
    <definedName name="_254_ESE_Level_4__Grade_Level_9_12" localSheetId="37">'3385 June Final'!$B$18</definedName>
    <definedName name="_254_ESE_Level_4__Grade_Level_9_12" localSheetId="38">'3386'!$B$18</definedName>
    <definedName name="_254_ESE_Level_4__Grade_Level_9_12" localSheetId="39">'3391'!$B$18</definedName>
    <definedName name="_254_ESE_Level_4__Grade_Level_9_12" localSheetId="40">'3392'!$B$18</definedName>
    <definedName name="_254_ESE_Level_4__Grade_Level_9_12" localSheetId="41">'3392 June Final'!$B$18</definedName>
    <definedName name="_254_ESE_Level_4__Grade_Level_9_12" localSheetId="42">'3394'!$B$18</definedName>
    <definedName name="_254_ESE_Level_4__Grade_Level_9_12" localSheetId="43">'3394 June Final'!$B$18</definedName>
    <definedName name="_254_ESE_Level_4__Grade_Level_9_12" localSheetId="44">'3395'!$B$18</definedName>
    <definedName name="_254_ESE_Level_4__Grade_Level_9_12" localSheetId="45">'3395 June Final'!$B$18</definedName>
    <definedName name="_254_ESE_Level_4__Grade_Level_9_12" localSheetId="46">'3396'!$B$18</definedName>
    <definedName name="_254_ESE_Level_4__Grade_Level_9_12" localSheetId="47">'3398'!$B$18</definedName>
    <definedName name="_254_ESE_Level_4__Grade_Level_9_12" localSheetId="48">'3400'!$B$18</definedName>
    <definedName name="_254_ESE_Level_4__Grade_Level_9_12" localSheetId="49">'3401'!$B$18</definedName>
    <definedName name="_254_ESE_Level_4__Grade_Level_9_12" localSheetId="50">'3411'!$B$18</definedName>
    <definedName name="_254_ESE_Level_4__Grade_Level_9_12" localSheetId="51">'3413'!$B$18</definedName>
    <definedName name="_254_ESE_Level_4__Grade_Level_9_12" localSheetId="52">'3413 June Final'!$B$18</definedName>
    <definedName name="_254_ESE_Level_4__Grade_Level_9_12" localSheetId="53">'3421'!$B$18</definedName>
    <definedName name="_254_ESE_Level_4__Grade_Level_9_12" localSheetId="54">'3431'!$B$18</definedName>
    <definedName name="_254_ESE_Level_4__Grade_Level_9_12" localSheetId="55">'3431 June Final'!$B$18</definedName>
    <definedName name="_254_ESE_Level_4__Grade_Level_9_12" localSheetId="56">'3441'!$B$18</definedName>
    <definedName name="_254_ESE_Level_4__Grade_Level_9_12" localSheetId="57">'3443'!$B$18</definedName>
    <definedName name="_254_ESE_Level_4__Grade_Level_9_12" localSheetId="58">'3941'!$B$18</definedName>
    <definedName name="_254_ESE_Level_4__Grade_Level_9_12" localSheetId="59">'3941 June Final'!$B$18</definedName>
    <definedName name="_254_ESE_Level_4__Grade_Level_9_12" localSheetId="60">'3961'!$B$18</definedName>
    <definedName name="_254_ESE_Level_4__Grade_Level_9_12" localSheetId="61">'3961 June Final'!$B$18</definedName>
    <definedName name="_254_ESE_Level_4__Grade_Level_9_12" localSheetId="62">'3971'!$B$18</definedName>
    <definedName name="_254_ESE_Level_4__Grade_Level_9_12" localSheetId="63">'4000'!$B$18</definedName>
    <definedName name="_254_ESE_Level_4__Grade_Level_9_12" localSheetId="64">'4000 June Final'!$B$18</definedName>
    <definedName name="_254_ESE_Level_4__Grade_Level_9_12" localSheetId="65">'4002'!$B$18</definedName>
    <definedName name="_254_ESE_Level_4__Grade_Level_9_12" localSheetId="66">'4002 June Final'!$B$18</definedName>
    <definedName name="_254_ESE_Level_4__Grade_Level_9_12" localSheetId="67">'4010'!$B$18</definedName>
    <definedName name="_254_ESE_Level_4__Grade_Level_9_12" localSheetId="68">'4012'!$B$18</definedName>
    <definedName name="_254_ESE_Level_4__Grade_Level_9_12" localSheetId="69">'4013'!$B$18</definedName>
    <definedName name="_254_ESE_Level_4__Grade_Level_9_12" localSheetId="70">'4020'!$B$18</definedName>
    <definedName name="_254_ESE_Level_4__Grade_Level_9_12" localSheetId="72">'4020 June Final'!$B$18</definedName>
    <definedName name="_254_ESE_Level_4__Grade_Level_9_12" localSheetId="71">'4020 June Tch Alloc.'!$B$18</definedName>
    <definedName name="_254_ESE_Level_4__Grade_Level_9_12" localSheetId="73">'4037'!$B$18</definedName>
    <definedName name="_254_ESE_Level_4__Grade_Level_9_12" localSheetId="74">'4037 June Final'!$B$18</definedName>
    <definedName name="_254_ESE_Level_4__Grade_Level_9_12" localSheetId="75">#REF!</definedName>
    <definedName name="_254_ESE_Level_4__Grade_Level_9_12" localSheetId="76">'4041'!$B$18</definedName>
    <definedName name="_254_ESE_Level_4__Grade_Level_9_12" localSheetId="1">#REF!</definedName>
    <definedName name="_254_ESE_Level_4__Grade_Level_9_12" localSheetId="0">#REF!</definedName>
    <definedName name="_254_ESE_Level_4__Grade_Level_9_12">#REF!</definedName>
    <definedName name="_254_ESE_Level_4__Grade_Level_PK_3" localSheetId="3">'0054'!$B$16</definedName>
    <definedName name="_254_ESE_Level_4__Grade_Level_PK_3" localSheetId="4">'0054 June Final'!$B$16</definedName>
    <definedName name="_254_ESE_Level_4__Grade_Level_PK_3" localSheetId="5">'0642'!$B$16</definedName>
    <definedName name="_254_ESE_Level_4__Grade_Level_PK_3" localSheetId="6">'0642 June Final'!$B$16</definedName>
    <definedName name="_254_ESE_Level_4__Grade_Level_PK_3" localSheetId="7">'0664'!$B$16</definedName>
    <definedName name="_254_ESE_Level_4__Grade_Level_PK_3" localSheetId="8">'0664 June Final'!$B$16</definedName>
    <definedName name="_254_ESE_Level_4__Grade_Level_PK_3" localSheetId="9">'1461'!$B$16</definedName>
    <definedName name="_254_ESE_Level_4__Grade_Level_PK_3" localSheetId="10">'1571'!$B$16</definedName>
    <definedName name="_254_ESE_Level_4__Grade_Level_PK_3" localSheetId="11">'2521'!$B$16</definedName>
    <definedName name="_254_ESE_Level_4__Grade_Level_PK_3" localSheetId="12">'2531'!$B$16</definedName>
    <definedName name="_254_ESE_Level_4__Grade_Level_PK_3" localSheetId="13">'2531 June final'!$B$16</definedName>
    <definedName name="_254_ESE_Level_4__Grade_Level_PK_3" localSheetId="14">'2641'!$B$16</definedName>
    <definedName name="_254_ESE_Level_4__Grade_Level_PK_3" localSheetId="15">'2641 June Final'!$B$16</definedName>
    <definedName name="_254_ESE_Level_4__Grade_Level_PK_3" localSheetId="16">'2661'!$B$16</definedName>
    <definedName name="_254_ESE_Level_4__Grade_Level_PK_3" localSheetId="17">'2661 June Final'!$B$16</definedName>
    <definedName name="_254_ESE_Level_4__Grade_Level_PK_3" localSheetId="18">'2791'!$B$16</definedName>
    <definedName name="_254_ESE_Level_4__Grade_Level_PK_3" localSheetId="19">'2791 June final'!$B$16</definedName>
    <definedName name="_254_ESE_Level_4__Grade_Level_PK_3" localSheetId="20">'2801'!$B$16</definedName>
    <definedName name="_254_ESE_Level_4__Grade_Level_PK_3" localSheetId="21">'2801 June Final'!$B$16</definedName>
    <definedName name="_254_ESE_Level_4__Grade_Level_PK_3" localSheetId="22">'2911'!$B$16</definedName>
    <definedName name="_254_ESE_Level_4__Grade_Level_PK_3" localSheetId="23">'2911 June final'!$B$16</definedName>
    <definedName name="_254_ESE_Level_4__Grade_Level_PK_3" localSheetId="24">'2941'!$B$16</definedName>
    <definedName name="_254_ESE_Level_4__Grade_Level_PK_3" localSheetId="25">'2941 June final'!$B$16</definedName>
    <definedName name="_254_ESE_Level_4__Grade_Level_PK_3" localSheetId="26">'3083'!$B$16</definedName>
    <definedName name="_254_ESE_Level_4__Grade_Level_PK_3" localSheetId="27">'3344'!$B$16</definedName>
    <definedName name="_254_ESE_Level_4__Grade_Level_PK_3" localSheetId="28">'3345'!$B$16</definedName>
    <definedName name="_254_ESE_Level_4__Grade_Level_PK_3" localSheetId="29">'3347'!$B$16</definedName>
    <definedName name="_254_ESE_Level_4__Grade_Level_PK_3" localSheetId="30">'3381'!$B$16</definedName>
    <definedName name="_254_ESE_Level_4__Grade_Level_PK_3" localSheetId="31">'3381 June Final'!$B$16</definedName>
    <definedName name="_254_ESE_Level_4__Grade_Level_PK_3" localSheetId="32">'3382'!$B$16</definedName>
    <definedName name="_254_ESE_Level_4__Grade_Level_PK_3" localSheetId="33">'3382 June Final'!$B$16</definedName>
    <definedName name="_254_ESE_Level_4__Grade_Level_PK_3" localSheetId="34">'3384'!$B$16</definedName>
    <definedName name="_254_ESE_Level_4__Grade_Level_PK_3" localSheetId="35">'3384 June Final'!$B$16</definedName>
    <definedName name="_254_ESE_Level_4__Grade_Level_PK_3" localSheetId="36">'3385'!$B$16</definedName>
    <definedName name="_254_ESE_Level_4__Grade_Level_PK_3" localSheetId="37">'3385 June Final'!$B$16</definedName>
    <definedName name="_254_ESE_Level_4__Grade_Level_PK_3" localSheetId="38">'3386'!$B$16</definedName>
    <definedName name="_254_ESE_Level_4__Grade_Level_PK_3" localSheetId="39">'3391'!$B$16</definedName>
    <definedName name="_254_ESE_Level_4__Grade_Level_PK_3" localSheetId="40">'3392'!$B$16</definedName>
    <definedName name="_254_ESE_Level_4__Grade_Level_PK_3" localSheetId="41">'3392 June Final'!$B$16</definedName>
    <definedName name="_254_ESE_Level_4__Grade_Level_PK_3" localSheetId="42">'3394'!$B$16</definedName>
    <definedName name="_254_ESE_Level_4__Grade_Level_PK_3" localSheetId="43">'3394 June Final'!$B$16</definedName>
    <definedName name="_254_ESE_Level_4__Grade_Level_PK_3" localSheetId="44">'3395'!$B$16</definedName>
    <definedName name="_254_ESE_Level_4__Grade_Level_PK_3" localSheetId="45">'3395 June Final'!$B$16</definedName>
    <definedName name="_254_ESE_Level_4__Grade_Level_PK_3" localSheetId="46">'3396'!$B$16</definedName>
    <definedName name="_254_ESE_Level_4__Grade_Level_PK_3" localSheetId="47">'3398'!$B$16</definedName>
    <definedName name="_254_ESE_Level_4__Grade_Level_PK_3" localSheetId="48">'3400'!$B$16</definedName>
    <definedName name="_254_ESE_Level_4__Grade_Level_PK_3" localSheetId="49">'3401'!$B$16</definedName>
    <definedName name="_254_ESE_Level_4__Grade_Level_PK_3" localSheetId="50">'3411'!$B$16</definedName>
    <definedName name="_254_ESE_Level_4__Grade_Level_PK_3" localSheetId="51">'3413'!$B$16</definedName>
    <definedName name="_254_ESE_Level_4__Grade_Level_PK_3" localSheetId="52">'3413 June Final'!$B$16</definedName>
    <definedName name="_254_ESE_Level_4__Grade_Level_PK_3" localSheetId="53">'3421'!$B$16</definedName>
    <definedName name="_254_ESE_Level_4__Grade_Level_PK_3" localSheetId="54">'3431'!$B$16</definedName>
    <definedName name="_254_ESE_Level_4__Grade_Level_PK_3" localSheetId="55">'3431 June Final'!$B$16</definedName>
    <definedName name="_254_ESE_Level_4__Grade_Level_PK_3" localSheetId="56">'3441'!$B$16</definedName>
    <definedName name="_254_ESE_Level_4__Grade_Level_PK_3" localSheetId="57">'3443'!$B$16</definedName>
    <definedName name="_254_ESE_Level_4__Grade_Level_PK_3" localSheetId="58">'3941'!$B$16</definedName>
    <definedName name="_254_ESE_Level_4__Grade_Level_PK_3" localSheetId="59">'3941 June Final'!$B$16</definedName>
    <definedName name="_254_ESE_Level_4__Grade_Level_PK_3" localSheetId="60">'3961'!$B$16</definedName>
    <definedName name="_254_ESE_Level_4__Grade_Level_PK_3" localSheetId="61">'3961 June Final'!$B$16</definedName>
    <definedName name="_254_ESE_Level_4__Grade_Level_PK_3" localSheetId="62">'3971'!$B$16</definedName>
    <definedName name="_254_ESE_Level_4__Grade_Level_PK_3" localSheetId="63">'4000'!$B$16</definedName>
    <definedName name="_254_ESE_Level_4__Grade_Level_PK_3" localSheetId="64">'4000 June Final'!$B$16</definedName>
    <definedName name="_254_ESE_Level_4__Grade_Level_PK_3" localSheetId="65">'4002'!$B$16</definedName>
    <definedName name="_254_ESE_Level_4__Grade_Level_PK_3" localSheetId="66">'4002 June Final'!$B$16</definedName>
    <definedName name="_254_ESE_Level_4__Grade_Level_PK_3" localSheetId="67">'4010'!$B$16</definedName>
    <definedName name="_254_ESE_Level_4__Grade_Level_PK_3" localSheetId="68">'4012'!$B$16</definedName>
    <definedName name="_254_ESE_Level_4__Grade_Level_PK_3" localSheetId="69">'4013'!$B$16</definedName>
    <definedName name="_254_ESE_Level_4__Grade_Level_PK_3" localSheetId="70">'4020'!$B$16</definedName>
    <definedName name="_254_ESE_Level_4__Grade_Level_PK_3" localSheetId="72">'4020 June Final'!$B$16</definedName>
    <definedName name="_254_ESE_Level_4__Grade_Level_PK_3" localSheetId="71">'4020 June Tch Alloc.'!$B$16</definedName>
    <definedName name="_254_ESE_Level_4__Grade_Level_PK_3" localSheetId="73">'4037'!$B$16</definedName>
    <definedName name="_254_ESE_Level_4__Grade_Level_PK_3" localSheetId="74">'4037 June Final'!$B$16</definedName>
    <definedName name="_254_ESE_Level_4__Grade_Level_PK_3" localSheetId="75">#REF!</definedName>
    <definedName name="_254_ESE_Level_4__Grade_Level_PK_3" localSheetId="76">'4041'!$B$16</definedName>
    <definedName name="_254_ESE_Level_4__Grade_Level_PK_3" localSheetId="1">#REF!</definedName>
    <definedName name="_254_ESE_Level_4__Grade_Level_PK_3" localSheetId="0">#REF!</definedName>
    <definedName name="_254_ESE_Level_4__Grade_Level_PK_3">#REF!</definedName>
    <definedName name="_255_ESE_Level_5__Grade_Level_4_8" localSheetId="3">'0054'!$B$20</definedName>
    <definedName name="_255_ESE_Level_5__Grade_Level_4_8" localSheetId="4">'0054 June Final'!$B$20</definedName>
    <definedName name="_255_ESE_Level_5__Grade_Level_4_8" localSheetId="5">'0642'!$B$20</definedName>
    <definedName name="_255_ESE_Level_5__Grade_Level_4_8" localSheetId="6">'0642 June Final'!$B$20</definedName>
    <definedName name="_255_ESE_Level_5__Grade_Level_4_8" localSheetId="7">'0664'!$B$20</definedName>
    <definedName name="_255_ESE_Level_5__Grade_Level_4_8" localSheetId="8">'0664 June Final'!$B$20</definedName>
    <definedName name="_255_ESE_Level_5__Grade_Level_4_8" localSheetId="9">'1461'!$B$20</definedName>
    <definedName name="_255_ESE_Level_5__Grade_Level_4_8" localSheetId="10">'1571'!$B$20</definedName>
    <definedName name="_255_ESE_Level_5__Grade_Level_4_8" localSheetId="11">'2521'!$B$20</definedName>
    <definedName name="_255_ESE_Level_5__Grade_Level_4_8" localSheetId="12">'2531'!$B$20</definedName>
    <definedName name="_255_ESE_Level_5__Grade_Level_4_8" localSheetId="13">'2531 June final'!$B$20</definedName>
    <definedName name="_255_ESE_Level_5__Grade_Level_4_8" localSheetId="14">'2641'!$B$20</definedName>
    <definedName name="_255_ESE_Level_5__Grade_Level_4_8" localSheetId="15">'2641 June Final'!$B$20</definedName>
    <definedName name="_255_ESE_Level_5__Grade_Level_4_8" localSheetId="16">'2661'!$B$20</definedName>
    <definedName name="_255_ESE_Level_5__Grade_Level_4_8" localSheetId="17">'2661 June Final'!$B$20</definedName>
    <definedName name="_255_ESE_Level_5__Grade_Level_4_8" localSheetId="18">'2791'!$B$20</definedName>
    <definedName name="_255_ESE_Level_5__Grade_Level_4_8" localSheetId="19">'2791 June final'!$B$20</definedName>
    <definedName name="_255_ESE_Level_5__Grade_Level_4_8" localSheetId="20">'2801'!$B$20</definedName>
    <definedName name="_255_ESE_Level_5__Grade_Level_4_8" localSheetId="21">'2801 June Final'!$B$20</definedName>
    <definedName name="_255_ESE_Level_5__Grade_Level_4_8" localSheetId="22">'2911'!$B$20</definedName>
    <definedName name="_255_ESE_Level_5__Grade_Level_4_8" localSheetId="23">'2911 June final'!$B$20</definedName>
    <definedName name="_255_ESE_Level_5__Grade_Level_4_8" localSheetId="24">'2941'!$B$20</definedName>
    <definedName name="_255_ESE_Level_5__Grade_Level_4_8" localSheetId="25">'2941 June final'!$B$20</definedName>
    <definedName name="_255_ESE_Level_5__Grade_Level_4_8" localSheetId="26">'3083'!$B$20</definedName>
    <definedName name="_255_ESE_Level_5__Grade_Level_4_8" localSheetId="27">'3344'!$B$20</definedName>
    <definedName name="_255_ESE_Level_5__Grade_Level_4_8" localSheetId="28">'3345'!$B$20</definedName>
    <definedName name="_255_ESE_Level_5__Grade_Level_4_8" localSheetId="29">'3347'!$B$20</definedName>
    <definedName name="_255_ESE_Level_5__Grade_Level_4_8" localSheetId="30">'3381'!$B$20</definedName>
    <definedName name="_255_ESE_Level_5__Grade_Level_4_8" localSheetId="31">'3381 June Final'!$B$20</definedName>
    <definedName name="_255_ESE_Level_5__Grade_Level_4_8" localSheetId="32">'3382'!$B$20</definedName>
    <definedName name="_255_ESE_Level_5__Grade_Level_4_8" localSheetId="33">'3382 June Final'!$B$20</definedName>
    <definedName name="_255_ESE_Level_5__Grade_Level_4_8" localSheetId="34">'3384'!$B$20</definedName>
    <definedName name="_255_ESE_Level_5__Grade_Level_4_8" localSheetId="35">'3384 June Final'!$B$20</definedName>
    <definedName name="_255_ESE_Level_5__Grade_Level_4_8" localSheetId="36">'3385'!$B$20</definedName>
    <definedName name="_255_ESE_Level_5__Grade_Level_4_8" localSheetId="37">'3385 June Final'!$B$20</definedName>
    <definedName name="_255_ESE_Level_5__Grade_Level_4_8" localSheetId="38">'3386'!$B$20</definedName>
    <definedName name="_255_ESE_Level_5__Grade_Level_4_8" localSheetId="39">'3391'!$B$20</definedName>
    <definedName name="_255_ESE_Level_5__Grade_Level_4_8" localSheetId="40">'3392'!$B$20</definedName>
    <definedName name="_255_ESE_Level_5__Grade_Level_4_8" localSheetId="41">'3392 June Final'!$B$20</definedName>
    <definedName name="_255_ESE_Level_5__Grade_Level_4_8" localSheetId="42">'3394'!$B$20</definedName>
    <definedName name="_255_ESE_Level_5__Grade_Level_4_8" localSheetId="43">'3394 June Final'!$B$20</definedName>
    <definedName name="_255_ESE_Level_5__Grade_Level_4_8" localSheetId="44">'3395'!$B$20</definedName>
    <definedName name="_255_ESE_Level_5__Grade_Level_4_8" localSheetId="45">'3395 June Final'!$B$20</definedName>
    <definedName name="_255_ESE_Level_5__Grade_Level_4_8" localSheetId="46">'3396'!$B$20</definedName>
    <definedName name="_255_ESE_Level_5__Grade_Level_4_8" localSheetId="47">'3398'!$B$20</definedName>
    <definedName name="_255_ESE_Level_5__Grade_Level_4_8" localSheetId="48">'3400'!$B$20</definedName>
    <definedName name="_255_ESE_Level_5__Grade_Level_4_8" localSheetId="49">'3401'!$B$20</definedName>
    <definedName name="_255_ESE_Level_5__Grade_Level_4_8" localSheetId="50">'3411'!$B$20</definedName>
    <definedName name="_255_ESE_Level_5__Grade_Level_4_8" localSheetId="51">'3413'!$B$20</definedName>
    <definedName name="_255_ESE_Level_5__Grade_Level_4_8" localSheetId="52">'3413 June Final'!$B$20</definedName>
    <definedName name="_255_ESE_Level_5__Grade_Level_4_8" localSheetId="53">'3421'!$B$20</definedName>
    <definedName name="_255_ESE_Level_5__Grade_Level_4_8" localSheetId="54">'3431'!$B$20</definedName>
    <definedName name="_255_ESE_Level_5__Grade_Level_4_8" localSheetId="55">'3431 June Final'!$B$20</definedName>
    <definedName name="_255_ESE_Level_5__Grade_Level_4_8" localSheetId="56">'3441'!$B$20</definedName>
    <definedName name="_255_ESE_Level_5__Grade_Level_4_8" localSheetId="57">'3443'!$B$20</definedName>
    <definedName name="_255_ESE_Level_5__Grade_Level_4_8" localSheetId="58">'3941'!$B$20</definedName>
    <definedName name="_255_ESE_Level_5__Grade_Level_4_8" localSheetId="59">'3941 June Final'!$B$20</definedName>
    <definedName name="_255_ESE_Level_5__Grade_Level_4_8" localSheetId="60">'3961'!$B$20</definedName>
    <definedName name="_255_ESE_Level_5__Grade_Level_4_8" localSheetId="61">'3961 June Final'!$B$20</definedName>
    <definedName name="_255_ESE_Level_5__Grade_Level_4_8" localSheetId="62">'3971'!$B$20</definedName>
    <definedName name="_255_ESE_Level_5__Grade_Level_4_8" localSheetId="63">'4000'!$B$20</definedName>
    <definedName name="_255_ESE_Level_5__Grade_Level_4_8" localSheetId="64">'4000 June Final'!$B$20</definedName>
    <definedName name="_255_ESE_Level_5__Grade_Level_4_8" localSheetId="65">'4002'!$B$20</definedName>
    <definedName name="_255_ESE_Level_5__Grade_Level_4_8" localSheetId="66">'4002 June Final'!$B$20</definedName>
    <definedName name="_255_ESE_Level_5__Grade_Level_4_8" localSheetId="67">'4010'!$B$20</definedName>
    <definedName name="_255_ESE_Level_5__Grade_Level_4_8" localSheetId="68">'4012'!$B$20</definedName>
    <definedName name="_255_ESE_Level_5__Grade_Level_4_8" localSheetId="69">'4013'!$B$20</definedName>
    <definedName name="_255_ESE_Level_5__Grade_Level_4_8" localSheetId="70">'4020'!$B$20</definedName>
    <definedName name="_255_ESE_Level_5__Grade_Level_4_8" localSheetId="72">'4020 June Final'!$B$20</definedName>
    <definedName name="_255_ESE_Level_5__Grade_Level_4_8" localSheetId="71">'4020 June Tch Alloc.'!$B$20</definedName>
    <definedName name="_255_ESE_Level_5__Grade_Level_4_8" localSheetId="73">'4037'!$B$20</definedName>
    <definedName name="_255_ESE_Level_5__Grade_Level_4_8" localSheetId="74">'4037 June Final'!$B$20</definedName>
    <definedName name="_255_ESE_Level_5__Grade_Level_4_8" localSheetId="75">#REF!</definedName>
    <definedName name="_255_ESE_Level_5__Grade_Level_4_8" localSheetId="76">'4041'!$B$20</definedName>
    <definedName name="_255_ESE_Level_5__Grade_Level_4_8" localSheetId="1">#REF!</definedName>
    <definedName name="_255_ESE_Level_5__Grade_Level_4_8" localSheetId="0">#REF!</definedName>
    <definedName name="_255_ESE_Level_5__Grade_Level_4_8">#REF!</definedName>
    <definedName name="_255_ESE_Level_5__Grade_Level_9_12" localSheetId="3">'0054'!$B$21</definedName>
    <definedName name="_255_ESE_Level_5__Grade_Level_9_12" localSheetId="4">'0054 June Final'!$B$21</definedName>
    <definedName name="_255_ESE_Level_5__Grade_Level_9_12" localSheetId="5">'0642'!$B$21</definedName>
    <definedName name="_255_ESE_Level_5__Grade_Level_9_12" localSheetId="6">'0642 June Final'!$B$21</definedName>
    <definedName name="_255_ESE_Level_5__Grade_Level_9_12" localSheetId="7">'0664'!$B$21</definedName>
    <definedName name="_255_ESE_Level_5__Grade_Level_9_12" localSheetId="8">'0664 June Final'!$B$21</definedName>
    <definedName name="_255_ESE_Level_5__Grade_Level_9_12" localSheetId="9">'1461'!$B$21</definedName>
    <definedName name="_255_ESE_Level_5__Grade_Level_9_12" localSheetId="10">'1571'!$B$21</definedName>
    <definedName name="_255_ESE_Level_5__Grade_Level_9_12" localSheetId="11">'2521'!$B$21</definedName>
    <definedName name="_255_ESE_Level_5__Grade_Level_9_12" localSheetId="12">'2531'!$B$21</definedName>
    <definedName name="_255_ESE_Level_5__Grade_Level_9_12" localSheetId="13">'2531 June final'!$B$21</definedName>
    <definedName name="_255_ESE_Level_5__Grade_Level_9_12" localSheetId="14">'2641'!$B$21</definedName>
    <definedName name="_255_ESE_Level_5__Grade_Level_9_12" localSheetId="15">'2641 June Final'!$B$21</definedName>
    <definedName name="_255_ESE_Level_5__Grade_Level_9_12" localSheetId="16">'2661'!$B$21</definedName>
    <definedName name="_255_ESE_Level_5__Grade_Level_9_12" localSheetId="17">'2661 June Final'!$B$21</definedName>
    <definedName name="_255_ESE_Level_5__Grade_Level_9_12" localSheetId="18">'2791'!$B$21</definedName>
    <definedName name="_255_ESE_Level_5__Grade_Level_9_12" localSheetId="19">'2791 June final'!$B$21</definedName>
    <definedName name="_255_ESE_Level_5__Grade_Level_9_12" localSheetId="20">'2801'!$B$21</definedName>
    <definedName name="_255_ESE_Level_5__Grade_Level_9_12" localSheetId="21">'2801 June Final'!$B$21</definedName>
    <definedName name="_255_ESE_Level_5__Grade_Level_9_12" localSheetId="22">'2911'!$B$21</definedName>
    <definedName name="_255_ESE_Level_5__Grade_Level_9_12" localSheetId="23">'2911 June final'!$B$21</definedName>
    <definedName name="_255_ESE_Level_5__Grade_Level_9_12" localSheetId="24">'2941'!$B$21</definedName>
    <definedName name="_255_ESE_Level_5__Grade_Level_9_12" localSheetId="25">'2941 June final'!$B$21</definedName>
    <definedName name="_255_ESE_Level_5__Grade_Level_9_12" localSheetId="26">'3083'!$B$21</definedName>
    <definedName name="_255_ESE_Level_5__Grade_Level_9_12" localSheetId="27">'3344'!$B$21</definedName>
    <definedName name="_255_ESE_Level_5__Grade_Level_9_12" localSheetId="28">'3345'!$B$21</definedName>
    <definedName name="_255_ESE_Level_5__Grade_Level_9_12" localSheetId="29">'3347'!$B$21</definedName>
    <definedName name="_255_ESE_Level_5__Grade_Level_9_12" localSheetId="30">'3381'!$B$21</definedName>
    <definedName name="_255_ESE_Level_5__Grade_Level_9_12" localSheetId="31">'3381 June Final'!$B$21</definedName>
    <definedName name="_255_ESE_Level_5__Grade_Level_9_12" localSheetId="32">'3382'!$B$21</definedName>
    <definedName name="_255_ESE_Level_5__Grade_Level_9_12" localSheetId="33">'3382 June Final'!$B$21</definedName>
    <definedName name="_255_ESE_Level_5__Grade_Level_9_12" localSheetId="34">'3384'!$B$21</definedName>
    <definedName name="_255_ESE_Level_5__Grade_Level_9_12" localSheetId="35">'3384 June Final'!$B$21</definedName>
    <definedName name="_255_ESE_Level_5__Grade_Level_9_12" localSheetId="36">'3385'!$B$21</definedName>
    <definedName name="_255_ESE_Level_5__Grade_Level_9_12" localSheetId="37">'3385 June Final'!$B$21</definedName>
    <definedName name="_255_ESE_Level_5__Grade_Level_9_12" localSheetId="38">'3386'!$B$21</definedName>
    <definedName name="_255_ESE_Level_5__Grade_Level_9_12" localSheetId="39">'3391'!$B$21</definedName>
    <definedName name="_255_ESE_Level_5__Grade_Level_9_12" localSheetId="40">'3392'!$B$21</definedName>
    <definedName name="_255_ESE_Level_5__Grade_Level_9_12" localSheetId="41">'3392 June Final'!$B$21</definedName>
    <definedName name="_255_ESE_Level_5__Grade_Level_9_12" localSheetId="42">'3394'!$B$21</definedName>
    <definedName name="_255_ESE_Level_5__Grade_Level_9_12" localSheetId="43">'3394 June Final'!$B$21</definedName>
    <definedName name="_255_ESE_Level_5__Grade_Level_9_12" localSheetId="44">'3395'!$B$21</definedName>
    <definedName name="_255_ESE_Level_5__Grade_Level_9_12" localSheetId="45">'3395 June Final'!$B$21</definedName>
    <definedName name="_255_ESE_Level_5__Grade_Level_9_12" localSheetId="46">'3396'!$B$21</definedName>
    <definedName name="_255_ESE_Level_5__Grade_Level_9_12" localSheetId="47">'3398'!$B$21</definedName>
    <definedName name="_255_ESE_Level_5__Grade_Level_9_12" localSheetId="48">'3400'!$B$21</definedName>
    <definedName name="_255_ESE_Level_5__Grade_Level_9_12" localSheetId="49">'3401'!$B$21</definedName>
    <definedName name="_255_ESE_Level_5__Grade_Level_9_12" localSheetId="50">'3411'!$B$21</definedName>
    <definedName name="_255_ESE_Level_5__Grade_Level_9_12" localSheetId="51">'3413'!$B$21</definedName>
    <definedName name="_255_ESE_Level_5__Grade_Level_9_12" localSheetId="52">'3413 June Final'!$B$21</definedName>
    <definedName name="_255_ESE_Level_5__Grade_Level_9_12" localSheetId="53">'3421'!$B$21</definedName>
    <definedName name="_255_ESE_Level_5__Grade_Level_9_12" localSheetId="54">'3431'!$B$21</definedName>
    <definedName name="_255_ESE_Level_5__Grade_Level_9_12" localSheetId="55">'3431 June Final'!$B$21</definedName>
    <definedName name="_255_ESE_Level_5__Grade_Level_9_12" localSheetId="56">'3441'!$B$21</definedName>
    <definedName name="_255_ESE_Level_5__Grade_Level_9_12" localSheetId="57">'3443'!$B$21</definedName>
    <definedName name="_255_ESE_Level_5__Grade_Level_9_12" localSheetId="58">'3941'!$B$21</definedName>
    <definedName name="_255_ESE_Level_5__Grade_Level_9_12" localSheetId="59">'3941 June Final'!$B$21</definedName>
    <definedName name="_255_ESE_Level_5__Grade_Level_9_12" localSheetId="60">'3961'!$B$21</definedName>
    <definedName name="_255_ESE_Level_5__Grade_Level_9_12" localSheetId="61">'3961 June Final'!$B$21</definedName>
    <definedName name="_255_ESE_Level_5__Grade_Level_9_12" localSheetId="62">'3971'!$B$21</definedName>
    <definedName name="_255_ESE_Level_5__Grade_Level_9_12" localSheetId="63">'4000'!$B$21</definedName>
    <definedName name="_255_ESE_Level_5__Grade_Level_9_12" localSheetId="64">'4000 June Final'!$B$21</definedName>
    <definedName name="_255_ESE_Level_5__Grade_Level_9_12" localSheetId="65">'4002'!$B$21</definedName>
    <definedName name="_255_ESE_Level_5__Grade_Level_9_12" localSheetId="66">'4002 June Final'!$B$21</definedName>
    <definedName name="_255_ESE_Level_5__Grade_Level_9_12" localSheetId="67">'4010'!$B$21</definedName>
    <definedName name="_255_ESE_Level_5__Grade_Level_9_12" localSheetId="68">'4012'!$B$21</definedName>
    <definedName name="_255_ESE_Level_5__Grade_Level_9_12" localSheetId="69">'4013'!$B$21</definedName>
    <definedName name="_255_ESE_Level_5__Grade_Level_9_12" localSheetId="70">'4020'!$B$21</definedName>
    <definedName name="_255_ESE_Level_5__Grade_Level_9_12" localSheetId="72">'4020 June Final'!$B$21</definedName>
    <definedName name="_255_ESE_Level_5__Grade_Level_9_12" localSheetId="71">'4020 June Tch Alloc.'!$B$21</definedName>
    <definedName name="_255_ESE_Level_5__Grade_Level_9_12" localSheetId="73">'4037'!$B$21</definedName>
    <definedName name="_255_ESE_Level_5__Grade_Level_9_12" localSheetId="74">'4037 June Final'!$B$21</definedName>
    <definedName name="_255_ESE_Level_5__Grade_Level_9_12" localSheetId="75">#REF!</definedName>
    <definedName name="_255_ESE_Level_5__Grade_Level_9_12" localSheetId="76">'4041'!$B$21</definedName>
    <definedName name="_255_ESE_Level_5__Grade_Level_9_12" localSheetId="1">#REF!</definedName>
    <definedName name="_255_ESE_Level_5__Grade_Level_9_12" localSheetId="0">#REF!</definedName>
    <definedName name="_255_ESE_Level_5__Grade_Level_9_12">#REF!</definedName>
    <definedName name="_255_ESE_Level_5__Grade_Level_PK_3" localSheetId="3">'0054'!$B$19</definedName>
    <definedName name="_255_ESE_Level_5__Grade_Level_PK_3" localSheetId="4">'0054 June Final'!$B$19</definedName>
    <definedName name="_255_ESE_Level_5__Grade_Level_PK_3" localSheetId="5">'0642'!$B$19</definedName>
    <definedName name="_255_ESE_Level_5__Grade_Level_PK_3" localSheetId="6">'0642 June Final'!$B$19</definedName>
    <definedName name="_255_ESE_Level_5__Grade_Level_PK_3" localSheetId="7">'0664'!$B$19</definedName>
    <definedName name="_255_ESE_Level_5__Grade_Level_PK_3" localSheetId="8">'0664 June Final'!$B$19</definedName>
    <definedName name="_255_ESE_Level_5__Grade_Level_PK_3" localSheetId="9">'1461'!$B$19</definedName>
    <definedName name="_255_ESE_Level_5__Grade_Level_PK_3" localSheetId="10">'1571'!$B$19</definedName>
    <definedName name="_255_ESE_Level_5__Grade_Level_PK_3" localSheetId="11">'2521'!$B$19</definedName>
    <definedName name="_255_ESE_Level_5__Grade_Level_PK_3" localSheetId="12">'2531'!$B$19</definedName>
    <definedName name="_255_ESE_Level_5__Grade_Level_PK_3" localSheetId="13">'2531 June final'!$B$19</definedName>
    <definedName name="_255_ESE_Level_5__Grade_Level_PK_3" localSheetId="14">'2641'!$B$19</definedName>
    <definedName name="_255_ESE_Level_5__Grade_Level_PK_3" localSheetId="15">'2641 June Final'!$B$19</definedName>
    <definedName name="_255_ESE_Level_5__Grade_Level_PK_3" localSheetId="16">'2661'!$B$19</definedName>
    <definedName name="_255_ESE_Level_5__Grade_Level_PK_3" localSheetId="17">'2661 June Final'!$B$19</definedName>
    <definedName name="_255_ESE_Level_5__Grade_Level_PK_3" localSheetId="18">'2791'!$B$19</definedName>
    <definedName name="_255_ESE_Level_5__Grade_Level_PK_3" localSheetId="19">'2791 June final'!$B$19</definedName>
    <definedName name="_255_ESE_Level_5__Grade_Level_PK_3" localSheetId="20">'2801'!$B$19</definedName>
    <definedName name="_255_ESE_Level_5__Grade_Level_PK_3" localSheetId="21">'2801 June Final'!$B$19</definedName>
    <definedName name="_255_ESE_Level_5__Grade_Level_PK_3" localSheetId="22">'2911'!$B$19</definedName>
    <definedName name="_255_ESE_Level_5__Grade_Level_PK_3" localSheetId="23">'2911 June final'!$B$19</definedName>
    <definedName name="_255_ESE_Level_5__Grade_Level_PK_3" localSheetId="24">'2941'!$B$19</definedName>
    <definedName name="_255_ESE_Level_5__Grade_Level_PK_3" localSheetId="25">'2941 June final'!$B$19</definedName>
    <definedName name="_255_ESE_Level_5__Grade_Level_PK_3" localSheetId="26">'3083'!$B$19</definedName>
    <definedName name="_255_ESE_Level_5__Grade_Level_PK_3" localSheetId="27">'3344'!$B$19</definedName>
    <definedName name="_255_ESE_Level_5__Grade_Level_PK_3" localSheetId="28">'3345'!$B$19</definedName>
    <definedName name="_255_ESE_Level_5__Grade_Level_PK_3" localSheetId="29">'3347'!$B$19</definedName>
    <definedName name="_255_ESE_Level_5__Grade_Level_PK_3" localSheetId="30">'3381'!$B$19</definedName>
    <definedName name="_255_ESE_Level_5__Grade_Level_PK_3" localSheetId="31">'3381 June Final'!$B$19</definedName>
    <definedName name="_255_ESE_Level_5__Grade_Level_PK_3" localSheetId="32">'3382'!$B$19</definedName>
    <definedName name="_255_ESE_Level_5__Grade_Level_PK_3" localSheetId="33">'3382 June Final'!$B$19</definedName>
    <definedName name="_255_ESE_Level_5__Grade_Level_PK_3" localSheetId="34">'3384'!$B$19</definedName>
    <definedName name="_255_ESE_Level_5__Grade_Level_PK_3" localSheetId="35">'3384 June Final'!$B$19</definedName>
    <definedName name="_255_ESE_Level_5__Grade_Level_PK_3" localSheetId="36">'3385'!$B$19</definedName>
    <definedName name="_255_ESE_Level_5__Grade_Level_PK_3" localSheetId="37">'3385 June Final'!$B$19</definedName>
    <definedName name="_255_ESE_Level_5__Grade_Level_PK_3" localSheetId="38">'3386'!$B$19</definedName>
    <definedName name="_255_ESE_Level_5__Grade_Level_PK_3" localSheetId="39">'3391'!$B$19</definedName>
    <definedName name="_255_ESE_Level_5__Grade_Level_PK_3" localSheetId="40">'3392'!$B$19</definedName>
    <definedName name="_255_ESE_Level_5__Grade_Level_PK_3" localSheetId="41">'3392 June Final'!$B$19</definedName>
    <definedName name="_255_ESE_Level_5__Grade_Level_PK_3" localSheetId="42">'3394'!$B$19</definedName>
    <definedName name="_255_ESE_Level_5__Grade_Level_PK_3" localSheetId="43">'3394 June Final'!$B$19</definedName>
    <definedName name="_255_ESE_Level_5__Grade_Level_PK_3" localSheetId="44">'3395'!$B$19</definedName>
    <definedName name="_255_ESE_Level_5__Grade_Level_PK_3" localSheetId="45">'3395 June Final'!$B$19</definedName>
    <definedName name="_255_ESE_Level_5__Grade_Level_PK_3" localSheetId="46">'3396'!$B$19</definedName>
    <definedName name="_255_ESE_Level_5__Grade_Level_PK_3" localSheetId="47">'3398'!$B$19</definedName>
    <definedName name="_255_ESE_Level_5__Grade_Level_PK_3" localSheetId="48">'3400'!$B$19</definedName>
    <definedName name="_255_ESE_Level_5__Grade_Level_PK_3" localSheetId="49">'3401'!$B$19</definedName>
    <definedName name="_255_ESE_Level_5__Grade_Level_PK_3" localSheetId="50">'3411'!$B$19</definedName>
    <definedName name="_255_ESE_Level_5__Grade_Level_PK_3" localSheetId="51">'3413'!$B$19</definedName>
    <definedName name="_255_ESE_Level_5__Grade_Level_PK_3" localSheetId="52">'3413 June Final'!$B$19</definedName>
    <definedName name="_255_ESE_Level_5__Grade_Level_PK_3" localSheetId="53">'3421'!$B$19</definedName>
    <definedName name="_255_ESE_Level_5__Grade_Level_PK_3" localSheetId="54">'3431'!$B$19</definedName>
    <definedName name="_255_ESE_Level_5__Grade_Level_PK_3" localSheetId="55">'3431 June Final'!$B$19</definedName>
    <definedName name="_255_ESE_Level_5__Grade_Level_PK_3" localSheetId="56">'3441'!$B$19</definedName>
    <definedName name="_255_ESE_Level_5__Grade_Level_PK_3" localSheetId="57">'3443'!$B$19</definedName>
    <definedName name="_255_ESE_Level_5__Grade_Level_PK_3" localSheetId="58">'3941'!$B$19</definedName>
    <definedName name="_255_ESE_Level_5__Grade_Level_PK_3" localSheetId="59">'3941 June Final'!$B$19</definedName>
    <definedName name="_255_ESE_Level_5__Grade_Level_PK_3" localSheetId="60">'3961'!$B$19</definedName>
    <definedName name="_255_ESE_Level_5__Grade_Level_PK_3" localSheetId="61">'3961 June Final'!$B$19</definedName>
    <definedName name="_255_ESE_Level_5__Grade_Level_PK_3" localSheetId="62">'3971'!$B$19</definedName>
    <definedName name="_255_ESE_Level_5__Grade_Level_PK_3" localSheetId="63">'4000'!$B$19</definedName>
    <definedName name="_255_ESE_Level_5__Grade_Level_PK_3" localSheetId="64">'4000 June Final'!$B$19</definedName>
    <definedName name="_255_ESE_Level_5__Grade_Level_PK_3" localSheetId="65">'4002'!$B$19</definedName>
    <definedName name="_255_ESE_Level_5__Grade_Level_PK_3" localSheetId="66">'4002 June Final'!$B$19</definedName>
    <definedName name="_255_ESE_Level_5__Grade_Level_PK_3" localSheetId="67">'4010'!$B$19</definedName>
    <definedName name="_255_ESE_Level_5__Grade_Level_PK_3" localSheetId="68">'4012'!$B$19</definedName>
    <definedName name="_255_ESE_Level_5__Grade_Level_PK_3" localSheetId="69">'4013'!$B$19</definedName>
    <definedName name="_255_ESE_Level_5__Grade_Level_PK_3" localSheetId="70">'4020'!$B$19</definedName>
    <definedName name="_255_ESE_Level_5__Grade_Level_PK_3" localSheetId="72">'4020 June Final'!$B$19</definedName>
    <definedName name="_255_ESE_Level_5__Grade_Level_PK_3" localSheetId="71">'4020 June Tch Alloc.'!$B$19</definedName>
    <definedName name="_255_ESE_Level_5__Grade_Level_PK_3" localSheetId="73">'4037'!$B$19</definedName>
    <definedName name="_255_ESE_Level_5__Grade_Level_PK_3" localSheetId="74">'4037 June Final'!$B$19</definedName>
    <definedName name="_255_ESE_Level_5__Grade_Level_PK_3" localSheetId="75">#REF!</definedName>
    <definedName name="_255_ESE_Level_5__Grade_Level_PK_3" localSheetId="76">'4041'!$B$19</definedName>
    <definedName name="_255_ESE_Level_5__Grade_Level_PK_3" localSheetId="1">#REF!</definedName>
    <definedName name="_255_ESE_Level_5__Grade_Level_PK_3" localSheetId="0">#REF!</definedName>
    <definedName name="_255_ESE_Level_5__Grade_Level_PK_3">#REF!</definedName>
    <definedName name="_3.__Supplemental_Academic_Instruction" localSheetId="3">'0054'!$B$38</definedName>
    <definedName name="_3.__Supplemental_Academic_Instruction" localSheetId="4">'0054 June Final'!$B$38</definedName>
    <definedName name="_3.__Supplemental_Academic_Instruction" localSheetId="5">'0642'!$B$38</definedName>
    <definedName name="_3.__Supplemental_Academic_Instruction" localSheetId="6">'0642 June Final'!$B$38</definedName>
    <definedName name="_3.__Supplemental_Academic_Instruction" localSheetId="7">'0664'!$B$38</definedName>
    <definedName name="_3.__Supplemental_Academic_Instruction" localSheetId="8">'0664 June Final'!$B$38</definedName>
    <definedName name="_3.__Supplemental_Academic_Instruction" localSheetId="9">'1461'!$B$38</definedName>
    <definedName name="_3.__Supplemental_Academic_Instruction" localSheetId="10">'1571'!$B$38</definedName>
    <definedName name="_3.__Supplemental_Academic_Instruction" localSheetId="11">'2521'!$B$38</definedName>
    <definedName name="_3.__Supplemental_Academic_Instruction" localSheetId="12">'2531'!$B$38</definedName>
    <definedName name="_3.__Supplemental_Academic_Instruction" localSheetId="13">'2531 June final'!$B$38</definedName>
    <definedName name="_3.__Supplemental_Academic_Instruction" localSheetId="14">'2641'!$B$38</definedName>
    <definedName name="_3.__Supplemental_Academic_Instruction" localSheetId="15">'2641 June Final'!$B$38</definedName>
    <definedName name="_3.__Supplemental_Academic_Instruction" localSheetId="16">'2661'!$B$38</definedName>
    <definedName name="_3.__Supplemental_Academic_Instruction" localSheetId="17">'2661 June Final'!$B$38</definedName>
    <definedName name="_3.__Supplemental_Academic_Instruction" localSheetId="18">'2791'!$B$38</definedName>
    <definedName name="_3.__Supplemental_Academic_Instruction" localSheetId="19">'2791 June final'!$B$38</definedName>
    <definedName name="_3.__Supplemental_Academic_Instruction" localSheetId="20">'2801'!$B$38</definedName>
    <definedName name="_3.__Supplemental_Academic_Instruction" localSheetId="21">'2801 June Final'!$B$38</definedName>
    <definedName name="_3.__Supplemental_Academic_Instruction" localSheetId="22">'2911'!$B$38</definedName>
    <definedName name="_3.__Supplemental_Academic_Instruction" localSheetId="23">'2911 June final'!$B$38</definedName>
    <definedName name="_3.__Supplemental_Academic_Instruction" localSheetId="24">'2941'!$B$38</definedName>
    <definedName name="_3.__Supplemental_Academic_Instruction" localSheetId="25">'2941 June final'!$B$38</definedName>
    <definedName name="_3.__Supplemental_Academic_Instruction" localSheetId="26">'3083'!$B$38</definedName>
    <definedName name="_3.__Supplemental_Academic_Instruction" localSheetId="27">'3344'!$B$38</definedName>
    <definedName name="_3.__Supplemental_Academic_Instruction" localSheetId="28">'3345'!$B$38</definedName>
    <definedName name="_3.__Supplemental_Academic_Instruction" localSheetId="29">'3347'!$B$38</definedName>
    <definedName name="_3.__Supplemental_Academic_Instruction" localSheetId="30">'3381'!$B$38</definedName>
    <definedName name="_3.__Supplemental_Academic_Instruction" localSheetId="31">'3381 June Final'!$B$38</definedName>
    <definedName name="_3.__Supplemental_Academic_Instruction" localSheetId="32">'3382'!$B$38</definedName>
    <definedName name="_3.__Supplemental_Academic_Instruction" localSheetId="33">'3382 June Final'!$B$38</definedName>
    <definedName name="_3.__Supplemental_Academic_Instruction" localSheetId="34">'3384'!$B$38</definedName>
    <definedName name="_3.__Supplemental_Academic_Instruction" localSheetId="35">'3384 June Final'!$B$38</definedName>
    <definedName name="_3.__Supplemental_Academic_Instruction" localSheetId="36">'3385'!$B$38</definedName>
    <definedName name="_3.__Supplemental_Academic_Instruction" localSheetId="37">'3385 June Final'!$B$38</definedName>
    <definedName name="_3.__Supplemental_Academic_Instruction" localSheetId="38">'3386'!$B$38</definedName>
    <definedName name="_3.__Supplemental_Academic_Instruction" localSheetId="39">'3391'!$B$38</definedName>
    <definedName name="_3.__Supplemental_Academic_Instruction" localSheetId="40">'3392'!$B$38</definedName>
    <definedName name="_3.__Supplemental_Academic_Instruction" localSheetId="41">'3392 June Final'!$B$38</definedName>
    <definedName name="_3.__Supplemental_Academic_Instruction" localSheetId="42">'3394'!$B$38</definedName>
    <definedName name="_3.__Supplemental_Academic_Instruction" localSheetId="43">'3394 June Final'!$B$38</definedName>
    <definedName name="_3.__Supplemental_Academic_Instruction" localSheetId="44">'3395'!$B$38</definedName>
    <definedName name="_3.__Supplemental_Academic_Instruction" localSheetId="45">'3395 June Final'!$B$38</definedName>
    <definedName name="_3.__Supplemental_Academic_Instruction" localSheetId="46">'3396'!$B$38</definedName>
    <definedName name="_3.__Supplemental_Academic_Instruction" localSheetId="47">'3398'!$B$38</definedName>
    <definedName name="_3.__Supplemental_Academic_Instruction" localSheetId="48">'3400'!$B$38</definedName>
    <definedName name="_3.__Supplemental_Academic_Instruction" localSheetId="49">'3401'!$B$38</definedName>
    <definedName name="_3.__Supplemental_Academic_Instruction" localSheetId="50">'3411'!$B$38</definedName>
    <definedName name="_3.__Supplemental_Academic_Instruction" localSheetId="51">'3413'!$B$38</definedName>
    <definedName name="_3.__Supplemental_Academic_Instruction" localSheetId="52">'3413 June Final'!$B$38</definedName>
    <definedName name="_3.__Supplemental_Academic_Instruction" localSheetId="53">'3421'!$B$38</definedName>
    <definedName name="_3.__Supplemental_Academic_Instruction" localSheetId="54">'3431'!$B$38</definedName>
    <definedName name="_3.__Supplemental_Academic_Instruction" localSheetId="55">'3431 June Final'!$B$38</definedName>
    <definedName name="_3.__Supplemental_Academic_Instruction" localSheetId="56">'3441'!$B$38</definedName>
    <definedName name="_3.__Supplemental_Academic_Instruction" localSheetId="57">'3443'!$B$38</definedName>
    <definedName name="_3.__Supplemental_Academic_Instruction" localSheetId="58">'3941'!$B$38</definedName>
    <definedName name="_3.__Supplemental_Academic_Instruction" localSheetId="59">'3941 June Final'!$B$38</definedName>
    <definedName name="_3.__Supplemental_Academic_Instruction" localSheetId="60">'3961'!$B$38</definedName>
    <definedName name="_3.__Supplemental_Academic_Instruction" localSheetId="61">'3961 June Final'!$B$38</definedName>
    <definedName name="_3.__Supplemental_Academic_Instruction" localSheetId="62">'3971'!$B$38</definedName>
    <definedName name="_3.__Supplemental_Academic_Instruction" localSheetId="63">'4000'!$B$38</definedName>
    <definedName name="_3.__Supplemental_Academic_Instruction" localSheetId="64">'4000 June Final'!$B$38</definedName>
    <definedName name="_3.__Supplemental_Academic_Instruction" localSheetId="65">'4002'!$B$38</definedName>
    <definedName name="_3.__Supplemental_Academic_Instruction" localSheetId="66">'4002 June Final'!$B$38</definedName>
    <definedName name="_3.__Supplemental_Academic_Instruction" localSheetId="67">'4010'!$B$38</definedName>
    <definedName name="_3.__Supplemental_Academic_Instruction" localSheetId="68">'4012'!$B$38</definedName>
    <definedName name="_3.__Supplemental_Academic_Instruction" localSheetId="69">'4013'!$B$38</definedName>
    <definedName name="_3.__Supplemental_Academic_Instruction" localSheetId="70">'4020'!$B$38</definedName>
    <definedName name="_3.__Supplemental_Academic_Instruction" localSheetId="72">'4020 June Final'!$B$38</definedName>
    <definedName name="_3.__Supplemental_Academic_Instruction" localSheetId="71">'4020 June Tch Alloc.'!$B$38</definedName>
    <definedName name="_3.__Supplemental_Academic_Instruction" localSheetId="73">'4037'!$B$38</definedName>
    <definedName name="_3.__Supplemental_Academic_Instruction" localSheetId="74">'4037 June Final'!$B$38</definedName>
    <definedName name="_3.__Supplemental_Academic_Instruction" localSheetId="75">#REF!</definedName>
    <definedName name="_3.__Supplemental_Academic_Instruction" localSheetId="76">'4041'!$B$38</definedName>
    <definedName name="_3.__Supplemental_Academic_Instruction" localSheetId="1">#REF!</definedName>
    <definedName name="_3.__Supplemental_Academic_Instruction" localSheetId="0">#REF!</definedName>
    <definedName name="_3.__Supplemental_Academic_Instruction">#REF!</definedName>
    <definedName name="_300_Career_Education__Grades_9_12" localSheetId="3">'0054'!$B$25</definedName>
    <definedName name="_300_Career_Education__Grades_9_12" localSheetId="4">'0054 June Final'!$B$25</definedName>
    <definedName name="_300_Career_Education__Grades_9_12" localSheetId="5">'0642'!$B$25</definedName>
    <definedName name="_300_Career_Education__Grades_9_12" localSheetId="6">'0642 June Final'!$B$25</definedName>
    <definedName name="_300_Career_Education__Grades_9_12" localSheetId="7">'0664'!$B$25</definedName>
    <definedName name="_300_Career_Education__Grades_9_12" localSheetId="8">'0664 June Final'!$B$25</definedName>
    <definedName name="_300_Career_Education__Grades_9_12" localSheetId="9">'1461'!$B$25</definedName>
    <definedName name="_300_Career_Education__Grades_9_12" localSheetId="10">'1571'!$B$25</definedName>
    <definedName name="_300_Career_Education__Grades_9_12" localSheetId="11">'2521'!$B$25</definedName>
    <definedName name="_300_Career_Education__Grades_9_12" localSheetId="12">'2531'!$B$25</definedName>
    <definedName name="_300_Career_Education__Grades_9_12" localSheetId="13">'2531 June final'!$B$25</definedName>
    <definedName name="_300_Career_Education__Grades_9_12" localSheetId="14">'2641'!$B$25</definedName>
    <definedName name="_300_Career_Education__Grades_9_12" localSheetId="15">'2641 June Final'!$B$25</definedName>
    <definedName name="_300_Career_Education__Grades_9_12" localSheetId="16">'2661'!$B$25</definedName>
    <definedName name="_300_Career_Education__Grades_9_12" localSheetId="17">'2661 June Final'!$B$25</definedName>
    <definedName name="_300_Career_Education__Grades_9_12" localSheetId="18">'2791'!$B$25</definedName>
    <definedName name="_300_Career_Education__Grades_9_12" localSheetId="19">'2791 June final'!$B$25</definedName>
    <definedName name="_300_Career_Education__Grades_9_12" localSheetId="20">'2801'!$B$25</definedName>
    <definedName name="_300_Career_Education__Grades_9_12" localSheetId="21">'2801 June Final'!$B$25</definedName>
    <definedName name="_300_Career_Education__Grades_9_12" localSheetId="22">'2911'!$B$25</definedName>
    <definedName name="_300_Career_Education__Grades_9_12" localSheetId="23">'2911 June final'!$B$25</definedName>
    <definedName name="_300_Career_Education__Grades_9_12" localSheetId="24">'2941'!$B$25</definedName>
    <definedName name="_300_Career_Education__Grades_9_12" localSheetId="25">'2941 June final'!$B$25</definedName>
    <definedName name="_300_Career_Education__Grades_9_12" localSheetId="26">'3083'!$B$25</definedName>
    <definedName name="_300_Career_Education__Grades_9_12" localSheetId="27">'3344'!$B$25</definedName>
    <definedName name="_300_Career_Education__Grades_9_12" localSheetId="28">'3345'!$B$25</definedName>
    <definedName name="_300_Career_Education__Grades_9_12" localSheetId="29">'3347'!$B$25</definedName>
    <definedName name="_300_Career_Education__Grades_9_12" localSheetId="30">'3381'!$B$25</definedName>
    <definedName name="_300_Career_Education__Grades_9_12" localSheetId="31">'3381 June Final'!$B$25</definedName>
    <definedName name="_300_Career_Education__Grades_9_12" localSheetId="32">'3382'!$B$25</definedName>
    <definedName name="_300_Career_Education__Grades_9_12" localSheetId="33">'3382 June Final'!$B$25</definedName>
    <definedName name="_300_Career_Education__Grades_9_12" localSheetId="34">'3384'!$B$25</definedName>
    <definedName name="_300_Career_Education__Grades_9_12" localSheetId="35">'3384 June Final'!$B$25</definedName>
    <definedName name="_300_Career_Education__Grades_9_12" localSheetId="36">'3385'!$B$25</definedName>
    <definedName name="_300_Career_Education__Grades_9_12" localSheetId="37">'3385 June Final'!$B$25</definedName>
    <definedName name="_300_Career_Education__Grades_9_12" localSheetId="38">'3386'!$B$25</definedName>
    <definedName name="_300_Career_Education__Grades_9_12" localSheetId="39">'3391'!$B$25</definedName>
    <definedName name="_300_Career_Education__Grades_9_12" localSheetId="40">'3392'!$B$25</definedName>
    <definedName name="_300_Career_Education__Grades_9_12" localSheetId="41">'3392 June Final'!$B$25</definedName>
    <definedName name="_300_Career_Education__Grades_9_12" localSheetId="42">'3394'!$B$25</definedName>
    <definedName name="_300_Career_Education__Grades_9_12" localSheetId="43">'3394 June Final'!$B$25</definedName>
    <definedName name="_300_Career_Education__Grades_9_12" localSheetId="44">'3395'!$B$25</definedName>
    <definedName name="_300_Career_Education__Grades_9_12" localSheetId="45">'3395 June Final'!$B$25</definedName>
    <definedName name="_300_Career_Education__Grades_9_12" localSheetId="46">'3396'!$B$25</definedName>
    <definedName name="_300_Career_Education__Grades_9_12" localSheetId="47">'3398'!$B$25</definedName>
    <definedName name="_300_Career_Education__Grades_9_12" localSheetId="48">'3400'!$B$25</definedName>
    <definedName name="_300_Career_Education__Grades_9_12" localSheetId="49">'3401'!$B$25</definedName>
    <definedName name="_300_Career_Education__Grades_9_12" localSheetId="50">'3411'!$B$25</definedName>
    <definedName name="_300_Career_Education__Grades_9_12" localSheetId="51">'3413'!$B$25</definedName>
    <definedName name="_300_Career_Education__Grades_9_12" localSheetId="52">'3413 June Final'!$B$25</definedName>
    <definedName name="_300_Career_Education__Grades_9_12" localSheetId="53">'3421'!$B$25</definedName>
    <definedName name="_300_Career_Education__Grades_9_12" localSheetId="54">'3431'!$B$25</definedName>
    <definedName name="_300_Career_Education__Grades_9_12" localSheetId="55">'3431 June Final'!$B$25</definedName>
    <definedName name="_300_Career_Education__Grades_9_12" localSheetId="56">'3441'!$B$25</definedName>
    <definedName name="_300_Career_Education__Grades_9_12" localSheetId="57">'3443'!$B$25</definedName>
    <definedName name="_300_Career_Education__Grades_9_12" localSheetId="58">'3941'!$B$25</definedName>
    <definedName name="_300_Career_Education__Grades_9_12" localSheetId="59">'3941 June Final'!$B$25</definedName>
    <definedName name="_300_Career_Education__Grades_9_12" localSheetId="60">'3961'!$B$25</definedName>
    <definedName name="_300_Career_Education__Grades_9_12" localSheetId="61">'3961 June Final'!$B$25</definedName>
    <definedName name="_300_Career_Education__Grades_9_12" localSheetId="62">'3971'!$B$25</definedName>
    <definedName name="_300_Career_Education__Grades_9_12" localSheetId="63">'4000'!$B$25</definedName>
    <definedName name="_300_Career_Education__Grades_9_12" localSheetId="64">'4000 June Final'!$B$25</definedName>
    <definedName name="_300_Career_Education__Grades_9_12" localSheetId="65">'4002'!$B$25</definedName>
    <definedName name="_300_Career_Education__Grades_9_12" localSheetId="66">'4002 June Final'!$B$25</definedName>
    <definedName name="_300_Career_Education__Grades_9_12" localSheetId="67">'4010'!$B$25</definedName>
    <definedName name="_300_Career_Education__Grades_9_12" localSheetId="68">'4012'!$B$25</definedName>
    <definedName name="_300_Career_Education__Grades_9_12" localSheetId="69">'4013'!$B$25</definedName>
    <definedName name="_300_Career_Education__Grades_9_12" localSheetId="70">'4020'!$B$25</definedName>
    <definedName name="_300_Career_Education__Grades_9_12" localSheetId="72">'4020 June Final'!$B$25</definedName>
    <definedName name="_300_Career_Education__Grades_9_12" localSheetId="71">'4020 June Tch Alloc.'!$B$25</definedName>
    <definedName name="_300_Career_Education__Grades_9_12" localSheetId="73">'4037'!$B$25</definedName>
    <definedName name="_300_Career_Education__Grades_9_12" localSheetId="74">'4037 June Final'!$B$25</definedName>
    <definedName name="_300_Career_Education__Grades_9_12" localSheetId="75">#REF!</definedName>
    <definedName name="_300_Career_Education__Grades_9_12" localSheetId="76">'4041'!$B$25</definedName>
    <definedName name="_300_Career_Education__Grades_9_12" localSheetId="1">#REF!</definedName>
    <definedName name="_300_Career_Education__Grades_9_12" localSheetId="0">#REF!</definedName>
    <definedName name="_300_Career_Education__Grades_9_12">#REF!</definedName>
    <definedName name="_4_8" localSheetId="3">'0054'!$B$48</definedName>
    <definedName name="_4_8" localSheetId="4">'0054 June Final'!$B$48</definedName>
    <definedName name="_4_8" localSheetId="5">'0642'!$B$48</definedName>
    <definedName name="_4_8" localSheetId="6">'0642 June Final'!$B$48</definedName>
    <definedName name="_4_8" localSheetId="7">'0664'!$B$48</definedName>
    <definedName name="_4_8" localSheetId="8">'0664 June Final'!$B$48</definedName>
    <definedName name="_4_8" localSheetId="9">'1461'!$B$48</definedName>
    <definedName name="_4_8" localSheetId="10">'1571'!$B$48</definedName>
    <definedName name="_4_8" localSheetId="11">'2521'!$B$48</definedName>
    <definedName name="_4_8" localSheetId="12">'2531'!$B$48</definedName>
    <definedName name="_4_8" localSheetId="13">'2531 June final'!$B$48</definedName>
    <definedName name="_4_8" localSheetId="14">'2641'!$B$48</definedName>
    <definedName name="_4_8" localSheetId="15">'2641 June Final'!$B$48</definedName>
    <definedName name="_4_8" localSheetId="16">'2661'!$B$48</definedName>
    <definedName name="_4_8" localSheetId="17">'2661 June Final'!$B$48</definedName>
    <definedName name="_4_8" localSheetId="18">'2791'!$B$48</definedName>
    <definedName name="_4_8" localSheetId="19">'2791 June final'!$B$48</definedName>
    <definedName name="_4_8" localSheetId="20">'2801'!$B$48</definedName>
    <definedName name="_4_8" localSheetId="21">'2801 June Final'!$B$48</definedName>
    <definedName name="_4_8" localSheetId="22">'2911'!$B$48</definedName>
    <definedName name="_4_8" localSheetId="23">'2911 June final'!$B$48</definedName>
    <definedName name="_4_8" localSheetId="24">'2941'!$B$48</definedName>
    <definedName name="_4_8" localSheetId="25">'2941 June final'!$B$48</definedName>
    <definedName name="_4_8" localSheetId="26">'3083'!$B$48</definedName>
    <definedName name="_4_8" localSheetId="27">'3344'!$B$48</definedName>
    <definedName name="_4_8" localSheetId="28">'3345'!$B$48</definedName>
    <definedName name="_4_8" localSheetId="29">'3347'!$B$48</definedName>
    <definedName name="_4_8" localSheetId="30">'3381'!$B$48</definedName>
    <definedName name="_4_8" localSheetId="31">'3381 June Final'!$B$48</definedName>
    <definedName name="_4_8" localSheetId="32">'3382'!$B$48</definedName>
    <definedName name="_4_8" localSheetId="33">'3382 June Final'!$B$48</definedName>
    <definedName name="_4_8" localSheetId="34">'3384'!$B$48</definedName>
    <definedName name="_4_8" localSheetId="35">'3384 June Final'!$B$48</definedName>
    <definedName name="_4_8" localSheetId="36">'3385'!$B$48</definedName>
    <definedName name="_4_8" localSheetId="37">'3385 June Final'!$B$48</definedName>
    <definedName name="_4_8" localSheetId="38">'3386'!$B$48</definedName>
    <definedName name="_4_8" localSheetId="39">'3391'!$B$48</definedName>
    <definedName name="_4_8" localSheetId="40">'3392'!$B$48</definedName>
    <definedName name="_4_8" localSheetId="41">'3392 June Final'!$B$48</definedName>
    <definedName name="_4_8" localSheetId="42">'3394'!$B$48</definedName>
    <definedName name="_4_8" localSheetId="43">'3394 June Final'!$B$48</definedName>
    <definedName name="_4_8" localSheetId="44">'3395'!$B$48</definedName>
    <definedName name="_4_8" localSheetId="45">'3395 June Final'!$B$48</definedName>
    <definedName name="_4_8" localSheetId="46">'3396'!$B$48</definedName>
    <definedName name="_4_8" localSheetId="47">'3398'!$B$48</definedName>
    <definedName name="_4_8" localSheetId="48">'3400'!$B$48</definedName>
    <definedName name="_4_8" localSheetId="49">'3401'!$B$48</definedName>
    <definedName name="_4_8" localSheetId="50">'3411'!$B$48</definedName>
    <definedName name="_4_8" localSheetId="51">'3413'!$B$48</definedName>
    <definedName name="_4_8" localSheetId="52">'3413 June Final'!$B$48</definedName>
    <definedName name="_4_8" localSheetId="53">'3421'!$B$48</definedName>
    <definedName name="_4_8" localSheetId="54">'3431'!$B$48</definedName>
    <definedName name="_4_8" localSheetId="55">'3431 June Final'!$B$48</definedName>
    <definedName name="_4_8" localSheetId="56">'3441'!$B$48</definedName>
    <definedName name="_4_8" localSheetId="57">'3443'!$B$48</definedName>
    <definedName name="_4_8" localSheetId="58">'3941'!$B$48</definedName>
    <definedName name="_4_8" localSheetId="59">'3941 June Final'!$B$48</definedName>
    <definedName name="_4_8" localSheetId="60">'3961'!$B$48</definedName>
    <definedName name="_4_8" localSheetId="61">'3961 June Final'!$B$48</definedName>
    <definedName name="_4_8" localSheetId="62">'3971'!$B$48</definedName>
    <definedName name="_4_8" localSheetId="63">'4000'!$B$48</definedName>
    <definedName name="_4_8" localSheetId="64">'4000 June Final'!$B$48</definedName>
    <definedName name="_4_8" localSheetId="65">'4002'!$B$48</definedName>
    <definedName name="_4_8" localSheetId="66">'4002 June Final'!$B$48</definedName>
    <definedName name="_4_8" localSheetId="67">'4010'!$B$48</definedName>
    <definedName name="_4_8" localSheetId="68">'4012'!$B$48</definedName>
    <definedName name="_4_8" localSheetId="69">'4013'!$B$48</definedName>
    <definedName name="_4_8" localSheetId="70">'4020'!$B$48</definedName>
    <definedName name="_4_8" localSheetId="72">'4020 June Final'!$B$48</definedName>
    <definedName name="_4_8" localSheetId="71">'4020 June Tch Alloc.'!$B$48</definedName>
    <definedName name="_4_8" localSheetId="73">'4037'!$B$48</definedName>
    <definedName name="_4_8" localSheetId="74">'4037 June Final'!$B$48</definedName>
    <definedName name="_4_8" localSheetId="75">#REF!</definedName>
    <definedName name="_4_8" localSheetId="76">'4041'!$B$48</definedName>
    <definedName name="_4_8" localSheetId="1">#REF!</definedName>
    <definedName name="_4_8" localSheetId="0">#REF!</definedName>
    <definedName name="_4_8">#REF!</definedName>
    <definedName name="_9_12" localSheetId="3">'0054'!$B$49</definedName>
    <definedName name="_9_12" localSheetId="4">'0054 June Final'!$B$49</definedName>
    <definedName name="_9_12" localSheetId="5">'0642'!$B$49</definedName>
    <definedName name="_9_12" localSheetId="6">'0642 June Final'!$B$49</definedName>
    <definedName name="_9_12" localSheetId="7">'0664'!$B$49</definedName>
    <definedName name="_9_12" localSheetId="8">'0664 June Final'!$B$49</definedName>
    <definedName name="_9_12" localSheetId="9">'1461'!$B$49</definedName>
    <definedName name="_9_12" localSheetId="10">'1571'!$B$49</definedName>
    <definedName name="_9_12" localSheetId="11">'2521'!$B$49</definedName>
    <definedName name="_9_12" localSheetId="12">'2531'!$B$49</definedName>
    <definedName name="_9_12" localSheetId="13">'2531 June final'!$B$49</definedName>
    <definedName name="_9_12" localSheetId="14">'2641'!$B$49</definedName>
    <definedName name="_9_12" localSheetId="15">'2641 June Final'!$B$49</definedName>
    <definedName name="_9_12" localSheetId="16">'2661'!$B$49</definedName>
    <definedName name="_9_12" localSheetId="17">'2661 June Final'!$B$49</definedName>
    <definedName name="_9_12" localSheetId="18">'2791'!$B$49</definedName>
    <definedName name="_9_12" localSheetId="19">'2791 June final'!$B$49</definedName>
    <definedName name="_9_12" localSheetId="20">'2801'!$B$49</definedName>
    <definedName name="_9_12" localSheetId="21">'2801 June Final'!$B$49</definedName>
    <definedName name="_9_12" localSheetId="22">'2911'!$B$49</definedName>
    <definedName name="_9_12" localSheetId="23">'2911 June final'!$B$49</definedName>
    <definedName name="_9_12" localSheetId="24">'2941'!$B$49</definedName>
    <definedName name="_9_12" localSheetId="25">'2941 June final'!$B$49</definedName>
    <definedName name="_9_12" localSheetId="26">'3083'!$B$49</definedName>
    <definedName name="_9_12" localSheetId="27">'3344'!$B$49</definedName>
    <definedName name="_9_12" localSheetId="28">'3345'!$B$49</definedName>
    <definedName name="_9_12" localSheetId="29">'3347'!$B$49</definedName>
    <definedName name="_9_12" localSheetId="30">'3381'!$B$49</definedName>
    <definedName name="_9_12" localSheetId="31">'3381 June Final'!$B$49</definedName>
    <definedName name="_9_12" localSheetId="32">'3382'!$B$49</definedName>
    <definedName name="_9_12" localSheetId="33">'3382 June Final'!$B$49</definedName>
    <definedName name="_9_12" localSheetId="34">'3384'!$B$49</definedName>
    <definedName name="_9_12" localSheetId="35">'3384 June Final'!$B$49</definedName>
    <definedName name="_9_12" localSheetId="36">'3385'!$B$49</definedName>
    <definedName name="_9_12" localSheetId="37">'3385 June Final'!$B$49</definedName>
    <definedName name="_9_12" localSheetId="38">'3386'!$B$49</definedName>
    <definedName name="_9_12" localSheetId="39">'3391'!$B$49</definedName>
    <definedName name="_9_12" localSheetId="40">'3392'!$B$49</definedName>
    <definedName name="_9_12" localSheetId="41">'3392 June Final'!$B$49</definedName>
    <definedName name="_9_12" localSheetId="42">'3394'!$B$49</definedName>
    <definedName name="_9_12" localSheetId="43">'3394 June Final'!$B$49</definedName>
    <definedName name="_9_12" localSheetId="44">'3395'!$B$49</definedName>
    <definedName name="_9_12" localSheetId="45">'3395 June Final'!$B$49</definedName>
    <definedName name="_9_12" localSheetId="46">'3396'!$B$49</definedName>
    <definedName name="_9_12" localSheetId="47">'3398'!$B$49</definedName>
    <definedName name="_9_12" localSheetId="48">'3400'!$B$49</definedName>
    <definedName name="_9_12" localSheetId="49">'3401'!$B$49</definedName>
    <definedName name="_9_12" localSheetId="50">'3411'!$B$49</definedName>
    <definedName name="_9_12" localSheetId="51">'3413'!$B$49</definedName>
    <definedName name="_9_12" localSheetId="52">'3413 June Final'!$B$49</definedName>
    <definedName name="_9_12" localSheetId="53">'3421'!$B$49</definedName>
    <definedName name="_9_12" localSheetId="54">'3431'!$B$49</definedName>
    <definedName name="_9_12" localSheetId="55">'3431 June Final'!$B$49</definedName>
    <definedName name="_9_12" localSheetId="56">'3441'!$B$49</definedName>
    <definedName name="_9_12" localSheetId="57">'3443'!$B$49</definedName>
    <definedName name="_9_12" localSheetId="58">'3941'!$B$49</definedName>
    <definedName name="_9_12" localSheetId="59">'3941 June Final'!$B$49</definedName>
    <definedName name="_9_12" localSheetId="60">'3961'!$B$49</definedName>
    <definedName name="_9_12" localSheetId="61">'3961 June Final'!$B$49</definedName>
    <definedName name="_9_12" localSheetId="62">'3971'!$B$49</definedName>
    <definedName name="_9_12" localSheetId="63">'4000'!$B$49</definedName>
    <definedName name="_9_12" localSheetId="64">'4000 June Final'!$B$49</definedName>
    <definedName name="_9_12" localSheetId="65">'4002'!$B$49</definedName>
    <definedName name="_9_12" localSheetId="66">'4002 June Final'!$B$49</definedName>
    <definedName name="_9_12" localSheetId="67">'4010'!$B$49</definedName>
    <definedName name="_9_12" localSheetId="68">'4012'!$B$49</definedName>
    <definedName name="_9_12" localSheetId="69">'4013'!$B$49</definedName>
    <definedName name="_9_12" localSheetId="70">'4020'!$B$49</definedName>
    <definedName name="_9_12" localSheetId="72">'4020 June Final'!$B$49</definedName>
    <definedName name="_9_12" localSheetId="71">'4020 June Tch Alloc.'!$B$49</definedName>
    <definedName name="_9_12" localSheetId="73">'4037'!$B$49</definedName>
    <definedName name="_9_12" localSheetId="74">'4037 June Final'!$B$49</definedName>
    <definedName name="_9_12" localSheetId="75">#REF!</definedName>
    <definedName name="_9_12" localSheetId="76">'4041'!$B$49</definedName>
    <definedName name="_9_12" localSheetId="1">#REF!</definedName>
    <definedName name="_9_12" localSheetId="0">#REF!</definedName>
    <definedName name="_9_12">#REF!</definedName>
    <definedName name="_xlnm._FilterDatabase" localSheetId="0" hidden="1">'Net Payment'!$A$3:$E$73</definedName>
    <definedName name="Allocation_factors" localSheetId="3">'0054'!$I$46</definedName>
    <definedName name="Allocation_factors" localSheetId="4">'0054 June Final'!$I$46</definedName>
    <definedName name="Allocation_factors" localSheetId="5">'0642'!$I$46</definedName>
    <definedName name="Allocation_factors" localSheetId="6">'0642 June Final'!$I$46</definedName>
    <definedName name="Allocation_factors" localSheetId="7">'0664'!$I$46</definedName>
    <definedName name="Allocation_factors" localSheetId="8">'0664 June Final'!$I$46</definedName>
    <definedName name="Allocation_factors" localSheetId="9">'1461'!$I$46</definedName>
    <definedName name="Allocation_factors" localSheetId="10">'1571'!$I$46</definedName>
    <definedName name="Allocation_factors" localSheetId="11">'2521'!$I$46</definedName>
    <definedName name="Allocation_factors" localSheetId="12">'2531'!$I$46</definedName>
    <definedName name="Allocation_factors" localSheetId="13">'2531 June final'!$I$46</definedName>
    <definedName name="Allocation_factors" localSheetId="14">'2641'!$I$46</definedName>
    <definedName name="Allocation_factors" localSheetId="15">'2641 June Final'!$I$46</definedName>
    <definedName name="Allocation_factors" localSheetId="16">'2661'!$I$46</definedName>
    <definedName name="Allocation_factors" localSheetId="17">'2661 June Final'!$I$46</definedName>
    <definedName name="Allocation_factors" localSheetId="18">'2791'!$I$46</definedName>
    <definedName name="Allocation_factors" localSheetId="19">'2791 June final'!$I$46</definedName>
    <definedName name="Allocation_factors" localSheetId="20">'2801'!$I$46</definedName>
    <definedName name="Allocation_factors" localSheetId="21">'2801 June Final'!$I$46</definedName>
    <definedName name="Allocation_factors" localSheetId="22">'2911'!$I$46</definedName>
    <definedName name="Allocation_factors" localSheetId="23">'2911 June final'!$I$46</definedName>
    <definedName name="Allocation_factors" localSheetId="24">'2941'!$I$46</definedName>
    <definedName name="Allocation_factors" localSheetId="25">'2941 June final'!$I$46</definedName>
    <definedName name="Allocation_factors" localSheetId="26">'3083'!$I$46</definedName>
    <definedName name="Allocation_factors" localSheetId="27">'3344'!$I$46</definedName>
    <definedName name="Allocation_factors" localSheetId="28">'3345'!$I$46</definedName>
    <definedName name="Allocation_factors" localSheetId="29">'3347'!$I$46</definedName>
    <definedName name="Allocation_factors" localSheetId="30">'3381'!$I$46</definedName>
    <definedName name="Allocation_factors" localSheetId="31">'3381 June Final'!$I$46</definedName>
    <definedName name="Allocation_factors" localSheetId="32">'3382'!$I$46</definedName>
    <definedName name="Allocation_factors" localSheetId="33">'3382 June Final'!$I$46</definedName>
    <definedName name="Allocation_factors" localSheetId="34">'3384'!$I$46</definedName>
    <definedName name="Allocation_factors" localSheetId="35">'3384 June Final'!$I$46</definedName>
    <definedName name="Allocation_factors" localSheetId="36">'3385'!$I$46</definedName>
    <definedName name="Allocation_factors" localSheetId="37">'3385 June Final'!$I$46</definedName>
    <definedName name="Allocation_factors" localSheetId="38">'3386'!$I$46</definedName>
    <definedName name="Allocation_factors" localSheetId="39">'3391'!$I$46</definedName>
    <definedName name="Allocation_factors" localSheetId="40">'3392'!$I$46</definedName>
    <definedName name="Allocation_factors" localSheetId="41">'3392 June Final'!$I$46</definedName>
    <definedName name="Allocation_factors" localSheetId="42">'3394'!$I$46</definedName>
    <definedName name="Allocation_factors" localSheetId="43">'3394 June Final'!$I$46</definedName>
    <definedName name="Allocation_factors" localSheetId="44">'3395'!$I$46</definedName>
    <definedName name="Allocation_factors" localSheetId="45">'3395 June Final'!$I$46</definedName>
    <definedName name="Allocation_factors" localSheetId="46">'3396'!$I$46</definedName>
    <definedName name="Allocation_factors" localSheetId="47">'3398'!$I$46</definedName>
    <definedName name="Allocation_factors" localSheetId="48">'3400'!$I$46</definedName>
    <definedName name="Allocation_factors" localSheetId="49">'3401'!$I$46</definedName>
    <definedName name="Allocation_factors" localSheetId="50">'3411'!$I$46</definedName>
    <definedName name="Allocation_factors" localSheetId="51">'3413'!$I$46</definedName>
    <definedName name="Allocation_factors" localSheetId="52">'3413 June Final'!$I$46</definedName>
    <definedName name="Allocation_factors" localSheetId="53">'3421'!$I$46</definedName>
    <definedName name="Allocation_factors" localSheetId="54">'3431'!$I$46</definedName>
    <definedName name="Allocation_factors" localSheetId="55">'3431 June Final'!$I$46</definedName>
    <definedName name="Allocation_factors" localSheetId="56">'3441'!$I$46</definedName>
    <definedName name="Allocation_factors" localSheetId="57">'3443'!$I$46</definedName>
    <definedName name="Allocation_factors" localSheetId="58">'3941'!$I$46</definedName>
    <definedName name="Allocation_factors" localSheetId="59">'3941 June Final'!$I$46</definedName>
    <definedName name="Allocation_factors" localSheetId="60">'3961'!$I$46</definedName>
    <definedName name="Allocation_factors" localSheetId="61">'3961 June Final'!$I$46</definedName>
    <definedName name="Allocation_factors" localSheetId="62">'3971'!$I$46</definedName>
    <definedName name="Allocation_factors" localSheetId="63">'4000'!$I$46</definedName>
    <definedName name="Allocation_factors" localSheetId="64">'4000 June Final'!$I$46</definedName>
    <definedName name="Allocation_factors" localSheetId="65">'4002'!$I$46</definedName>
    <definedName name="Allocation_factors" localSheetId="66">'4002 June Final'!$I$46</definedName>
    <definedName name="Allocation_factors" localSheetId="67">'4010'!$I$46</definedName>
    <definedName name="Allocation_factors" localSheetId="68">'4012'!$I$46</definedName>
    <definedName name="Allocation_factors" localSheetId="69">'4013'!$I$46</definedName>
    <definedName name="Allocation_factors" localSheetId="70">'4020'!$I$46</definedName>
    <definedName name="Allocation_factors" localSheetId="72">'4020 June Final'!$I$46</definedName>
    <definedName name="Allocation_factors" localSheetId="71">'4020 June Tch Alloc.'!$I$46</definedName>
    <definedName name="Allocation_factors" localSheetId="73">'4037'!$I$46</definedName>
    <definedName name="Allocation_factors" localSheetId="74">'4037 June Final'!$I$46</definedName>
    <definedName name="Allocation_factors" localSheetId="75">#REF!</definedName>
    <definedName name="Allocation_factors" localSheetId="76">'4041'!$I$46</definedName>
    <definedName name="Allocation_factors" localSheetId="1">#REF!</definedName>
    <definedName name="Allocation_factors" localSheetId="0">#REF!</definedName>
    <definedName name="Allocation_factors">#REF!</definedName>
    <definedName name="Base_Student_Allocation" localSheetId="3">'0054'!$B$7</definedName>
    <definedName name="Base_Student_Allocation" localSheetId="4">'0054 June Final'!$B$7</definedName>
    <definedName name="Base_Student_Allocation" localSheetId="5">'0642'!$B$7</definedName>
    <definedName name="Base_Student_Allocation" localSheetId="6">'0642 June Final'!$B$7</definedName>
    <definedName name="Base_Student_Allocation" localSheetId="7">'0664'!$B$7</definedName>
    <definedName name="Base_Student_Allocation" localSheetId="8">'0664 June Final'!$B$7</definedName>
    <definedName name="Base_Student_Allocation" localSheetId="9">'1461'!$B$7</definedName>
    <definedName name="Base_Student_Allocation" localSheetId="10">'1571'!$B$7</definedName>
    <definedName name="Base_Student_Allocation" localSheetId="11">'2521'!$B$7</definedName>
    <definedName name="Base_Student_Allocation" localSheetId="12">'2531'!$B$7</definedName>
    <definedName name="Base_Student_Allocation" localSheetId="13">'2531 June final'!$B$7</definedName>
    <definedName name="Base_Student_Allocation" localSheetId="14">'2641'!$B$7</definedName>
    <definedName name="Base_Student_Allocation" localSheetId="15">'2641 June Final'!$B$7</definedName>
    <definedName name="Base_Student_Allocation" localSheetId="16">'2661'!$B$7</definedName>
    <definedName name="Base_Student_Allocation" localSheetId="17">'2661 June Final'!$B$7</definedName>
    <definedName name="Base_Student_Allocation" localSheetId="18">'2791'!$B$7</definedName>
    <definedName name="Base_Student_Allocation" localSheetId="19">'2791 June final'!$B$7</definedName>
    <definedName name="Base_Student_Allocation" localSheetId="20">'2801'!$B$7</definedName>
    <definedName name="Base_Student_Allocation" localSheetId="21">'2801 June Final'!$B$7</definedName>
    <definedName name="Base_Student_Allocation" localSheetId="22">'2911'!$B$7</definedName>
    <definedName name="Base_Student_Allocation" localSheetId="23">'2911 June final'!$B$7</definedName>
    <definedName name="Base_Student_Allocation" localSheetId="24">'2941'!$B$7</definedName>
    <definedName name="Base_Student_Allocation" localSheetId="25">'2941 June final'!$B$7</definedName>
    <definedName name="Base_Student_Allocation" localSheetId="26">'3083'!$B$7</definedName>
    <definedName name="Base_Student_Allocation" localSheetId="27">'3344'!$B$7</definedName>
    <definedName name="Base_Student_Allocation" localSheetId="28">'3345'!$B$7</definedName>
    <definedName name="Base_Student_Allocation" localSheetId="29">'3347'!$B$7</definedName>
    <definedName name="Base_Student_Allocation" localSheetId="30">'3381'!$B$7</definedName>
    <definedName name="Base_Student_Allocation" localSheetId="31">'3381 June Final'!$B$7</definedName>
    <definedName name="Base_Student_Allocation" localSheetId="32">'3382'!$B$7</definedName>
    <definedName name="Base_Student_Allocation" localSheetId="33">'3382 June Final'!$B$7</definedName>
    <definedName name="Base_Student_Allocation" localSheetId="34">'3384'!$B$7</definedName>
    <definedName name="Base_Student_Allocation" localSheetId="35">'3384 June Final'!$B$7</definedName>
    <definedName name="Base_Student_Allocation" localSheetId="36">'3385'!$B$7</definedName>
    <definedName name="Base_Student_Allocation" localSheetId="37">'3385 June Final'!$B$7</definedName>
    <definedName name="Base_Student_Allocation" localSheetId="38">'3386'!$B$7</definedName>
    <definedName name="Base_Student_Allocation" localSheetId="39">'3391'!$B$7</definedName>
    <definedName name="Base_Student_Allocation" localSheetId="40">'3392'!$B$7</definedName>
    <definedName name="Base_Student_Allocation" localSheetId="41">'3392 June Final'!$B$7</definedName>
    <definedName name="Base_Student_Allocation" localSheetId="42">'3394'!$B$7</definedName>
    <definedName name="Base_Student_Allocation" localSheetId="43">'3394 June Final'!$B$7</definedName>
    <definedName name="Base_Student_Allocation" localSheetId="44">'3395'!$B$7</definedName>
    <definedName name="Base_Student_Allocation" localSheetId="45">'3395 June Final'!$B$7</definedName>
    <definedName name="Base_Student_Allocation" localSheetId="46">'3396'!$B$7</definedName>
    <definedName name="Base_Student_Allocation" localSheetId="47">'3398'!$B$7</definedName>
    <definedName name="Base_Student_Allocation" localSheetId="48">'3400'!$B$7</definedName>
    <definedName name="Base_Student_Allocation" localSheetId="49">'3401'!$B$7</definedName>
    <definedName name="Base_Student_Allocation" localSheetId="50">'3411'!$B$7</definedName>
    <definedName name="Base_Student_Allocation" localSheetId="51">'3413'!$B$7</definedName>
    <definedName name="Base_Student_Allocation" localSheetId="52">'3413 June Final'!$B$7</definedName>
    <definedName name="Base_Student_Allocation" localSheetId="53">'3421'!$B$7</definedName>
    <definedName name="Base_Student_Allocation" localSheetId="54">'3431'!$B$7</definedName>
    <definedName name="Base_Student_Allocation" localSheetId="55">'3431 June Final'!$B$7</definedName>
    <definedName name="Base_Student_Allocation" localSheetId="56">'3441'!$B$7</definedName>
    <definedName name="Base_Student_Allocation" localSheetId="57">'3443'!$B$7</definedName>
    <definedName name="Base_Student_Allocation" localSheetId="58">'3941'!$B$7</definedName>
    <definedName name="Base_Student_Allocation" localSheetId="59">'3941 June Final'!$B$7</definedName>
    <definedName name="Base_Student_Allocation" localSheetId="60">'3961'!$B$7</definedName>
    <definedName name="Base_Student_Allocation" localSheetId="61">'3961 June Final'!$B$7</definedName>
    <definedName name="Base_Student_Allocation" localSheetId="62">'3971'!$B$7</definedName>
    <definedName name="Base_Student_Allocation" localSheetId="63">'4000'!$B$7</definedName>
    <definedName name="Base_Student_Allocation" localSheetId="64">'4000 June Final'!$B$7</definedName>
    <definedName name="Base_Student_Allocation" localSheetId="65">'4002'!$B$7</definedName>
    <definedName name="Base_Student_Allocation" localSheetId="66">'4002 June Final'!$B$7</definedName>
    <definedName name="Base_Student_Allocation" localSheetId="67">'4010'!$B$7</definedName>
    <definedName name="Base_Student_Allocation" localSheetId="68">'4012'!$B$7</definedName>
    <definedName name="Base_Student_Allocation" localSheetId="69">'4013'!$B$7</definedName>
    <definedName name="Base_Student_Allocation" localSheetId="70">'4020'!$B$7</definedName>
    <definedName name="Base_Student_Allocation" localSheetId="72">'4020 June Final'!$B$7</definedName>
    <definedName name="Base_Student_Allocation" localSheetId="71">'4020 June Tch Alloc.'!$B$7</definedName>
    <definedName name="Base_Student_Allocation" localSheetId="73">'4037'!$B$7</definedName>
    <definedName name="Base_Student_Allocation" localSheetId="74">'4037 June Final'!$B$7</definedName>
    <definedName name="Base_Student_Allocation" localSheetId="75">#REF!</definedName>
    <definedName name="Base_Student_Allocation" localSheetId="76">'4041'!$B$7</definedName>
    <definedName name="Base_Student_Allocation" localSheetId="1">#REF!</definedName>
    <definedName name="Base_Student_Allocation" localSheetId="0">#REF!</definedName>
    <definedName name="Base_Student_Allocation">#REF!</definedName>
    <definedName name="Based_on_the_Second_Calculation_of_the_FEFP_2010_11" localSheetId="3">'0054'!$B$4</definedName>
    <definedName name="Based_on_the_Second_Calculation_of_the_FEFP_2010_11" localSheetId="4">'0054 June Final'!$B$4</definedName>
    <definedName name="Based_on_the_Second_Calculation_of_the_FEFP_2010_11" localSheetId="5">'0642'!$B$4</definedName>
    <definedName name="Based_on_the_Second_Calculation_of_the_FEFP_2010_11" localSheetId="6">'0642 June Final'!$B$4</definedName>
    <definedName name="Based_on_the_Second_Calculation_of_the_FEFP_2010_11" localSheetId="7">'0664'!$B$4</definedName>
    <definedName name="Based_on_the_Second_Calculation_of_the_FEFP_2010_11" localSheetId="8">'0664 June Final'!$B$4</definedName>
    <definedName name="Based_on_the_Second_Calculation_of_the_FEFP_2010_11" localSheetId="9">'1461'!$B$4</definedName>
    <definedName name="Based_on_the_Second_Calculation_of_the_FEFP_2010_11" localSheetId="10">'1571'!$B$4</definedName>
    <definedName name="Based_on_the_Second_Calculation_of_the_FEFP_2010_11" localSheetId="11">'2521'!$B$4</definedName>
    <definedName name="Based_on_the_Second_Calculation_of_the_FEFP_2010_11" localSheetId="12">'2531'!$B$4</definedName>
    <definedName name="Based_on_the_Second_Calculation_of_the_FEFP_2010_11" localSheetId="13">'2531 June final'!$B$4</definedName>
    <definedName name="Based_on_the_Second_Calculation_of_the_FEFP_2010_11" localSheetId="14">'2641'!$B$4</definedName>
    <definedName name="Based_on_the_Second_Calculation_of_the_FEFP_2010_11" localSheetId="15">'2641 June Final'!$B$4</definedName>
    <definedName name="Based_on_the_Second_Calculation_of_the_FEFP_2010_11" localSheetId="16">'2661'!$B$4</definedName>
    <definedName name="Based_on_the_Second_Calculation_of_the_FEFP_2010_11" localSheetId="17">'2661 June Final'!$B$4</definedName>
    <definedName name="Based_on_the_Second_Calculation_of_the_FEFP_2010_11" localSheetId="18">'2791'!$B$4</definedName>
    <definedName name="Based_on_the_Second_Calculation_of_the_FEFP_2010_11" localSheetId="19">'2791 June final'!$B$4</definedName>
    <definedName name="Based_on_the_Second_Calculation_of_the_FEFP_2010_11" localSheetId="20">'2801'!$B$4</definedName>
    <definedName name="Based_on_the_Second_Calculation_of_the_FEFP_2010_11" localSheetId="21">'2801 June Final'!$B$4</definedName>
    <definedName name="Based_on_the_Second_Calculation_of_the_FEFP_2010_11" localSheetId="22">'2911'!$B$4</definedName>
    <definedName name="Based_on_the_Second_Calculation_of_the_FEFP_2010_11" localSheetId="23">'2911 June final'!$B$4</definedName>
    <definedName name="Based_on_the_Second_Calculation_of_the_FEFP_2010_11" localSheetId="24">'2941'!$B$4</definedName>
    <definedName name="Based_on_the_Second_Calculation_of_the_FEFP_2010_11" localSheetId="25">'2941 June final'!$B$4</definedName>
    <definedName name="Based_on_the_Second_Calculation_of_the_FEFP_2010_11" localSheetId="26">'3083'!$B$4</definedName>
    <definedName name="Based_on_the_Second_Calculation_of_the_FEFP_2010_11" localSheetId="27">'3344'!$B$4</definedName>
    <definedName name="Based_on_the_Second_Calculation_of_the_FEFP_2010_11" localSheetId="28">'3345'!$B$4</definedName>
    <definedName name="Based_on_the_Second_Calculation_of_the_FEFP_2010_11" localSheetId="29">'3347'!$B$4</definedName>
    <definedName name="Based_on_the_Second_Calculation_of_the_FEFP_2010_11" localSheetId="30">'3381'!$B$4</definedName>
    <definedName name="Based_on_the_Second_Calculation_of_the_FEFP_2010_11" localSheetId="31">'3381 June Final'!$B$4</definedName>
    <definedName name="Based_on_the_Second_Calculation_of_the_FEFP_2010_11" localSheetId="32">'3382'!$B$4</definedName>
    <definedName name="Based_on_the_Second_Calculation_of_the_FEFP_2010_11" localSheetId="33">'3382 June Final'!$B$4</definedName>
    <definedName name="Based_on_the_Second_Calculation_of_the_FEFP_2010_11" localSheetId="34">'3384'!$B$4</definedName>
    <definedName name="Based_on_the_Second_Calculation_of_the_FEFP_2010_11" localSheetId="35">'3384 June Final'!$B$4</definedName>
    <definedName name="Based_on_the_Second_Calculation_of_the_FEFP_2010_11" localSheetId="36">'3385'!$B$4</definedName>
    <definedName name="Based_on_the_Second_Calculation_of_the_FEFP_2010_11" localSheetId="37">'3385 June Final'!$B$4</definedName>
    <definedName name="Based_on_the_Second_Calculation_of_the_FEFP_2010_11" localSheetId="38">'3386'!$B$4</definedName>
    <definedName name="Based_on_the_Second_Calculation_of_the_FEFP_2010_11" localSheetId="39">'3391'!$B$4</definedName>
    <definedName name="Based_on_the_Second_Calculation_of_the_FEFP_2010_11" localSheetId="40">'3392'!$B$4</definedName>
    <definedName name="Based_on_the_Second_Calculation_of_the_FEFP_2010_11" localSheetId="41">'3392 June Final'!$B$4</definedName>
    <definedName name="Based_on_the_Second_Calculation_of_the_FEFP_2010_11" localSheetId="42">'3394'!$B$4</definedName>
    <definedName name="Based_on_the_Second_Calculation_of_the_FEFP_2010_11" localSheetId="43">'3394 June Final'!$B$4</definedName>
    <definedName name="Based_on_the_Second_Calculation_of_the_FEFP_2010_11" localSheetId="44">'3395'!$B$4</definedName>
    <definedName name="Based_on_the_Second_Calculation_of_the_FEFP_2010_11" localSheetId="45">'3395 June Final'!$B$4</definedName>
    <definedName name="Based_on_the_Second_Calculation_of_the_FEFP_2010_11" localSheetId="46">'3396'!$B$4</definedName>
    <definedName name="Based_on_the_Second_Calculation_of_the_FEFP_2010_11" localSheetId="47">'3398'!$B$4</definedName>
    <definedName name="Based_on_the_Second_Calculation_of_the_FEFP_2010_11" localSheetId="48">'3400'!$B$4</definedName>
    <definedName name="Based_on_the_Second_Calculation_of_the_FEFP_2010_11" localSheetId="49">'3401'!$B$4</definedName>
    <definedName name="Based_on_the_Second_Calculation_of_the_FEFP_2010_11" localSheetId="50">'3411'!$B$4</definedName>
    <definedName name="Based_on_the_Second_Calculation_of_the_FEFP_2010_11" localSheetId="51">'3413'!$B$4</definedName>
    <definedName name="Based_on_the_Second_Calculation_of_the_FEFP_2010_11" localSheetId="52">'3413 June Final'!$B$4</definedName>
    <definedName name="Based_on_the_Second_Calculation_of_the_FEFP_2010_11" localSheetId="53">'3421'!$B$4</definedName>
    <definedName name="Based_on_the_Second_Calculation_of_the_FEFP_2010_11" localSheetId="54">'3431'!$B$4</definedName>
    <definedName name="Based_on_the_Second_Calculation_of_the_FEFP_2010_11" localSheetId="55">'3431 June Final'!$B$4</definedName>
    <definedName name="Based_on_the_Second_Calculation_of_the_FEFP_2010_11" localSheetId="56">'3441'!$B$4</definedName>
    <definedName name="Based_on_the_Second_Calculation_of_the_FEFP_2010_11" localSheetId="57">'3443'!$B$4</definedName>
    <definedName name="Based_on_the_Second_Calculation_of_the_FEFP_2010_11" localSheetId="58">'3941'!$B$4</definedName>
    <definedName name="Based_on_the_Second_Calculation_of_the_FEFP_2010_11" localSheetId="59">'3941 June Final'!$B$4</definedName>
    <definedName name="Based_on_the_Second_Calculation_of_the_FEFP_2010_11" localSheetId="60">'3961'!$B$4</definedName>
    <definedName name="Based_on_the_Second_Calculation_of_the_FEFP_2010_11" localSheetId="61">'3961 June Final'!$B$4</definedName>
    <definedName name="Based_on_the_Second_Calculation_of_the_FEFP_2010_11" localSheetId="62">'3971'!$B$4</definedName>
    <definedName name="Based_on_the_Second_Calculation_of_the_FEFP_2010_11" localSheetId="63">'4000'!$B$4</definedName>
    <definedName name="Based_on_the_Second_Calculation_of_the_FEFP_2010_11" localSheetId="64">'4000 June Final'!$B$4</definedName>
    <definedName name="Based_on_the_Second_Calculation_of_the_FEFP_2010_11" localSheetId="65">'4002'!$B$4</definedName>
    <definedName name="Based_on_the_Second_Calculation_of_the_FEFP_2010_11" localSheetId="66">'4002 June Final'!$B$4</definedName>
    <definedName name="Based_on_the_Second_Calculation_of_the_FEFP_2010_11" localSheetId="67">'4010'!$B$4</definedName>
    <definedName name="Based_on_the_Second_Calculation_of_the_FEFP_2010_11" localSheetId="68">'4012'!$B$4</definedName>
    <definedName name="Based_on_the_Second_Calculation_of_the_FEFP_2010_11" localSheetId="69">'4013'!$B$4</definedName>
    <definedName name="Based_on_the_Second_Calculation_of_the_FEFP_2010_11" localSheetId="70">'4020'!$B$4</definedName>
    <definedName name="Based_on_the_Second_Calculation_of_the_FEFP_2010_11" localSheetId="72">'4020 June Final'!$B$4</definedName>
    <definedName name="Based_on_the_Second_Calculation_of_the_FEFP_2010_11" localSheetId="71">'4020 June Tch Alloc.'!$B$4</definedName>
    <definedName name="Based_on_the_Second_Calculation_of_the_FEFP_2010_11" localSheetId="73">'4037'!$B$4</definedName>
    <definedName name="Based_on_the_Second_Calculation_of_the_FEFP_2010_11" localSheetId="74">'4037 June Final'!$B$4</definedName>
    <definedName name="Based_on_the_Second_Calculation_of_the_FEFP_2010_11" localSheetId="75">#REF!</definedName>
    <definedName name="Based_on_the_Second_Calculation_of_the_FEFP_2010_11" localSheetId="76">'4041'!$B$4</definedName>
    <definedName name="Based_on_the_Second_Calculation_of_the_FEFP_2010_11" localSheetId="2">[1]Sheet1!$B$4</definedName>
    <definedName name="Based_on_the_Second_Calculation_of_the_FEFP_2010_11">#REF!</definedName>
    <definedName name="CAP" localSheetId="3" hidden="1">{#N/A,#N/A,FALSE,"Summation";#N/A,#N/A,FALSE,"BSA";#N/A,#N/A,FALSE,"Detail1";#N/A,#N/A,FALSE,"Detail2";#N/A,#N/A,FALSE,"Detail3";#N/A,#N/A,FALSE,"WFTE_Summary";#N/A,#N/A,FALSE,"Funded_WFTE";#N/A,#N/A,FALSE,"PYADJ96"}</definedName>
    <definedName name="CAP" localSheetId="4" hidden="1">{#N/A,#N/A,FALSE,"Summation";#N/A,#N/A,FALSE,"BSA";#N/A,#N/A,FALSE,"Detail1";#N/A,#N/A,FALSE,"Detail2";#N/A,#N/A,FALSE,"Detail3";#N/A,#N/A,FALSE,"WFTE_Summary";#N/A,#N/A,FALSE,"Funded_WFTE";#N/A,#N/A,FALSE,"PYADJ96"}</definedName>
    <definedName name="CAP" localSheetId="5" hidden="1">{#N/A,#N/A,FALSE,"Summation";#N/A,#N/A,FALSE,"BSA";#N/A,#N/A,FALSE,"Detail1";#N/A,#N/A,FALSE,"Detail2";#N/A,#N/A,FALSE,"Detail3";#N/A,#N/A,FALSE,"WFTE_Summary";#N/A,#N/A,FALSE,"Funded_WFTE";#N/A,#N/A,FALSE,"PYADJ96"}</definedName>
    <definedName name="CAP" localSheetId="6" hidden="1">{#N/A,#N/A,FALSE,"Summation";#N/A,#N/A,FALSE,"BSA";#N/A,#N/A,FALSE,"Detail1";#N/A,#N/A,FALSE,"Detail2";#N/A,#N/A,FALSE,"Detail3";#N/A,#N/A,FALSE,"WFTE_Summary";#N/A,#N/A,FALSE,"Funded_WFTE";#N/A,#N/A,FALSE,"PYADJ96"}</definedName>
    <definedName name="CAP" localSheetId="7" hidden="1">{#N/A,#N/A,FALSE,"Summation";#N/A,#N/A,FALSE,"BSA";#N/A,#N/A,FALSE,"Detail1";#N/A,#N/A,FALSE,"Detail2";#N/A,#N/A,FALSE,"Detail3";#N/A,#N/A,FALSE,"WFTE_Summary";#N/A,#N/A,FALSE,"Funded_WFTE";#N/A,#N/A,FALSE,"PYADJ96"}</definedName>
    <definedName name="CAP" localSheetId="8" hidden="1">{#N/A,#N/A,FALSE,"Summation";#N/A,#N/A,FALSE,"BSA";#N/A,#N/A,FALSE,"Detail1";#N/A,#N/A,FALSE,"Detail2";#N/A,#N/A,FALSE,"Detail3";#N/A,#N/A,FALSE,"WFTE_Summary";#N/A,#N/A,FALSE,"Funded_WFTE";#N/A,#N/A,FALSE,"PYADJ96"}</definedName>
    <definedName name="CAP" localSheetId="9" hidden="1">{#N/A,#N/A,FALSE,"Summation";#N/A,#N/A,FALSE,"BSA";#N/A,#N/A,FALSE,"Detail1";#N/A,#N/A,FALSE,"Detail2";#N/A,#N/A,FALSE,"Detail3";#N/A,#N/A,FALSE,"WFTE_Summary";#N/A,#N/A,FALSE,"Funded_WFTE";#N/A,#N/A,FALSE,"PYADJ96"}</definedName>
    <definedName name="CAP" localSheetId="10" hidden="1">{#N/A,#N/A,FALSE,"Summation";#N/A,#N/A,FALSE,"BSA";#N/A,#N/A,FALSE,"Detail1";#N/A,#N/A,FALSE,"Detail2";#N/A,#N/A,FALSE,"Detail3";#N/A,#N/A,FALSE,"WFTE_Summary";#N/A,#N/A,FALSE,"Funded_WFTE";#N/A,#N/A,FALSE,"PYADJ96"}</definedName>
    <definedName name="CAP" localSheetId="11" hidden="1">{#N/A,#N/A,FALSE,"Summation";#N/A,#N/A,FALSE,"BSA";#N/A,#N/A,FALSE,"Detail1";#N/A,#N/A,FALSE,"Detail2";#N/A,#N/A,FALSE,"Detail3";#N/A,#N/A,FALSE,"WFTE_Summary";#N/A,#N/A,FALSE,"Funded_WFTE";#N/A,#N/A,FALSE,"PYADJ96"}</definedName>
    <definedName name="CAP" localSheetId="12" hidden="1">{#N/A,#N/A,FALSE,"Summation";#N/A,#N/A,FALSE,"BSA";#N/A,#N/A,FALSE,"Detail1";#N/A,#N/A,FALSE,"Detail2";#N/A,#N/A,FALSE,"Detail3";#N/A,#N/A,FALSE,"WFTE_Summary";#N/A,#N/A,FALSE,"Funded_WFTE";#N/A,#N/A,FALSE,"PYADJ96"}</definedName>
    <definedName name="CAP" localSheetId="13" hidden="1">{#N/A,#N/A,FALSE,"Summation";#N/A,#N/A,FALSE,"BSA";#N/A,#N/A,FALSE,"Detail1";#N/A,#N/A,FALSE,"Detail2";#N/A,#N/A,FALSE,"Detail3";#N/A,#N/A,FALSE,"WFTE_Summary";#N/A,#N/A,FALSE,"Funded_WFTE";#N/A,#N/A,FALSE,"PYADJ96"}</definedName>
    <definedName name="CAP" localSheetId="14" hidden="1">{#N/A,#N/A,FALSE,"Summation";#N/A,#N/A,FALSE,"BSA";#N/A,#N/A,FALSE,"Detail1";#N/A,#N/A,FALSE,"Detail2";#N/A,#N/A,FALSE,"Detail3";#N/A,#N/A,FALSE,"WFTE_Summary";#N/A,#N/A,FALSE,"Funded_WFTE";#N/A,#N/A,FALSE,"PYADJ96"}</definedName>
    <definedName name="CAP" localSheetId="15" hidden="1">{#N/A,#N/A,FALSE,"Summation";#N/A,#N/A,FALSE,"BSA";#N/A,#N/A,FALSE,"Detail1";#N/A,#N/A,FALSE,"Detail2";#N/A,#N/A,FALSE,"Detail3";#N/A,#N/A,FALSE,"WFTE_Summary";#N/A,#N/A,FALSE,"Funded_WFTE";#N/A,#N/A,FALSE,"PYADJ96"}</definedName>
    <definedName name="CAP" localSheetId="16" hidden="1">{#N/A,#N/A,FALSE,"Summation";#N/A,#N/A,FALSE,"BSA";#N/A,#N/A,FALSE,"Detail1";#N/A,#N/A,FALSE,"Detail2";#N/A,#N/A,FALSE,"Detail3";#N/A,#N/A,FALSE,"WFTE_Summary";#N/A,#N/A,FALSE,"Funded_WFTE";#N/A,#N/A,FALSE,"PYADJ96"}</definedName>
    <definedName name="CAP" localSheetId="17" hidden="1">{#N/A,#N/A,FALSE,"Summation";#N/A,#N/A,FALSE,"BSA";#N/A,#N/A,FALSE,"Detail1";#N/A,#N/A,FALSE,"Detail2";#N/A,#N/A,FALSE,"Detail3";#N/A,#N/A,FALSE,"WFTE_Summary";#N/A,#N/A,FALSE,"Funded_WFTE";#N/A,#N/A,FALSE,"PYADJ96"}</definedName>
    <definedName name="CAP" localSheetId="18" hidden="1">{#N/A,#N/A,FALSE,"Summation";#N/A,#N/A,FALSE,"BSA";#N/A,#N/A,FALSE,"Detail1";#N/A,#N/A,FALSE,"Detail2";#N/A,#N/A,FALSE,"Detail3";#N/A,#N/A,FALSE,"WFTE_Summary";#N/A,#N/A,FALSE,"Funded_WFTE";#N/A,#N/A,FALSE,"PYADJ96"}</definedName>
    <definedName name="CAP" localSheetId="19" hidden="1">{#N/A,#N/A,FALSE,"Summation";#N/A,#N/A,FALSE,"BSA";#N/A,#N/A,FALSE,"Detail1";#N/A,#N/A,FALSE,"Detail2";#N/A,#N/A,FALSE,"Detail3";#N/A,#N/A,FALSE,"WFTE_Summary";#N/A,#N/A,FALSE,"Funded_WFTE";#N/A,#N/A,FALSE,"PYADJ96"}</definedName>
    <definedName name="CAP" localSheetId="20" hidden="1">{#N/A,#N/A,FALSE,"Summation";#N/A,#N/A,FALSE,"BSA";#N/A,#N/A,FALSE,"Detail1";#N/A,#N/A,FALSE,"Detail2";#N/A,#N/A,FALSE,"Detail3";#N/A,#N/A,FALSE,"WFTE_Summary";#N/A,#N/A,FALSE,"Funded_WFTE";#N/A,#N/A,FALSE,"PYADJ96"}</definedName>
    <definedName name="CAP" localSheetId="21" hidden="1">{#N/A,#N/A,FALSE,"Summation";#N/A,#N/A,FALSE,"BSA";#N/A,#N/A,FALSE,"Detail1";#N/A,#N/A,FALSE,"Detail2";#N/A,#N/A,FALSE,"Detail3";#N/A,#N/A,FALSE,"WFTE_Summary";#N/A,#N/A,FALSE,"Funded_WFTE";#N/A,#N/A,FALSE,"PYADJ96"}</definedName>
    <definedName name="CAP" localSheetId="22" hidden="1">{#N/A,#N/A,FALSE,"Summation";#N/A,#N/A,FALSE,"BSA";#N/A,#N/A,FALSE,"Detail1";#N/A,#N/A,FALSE,"Detail2";#N/A,#N/A,FALSE,"Detail3";#N/A,#N/A,FALSE,"WFTE_Summary";#N/A,#N/A,FALSE,"Funded_WFTE";#N/A,#N/A,FALSE,"PYADJ96"}</definedName>
    <definedName name="CAP" localSheetId="23" hidden="1">{#N/A,#N/A,FALSE,"Summation";#N/A,#N/A,FALSE,"BSA";#N/A,#N/A,FALSE,"Detail1";#N/A,#N/A,FALSE,"Detail2";#N/A,#N/A,FALSE,"Detail3";#N/A,#N/A,FALSE,"WFTE_Summary";#N/A,#N/A,FALSE,"Funded_WFTE";#N/A,#N/A,FALSE,"PYADJ96"}</definedName>
    <definedName name="CAP" localSheetId="24" hidden="1">{#N/A,#N/A,FALSE,"Summation";#N/A,#N/A,FALSE,"BSA";#N/A,#N/A,FALSE,"Detail1";#N/A,#N/A,FALSE,"Detail2";#N/A,#N/A,FALSE,"Detail3";#N/A,#N/A,FALSE,"WFTE_Summary";#N/A,#N/A,FALSE,"Funded_WFTE";#N/A,#N/A,FALSE,"PYADJ96"}</definedName>
    <definedName name="CAP" localSheetId="25" hidden="1">{#N/A,#N/A,FALSE,"Summation";#N/A,#N/A,FALSE,"BSA";#N/A,#N/A,FALSE,"Detail1";#N/A,#N/A,FALSE,"Detail2";#N/A,#N/A,FALSE,"Detail3";#N/A,#N/A,FALSE,"WFTE_Summary";#N/A,#N/A,FALSE,"Funded_WFTE";#N/A,#N/A,FALSE,"PYADJ96"}</definedName>
    <definedName name="CAP" localSheetId="26" hidden="1">{#N/A,#N/A,FALSE,"Summation";#N/A,#N/A,FALSE,"BSA";#N/A,#N/A,FALSE,"Detail1";#N/A,#N/A,FALSE,"Detail2";#N/A,#N/A,FALSE,"Detail3";#N/A,#N/A,FALSE,"WFTE_Summary";#N/A,#N/A,FALSE,"Funded_WFTE";#N/A,#N/A,FALSE,"PYADJ96"}</definedName>
    <definedName name="CAP" localSheetId="27" hidden="1">{#N/A,#N/A,FALSE,"Summation";#N/A,#N/A,FALSE,"BSA";#N/A,#N/A,FALSE,"Detail1";#N/A,#N/A,FALSE,"Detail2";#N/A,#N/A,FALSE,"Detail3";#N/A,#N/A,FALSE,"WFTE_Summary";#N/A,#N/A,FALSE,"Funded_WFTE";#N/A,#N/A,FALSE,"PYADJ96"}</definedName>
    <definedName name="CAP" localSheetId="28" hidden="1">{#N/A,#N/A,FALSE,"Summation";#N/A,#N/A,FALSE,"BSA";#N/A,#N/A,FALSE,"Detail1";#N/A,#N/A,FALSE,"Detail2";#N/A,#N/A,FALSE,"Detail3";#N/A,#N/A,FALSE,"WFTE_Summary";#N/A,#N/A,FALSE,"Funded_WFTE";#N/A,#N/A,FALSE,"PYADJ96"}</definedName>
    <definedName name="CAP" localSheetId="29" hidden="1">{#N/A,#N/A,FALSE,"Summation";#N/A,#N/A,FALSE,"BSA";#N/A,#N/A,FALSE,"Detail1";#N/A,#N/A,FALSE,"Detail2";#N/A,#N/A,FALSE,"Detail3";#N/A,#N/A,FALSE,"WFTE_Summary";#N/A,#N/A,FALSE,"Funded_WFTE";#N/A,#N/A,FALSE,"PYADJ96"}</definedName>
    <definedName name="CAP" localSheetId="30" hidden="1">{#N/A,#N/A,FALSE,"Summation";#N/A,#N/A,FALSE,"BSA";#N/A,#N/A,FALSE,"Detail1";#N/A,#N/A,FALSE,"Detail2";#N/A,#N/A,FALSE,"Detail3";#N/A,#N/A,FALSE,"WFTE_Summary";#N/A,#N/A,FALSE,"Funded_WFTE";#N/A,#N/A,FALSE,"PYADJ96"}</definedName>
    <definedName name="CAP" localSheetId="31" hidden="1">{#N/A,#N/A,FALSE,"Summation";#N/A,#N/A,FALSE,"BSA";#N/A,#N/A,FALSE,"Detail1";#N/A,#N/A,FALSE,"Detail2";#N/A,#N/A,FALSE,"Detail3";#N/A,#N/A,FALSE,"WFTE_Summary";#N/A,#N/A,FALSE,"Funded_WFTE";#N/A,#N/A,FALSE,"PYADJ96"}</definedName>
    <definedName name="CAP" localSheetId="32" hidden="1">{#N/A,#N/A,FALSE,"Summation";#N/A,#N/A,FALSE,"BSA";#N/A,#N/A,FALSE,"Detail1";#N/A,#N/A,FALSE,"Detail2";#N/A,#N/A,FALSE,"Detail3";#N/A,#N/A,FALSE,"WFTE_Summary";#N/A,#N/A,FALSE,"Funded_WFTE";#N/A,#N/A,FALSE,"PYADJ96"}</definedName>
    <definedName name="CAP" localSheetId="33" hidden="1">{#N/A,#N/A,FALSE,"Summation";#N/A,#N/A,FALSE,"BSA";#N/A,#N/A,FALSE,"Detail1";#N/A,#N/A,FALSE,"Detail2";#N/A,#N/A,FALSE,"Detail3";#N/A,#N/A,FALSE,"WFTE_Summary";#N/A,#N/A,FALSE,"Funded_WFTE";#N/A,#N/A,FALSE,"PYADJ96"}</definedName>
    <definedName name="CAP" localSheetId="34" hidden="1">{#N/A,#N/A,FALSE,"Summation";#N/A,#N/A,FALSE,"BSA";#N/A,#N/A,FALSE,"Detail1";#N/A,#N/A,FALSE,"Detail2";#N/A,#N/A,FALSE,"Detail3";#N/A,#N/A,FALSE,"WFTE_Summary";#N/A,#N/A,FALSE,"Funded_WFTE";#N/A,#N/A,FALSE,"PYADJ96"}</definedName>
    <definedName name="CAP" localSheetId="35" hidden="1">{#N/A,#N/A,FALSE,"Summation";#N/A,#N/A,FALSE,"BSA";#N/A,#N/A,FALSE,"Detail1";#N/A,#N/A,FALSE,"Detail2";#N/A,#N/A,FALSE,"Detail3";#N/A,#N/A,FALSE,"WFTE_Summary";#N/A,#N/A,FALSE,"Funded_WFTE";#N/A,#N/A,FALSE,"PYADJ96"}</definedName>
    <definedName name="CAP" localSheetId="36" hidden="1">{#N/A,#N/A,FALSE,"Summation";#N/A,#N/A,FALSE,"BSA";#N/A,#N/A,FALSE,"Detail1";#N/A,#N/A,FALSE,"Detail2";#N/A,#N/A,FALSE,"Detail3";#N/A,#N/A,FALSE,"WFTE_Summary";#N/A,#N/A,FALSE,"Funded_WFTE";#N/A,#N/A,FALSE,"PYADJ96"}</definedName>
    <definedName name="CAP" localSheetId="37" hidden="1">{#N/A,#N/A,FALSE,"Summation";#N/A,#N/A,FALSE,"BSA";#N/A,#N/A,FALSE,"Detail1";#N/A,#N/A,FALSE,"Detail2";#N/A,#N/A,FALSE,"Detail3";#N/A,#N/A,FALSE,"WFTE_Summary";#N/A,#N/A,FALSE,"Funded_WFTE";#N/A,#N/A,FALSE,"PYADJ96"}</definedName>
    <definedName name="CAP" localSheetId="38" hidden="1">{#N/A,#N/A,FALSE,"Summation";#N/A,#N/A,FALSE,"BSA";#N/A,#N/A,FALSE,"Detail1";#N/A,#N/A,FALSE,"Detail2";#N/A,#N/A,FALSE,"Detail3";#N/A,#N/A,FALSE,"WFTE_Summary";#N/A,#N/A,FALSE,"Funded_WFTE";#N/A,#N/A,FALSE,"PYADJ96"}</definedName>
    <definedName name="CAP" localSheetId="39" hidden="1">{#N/A,#N/A,FALSE,"Summation";#N/A,#N/A,FALSE,"BSA";#N/A,#N/A,FALSE,"Detail1";#N/A,#N/A,FALSE,"Detail2";#N/A,#N/A,FALSE,"Detail3";#N/A,#N/A,FALSE,"WFTE_Summary";#N/A,#N/A,FALSE,"Funded_WFTE";#N/A,#N/A,FALSE,"PYADJ96"}</definedName>
    <definedName name="CAP" localSheetId="40" hidden="1">{#N/A,#N/A,FALSE,"Summation";#N/A,#N/A,FALSE,"BSA";#N/A,#N/A,FALSE,"Detail1";#N/A,#N/A,FALSE,"Detail2";#N/A,#N/A,FALSE,"Detail3";#N/A,#N/A,FALSE,"WFTE_Summary";#N/A,#N/A,FALSE,"Funded_WFTE";#N/A,#N/A,FALSE,"PYADJ96"}</definedName>
    <definedName name="CAP" localSheetId="41" hidden="1">{#N/A,#N/A,FALSE,"Summation";#N/A,#N/A,FALSE,"BSA";#N/A,#N/A,FALSE,"Detail1";#N/A,#N/A,FALSE,"Detail2";#N/A,#N/A,FALSE,"Detail3";#N/A,#N/A,FALSE,"WFTE_Summary";#N/A,#N/A,FALSE,"Funded_WFTE";#N/A,#N/A,FALSE,"PYADJ96"}</definedName>
    <definedName name="CAP" localSheetId="42" hidden="1">{#N/A,#N/A,FALSE,"Summation";#N/A,#N/A,FALSE,"BSA";#N/A,#N/A,FALSE,"Detail1";#N/A,#N/A,FALSE,"Detail2";#N/A,#N/A,FALSE,"Detail3";#N/A,#N/A,FALSE,"WFTE_Summary";#N/A,#N/A,FALSE,"Funded_WFTE";#N/A,#N/A,FALSE,"PYADJ96"}</definedName>
    <definedName name="CAP" localSheetId="43" hidden="1">{#N/A,#N/A,FALSE,"Summation";#N/A,#N/A,FALSE,"BSA";#N/A,#N/A,FALSE,"Detail1";#N/A,#N/A,FALSE,"Detail2";#N/A,#N/A,FALSE,"Detail3";#N/A,#N/A,FALSE,"WFTE_Summary";#N/A,#N/A,FALSE,"Funded_WFTE";#N/A,#N/A,FALSE,"PYADJ96"}</definedName>
    <definedName name="CAP" localSheetId="44" hidden="1">{#N/A,#N/A,FALSE,"Summation";#N/A,#N/A,FALSE,"BSA";#N/A,#N/A,FALSE,"Detail1";#N/A,#N/A,FALSE,"Detail2";#N/A,#N/A,FALSE,"Detail3";#N/A,#N/A,FALSE,"WFTE_Summary";#N/A,#N/A,FALSE,"Funded_WFTE";#N/A,#N/A,FALSE,"PYADJ96"}</definedName>
    <definedName name="CAP" localSheetId="45" hidden="1">{#N/A,#N/A,FALSE,"Summation";#N/A,#N/A,FALSE,"BSA";#N/A,#N/A,FALSE,"Detail1";#N/A,#N/A,FALSE,"Detail2";#N/A,#N/A,FALSE,"Detail3";#N/A,#N/A,FALSE,"WFTE_Summary";#N/A,#N/A,FALSE,"Funded_WFTE";#N/A,#N/A,FALSE,"PYADJ96"}</definedName>
    <definedName name="CAP" localSheetId="46" hidden="1">{#N/A,#N/A,FALSE,"Summation";#N/A,#N/A,FALSE,"BSA";#N/A,#N/A,FALSE,"Detail1";#N/A,#N/A,FALSE,"Detail2";#N/A,#N/A,FALSE,"Detail3";#N/A,#N/A,FALSE,"WFTE_Summary";#N/A,#N/A,FALSE,"Funded_WFTE";#N/A,#N/A,FALSE,"PYADJ96"}</definedName>
    <definedName name="CAP" localSheetId="47" hidden="1">{#N/A,#N/A,FALSE,"Summation";#N/A,#N/A,FALSE,"BSA";#N/A,#N/A,FALSE,"Detail1";#N/A,#N/A,FALSE,"Detail2";#N/A,#N/A,FALSE,"Detail3";#N/A,#N/A,FALSE,"WFTE_Summary";#N/A,#N/A,FALSE,"Funded_WFTE";#N/A,#N/A,FALSE,"PYADJ96"}</definedName>
    <definedName name="CAP" localSheetId="48" hidden="1">{#N/A,#N/A,FALSE,"Summation";#N/A,#N/A,FALSE,"BSA";#N/A,#N/A,FALSE,"Detail1";#N/A,#N/A,FALSE,"Detail2";#N/A,#N/A,FALSE,"Detail3";#N/A,#N/A,FALSE,"WFTE_Summary";#N/A,#N/A,FALSE,"Funded_WFTE";#N/A,#N/A,FALSE,"PYADJ96"}</definedName>
    <definedName name="CAP" localSheetId="49" hidden="1">{#N/A,#N/A,FALSE,"Summation";#N/A,#N/A,FALSE,"BSA";#N/A,#N/A,FALSE,"Detail1";#N/A,#N/A,FALSE,"Detail2";#N/A,#N/A,FALSE,"Detail3";#N/A,#N/A,FALSE,"WFTE_Summary";#N/A,#N/A,FALSE,"Funded_WFTE";#N/A,#N/A,FALSE,"PYADJ96"}</definedName>
    <definedName name="CAP" localSheetId="50" hidden="1">{#N/A,#N/A,FALSE,"Summation";#N/A,#N/A,FALSE,"BSA";#N/A,#N/A,FALSE,"Detail1";#N/A,#N/A,FALSE,"Detail2";#N/A,#N/A,FALSE,"Detail3";#N/A,#N/A,FALSE,"WFTE_Summary";#N/A,#N/A,FALSE,"Funded_WFTE";#N/A,#N/A,FALSE,"PYADJ96"}</definedName>
    <definedName name="CAP" localSheetId="51" hidden="1">{#N/A,#N/A,FALSE,"Summation";#N/A,#N/A,FALSE,"BSA";#N/A,#N/A,FALSE,"Detail1";#N/A,#N/A,FALSE,"Detail2";#N/A,#N/A,FALSE,"Detail3";#N/A,#N/A,FALSE,"WFTE_Summary";#N/A,#N/A,FALSE,"Funded_WFTE";#N/A,#N/A,FALSE,"PYADJ96"}</definedName>
    <definedName name="CAP" localSheetId="52" hidden="1">{#N/A,#N/A,FALSE,"Summation";#N/A,#N/A,FALSE,"BSA";#N/A,#N/A,FALSE,"Detail1";#N/A,#N/A,FALSE,"Detail2";#N/A,#N/A,FALSE,"Detail3";#N/A,#N/A,FALSE,"WFTE_Summary";#N/A,#N/A,FALSE,"Funded_WFTE";#N/A,#N/A,FALSE,"PYADJ96"}</definedName>
    <definedName name="CAP" localSheetId="53" hidden="1">{#N/A,#N/A,FALSE,"Summation";#N/A,#N/A,FALSE,"BSA";#N/A,#N/A,FALSE,"Detail1";#N/A,#N/A,FALSE,"Detail2";#N/A,#N/A,FALSE,"Detail3";#N/A,#N/A,FALSE,"WFTE_Summary";#N/A,#N/A,FALSE,"Funded_WFTE";#N/A,#N/A,FALSE,"PYADJ96"}</definedName>
    <definedName name="CAP" localSheetId="54" hidden="1">{#N/A,#N/A,FALSE,"Summation";#N/A,#N/A,FALSE,"BSA";#N/A,#N/A,FALSE,"Detail1";#N/A,#N/A,FALSE,"Detail2";#N/A,#N/A,FALSE,"Detail3";#N/A,#N/A,FALSE,"WFTE_Summary";#N/A,#N/A,FALSE,"Funded_WFTE";#N/A,#N/A,FALSE,"PYADJ96"}</definedName>
    <definedName name="CAP" localSheetId="55" hidden="1">{#N/A,#N/A,FALSE,"Summation";#N/A,#N/A,FALSE,"BSA";#N/A,#N/A,FALSE,"Detail1";#N/A,#N/A,FALSE,"Detail2";#N/A,#N/A,FALSE,"Detail3";#N/A,#N/A,FALSE,"WFTE_Summary";#N/A,#N/A,FALSE,"Funded_WFTE";#N/A,#N/A,FALSE,"PYADJ96"}</definedName>
    <definedName name="CAP" localSheetId="56" hidden="1">{#N/A,#N/A,FALSE,"Summation";#N/A,#N/A,FALSE,"BSA";#N/A,#N/A,FALSE,"Detail1";#N/A,#N/A,FALSE,"Detail2";#N/A,#N/A,FALSE,"Detail3";#N/A,#N/A,FALSE,"WFTE_Summary";#N/A,#N/A,FALSE,"Funded_WFTE";#N/A,#N/A,FALSE,"PYADJ96"}</definedName>
    <definedName name="CAP" localSheetId="57" hidden="1">{#N/A,#N/A,FALSE,"Summation";#N/A,#N/A,FALSE,"BSA";#N/A,#N/A,FALSE,"Detail1";#N/A,#N/A,FALSE,"Detail2";#N/A,#N/A,FALSE,"Detail3";#N/A,#N/A,FALSE,"WFTE_Summary";#N/A,#N/A,FALSE,"Funded_WFTE";#N/A,#N/A,FALSE,"PYADJ96"}</definedName>
    <definedName name="CAP" localSheetId="58" hidden="1">{#N/A,#N/A,FALSE,"Summation";#N/A,#N/A,FALSE,"BSA";#N/A,#N/A,FALSE,"Detail1";#N/A,#N/A,FALSE,"Detail2";#N/A,#N/A,FALSE,"Detail3";#N/A,#N/A,FALSE,"WFTE_Summary";#N/A,#N/A,FALSE,"Funded_WFTE";#N/A,#N/A,FALSE,"PYADJ96"}</definedName>
    <definedName name="CAP" localSheetId="59" hidden="1">{#N/A,#N/A,FALSE,"Summation";#N/A,#N/A,FALSE,"BSA";#N/A,#N/A,FALSE,"Detail1";#N/A,#N/A,FALSE,"Detail2";#N/A,#N/A,FALSE,"Detail3";#N/A,#N/A,FALSE,"WFTE_Summary";#N/A,#N/A,FALSE,"Funded_WFTE";#N/A,#N/A,FALSE,"PYADJ96"}</definedName>
    <definedName name="CAP" localSheetId="60" hidden="1">{#N/A,#N/A,FALSE,"Summation";#N/A,#N/A,FALSE,"BSA";#N/A,#N/A,FALSE,"Detail1";#N/A,#N/A,FALSE,"Detail2";#N/A,#N/A,FALSE,"Detail3";#N/A,#N/A,FALSE,"WFTE_Summary";#N/A,#N/A,FALSE,"Funded_WFTE";#N/A,#N/A,FALSE,"PYADJ96"}</definedName>
    <definedName name="CAP" localSheetId="61" hidden="1">{#N/A,#N/A,FALSE,"Summation";#N/A,#N/A,FALSE,"BSA";#N/A,#N/A,FALSE,"Detail1";#N/A,#N/A,FALSE,"Detail2";#N/A,#N/A,FALSE,"Detail3";#N/A,#N/A,FALSE,"WFTE_Summary";#N/A,#N/A,FALSE,"Funded_WFTE";#N/A,#N/A,FALSE,"PYADJ96"}</definedName>
    <definedName name="CAP" localSheetId="62" hidden="1">{#N/A,#N/A,FALSE,"Summation";#N/A,#N/A,FALSE,"BSA";#N/A,#N/A,FALSE,"Detail1";#N/A,#N/A,FALSE,"Detail2";#N/A,#N/A,FALSE,"Detail3";#N/A,#N/A,FALSE,"WFTE_Summary";#N/A,#N/A,FALSE,"Funded_WFTE";#N/A,#N/A,FALSE,"PYADJ96"}</definedName>
    <definedName name="CAP" localSheetId="63" hidden="1">{#N/A,#N/A,FALSE,"Summation";#N/A,#N/A,FALSE,"BSA";#N/A,#N/A,FALSE,"Detail1";#N/A,#N/A,FALSE,"Detail2";#N/A,#N/A,FALSE,"Detail3";#N/A,#N/A,FALSE,"WFTE_Summary";#N/A,#N/A,FALSE,"Funded_WFTE";#N/A,#N/A,FALSE,"PYADJ96"}</definedName>
    <definedName name="CAP" localSheetId="64" hidden="1">{#N/A,#N/A,FALSE,"Summation";#N/A,#N/A,FALSE,"BSA";#N/A,#N/A,FALSE,"Detail1";#N/A,#N/A,FALSE,"Detail2";#N/A,#N/A,FALSE,"Detail3";#N/A,#N/A,FALSE,"WFTE_Summary";#N/A,#N/A,FALSE,"Funded_WFTE";#N/A,#N/A,FALSE,"PYADJ96"}</definedName>
    <definedName name="CAP" localSheetId="65" hidden="1">{#N/A,#N/A,FALSE,"Summation";#N/A,#N/A,FALSE,"BSA";#N/A,#N/A,FALSE,"Detail1";#N/A,#N/A,FALSE,"Detail2";#N/A,#N/A,FALSE,"Detail3";#N/A,#N/A,FALSE,"WFTE_Summary";#N/A,#N/A,FALSE,"Funded_WFTE";#N/A,#N/A,FALSE,"PYADJ96"}</definedName>
    <definedName name="CAP" localSheetId="66" hidden="1">{#N/A,#N/A,FALSE,"Summation";#N/A,#N/A,FALSE,"BSA";#N/A,#N/A,FALSE,"Detail1";#N/A,#N/A,FALSE,"Detail2";#N/A,#N/A,FALSE,"Detail3";#N/A,#N/A,FALSE,"WFTE_Summary";#N/A,#N/A,FALSE,"Funded_WFTE";#N/A,#N/A,FALSE,"PYADJ96"}</definedName>
    <definedName name="CAP" localSheetId="67" hidden="1">{#N/A,#N/A,FALSE,"Summation";#N/A,#N/A,FALSE,"BSA";#N/A,#N/A,FALSE,"Detail1";#N/A,#N/A,FALSE,"Detail2";#N/A,#N/A,FALSE,"Detail3";#N/A,#N/A,FALSE,"WFTE_Summary";#N/A,#N/A,FALSE,"Funded_WFTE";#N/A,#N/A,FALSE,"PYADJ96"}</definedName>
    <definedName name="CAP" localSheetId="68" hidden="1">{#N/A,#N/A,FALSE,"Summation";#N/A,#N/A,FALSE,"BSA";#N/A,#N/A,FALSE,"Detail1";#N/A,#N/A,FALSE,"Detail2";#N/A,#N/A,FALSE,"Detail3";#N/A,#N/A,FALSE,"WFTE_Summary";#N/A,#N/A,FALSE,"Funded_WFTE";#N/A,#N/A,FALSE,"PYADJ96"}</definedName>
    <definedName name="CAP" localSheetId="69" hidden="1">{#N/A,#N/A,FALSE,"Summation";#N/A,#N/A,FALSE,"BSA";#N/A,#N/A,FALSE,"Detail1";#N/A,#N/A,FALSE,"Detail2";#N/A,#N/A,FALSE,"Detail3";#N/A,#N/A,FALSE,"WFTE_Summary";#N/A,#N/A,FALSE,"Funded_WFTE";#N/A,#N/A,FALSE,"PYADJ96"}</definedName>
    <definedName name="CAP" localSheetId="70" hidden="1">{#N/A,#N/A,FALSE,"Summation";#N/A,#N/A,FALSE,"BSA";#N/A,#N/A,FALSE,"Detail1";#N/A,#N/A,FALSE,"Detail2";#N/A,#N/A,FALSE,"Detail3";#N/A,#N/A,FALSE,"WFTE_Summary";#N/A,#N/A,FALSE,"Funded_WFTE";#N/A,#N/A,FALSE,"PYADJ96"}</definedName>
    <definedName name="CAP" localSheetId="72" hidden="1">{#N/A,#N/A,FALSE,"Summation";#N/A,#N/A,FALSE,"BSA";#N/A,#N/A,FALSE,"Detail1";#N/A,#N/A,FALSE,"Detail2";#N/A,#N/A,FALSE,"Detail3";#N/A,#N/A,FALSE,"WFTE_Summary";#N/A,#N/A,FALSE,"Funded_WFTE";#N/A,#N/A,FALSE,"PYADJ96"}</definedName>
    <definedName name="CAP" localSheetId="71" hidden="1">{#N/A,#N/A,FALSE,"Summation";#N/A,#N/A,FALSE,"BSA";#N/A,#N/A,FALSE,"Detail1";#N/A,#N/A,FALSE,"Detail2";#N/A,#N/A,FALSE,"Detail3";#N/A,#N/A,FALSE,"WFTE_Summary";#N/A,#N/A,FALSE,"Funded_WFTE";#N/A,#N/A,FALSE,"PYADJ96"}</definedName>
    <definedName name="CAP" localSheetId="73" hidden="1">{#N/A,#N/A,FALSE,"Summation";#N/A,#N/A,FALSE,"BSA";#N/A,#N/A,FALSE,"Detail1";#N/A,#N/A,FALSE,"Detail2";#N/A,#N/A,FALSE,"Detail3";#N/A,#N/A,FALSE,"WFTE_Summary";#N/A,#N/A,FALSE,"Funded_WFTE";#N/A,#N/A,FALSE,"PYADJ96"}</definedName>
    <definedName name="CAP" localSheetId="74" hidden="1">{#N/A,#N/A,FALSE,"Summation";#N/A,#N/A,FALSE,"BSA";#N/A,#N/A,FALSE,"Detail1";#N/A,#N/A,FALSE,"Detail2";#N/A,#N/A,FALSE,"Detail3";#N/A,#N/A,FALSE,"WFTE_Summary";#N/A,#N/A,FALSE,"Funded_WFTE";#N/A,#N/A,FALSE,"PYADJ96"}</definedName>
    <definedName name="CAP" localSheetId="75" hidden="1">{#N/A,#N/A,FALSE,"Summation";#N/A,#N/A,FALSE,"BSA";#N/A,#N/A,FALSE,"Detail1";#N/A,#N/A,FALSE,"Detail2";#N/A,#N/A,FALSE,"Detail3";#N/A,#N/A,FALSE,"WFTE_Summary";#N/A,#N/A,FALSE,"Funded_WFTE";#N/A,#N/A,FALSE,"PYADJ96"}</definedName>
    <definedName name="CAP" localSheetId="76" hidden="1">{#N/A,#N/A,FALSE,"Summation";#N/A,#N/A,FALSE,"BSA";#N/A,#N/A,FALSE,"Detail1";#N/A,#N/A,FALSE,"Detail2";#N/A,#N/A,FALSE,"Detail3";#N/A,#N/A,FALSE,"WFTE_Summary";#N/A,#N/A,FALSE,"Funded_WFTE";#N/A,#N/A,FALSE,"PYADJ96"}</definedName>
    <definedName name="CAP" localSheetId="1" hidden="1">{#N/A,#N/A,FALSE,"Summation";#N/A,#N/A,FALSE,"BSA";#N/A,#N/A,FALSE,"Detail1";#N/A,#N/A,FALSE,"Detail2";#N/A,#N/A,FALSE,"Detail3";#N/A,#N/A,FALSE,"WFTE_Summary";#N/A,#N/A,FALSE,"Funded_WFTE";#N/A,#N/A,FALSE,"PYADJ96"}</definedName>
    <definedName name="CAP" localSheetId="0" hidden="1">{#N/A,#N/A,FALSE,"Summation";#N/A,#N/A,FALSE,"BSA";#N/A,#N/A,FALSE,"Detail1";#N/A,#N/A,FALSE,"Detail2";#N/A,#N/A,FALSE,"Detail3";#N/A,#N/A,FALSE,"WFTE_Summary";#N/A,#N/A,FALSE,"Funded_WFTE";#N/A,#N/A,FALSE,"PYADJ96"}</definedName>
    <definedName name="CAP" localSheetId="2" hidden="1">{#N/A,#N/A,FALSE,"Summation";#N/A,#N/A,FALSE,"BSA";#N/A,#N/A,FALSE,"Detail1";#N/A,#N/A,FALSE,"Detail2";#N/A,#N/A,FALSE,"Detail3";#N/A,#N/A,FALSE,"WFTE_Summary";#N/A,#N/A,FALSE,"Funded_WFTE";#N/A,#N/A,FALSE,"PYADJ96"}</definedName>
    <definedName name="CAP" hidden="1">{#N/A,#N/A,FALSE,"Summation";#N/A,#N/A,FALSE,"BSA";#N/A,#N/A,FALSE,"Detail1";#N/A,#N/A,FALSE,"Detail2";#N/A,#N/A,FALSE,"Detail3";#N/A,#N/A,FALSE,"WFTE_Summary";#N/A,#N/A,FALSE,"Funded_WFTE";#N/A,#N/A,FALSE,"PYADJ96"}</definedName>
    <definedName name="DCD" localSheetId="3">'0054'!$G$46</definedName>
    <definedName name="DCD" localSheetId="4">'0054 June Final'!$G$46</definedName>
    <definedName name="DCD" localSheetId="5">'0642'!$G$46</definedName>
    <definedName name="DCD" localSheetId="6">'0642 June Final'!$G$46</definedName>
    <definedName name="DCD" localSheetId="7">'0664'!$G$46</definedName>
    <definedName name="DCD" localSheetId="8">'0664 June Final'!$G$46</definedName>
    <definedName name="DCD" localSheetId="9">'1461'!$G$46</definedName>
    <definedName name="DCD" localSheetId="10">'1571'!$G$46</definedName>
    <definedName name="DCD" localSheetId="11">'2521'!$G$46</definedName>
    <definedName name="DCD" localSheetId="12">'2531'!$G$46</definedName>
    <definedName name="DCD" localSheetId="13">'2531 June final'!$G$46</definedName>
    <definedName name="DCD" localSheetId="14">'2641'!$G$46</definedName>
    <definedName name="DCD" localSheetId="15">'2641 June Final'!$G$46</definedName>
    <definedName name="DCD" localSheetId="16">'2661'!$G$46</definedName>
    <definedName name="DCD" localSheetId="17">'2661 June Final'!$G$46</definedName>
    <definedName name="DCD" localSheetId="18">'2791'!$G$46</definedName>
    <definedName name="DCD" localSheetId="19">'2791 June final'!$G$46</definedName>
    <definedName name="DCD" localSheetId="20">'2801'!$G$46</definedName>
    <definedName name="DCD" localSheetId="21">'2801 June Final'!$G$46</definedName>
    <definedName name="DCD" localSheetId="22">'2911'!$G$46</definedName>
    <definedName name="DCD" localSheetId="23">'2911 June final'!$G$46</definedName>
    <definedName name="DCD" localSheetId="24">'2941'!$G$46</definedName>
    <definedName name="DCD" localSheetId="25">'2941 June final'!$G$46</definedName>
    <definedName name="DCD" localSheetId="26">'3083'!$G$46</definedName>
    <definedName name="DCD" localSheetId="27">'3344'!$G$46</definedName>
    <definedName name="DCD" localSheetId="28">'3345'!$G$46</definedName>
    <definedName name="DCD" localSheetId="29">'3347'!$G$46</definedName>
    <definedName name="DCD" localSheetId="30">'3381'!$G$46</definedName>
    <definedName name="DCD" localSheetId="31">'3381 June Final'!$G$46</definedName>
    <definedName name="DCD" localSheetId="32">'3382'!$G$46</definedName>
    <definedName name="DCD" localSheetId="33">'3382 June Final'!$G$46</definedName>
    <definedName name="DCD" localSheetId="34">'3384'!$G$46</definedName>
    <definedName name="DCD" localSheetId="35">'3384 June Final'!$G$46</definedName>
    <definedName name="DCD" localSheetId="36">'3385'!$G$46</definedName>
    <definedName name="DCD" localSheetId="37">'3385 June Final'!$G$46</definedName>
    <definedName name="DCD" localSheetId="38">'3386'!$G$46</definedName>
    <definedName name="DCD" localSheetId="39">'3391'!$G$46</definedName>
    <definedName name="DCD" localSheetId="40">'3392'!$G$46</definedName>
    <definedName name="DCD" localSheetId="41">'3392 June Final'!$G$46</definedName>
    <definedName name="DCD" localSheetId="42">'3394'!$G$46</definedName>
    <definedName name="DCD" localSheetId="43">'3394 June Final'!$G$46</definedName>
    <definedName name="DCD" localSheetId="44">'3395'!$G$46</definedName>
    <definedName name="DCD" localSheetId="45">'3395 June Final'!$G$46</definedName>
    <definedName name="DCD" localSheetId="46">'3396'!$G$46</definedName>
    <definedName name="DCD" localSheetId="47">'3398'!$G$46</definedName>
    <definedName name="DCD" localSheetId="48">'3400'!$G$46</definedName>
    <definedName name="DCD" localSheetId="49">'3401'!$G$46</definedName>
    <definedName name="DCD" localSheetId="50">'3411'!$G$46</definedName>
    <definedName name="DCD" localSheetId="51">'3413'!$G$46</definedName>
    <definedName name="DCD" localSheetId="52">'3413 June Final'!$G$46</definedName>
    <definedName name="DCD" localSheetId="53">'3421'!$G$46</definedName>
    <definedName name="DCD" localSheetId="54">'3431'!$G$46</definedName>
    <definedName name="DCD" localSheetId="55">'3431 June Final'!$G$46</definedName>
    <definedName name="DCD" localSheetId="56">'3441'!$G$46</definedName>
    <definedName name="DCD" localSheetId="57">'3443'!$G$46</definedName>
    <definedName name="DCD" localSheetId="58">'3941'!$G$46</definedName>
    <definedName name="DCD" localSheetId="59">'3941 June Final'!$G$46</definedName>
    <definedName name="DCD" localSheetId="60">'3961'!$G$46</definedName>
    <definedName name="DCD" localSheetId="61">'3961 June Final'!$G$46</definedName>
    <definedName name="DCD" localSheetId="62">'3971'!$G$46</definedName>
    <definedName name="DCD" localSheetId="63">'4000'!$G$46</definedName>
    <definedName name="DCD" localSheetId="64">'4000 June Final'!$G$46</definedName>
    <definedName name="DCD" localSheetId="65">'4002'!$G$46</definedName>
    <definedName name="DCD" localSheetId="66">'4002 June Final'!$G$46</definedName>
    <definedName name="DCD" localSheetId="67">'4010'!$G$46</definedName>
    <definedName name="DCD" localSheetId="68">'4012'!$G$46</definedName>
    <definedName name="DCD" localSheetId="69">'4013'!$G$46</definedName>
    <definedName name="DCD" localSheetId="70">'4020'!$G$46</definedName>
    <definedName name="DCD" localSheetId="72">'4020 June Final'!$G$46</definedName>
    <definedName name="DCD" localSheetId="71">'4020 June Tch Alloc.'!$G$46</definedName>
    <definedName name="DCD" localSheetId="73">'4037'!$G$46</definedName>
    <definedName name="DCD" localSheetId="74">'4037 June Final'!$G$46</definedName>
    <definedName name="DCD" localSheetId="75">#REF!</definedName>
    <definedName name="DCD" localSheetId="76">'4041'!$G$46</definedName>
    <definedName name="DCD" localSheetId="1">#REF!</definedName>
    <definedName name="DCD" localSheetId="0">#REF!</definedName>
    <definedName name="DCD">#REF!</definedName>
    <definedName name="District_Cost_Differential" localSheetId="3">'0054'!$I$7</definedName>
    <definedName name="District_Cost_Differential" localSheetId="4">'0054 June Final'!$I$7</definedName>
    <definedName name="District_Cost_Differential" localSheetId="5">'0642'!$I$7</definedName>
    <definedName name="District_Cost_Differential" localSheetId="6">'0642 June Final'!$I$7</definedName>
    <definedName name="District_Cost_Differential" localSheetId="7">'0664'!$I$7</definedName>
    <definedName name="District_Cost_Differential" localSheetId="8">'0664 June Final'!$I$7</definedName>
    <definedName name="District_Cost_Differential" localSheetId="9">'1461'!$I$7</definedName>
    <definedName name="District_Cost_Differential" localSheetId="10">'1571'!$I$7</definedName>
    <definedName name="District_Cost_Differential" localSheetId="11">'2521'!$I$7</definedName>
    <definedName name="District_Cost_Differential" localSheetId="12">'2531'!$I$7</definedName>
    <definedName name="District_Cost_Differential" localSheetId="13">'2531 June final'!$I$7</definedName>
    <definedName name="District_Cost_Differential" localSheetId="14">'2641'!$I$7</definedName>
    <definedName name="District_Cost_Differential" localSheetId="15">'2641 June Final'!$I$7</definedName>
    <definedName name="District_Cost_Differential" localSheetId="16">'2661'!$I$7</definedName>
    <definedName name="District_Cost_Differential" localSheetId="17">'2661 June Final'!$I$7</definedName>
    <definedName name="District_Cost_Differential" localSheetId="18">'2791'!$I$7</definedName>
    <definedName name="District_Cost_Differential" localSheetId="19">'2791 June final'!$I$7</definedName>
    <definedName name="District_Cost_Differential" localSheetId="20">'2801'!$I$7</definedName>
    <definedName name="District_Cost_Differential" localSheetId="21">'2801 June Final'!$I$7</definedName>
    <definedName name="District_Cost_Differential" localSheetId="22">'2911'!$I$7</definedName>
    <definedName name="District_Cost_Differential" localSheetId="23">'2911 June final'!$I$7</definedName>
    <definedName name="District_Cost_Differential" localSheetId="24">'2941'!$I$7</definedName>
    <definedName name="District_Cost_Differential" localSheetId="25">'2941 June final'!$I$7</definedName>
    <definedName name="District_Cost_Differential" localSheetId="26">'3083'!$I$7</definedName>
    <definedName name="District_Cost_Differential" localSheetId="27">'3344'!$I$7</definedName>
    <definedName name="District_Cost_Differential" localSheetId="28">'3345'!$I$7</definedName>
    <definedName name="District_Cost_Differential" localSheetId="29">'3347'!$I$7</definedName>
    <definedName name="District_Cost_Differential" localSheetId="30">'3381'!$I$7</definedName>
    <definedName name="District_Cost_Differential" localSheetId="31">'3381 June Final'!$I$7</definedName>
    <definedName name="District_Cost_Differential" localSheetId="32">'3382'!$I$7</definedName>
    <definedName name="District_Cost_Differential" localSheetId="33">'3382 June Final'!$I$7</definedName>
    <definedName name="District_Cost_Differential" localSheetId="34">'3384'!$I$7</definedName>
    <definedName name="District_Cost_Differential" localSheetId="35">'3384 June Final'!$I$7</definedName>
    <definedName name="District_Cost_Differential" localSheetId="36">'3385'!$I$7</definedName>
    <definedName name="District_Cost_Differential" localSheetId="37">'3385 June Final'!$I$7</definedName>
    <definedName name="District_Cost_Differential" localSheetId="38">'3386'!$I$7</definedName>
    <definedName name="District_Cost_Differential" localSheetId="39">'3391'!$I$7</definedName>
    <definedName name="District_Cost_Differential" localSheetId="40">'3392'!$I$7</definedName>
    <definedName name="District_Cost_Differential" localSheetId="41">'3392 June Final'!$I$7</definedName>
    <definedName name="District_Cost_Differential" localSheetId="42">'3394'!$I$7</definedName>
    <definedName name="District_Cost_Differential" localSheetId="43">'3394 June Final'!$I$7</definedName>
    <definedName name="District_Cost_Differential" localSheetId="44">'3395'!$I$7</definedName>
    <definedName name="District_Cost_Differential" localSheetId="45">'3395 June Final'!$I$7</definedName>
    <definedName name="District_Cost_Differential" localSheetId="46">'3396'!$I$7</definedName>
    <definedName name="District_Cost_Differential" localSheetId="47">'3398'!$I$7</definedName>
    <definedName name="District_Cost_Differential" localSheetId="48">'3400'!$I$7</definedName>
    <definedName name="District_Cost_Differential" localSheetId="49">'3401'!$I$7</definedName>
    <definedName name="District_Cost_Differential" localSheetId="50">'3411'!$I$7</definedName>
    <definedName name="District_Cost_Differential" localSheetId="51">'3413'!$I$7</definedName>
    <definedName name="District_Cost_Differential" localSheetId="52">'3413 June Final'!$I$7</definedName>
    <definedName name="District_Cost_Differential" localSheetId="53">'3421'!$I$7</definedName>
    <definedName name="District_Cost_Differential" localSheetId="54">'3431'!$I$7</definedName>
    <definedName name="District_Cost_Differential" localSheetId="55">'3431 June Final'!$I$7</definedName>
    <definedName name="District_Cost_Differential" localSheetId="56">'3441'!$I$7</definedName>
    <definedName name="District_Cost_Differential" localSheetId="57">'3443'!$I$7</definedName>
    <definedName name="District_Cost_Differential" localSheetId="58">'3941'!$I$7</definedName>
    <definedName name="District_Cost_Differential" localSheetId="59">'3941 June Final'!$I$7</definedName>
    <definedName name="District_Cost_Differential" localSheetId="60">'3961'!$I$7</definedName>
    <definedName name="District_Cost_Differential" localSheetId="61">'3961 June Final'!$I$7</definedName>
    <definedName name="District_Cost_Differential" localSheetId="62">'3971'!$I$7</definedName>
    <definedName name="District_Cost_Differential" localSheetId="63">'4000'!$I$7</definedName>
    <definedName name="District_Cost_Differential" localSheetId="64">'4000 June Final'!$I$7</definedName>
    <definedName name="District_Cost_Differential" localSheetId="65">'4002'!$I$7</definedName>
    <definedName name="District_Cost_Differential" localSheetId="66">'4002 June Final'!$I$7</definedName>
    <definedName name="District_Cost_Differential" localSheetId="67">'4010'!$I$7</definedName>
    <definedName name="District_Cost_Differential" localSheetId="68">'4012'!$I$7</definedName>
    <definedName name="District_Cost_Differential" localSheetId="69">'4013'!$I$7</definedName>
    <definedName name="District_Cost_Differential" localSheetId="70">'4020'!$I$7</definedName>
    <definedName name="District_Cost_Differential" localSheetId="72">'4020 June Final'!$I$7</definedName>
    <definedName name="District_Cost_Differential" localSheetId="71">'4020 June Tch Alloc.'!$I$7</definedName>
    <definedName name="District_Cost_Differential" localSheetId="73">'4037'!$I$7</definedName>
    <definedName name="District_Cost_Differential" localSheetId="74">'4037 June Final'!$I$7</definedName>
    <definedName name="District_Cost_Differential" localSheetId="75">#REF!</definedName>
    <definedName name="District_Cost_Differential" localSheetId="76">'4041'!$I$7</definedName>
    <definedName name="District_Cost_Differential" localSheetId="1">#REF!</definedName>
    <definedName name="District_Cost_Differential" localSheetId="0">#REF!</definedName>
    <definedName name="District_Cost_Differential">#REF!</definedName>
    <definedName name="District_SAI_Allocation" localSheetId="3">'0054'!$B$39</definedName>
    <definedName name="District_SAI_Allocation" localSheetId="4">'0054 June Final'!$B$39</definedName>
    <definedName name="District_SAI_Allocation" localSheetId="5">'0642'!$B$39</definedName>
    <definedName name="District_SAI_Allocation" localSheetId="6">'0642 June Final'!$B$39</definedName>
    <definedName name="District_SAI_Allocation" localSheetId="7">'0664'!$B$39</definedName>
    <definedName name="District_SAI_Allocation" localSheetId="8">'0664 June Final'!$B$39</definedName>
    <definedName name="District_SAI_Allocation" localSheetId="9">'1461'!$B$39</definedName>
    <definedName name="District_SAI_Allocation" localSheetId="10">'1571'!$B$39</definedName>
    <definedName name="District_SAI_Allocation" localSheetId="11">'2521'!$B$39</definedName>
    <definedName name="District_SAI_Allocation" localSheetId="12">'2531'!$B$39</definedName>
    <definedName name="District_SAI_Allocation" localSheetId="13">'2531 June final'!$B$39</definedName>
    <definedName name="District_SAI_Allocation" localSheetId="14">'2641'!$B$39</definedName>
    <definedName name="District_SAI_Allocation" localSheetId="15">'2641 June Final'!$B$39</definedName>
    <definedName name="District_SAI_Allocation" localSheetId="16">'2661'!$B$39</definedName>
    <definedName name="District_SAI_Allocation" localSheetId="17">'2661 June Final'!$B$39</definedName>
    <definedName name="District_SAI_Allocation" localSheetId="18">'2791'!$B$39</definedName>
    <definedName name="District_SAI_Allocation" localSheetId="19">'2791 June final'!$B$39</definedName>
    <definedName name="District_SAI_Allocation" localSheetId="20">'2801'!$B$39</definedName>
    <definedName name="District_SAI_Allocation" localSheetId="21">'2801 June Final'!$B$39</definedName>
    <definedName name="District_SAI_Allocation" localSheetId="22">'2911'!$B$39</definedName>
    <definedName name="District_SAI_Allocation" localSheetId="23">'2911 June final'!$B$39</definedName>
    <definedName name="District_SAI_Allocation" localSheetId="24">'2941'!$B$39</definedName>
    <definedName name="District_SAI_Allocation" localSheetId="25">'2941 June final'!$B$39</definedName>
    <definedName name="District_SAI_Allocation" localSheetId="26">'3083'!$B$39</definedName>
    <definedName name="District_SAI_Allocation" localSheetId="27">'3344'!$B$39</definedName>
    <definedName name="District_SAI_Allocation" localSheetId="28">'3345'!$B$39</definedName>
    <definedName name="District_SAI_Allocation" localSheetId="29">'3347'!$B$39</definedName>
    <definedName name="District_SAI_Allocation" localSheetId="30">'3381'!$B$39</definedName>
    <definedName name="District_SAI_Allocation" localSheetId="31">'3381 June Final'!$B$39</definedName>
    <definedName name="District_SAI_Allocation" localSheetId="32">'3382'!$B$39</definedName>
    <definedName name="District_SAI_Allocation" localSheetId="33">'3382 June Final'!$B$39</definedName>
    <definedName name="District_SAI_Allocation" localSheetId="34">'3384'!$B$39</definedName>
    <definedName name="District_SAI_Allocation" localSheetId="35">'3384 June Final'!$B$39</definedName>
    <definedName name="District_SAI_Allocation" localSheetId="36">'3385'!$B$39</definedName>
    <definedName name="District_SAI_Allocation" localSheetId="37">'3385 June Final'!$B$39</definedName>
    <definedName name="District_SAI_Allocation" localSheetId="38">'3386'!$B$39</definedName>
    <definedName name="District_SAI_Allocation" localSheetId="39">'3391'!$B$39</definedName>
    <definedName name="District_SAI_Allocation" localSheetId="40">'3392'!$B$39</definedName>
    <definedName name="District_SAI_Allocation" localSheetId="41">'3392 June Final'!$B$39</definedName>
    <definedName name="District_SAI_Allocation" localSheetId="42">'3394'!$B$39</definedName>
    <definedName name="District_SAI_Allocation" localSheetId="43">'3394 June Final'!$B$39</definedName>
    <definedName name="District_SAI_Allocation" localSheetId="44">'3395'!$B$39</definedName>
    <definedName name="District_SAI_Allocation" localSheetId="45">'3395 June Final'!$B$39</definedName>
    <definedName name="District_SAI_Allocation" localSheetId="46">'3396'!$B$39</definedName>
    <definedName name="District_SAI_Allocation" localSheetId="47">'3398'!$B$39</definedName>
    <definedName name="District_SAI_Allocation" localSheetId="48">'3400'!$B$39</definedName>
    <definedName name="District_SAI_Allocation" localSheetId="49">'3401'!$B$39</definedName>
    <definedName name="District_SAI_Allocation" localSheetId="50">'3411'!$B$39</definedName>
    <definedName name="District_SAI_Allocation" localSheetId="51">'3413'!$B$39</definedName>
    <definedName name="District_SAI_Allocation" localSheetId="52">'3413 June Final'!$B$39</definedName>
    <definedName name="District_SAI_Allocation" localSheetId="53">'3421'!$B$39</definedName>
    <definedName name="District_SAI_Allocation" localSheetId="54">'3431'!$B$39</definedName>
    <definedName name="District_SAI_Allocation" localSheetId="55">'3431 June Final'!$B$39</definedName>
    <definedName name="District_SAI_Allocation" localSheetId="56">'3441'!$B$39</definedName>
    <definedName name="District_SAI_Allocation" localSheetId="57">'3443'!$B$39</definedName>
    <definedName name="District_SAI_Allocation" localSheetId="58">'3941'!$B$39</definedName>
    <definedName name="District_SAI_Allocation" localSheetId="59">'3941 June Final'!$B$39</definedName>
    <definedName name="District_SAI_Allocation" localSheetId="60">'3961'!$B$39</definedName>
    <definedName name="District_SAI_Allocation" localSheetId="61">'3961 June Final'!$B$39</definedName>
    <definedName name="District_SAI_Allocation" localSheetId="62">'3971'!$B$39</definedName>
    <definedName name="District_SAI_Allocation" localSheetId="63">'4000'!$B$39</definedName>
    <definedName name="District_SAI_Allocation" localSheetId="64">'4000 June Final'!$B$39</definedName>
    <definedName name="District_SAI_Allocation" localSheetId="65">'4002'!$B$39</definedName>
    <definedName name="District_SAI_Allocation" localSheetId="66">'4002 June Final'!$B$39</definedName>
    <definedName name="District_SAI_Allocation" localSheetId="67">'4010'!$B$39</definedName>
    <definedName name="District_SAI_Allocation" localSheetId="68">'4012'!$B$39</definedName>
    <definedName name="District_SAI_Allocation" localSheetId="69">'4013'!$B$39</definedName>
    <definedName name="District_SAI_Allocation" localSheetId="70">'4020'!$B$39</definedName>
    <definedName name="District_SAI_Allocation" localSheetId="72">'4020 June Final'!$B$39</definedName>
    <definedName name="District_SAI_Allocation" localSheetId="71">'4020 June Tch Alloc.'!$B$39</definedName>
    <definedName name="District_SAI_Allocation" localSheetId="73">'4037'!$B$39</definedName>
    <definedName name="District_SAI_Allocation" localSheetId="74">'4037 June Final'!$B$39</definedName>
    <definedName name="District_SAI_Allocation" localSheetId="75">#REF!</definedName>
    <definedName name="District_SAI_Allocation" localSheetId="76">'4041'!$B$39</definedName>
    <definedName name="District_SAI_Allocation" localSheetId="1">#REF!</definedName>
    <definedName name="District_SAI_Allocation" localSheetId="0">#REF!</definedName>
    <definedName name="District_SAI_Allocation">#REF!</definedName>
    <definedName name="divided_by_district_FTE" localSheetId="3">'0054'!$B$40</definedName>
    <definedName name="divided_by_district_FTE" localSheetId="4">'0054 June Final'!$B$40</definedName>
    <definedName name="divided_by_district_FTE" localSheetId="5">'0642'!$B$40</definedName>
    <definedName name="divided_by_district_FTE" localSheetId="6">'0642 June Final'!$B$40</definedName>
    <definedName name="divided_by_district_FTE" localSheetId="7">'0664'!$B$40</definedName>
    <definedName name="divided_by_district_FTE" localSheetId="8">'0664 June Final'!$B$40</definedName>
    <definedName name="divided_by_district_FTE" localSheetId="9">'1461'!$B$40</definedName>
    <definedName name="divided_by_district_FTE" localSheetId="10">'1571'!$B$40</definedName>
    <definedName name="divided_by_district_FTE" localSheetId="11">'2521'!$B$40</definedName>
    <definedName name="divided_by_district_FTE" localSheetId="12">'2531'!$B$40</definedName>
    <definedName name="divided_by_district_FTE" localSheetId="13">'2531 June final'!$B$40</definedName>
    <definedName name="divided_by_district_FTE" localSheetId="14">'2641'!$B$40</definedName>
    <definedName name="divided_by_district_FTE" localSheetId="15">'2641 June Final'!$B$40</definedName>
    <definedName name="divided_by_district_FTE" localSheetId="16">'2661'!$B$40</definedName>
    <definedName name="divided_by_district_FTE" localSheetId="17">'2661 June Final'!$B$40</definedName>
    <definedName name="divided_by_district_FTE" localSheetId="18">'2791'!$B$40</definedName>
    <definedName name="divided_by_district_FTE" localSheetId="19">'2791 June final'!$B$40</definedName>
    <definedName name="divided_by_district_FTE" localSheetId="20">'2801'!$B$40</definedName>
    <definedName name="divided_by_district_FTE" localSheetId="21">'2801 June Final'!$B$40</definedName>
    <definedName name="divided_by_district_FTE" localSheetId="22">'2911'!$B$40</definedName>
    <definedName name="divided_by_district_FTE" localSheetId="23">'2911 June final'!$B$40</definedName>
    <definedName name="divided_by_district_FTE" localSheetId="24">'2941'!$B$40</definedName>
    <definedName name="divided_by_district_FTE" localSheetId="25">'2941 June final'!$B$40</definedName>
    <definedName name="divided_by_district_FTE" localSheetId="26">'3083'!$B$40</definedName>
    <definedName name="divided_by_district_FTE" localSheetId="27">'3344'!$B$40</definedName>
    <definedName name="divided_by_district_FTE" localSheetId="28">'3345'!$B$40</definedName>
    <definedName name="divided_by_district_FTE" localSheetId="29">'3347'!$B$40</definedName>
    <definedName name="divided_by_district_FTE" localSheetId="30">'3381'!$B$40</definedName>
    <definedName name="divided_by_district_FTE" localSheetId="31">'3381 June Final'!$B$40</definedName>
    <definedName name="divided_by_district_FTE" localSheetId="32">'3382'!$B$40</definedName>
    <definedName name="divided_by_district_FTE" localSheetId="33">'3382 June Final'!$B$40</definedName>
    <definedName name="divided_by_district_FTE" localSheetId="34">'3384'!$B$40</definedName>
    <definedName name="divided_by_district_FTE" localSheetId="35">'3384 June Final'!$B$40</definedName>
    <definedName name="divided_by_district_FTE" localSheetId="36">'3385'!$B$40</definedName>
    <definedName name="divided_by_district_FTE" localSheetId="37">'3385 June Final'!$B$40</definedName>
    <definedName name="divided_by_district_FTE" localSheetId="38">'3386'!$B$40</definedName>
    <definedName name="divided_by_district_FTE" localSheetId="39">'3391'!$B$40</definedName>
    <definedName name="divided_by_district_FTE" localSheetId="40">'3392'!$B$40</definedName>
    <definedName name="divided_by_district_FTE" localSheetId="41">'3392 June Final'!$B$40</definedName>
    <definedName name="divided_by_district_FTE" localSheetId="42">'3394'!$B$40</definedName>
    <definedName name="divided_by_district_FTE" localSheetId="43">'3394 June Final'!$B$40</definedName>
    <definedName name="divided_by_district_FTE" localSheetId="44">'3395'!$B$40</definedName>
    <definedName name="divided_by_district_FTE" localSheetId="45">'3395 June Final'!$B$40</definedName>
    <definedName name="divided_by_district_FTE" localSheetId="46">'3396'!$B$40</definedName>
    <definedName name="divided_by_district_FTE" localSheetId="47">'3398'!$B$40</definedName>
    <definedName name="divided_by_district_FTE" localSheetId="48">'3400'!$B$40</definedName>
    <definedName name="divided_by_district_FTE" localSheetId="49">'3401'!$B$40</definedName>
    <definedName name="divided_by_district_FTE" localSheetId="50">'3411'!$B$40</definedName>
    <definedName name="divided_by_district_FTE" localSheetId="51">'3413'!$B$40</definedName>
    <definedName name="divided_by_district_FTE" localSheetId="52">'3413 June Final'!$B$40</definedName>
    <definedName name="divided_by_district_FTE" localSheetId="53">'3421'!$B$40</definedName>
    <definedName name="divided_by_district_FTE" localSheetId="54">'3431'!$B$40</definedName>
    <definedName name="divided_by_district_FTE" localSheetId="55">'3431 June Final'!$B$40</definedName>
    <definedName name="divided_by_district_FTE" localSheetId="56">'3441'!$B$40</definedName>
    <definedName name="divided_by_district_FTE" localSheetId="57">'3443'!$B$40</definedName>
    <definedName name="divided_by_district_FTE" localSheetId="58">'3941'!$B$40</definedName>
    <definedName name="divided_by_district_FTE" localSheetId="59">'3941 June Final'!$B$40</definedName>
    <definedName name="divided_by_district_FTE" localSheetId="60">'3961'!$B$40</definedName>
    <definedName name="divided_by_district_FTE" localSheetId="61">'3961 June Final'!$B$40</definedName>
    <definedName name="divided_by_district_FTE" localSheetId="62">'3971'!$B$40</definedName>
    <definedName name="divided_by_district_FTE" localSheetId="63">'4000'!$B$40</definedName>
    <definedName name="divided_by_district_FTE" localSheetId="64">'4000 June Final'!$B$40</definedName>
    <definedName name="divided_by_district_FTE" localSheetId="65">'4002'!$B$40</definedName>
    <definedName name="divided_by_district_FTE" localSheetId="66">'4002 June Final'!$B$40</definedName>
    <definedName name="divided_by_district_FTE" localSheetId="67">'4010'!$B$40</definedName>
    <definedName name="divided_by_district_FTE" localSheetId="68">'4012'!$B$40</definedName>
    <definedName name="divided_by_district_FTE" localSheetId="69">'4013'!$B$40</definedName>
    <definedName name="divided_by_district_FTE" localSheetId="70">'4020'!$B$40</definedName>
    <definedName name="divided_by_district_FTE" localSheetId="72">'4020 June Final'!$B$40</definedName>
    <definedName name="divided_by_district_FTE" localSheetId="71">'4020 June Tch Alloc.'!$B$40</definedName>
    <definedName name="divided_by_district_FTE" localSheetId="73">'4037'!$B$40</definedName>
    <definedName name="divided_by_district_FTE" localSheetId="74">'4037 June Final'!$B$40</definedName>
    <definedName name="divided_by_district_FTE" localSheetId="75">#REF!</definedName>
    <definedName name="divided_by_district_FTE" localSheetId="76">'4041'!$B$40</definedName>
    <definedName name="divided_by_district_FTE" localSheetId="1">#REF!</definedName>
    <definedName name="divided_by_district_FTE" localSheetId="0">#REF!</definedName>
    <definedName name="divided_by_district_FTE">#REF!</definedName>
    <definedName name="FTE" localSheetId="3">'0054'!$G$27</definedName>
    <definedName name="FTE" localSheetId="4">'0054 June Final'!$G$27</definedName>
    <definedName name="FTE" localSheetId="5">'0642'!$G$27</definedName>
    <definedName name="FTE" localSheetId="6">'0642 June Final'!$G$27</definedName>
    <definedName name="FTE" localSheetId="7">'0664'!$G$27</definedName>
    <definedName name="FTE" localSheetId="8">'0664 June Final'!$G$27</definedName>
    <definedName name="FTE" localSheetId="9">'1461'!$G$27</definedName>
    <definedName name="FTE" localSheetId="10">'1571'!$G$27</definedName>
    <definedName name="FTE" localSheetId="11">'2521'!$G$27</definedName>
    <definedName name="FTE" localSheetId="12">'2531'!$G$27</definedName>
    <definedName name="FTE" localSheetId="13">'2531 June final'!$G$27</definedName>
    <definedName name="FTE" localSheetId="14">'2641'!$G$27</definedName>
    <definedName name="FTE" localSheetId="15">'2641 June Final'!$G$27</definedName>
    <definedName name="FTE" localSheetId="16">'2661'!$G$27</definedName>
    <definedName name="FTE" localSheetId="17">'2661 June Final'!$G$27</definedName>
    <definedName name="FTE" localSheetId="18">'2791'!$G$27</definedName>
    <definedName name="FTE" localSheetId="19">'2791 June final'!$G$27</definedName>
    <definedName name="FTE" localSheetId="20">'2801'!$G$27</definedName>
    <definedName name="FTE" localSheetId="21">'2801 June Final'!$G$27</definedName>
    <definedName name="FTE" localSheetId="22">'2911'!$G$27</definedName>
    <definedName name="FTE" localSheetId="23">'2911 June final'!$G$27</definedName>
    <definedName name="FTE" localSheetId="24">'2941'!$G$27</definedName>
    <definedName name="FTE" localSheetId="25">'2941 June final'!$G$27</definedName>
    <definedName name="FTE" localSheetId="26">'3083'!$G$27</definedName>
    <definedName name="FTE" localSheetId="27">'3344'!$G$27</definedName>
    <definedName name="FTE" localSheetId="28">'3345'!$G$27</definedName>
    <definedName name="FTE" localSheetId="29">'3347'!$G$27</definedName>
    <definedName name="FTE" localSheetId="30">'3381'!$G$27</definedName>
    <definedName name="FTE" localSheetId="31">'3381 June Final'!$G$27</definedName>
    <definedName name="FTE" localSheetId="32">'3382'!$G$27</definedName>
    <definedName name="FTE" localSheetId="33">'3382 June Final'!$G$27</definedName>
    <definedName name="FTE" localSheetId="34">'3384'!$G$27</definedName>
    <definedName name="FTE" localSheetId="35">'3384 June Final'!$G$27</definedName>
    <definedName name="FTE" localSheetId="36">'3385'!$G$27</definedName>
    <definedName name="FTE" localSheetId="37">'3385 June Final'!$G$27</definedName>
    <definedName name="FTE" localSheetId="38">'3386'!$G$27</definedName>
    <definedName name="FTE" localSheetId="39">'3391'!$G$27</definedName>
    <definedName name="FTE" localSheetId="40">'3392'!$G$27</definedName>
    <definedName name="FTE" localSheetId="41">'3392 June Final'!$G$27</definedName>
    <definedName name="FTE" localSheetId="42">'3394'!$G$27</definedName>
    <definedName name="FTE" localSheetId="43">'3394 June Final'!$G$27</definedName>
    <definedName name="FTE" localSheetId="44">'3395'!$G$27</definedName>
    <definedName name="FTE" localSheetId="45">'3395 June Final'!$G$27</definedName>
    <definedName name="FTE" localSheetId="46">'3396'!$G$27</definedName>
    <definedName name="FTE" localSheetId="47">'3398'!$G$27</definedName>
    <definedName name="FTE" localSheetId="48">'3400'!$G$27</definedName>
    <definedName name="FTE" localSheetId="49">'3401'!$G$27</definedName>
    <definedName name="FTE" localSheetId="50">'3411'!$G$27</definedName>
    <definedName name="FTE" localSheetId="51">'3413'!$G$27</definedName>
    <definedName name="FTE" localSheetId="52">'3413 June Final'!$G$27</definedName>
    <definedName name="FTE" localSheetId="53">'3421'!$G$27</definedName>
    <definedName name="FTE" localSheetId="54">'3431'!$G$27</definedName>
    <definedName name="FTE" localSheetId="55">'3431 June Final'!$G$27</definedName>
    <definedName name="FTE" localSheetId="56">'3441'!$G$27</definedName>
    <definedName name="FTE" localSheetId="57">'3443'!$G$27</definedName>
    <definedName name="FTE" localSheetId="58">'3941'!$G$27</definedName>
    <definedName name="FTE" localSheetId="59">'3941 June Final'!$G$27</definedName>
    <definedName name="FTE" localSheetId="60">'3961'!$G$27</definedName>
    <definedName name="FTE" localSheetId="61">'3961 June Final'!$G$27</definedName>
    <definedName name="FTE" localSheetId="62">'3971'!$G$27</definedName>
    <definedName name="FTE" localSheetId="63">'4000'!$G$27</definedName>
    <definedName name="FTE" localSheetId="64">'4000 June Final'!$G$27</definedName>
    <definedName name="FTE" localSheetId="65">'4002'!$G$27</definedName>
    <definedName name="FTE" localSheetId="66">'4002 June Final'!$G$27</definedName>
    <definedName name="FTE" localSheetId="67">'4010'!$G$27</definedName>
    <definedName name="FTE" localSheetId="68">'4012'!$G$27</definedName>
    <definedName name="FTE" localSheetId="69">'4013'!$G$27</definedName>
    <definedName name="FTE" localSheetId="70">'4020'!$G$27</definedName>
    <definedName name="FTE" localSheetId="72">'4020 June Final'!$G$27</definedName>
    <definedName name="FTE" localSheetId="71">'4020 June Tch Alloc.'!$G$27</definedName>
    <definedName name="FTE" localSheetId="73">'4037'!$G$27</definedName>
    <definedName name="FTE" localSheetId="74">'4037 June Final'!$G$27</definedName>
    <definedName name="FTE" localSheetId="75">#REF!</definedName>
    <definedName name="FTE" localSheetId="76">'4041'!$G$27</definedName>
    <definedName name="FTE" localSheetId="1">#REF!</definedName>
    <definedName name="FTE" localSheetId="0">#REF!</definedName>
    <definedName name="FTE">#REF!</definedName>
    <definedName name="Grade_Level" localSheetId="3">'0054'!$I$27</definedName>
    <definedName name="Grade_Level" localSheetId="4">'0054 June Final'!$I$27</definedName>
    <definedName name="Grade_Level" localSheetId="5">'0642'!$I$27</definedName>
    <definedName name="Grade_Level" localSheetId="6">'0642 June Final'!$I$27</definedName>
    <definedName name="Grade_Level" localSheetId="7">'0664'!$I$27</definedName>
    <definedName name="Grade_Level" localSheetId="8">'0664 June Final'!$I$27</definedName>
    <definedName name="Grade_Level" localSheetId="9">'1461'!$I$27</definedName>
    <definedName name="Grade_Level" localSheetId="10">'1571'!$I$27</definedName>
    <definedName name="Grade_Level" localSheetId="11">'2521'!$I$27</definedName>
    <definedName name="Grade_Level" localSheetId="12">'2531'!$I$27</definedName>
    <definedName name="Grade_Level" localSheetId="13">'2531 June final'!$I$27</definedName>
    <definedName name="Grade_Level" localSheetId="14">'2641'!$I$27</definedName>
    <definedName name="Grade_Level" localSheetId="15">'2641 June Final'!$I$27</definedName>
    <definedName name="Grade_Level" localSheetId="16">'2661'!$I$27</definedName>
    <definedName name="Grade_Level" localSheetId="17">'2661 June Final'!$I$27</definedName>
    <definedName name="Grade_Level" localSheetId="18">'2791'!$I$27</definedName>
    <definedName name="Grade_Level" localSheetId="19">'2791 June final'!$I$27</definedName>
    <definedName name="Grade_Level" localSheetId="20">'2801'!$I$27</definedName>
    <definedName name="Grade_Level" localSheetId="21">'2801 June Final'!$I$27</definedName>
    <definedName name="Grade_Level" localSheetId="22">'2911'!$I$27</definedName>
    <definedName name="Grade_Level" localSheetId="23">'2911 June final'!$I$27</definedName>
    <definedName name="Grade_Level" localSheetId="24">'2941'!$I$27</definedName>
    <definedName name="Grade_Level" localSheetId="25">'2941 June final'!$I$27</definedName>
    <definedName name="Grade_Level" localSheetId="26">'3083'!$I$27</definedName>
    <definedName name="Grade_Level" localSheetId="27">'3344'!$I$27</definedName>
    <definedName name="Grade_Level" localSheetId="28">'3345'!$I$27</definedName>
    <definedName name="Grade_Level" localSheetId="29">'3347'!$I$27</definedName>
    <definedName name="Grade_Level" localSheetId="30">'3381'!$I$27</definedName>
    <definedName name="Grade_Level" localSheetId="31">'3381 June Final'!$I$27</definedName>
    <definedName name="Grade_Level" localSheetId="32">'3382'!$I$27</definedName>
    <definedName name="Grade_Level" localSheetId="33">'3382 June Final'!$I$27</definedName>
    <definedName name="Grade_Level" localSheetId="34">'3384'!$I$27</definedName>
    <definedName name="Grade_Level" localSheetId="35">'3384 June Final'!$I$27</definedName>
    <definedName name="Grade_Level" localSheetId="36">'3385'!$I$27</definedName>
    <definedName name="Grade_Level" localSheetId="37">'3385 June Final'!$I$27</definedName>
    <definedName name="Grade_Level" localSheetId="38">'3386'!$I$27</definedName>
    <definedName name="Grade_Level" localSheetId="39">'3391'!$I$27</definedName>
    <definedName name="Grade_Level" localSheetId="40">'3392'!$I$27</definedName>
    <definedName name="Grade_Level" localSheetId="41">'3392 June Final'!$I$27</definedName>
    <definedName name="Grade_Level" localSheetId="42">'3394'!$I$27</definedName>
    <definedName name="Grade_Level" localSheetId="43">'3394 June Final'!$I$27</definedName>
    <definedName name="Grade_Level" localSheetId="44">'3395'!$I$27</definedName>
    <definedName name="Grade_Level" localSheetId="45">'3395 June Final'!$I$27</definedName>
    <definedName name="Grade_Level" localSheetId="46">'3396'!$I$27</definedName>
    <definedName name="Grade_Level" localSheetId="47">'3398'!$I$27</definedName>
    <definedName name="Grade_Level" localSheetId="48">'3400'!$I$27</definedName>
    <definedName name="Grade_Level" localSheetId="49">'3401'!$I$27</definedName>
    <definedName name="Grade_Level" localSheetId="50">'3411'!$I$27</definedName>
    <definedName name="Grade_Level" localSheetId="51">'3413'!$I$27</definedName>
    <definedName name="Grade_Level" localSheetId="52">'3413 June Final'!$I$27</definedName>
    <definedName name="Grade_Level" localSheetId="53">'3421'!$I$27</definedName>
    <definedName name="Grade_Level" localSheetId="54">'3431'!$I$27</definedName>
    <definedName name="Grade_Level" localSheetId="55">'3431 June Final'!$I$27</definedName>
    <definedName name="Grade_Level" localSheetId="56">'3441'!$I$27</definedName>
    <definedName name="Grade_Level" localSheetId="57">'3443'!$I$27</definedName>
    <definedName name="Grade_Level" localSheetId="58">'3941'!$I$27</definedName>
    <definedName name="Grade_Level" localSheetId="59">'3941 June Final'!$I$27</definedName>
    <definedName name="Grade_Level" localSheetId="60">'3961'!$I$27</definedName>
    <definedName name="Grade_Level" localSheetId="61">'3961 June Final'!$I$27</definedName>
    <definedName name="Grade_Level" localSheetId="62">'3971'!$I$27</definedName>
    <definedName name="Grade_Level" localSheetId="63">'4000'!$I$27</definedName>
    <definedName name="Grade_Level" localSheetId="64">'4000 June Final'!$I$27</definedName>
    <definedName name="Grade_Level" localSheetId="65">'4002'!$I$27</definedName>
    <definedName name="Grade_Level" localSheetId="66">'4002 June Final'!$I$27</definedName>
    <definedName name="Grade_Level" localSheetId="67">'4010'!$I$27</definedName>
    <definedName name="Grade_Level" localSheetId="68">'4012'!$I$27</definedName>
    <definedName name="Grade_Level" localSheetId="69">'4013'!$I$27</definedName>
    <definedName name="Grade_Level" localSheetId="70">'4020'!$I$27</definedName>
    <definedName name="Grade_Level" localSheetId="72">'4020 June Final'!$I$27</definedName>
    <definedName name="Grade_Level" localSheetId="71">'4020 June Tch Alloc.'!$I$27</definedName>
    <definedName name="Grade_Level" localSheetId="73">'4037'!$I$27</definedName>
    <definedName name="Grade_Level" localSheetId="74">'4037 June Final'!$I$27</definedName>
    <definedName name="Grade_Level" localSheetId="75">#REF!</definedName>
    <definedName name="Grade_Level" localSheetId="76">'4041'!$I$27</definedName>
    <definedName name="Grade_Level" localSheetId="1">#REF!</definedName>
    <definedName name="Grade_Level" localSheetId="0">#REF!</definedName>
    <definedName name="Grade_Level">#REF!</definedName>
    <definedName name="Guarantee_Per_Student" localSheetId="3">'0054'!$K$27</definedName>
    <definedName name="Guarantee_Per_Student" localSheetId="4">'0054 June Final'!$K$27</definedName>
    <definedName name="Guarantee_Per_Student" localSheetId="5">'0642'!$K$27</definedName>
    <definedName name="Guarantee_Per_Student" localSheetId="6">'0642 June Final'!$K$27</definedName>
    <definedName name="Guarantee_Per_Student" localSheetId="7">'0664'!$K$27</definedName>
    <definedName name="Guarantee_Per_Student" localSheetId="8">'0664 June Final'!$K$27</definedName>
    <definedName name="Guarantee_Per_Student" localSheetId="9">'1461'!$K$27</definedName>
    <definedName name="Guarantee_Per_Student" localSheetId="10">'1571'!$K$27</definedName>
    <definedName name="Guarantee_Per_Student" localSheetId="11">'2521'!$K$27</definedName>
    <definedName name="Guarantee_Per_Student" localSheetId="12">'2531'!$K$27</definedName>
    <definedName name="Guarantee_Per_Student" localSheetId="13">'2531 June final'!$K$27</definedName>
    <definedName name="Guarantee_Per_Student" localSheetId="14">'2641'!$K$27</definedName>
    <definedName name="Guarantee_Per_Student" localSheetId="15">'2641 June Final'!$K$27</definedName>
    <definedName name="Guarantee_Per_Student" localSheetId="16">'2661'!$K$27</definedName>
    <definedName name="Guarantee_Per_Student" localSheetId="17">'2661 June Final'!$K$27</definedName>
    <definedName name="Guarantee_Per_Student" localSheetId="18">'2791'!$K$27</definedName>
    <definedName name="Guarantee_Per_Student" localSheetId="19">'2791 June final'!$K$27</definedName>
    <definedName name="Guarantee_Per_Student" localSheetId="20">'2801'!$K$27</definedName>
    <definedName name="Guarantee_Per_Student" localSheetId="21">'2801 June Final'!$K$27</definedName>
    <definedName name="Guarantee_Per_Student" localSheetId="22">'2911'!$K$27</definedName>
    <definedName name="Guarantee_Per_Student" localSheetId="23">'2911 June final'!$K$27</definedName>
    <definedName name="Guarantee_Per_Student" localSheetId="24">'2941'!$K$27</definedName>
    <definedName name="Guarantee_Per_Student" localSheetId="25">'2941 June final'!$K$27</definedName>
    <definedName name="Guarantee_Per_Student" localSheetId="26">'3083'!$K$27</definedName>
    <definedName name="Guarantee_Per_Student" localSheetId="27">'3344'!$K$27</definedName>
    <definedName name="Guarantee_Per_Student" localSheetId="28">'3345'!$K$27</definedName>
    <definedName name="Guarantee_Per_Student" localSheetId="29">'3347'!$K$27</definedName>
    <definedName name="Guarantee_Per_Student" localSheetId="30">'3381'!$K$27</definedName>
    <definedName name="Guarantee_Per_Student" localSheetId="31">'3381 June Final'!$K$27</definedName>
    <definedName name="Guarantee_Per_Student" localSheetId="32">'3382'!$K$27</definedName>
    <definedName name="Guarantee_Per_Student" localSheetId="33">'3382 June Final'!$K$27</definedName>
    <definedName name="Guarantee_Per_Student" localSheetId="34">'3384'!$K$27</definedName>
    <definedName name="Guarantee_Per_Student" localSheetId="35">'3384 June Final'!$K$27</definedName>
    <definedName name="Guarantee_Per_Student" localSheetId="36">'3385'!$K$27</definedName>
    <definedName name="Guarantee_Per_Student" localSheetId="37">'3385 June Final'!$K$27</definedName>
    <definedName name="Guarantee_Per_Student" localSheetId="38">'3386'!$K$27</definedName>
    <definedName name="Guarantee_Per_Student" localSheetId="39">'3391'!$K$27</definedName>
    <definedName name="Guarantee_Per_Student" localSheetId="40">'3392'!$K$27</definedName>
    <definedName name="Guarantee_Per_Student" localSheetId="41">'3392 June Final'!$K$27</definedName>
    <definedName name="Guarantee_Per_Student" localSheetId="42">'3394'!$K$27</definedName>
    <definedName name="Guarantee_Per_Student" localSheetId="43">'3394 June Final'!$K$27</definedName>
    <definedName name="Guarantee_Per_Student" localSheetId="44">'3395'!$K$27</definedName>
    <definedName name="Guarantee_Per_Student" localSheetId="45">'3395 June Final'!$K$27</definedName>
    <definedName name="Guarantee_Per_Student" localSheetId="46">'3396'!$K$27</definedName>
    <definedName name="Guarantee_Per_Student" localSheetId="47">'3398'!$K$27</definedName>
    <definedName name="Guarantee_Per_Student" localSheetId="48">'3400'!$K$27</definedName>
    <definedName name="Guarantee_Per_Student" localSheetId="49">'3401'!$K$27</definedName>
    <definedName name="Guarantee_Per_Student" localSheetId="50">'3411'!$K$27</definedName>
    <definedName name="Guarantee_Per_Student" localSheetId="51">'3413'!$K$27</definedName>
    <definedName name="Guarantee_Per_Student" localSheetId="52">'3413 June Final'!$K$27</definedName>
    <definedName name="Guarantee_Per_Student" localSheetId="53">'3421'!$K$27</definedName>
    <definedName name="Guarantee_Per_Student" localSheetId="54">'3431'!$K$27</definedName>
    <definedName name="Guarantee_Per_Student" localSheetId="55">'3431 June Final'!$K$27</definedName>
    <definedName name="Guarantee_Per_Student" localSheetId="56">'3441'!$K$27</definedName>
    <definedName name="Guarantee_Per_Student" localSheetId="57">'3443'!$K$27</definedName>
    <definedName name="Guarantee_Per_Student" localSheetId="58">'3941'!$K$27</definedName>
    <definedName name="Guarantee_Per_Student" localSheetId="59">'3941 June Final'!$K$27</definedName>
    <definedName name="Guarantee_Per_Student" localSheetId="60">'3961'!$K$27</definedName>
    <definedName name="Guarantee_Per_Student" localSheetId="61">'3961 June Final'!$K$27</definedName>
    <definedName name="Guarantee_Per_Student" localSheetId="62">'3971'!$K$27</definedName>
    <definedName name="Guarantee_Per_Student" localSheetId="63">'4000'!$K$27</definedName>
    <definedName name="Guarantee_Per_Student" localSheetId="64">'4000 June Final'!$K$27</definedName>
    <definedName name="Guarantee_Per_Student" localSheetId="65">'4002'!$K$27</definedName>
    <definedName name="Guarantee_Per_Student" localSheetId="66">'4002 June Final'!$K$27</definedName>
    <definedName name="Guarantee_Per_Student" localSheetId="67">'4010'!$K$27</definedName>
    <definedName name="Guarantee_Per_Student" localSheetId="68">'4012'!$K$27</definedName>
    <definedName name="Guarantee_Per_Student" localSheetId="69">'4013'!$K$27</definedName>
    <definedName name="Guarantee_Per_Student" localSheetId="70">'4020'!$K$27</definedName>
    <definedName name="Guarantee_Per_Student" localSheetId="72">'4020 June Final'!$K$27</definedName>
    <definedName name="Guarantee_Per_Student" localSheetId="71">'4020 June Tch Alloc.'!$K$27</definedName>
    <definedName name="Guarantee_Per_Student" localSheetId="73">'4037'!$K$27</definedName>
    <definedName name="Guarantee_Per_Student" localSheetId="74">'4037 June Final'!$K$27</definedName>
    <definedName name="Guarantee_Per_Student" localSheetId="75">#REF!</definedName>
    <definedName name="Guarantee_Per_Student" localSheetId="76">'4041'!$K$27</definedName>
    <definedName name="Guarantee_Per_Student" localSheetId="1">#REF!</definedName>
    <definedName name="Guarantee_Per_Student" localSheetId="0">#REF!</definedName>
    <definedName name="Guarantee_Per_Student">#REF!</definedName>
    <definedName name="HTML_CodePage" hidden="1">1252</definedName>
    <definedName name="HTML_Control" localSheetId="3" hidden="1">{"'AssumptionsHTML'!$B$9:$E$357","'SummationHTML'!$A$4:$J$93","'Difference'!$A$11:$K$101","'DifferenceFTE'!$A$11:$K$101","'Detail1'!$A$11:$I$97","'Detail2'!$A$11:$J$97","'Detail3'!$A$11:$J$97","'Categorical1'!$A$11:$L$97"}</definedName>
    <definedName name="HTML_Control" localSheetId="4" hidden="1">{"'AssumptionsHTML'!$B$9:$E$357","'SummationHTML'!$A$4:$J$93","'Difference'!$A$11:$K$101","'DifferenceFTE'!$A$11:$K$101","'Detail1'!$A$11:$I$97","'Detail2'!$A$11:$J$97","'Detail3'!$A$11:$J$97","'Categorical1'!$A$11:$L$97"}</definedName>
    <definedName name="HTML_Control" localSheetId="5" hidden="1">{"'AssumptionsHTML'!$B$9:$E$357","'SummationHTML'!$A$4:$J$93","'Difference'!$A$11:$K$101","'DifferenceFTE'!$A$11:$K$101","'Detail1'!$A$11:$I$97","'Detail2'!$A$11:$J$97","'Detail3'!$A$11:$J$97","'Categorical1'!$A$11:$L$97"}</definedName>
    <definedName name="HTML_Control" localSheetId="6" hidden="1">{"'AssumptionsHTML'!$B$9:$E$357","'SummationHTML'!$A$4:$J$93","'Difference'!$A$11:$K$101","'DifferenceFTE'!$A$11:$K$101","'Detail1'!$A$11:$I$97","'Detail2'!$A$11:$J$97","'Detail3'!$A$11:$J$97","'Categorical1'!$A$11:$L$97"}</definedName>
    <definedName name="HTML_Control" localSheetId="7" hidden="1">{"'AssumptionsHTML'!$B$9:$E$357","'SummationHTML'!$A$4:$J$93","'Difference'!$A$11:$K$101","'DifferenceFTE'!$A$11:$K$101","'Detail1'!$A$11:$I$97","'Detail2'!$A$11:$J$97","'Detail3'!$A$11:$J$97","'Categorical1'!$A$11:$L$97"}</definedName>
    <definedName name="HTML_Control" localSheetId="8" hidden="1">{"'AssumptionsHTML'!$B$9:$E$357","'SummationHTML'!$A$4:$J$93","'Difference'!$A$11:$K$101","'DifferenceFTE'!$A$11:$K$101","'Detail1'!$A$11:$I$97","'Detail2'!$A$11:$J$97","'Detail3'!$A$11:$J$97","'Categorical1'!$A$11:$L$97"}</definedName>
    <definedName name="HTML_Control" localSheetId="9" hidden="1">{"'AssumptionsHTML'!$B$9:$E$357","'SummationHTML'!$A$4:$J$93","'Difference'!$A$11:$K$101","'DifferenceFTE'!$A$11:$K$101","'Detail1'!$A$11:$I$97","'Detail2'!$A$11:$J$97","'Detail3'!$A$11:$J$97","'Categorical1'!$A$11:$L$97"}</definedName>
    <definedName name="HTML_Control" localSheetId="10" hidden="1">{"'AssumptionsHTML'!$B$9:$E$357","'SummationHTML'!$A$4:$J$93","'Difference'!$A$11:$K$101","'DifferenceFTE'!$A$11:$K$101","'Detail1'!$A$11:$I$97","'Detail2'!$A$11:$J$97","'Detail3'!$A$11:$J$97","'Categorical1'!$A$11:$L$97"}</definedName>
    <definedName name="HTML_Control" localSheetId="11" hidden="1">{"'AssumptionsHTML'!$B$9:$E$357","'SummationHTML'!$A$4:$J$93","'Difference'!$A$11:$K$101","'DifferenceFTE'!$A$11:$K$101","'Detail1'!$A$11:$I$97","'Detail2'!$A$11:$J$97","'Detail3'!$A$11:$J$97","'Categorical1'!$A$11:$L$97"}</definedName>
    <definedName name="HTML_Control" localSheetId="12" hidden="1">{"'AssumptionsHTML'!$B$9:$E$357","'SummationHTML'!$A$4:$J$93","'Difference'!$A$11:$K$101","'DifferenceFTE'!$A$11:$K$101","'Detail1'!$A$11:$I$97","'Detail2'!$A$11:$J$97","'Detail3'!$A$11:$J$97","'Categorical1'!$A$11:$L$97"}</definedName>
    <definedName name="HTML_Control" localSheetId="13" hidden="1">{"'AssumptionsHTML'!$B$9:$E$357","'SummationHTML'!$A$4:$J$93","'Difference'!$A$11:$K$101","'DifferenceFTE'!$A$11:$K$101","'Detail1'!$A$11:$I$97","'Detail2'!$A$11:$J$97","'Detail3'!$A$11:$J$97","'Categorical1'!$A$11:$L$97"}</definedName>
    <definedName name="HTML_Control" localSheetId="14" hidden="1">{"'AssumptionsHTML'!$B$9:$E$357","'SummationHTML'!$A$4:$J$93","'Difference'!$A$11:$K$101","'DifferenceFTE'!$A$11:$K$101","'Detail1'!$A$11:$I$97","'Detail2'!$A$11:$J$97","'Detail3'!$A$11:$J$97","'Categorical1'!$A$11:$L$97"}</definedName>
    <definedName name="HTML_Control" localSheetId="15" hidden="1">{"'AssumptionsHTML'!$B$9:$E$357","'SummationHTML'!$A$4:$J$93","'Difference'!$A$11:$K$101","'DifferenceFTE'!$A$11:$K$101","'Detail1'!$A$11:$I$97","'Detail2'!$A$11:$J$97","'Detail3'!$A$11:$J$97","'Categorical1'!$A$11:$L$97"}</definedName>
    <definedName name="HTML_Control" localSheetId="16" hidden="1">{"'AssumptionsHTML'!$B$9:$E$357","'SummationHTML'!$A$4:$J$93","'Difference'!$A$11:$K$101","'DifferenceFTE'!$A$11:$K$101","'Detail1'!$A$11:$I$97","'Detail2'!$A$11:$J$97","'Detail3'!$A$11:$J$97","'Categorical1'!$A$11:$L$97"}</definedName>
    <definedName name="HTML_Control" localSheetId="17" hidden="1">{"'AssumptionsHTML'!$B$9:$E$357","'SummationHTML'!$A$4:$J$93","'Difference'!$A$11:$K$101","'DifferenceFTE'!$A$11:$K$101","'Detail1'!$A$11:$I$97","'Detail2'!$A$11:$J$97","'Detail3'!$A$11:$J$97","'Categorical1'!$A$11:$L$97"}</definedName>
    <definedName name="HTML_Control" localSheetId="18" hidden="1">{"'AssumptionsHTML'!$B$9:$E$357","'SummationHTML'!$A$4:$J$93","'Difference'!$A$11:$K$101","'DifferenceFTE'!$A$11:$K$101","'Detail1'!$A$11:$I$97","'Detail2'!$A$11:$J$97","'Detail3'!$A$11:$J$97","'Categorical1'!$A$11:$L$97"}</definedName>
    <definedName name="HTML_Control" localSheetId="19" hidden="1">{"'AssumptionsHTML'!$B$9:$E$357","'SummationHTML'!$A$4:$J$93","'Difference'!$A$11:$K$101","'DifferenceFTE'!$A$11:$K$101","'Detail1'!$A$11:$I$97","'Detail2'!$A$11:$J$97","'Detail3'!$A$11:$J$97","'Categorical1'!$A$11:$L$97"}</definedName>
    <definedName name="HTML_Control" localSheetId="20" hidden="1">{"'AssumptionsHTML'!$B$9:$E$357","'SummationHTML'!$A$4:$J$93","'Difference'!$A$11:$K$101","'DifferenceFTE'!$A$11:$K$101","'Detail1'!$A$11:$I$97","'Detail2'!$A$11:$J$97","'Detail3'!$A$11:$J$97","'Categorical1'!$A$11:$L$97"}</definedName>
    <definedName name="HTML_Control" localSheetId="21" hidden="1">{"'AssumptionsHTML'!$B$9:$E$357","'SummationHTML'!$A$4:$J$93","'Difference'!$A$11:$K$101","'DifferenceFTE'!$A$11:$K$101","'Detail1'!$A$11:$I$97","'Detail2'!$A$11:$J$97","'Detail3'!$A$11:$J$97","'Categorical1'!$A$11:$L$97"}</definedName>
    <definedName name="HTML_Control" localSheetId="22" hidden="1">{"'AssumptionsHTML'!$B$9:$E$357","'SummationHTML'!$A$4:$J$93","'Difference'!$A$11:$K$101","'DifferenceFTE'!$A$11:$K$101","'Detail1'!$A$11:$I$97","'Detail2'!$A$11:$J$97","'Detail3'!$A$11:$J$97","'Categorical1'!$A$11:$L$97"}</definedName>
    <definedName name="HTML_Control" localSheetId="23" hidden="1">{"'AssumptionsHTML'!$B$9:$E$357","'SummationHTML'!$A$4:$J$93","'Difference'!$A$11:$K$101","'DifferenceFTE'!$A$11:$K$101","'Detail1'!$A$11:$I$97","'Detail2'!$A$11:$J$97","'Detail3'!$A$11:$J$97","'Categorical1'!$A$11:$L$97"}</definedName>
    <definedName name="HTML_Control" localSheetId="24" hidden="1">{"'AssumptionsHTML'!$B$9:$E$357","'SummationHTML'!$A$4:$J$93","'Difference'!$A$11:$K$101","'DifferenceFTE'!$A$11:$K$101","'Detail1'!$A$11:$I$97","'Detail2'!$A$11:$J$97","'Detail3'!$A$11:$J$97","'Categorical1'!$A$11:$L$97"}</definedName>
    <definedName name="HTML_Control" localSheetId="25" hidden="1">{"'AssumptionsHTML'!$B$9:$E$357","'SummationHTML'!$A$4:$J$93","'Difference'!$A$11:$K$101","'DifferenceFTE'!$A$11:$K$101","'Detail1'!$A$11:$I$97","'Detail2'!$A$11:$J$97","'Detail3'!$A$11:$J$97","'Categorical1'!$A$11:$L$97"}</definedName>
    <definedName name="HTML_Control" localSheetId="26" hidden="1">{"'AssumptionsHTML'!$B$9:$E$357","'SummationHTML'!$A$4:$J$93","'Difference'!$A$11:$K$101","'DifferenceFTE'!$A$11:$K$101","'Detail1'!$A$11:$I$97","'Detail2'!$A$11:$J$97","'Detail3'!$A$11:$J$97","'Categorical1'!$A$11:$L$97"}</definedName>
    <definedName name="HTML_Control" localSheetId="27" hidden="1">{"'AssumptionsHTML'!$B$9:$E$357","'SummationHTML'!$A$4:$J$93","'Difference'!$A$11:$K$101","'DifferenceFTE'!$A$11:$K$101","'Detail1'!$A$11:$I$97","'Detail2'!$A$11:$J$97","'Detail3'!$A$11:$J$97","'Categorical1'!$A$11:$L$97"}</definedName>
    <definedName name="HTML_Control" localSheetId="28" hidden="1">{"'AssumptionsHTML'!$B$9:$E$357","'SummationHTML'!$A$4:$J$93","'Difference'!$A$11:$K$101","'DifferenceFTE'!$A$11:$K$101","'Detail1'!$A$11:$I$97","'Detail2'!$A$11:$J$97","'Detail3'!$A$11:$J$97","'Categorical1'!$A$11:$L$97"}</definedName>
    <definedName name="HTML_Control" localSheetId="29" hidden="1">{"'AssumptionsHTML'!$B$9:$E$357","'SummationHTML'!$A$4:$J$93","'Difference'!$A$11:$K$101","'DifferenceFTE'!$A$11:$K$101","'Detail1'!$A$11:$I$97","'Detail2'!$A$11:$J$97","'Detail3'!$A$11:$J$97","'Categorical1'!$A$11:$L$97"}</definedName>
    <definedName name="HTML_Control" localSheetId="30" hidden="1">{"'AssumptionsHTML'!$B$9:$E$357","'SummationHTML'!$A$4:$J$93","'Difference'!$A$11:$K$101","'DifferenceFTE'!$A$11:$K$101","'Detail1'!$A$11:$I$97","'Detail2'!$A$11:$J$97","'Detail3'!$A$11:$J$97","'Categorical1'!$A$11:$L$97"}</definedName>
    <definedName name="HTML_Control" localSheetId="31" hidden="1">{"'AssumptionsHTML'!$B$9:$E$357","'SummationHTML'!$A$4:$J$93","'Difference'!$A$11:$K$101","'DifferenceFTE'!$A$11:$K$101","'Detail1'!$A$11:$I$97","'Detail2'!$A$11:$J$97","'Detail3'!$A$11:$J$97","'Categorical1'!$A$11:$L$97"}</definedName>
    <definedName name="HTML_Control" localSheetId="32" hidden="1">{"'AssumptionsHTML'!$B$9:$E$357","'SummationHTML'!$A$4:$J$93","'Difference'!$A$11:$K$101","'DifferenceFTE'!$A$11:$K$101","'Detail1'!$A$11:$I$97","'Detail2'!$A$11:$J$97","'Detail3'!$A$11:$J$97","'Categorical1'!$A$11:$L$97"}</definedName>
    <definedName name="HTML_Control" localSheetId="33" hidden="1">{"'AssumptionsHTML'!$B$9:$E$357","'SummationHTML'!$A$4:$J$93","'Difference'!$A$11:$K$101","'DifferenceFTE'!$A$11:$K$101","'Detail1'!$A$11:$I$97","'Detail2'!$A$11:$J$97","'Detail3'!$A$11:$J$97","'Categorical1'!$A$11:$L$97"}</definedName>
    <definedName name="HTML_Control" localSheetId="34" hidden="1">{"'AssumptionsHTML'!$B$9:$E$357","'SummationHTML'!$A$4:$J$93","'Difference'!$A$11:$K$101","'DifferenceFTE'!$A$11:$K$101","'Detail1'!$A$11:$I$97","'Detail2'!$A$11:$J$97","'Detail3'!$A$11:$J$97","'Categorical1'!$A$11:$L$97"}</definedName>
    <definedName name="HTML_Control" localSheetId="35" hidden="1">{"'AssumptionsHTML'!$B$9:$E$357","'SummationHTML'!$A$4:$J$93","'Difference'!$A$11:$K$101","'DifferenceFTE'!$A$11:$K$101","'Detail1'!$A$11:$I$97","'Detail2'!$A$11:$J$97","'Detail3'!$A$11:$J$97","'Categorical1'!$A$11:$L$97"}</definedName>
    <definedName name="HTML_Control" localSheetId="36" hidden="1">{"'AssumptionsHTML'!$B$9:$E$357","'SummationHTML'!$A$4:$J$93","'Difference'!$A$11:$K$101","'DifferenceFTE'!$A$11:$K$101","'Detail1'!$A$11:$I$97","'Detail2'!$A$11:$J$97","'Detail3'!$A$11:$J$97","'Categorical1'!$A$11:$L$97"}</definedName>
    <definedName name="HTML_Control" localSheetId="37" hidden="1">{"'AssumptionsHTML'!$B$9:$E$357","'SummationHTML'!$A$4:$J$93","'Difference'!$A$11:$K$101","'DifferenceFTE'!$A$11:$K$101","'Detail1'!$A$11:$I$97","'Detail2'!$A$11:$J$97","'Detail3'!$A$11:$J$97","'Categorical1'!$A$11:$L$97"}</definedName>
    <definedName name="HTML_Control" localSheetId="38" hidden="1">{"'AssumptionsHTML'!$B$9:$E$357","'SummationHTML'!$A$4:$J$93","'Difference'!$A$11:$K$101","'DifferenceFTE'!$A$11:$K$101","'Detail1'!$A$11:$I$97","'Detail2'!$A$11:$J$97","'Detail3'!$A$11:$J$97","'Categorical1'!$A$11:$L$97"}</definedName>
    <definedName name="HTML_Control" localSheetId="39" hidden="1">{"'AssumptionsHTML'!$B$9:$E$357","'SummationHTML'!$A$4:$J$93","'Difference'!$A$11:$K$101","'DifferenceFTE'!$A$11:$K$101","'Detail1'!$A$11:$I$97","'Detail2'!$A$11:$J$97","'Detail3'!$A$11:$J$97","'Categorical1'!$A$11:$L$97"}</definedName>
    <definedName name="HTML_Control" localSheetId="40" hidden="1">{"'AssumptionsHTML'!$B$9:$E$357","'SummationHTML'!$A$4:$J$93","'Difference'!$A$11:$K$101","'DifferenceFTE'!$A$11:$K$101","'Detail1'!$A$11:$I$97","'Detail2'!$A$11:$J$97","'Detail3'!$A$11:$J$97","'Categorical1'!$A$11:$L$97"}</definedName>
    <definedName name="HTML_Control" localSheetId="41" hidden="1">{"'AssumptionsHTML'!$B$9:$E$357","'SummationHTML'!$A$4:$J$93","'Difference'!$A$11:$K$101","'DifferenceFTE'!$A$11:$K$101","'Detail1'!$A$11:$I$97","'Detail2'!$A$11:$J$97","'Detail3'!$A$11:$J$97","'Categorical1'!$A$11:$L$97"}</definedName>
    <definedName name="HTML_Control" localSheetId="42" hidden="1">{"'AssumptionsHTML'!$B$9:$E$357","'SummationHTML'!$A$4:$J$93","'Difference'!$A$11:$K$101","'DifferenceFTE'!$A$11:$K$101","'Detail1'!$A$11:$I$97","'Detail2'!$A$11:$J$97","'Detail3'!$A$11:$J$97","'Categorical1'!$A$11:$L$97"}</definedName>
    <definedName name="HTML_Control" localSheetId="43" hidden="1">{"'AssumptionsHTML'!$B$9:$E$357","'SummationHTML'!$A$4:$J$93","'Difference'!$A$11:$K$101","'DifferenceFTE'!$A$11:$K$101","'Detail1'!$A$11:$I$97","'Detail2'!$A$11:$J$97","'Detail3'!$A$11:$J$97","'Categorical1'!$A$11:$L$97"}</definedName>
    <definedName name="HTML_Control" localSheetId="44" hidden="1">{"'AssumptionsHTML'!$B$9:$E$357","'SummationHTML'!$A$4:$J$93","'Difference'!$A$11:$K$101","'DifferenceFTE'!$A$11:$K$101","'Detail1'!$A$11:$I$97","'Detail2'!$A$11:$J$97","'Detail3'!$A$11:$J$97","'Categorical1'!$A$11:$L$97"}</definedName>
    <definedName name="HTML_Control" localSheetId="45" hidden="1">{"'AssumptionsHTML'!$B$9:$E$357","'SummationHTML'!$A$4:$J$93","'Difference'!$A$11:$K$101","'DifferenceFTE'!$A$11:$K$101","'Detail1'!$A$11:$I$97","'Detail2'!$A$11:$J$97","'Detail3'!$A$11:$J$97","'Categorical1'!$A$11:$L$97"}</definedName>
    <definedName name="HTML_Control" localSheetId="46" hidden="1">{"'AssumptionsHTML'!$B$9:$E$357","'SummationHTML'!$A$4:$J$93","'Difference'!$A$11:$K$101","'DifferenceFTE'!$A$11:$K$101","'Detail1'!$A$11:$I$97","'Detail2'!$A$11:$J$97","'Detail3'!$A$11:$J$97","'Categorical1'!$A$11:$L$97"}</definedName>
    <definedName name="HTML_Control" localSheetId="47" hidden="1">{"'AssumptionsHTML'!$B$9:$E$357","'SummationHTML'!$A$4:$J$93","'Difference'!$A$11:$K$101","'DifferenceFTE'!$A$11:$K$101","'Detail1'!$A$11:$I$97","'Detail2'!$A$11:$J$97","'Detail3'!$A$11:$J$97","'Categorical1'!$A$11:$L$97"}</definedName>
    <definedName name="HTML_Control" localSheetId="48" hidden="1">{"'AssumptionsHTML'!$B$9:$E$357","'SummationHTML'!$A$4:$J$93","'Difference'!$A$11:$K$101","'DifferenceFTE'!$A$11:$K$101","'Detail1'!$A$11:$I$97","'Detail2'!$A$11:$J$97","'Detail3'!$A$11:$J$97","'Categorical1'!$A$11:$L$97"}</definedName>
    <definedName name="HTML_Control" localSheetId="49" hidden="1">{"'AssumptionsHTML'!$B$9:$E$357","'SummationHTML'!$A$4:$J$93","'Difference'!$A$11:$K$101","'DifferenceFTE'!$A$11:$K$101","'Detail1'!$A$11:$I$97","'Detail2'!$A$11:$J$97","'Detail3'!$A$11:$J$97","'Categorical1'!$A$11:$L$97"}</definedName>
    <definedName name="HTML_Control" localSheetId="50" hidden="1">{"'AssumptionsHTML'!$B$9:$E$357","'SummationHTML'!$A$4:$J$93","'Difference'!$A$11:$K$101","'DifferenceFTE'!$A$11:$K$101","'Detail1'!$A$11:$I$97","'Detail2'!$A$11:$J$97","'Detail3'!$A$11:$J$97","'Categorical1'!$A$11:$L$97"}</definedName>
    <definedName name="HTML_Control" localSheetId="51" hidden="1">{"'AssumptionsHTML'!$B$9:$E$357","'SummationHTML'!$A$4:$J$93","'Difference'!$A$11:$K$101","'DifferenceFTE'!$A$11:$K$101","'Detail1'!$A$11:$I$97","'Detail2'!$A$11:$J$97","'Detail3'!$A$11:$J$97","'Categorical1'!$A$11:$L$97"}</definedName>
    <definedName name="HTML_Control" localSheetId="52" hidden="1">{"'AssumptionsHTML'!$B$9:$E$357","'SummationHTML'!$A$4:$J$93","'Difference'!$A$11:$K$101","'DifferenceFTE'!$A$11:$K$101","'Detail1'!$A$11:$I$97","'Detail2'!$A$11:$J$97","'Detail3'!$A$11:$J$97","'Categorical1'!$A$11:$L$97"}</definedName>
    <definedName name="HTML_Control" localSheetId="53" hidden="1">{"'AssumptionsHTML'!$B$9:$E$357","'SummationHTML'!$A$4:$J$93","'Difference'!$A$11:$K$101","'DifferenceFTE'!$A$11:$K$101","'Detail1'!$A$11:$I$97","'Detail2'!$A$11:$J$97","'Detail3'!$A$11:$J$97","'Categorical1'!$A$11:$L$97"}</definedName>
    <definedName name="HTML_Control" localSheetId="54" hidden="1">{"'AssumptionsHTML'!$B$9:$E$357","'SummationHTML'!$A$4:$J$93","'Difference'!$A$11:$K$101","'DifferenceFTE'!$A$11:$K$101","'Detail1'!$A$11:$I$97","'Detail2'!$A$11:$J$97","'Detail3'!$A$11:$J$97","'Categorical1'!$A$11:$L$97"}</definedName>
    <definedName name="HTML_Control" localSheetId="55" hidden="1">{"'AssumptionsHTML'!$B$9:$E$357","'SummationHTML'!$A$4:$J$93","'Difference'!$A$11:$K$101","'DifferenceFTE'!$A$11:$K$101","'Detail1'!$A$11:$I$97","'Detail2'!$A$11:$J$97","'Detail3'!$A$11:$J$97","'Categorical1'!$A$11:$L$97"}</definedName>
    <definedName name="HTML_Control" localSheetId="56" hidden="1">{"'AssumptionsHTML'!$B$9:$E$357","'SummationHTML'!$A$4:$J$93","'Difference'!$A$11:$K$101","'DifferenceFTE'!$A$11:$K$101","'Detail1'!$A$11:$I$97","'Detail2'!$A$11:$J$97","'Detail3'!$A$11:$J$97","'Categorical1'!$A$11:$L$97"}</definedName>
    <definedName name="HTML_Control" localSheetId="57" hidden="1">{"'AssumptionsHTML'!$B$9:$E$357","'SummationHTML'!$A$4:$J$93","'Difference'!$A$11:$K$101","'DifferenceFTE'!$A$11:$K$101","'Detail1'!$A$11:$I$97","'Detail2'!$A$11:$J$97","'Detail3'!$A$11:$J$97","'Categorical1'!$A$11:$L$97"}</definedName>
    <definedName name="HTML_Control" localSheetId="58" hidden="1">{"'AssumptionsHTML'!$B$9:$E$357","'SummationHTML'!$A$4:$J$93","'Difference'!$A$11:$K$101","'DifferenceFTE'!$A$11:$K$101","'Detail1'!$A$11:$I$97","'Detail2'!$A$11:$J$97","'Detail3'!$A$11:$J$97","'Categorical1'!$A$11:$L$97"}</definedName>
    <definedName name="HTML_Control" localSheetId="59" hidden="1">{"'AssumptionsHTML'!$B$9:$E$357","'SummationHTML'!$A$4:$J$93","'Difference'!$A$11:$K$101","'DifferenceFTE'!$A$11:$K$101","'Detail1'!$A$11:$I$97","'Detail2'!$A$11:$J$97","'Detail3'!$A$11:$J$97","'Categorical1'!$A$11:$L$97"}</definedName>
    <definedName name="HTML_Control" localSheetId="60" hidden="1">{"'AssumptionsHTML'!$B$9:$E$357","'SummationHTML'!$A$4:$J$93","'Difference'!$A$11:$K$101","'DifferenceFTE'!$A$11:$K$101","'Detail1'!$A$11:$I$97","'Detail2'!$A$11:$J$97","'Detail3'!$A$11:$J$97","'Categorical1'!$A$11:$L$97"}</definedName>
    <definedName name="HTML_Control" localSheetId="61" hidden="1">{"'AssumptionsHTML'!$B$9:$E$357","'SummationHTML'!$A$4:$J$93","'Difference'!$A$11:$K$101","'DifferenceFTE'!$A$11:$K$101","'Detail1'!$A$11:$I$97","'Detail2'!$A$11:$J$97","'Detail3'!$A$11:$J$97","'Categorical1'!$A$11:$L$97"}</definedName>
    <definedName name="HTML_Control" localSheetId="62" hidden="1">{"'AssumptionsHTML'!$B$9:$E$357","'SummationHTML'!$A$4:$J$93","'Difference'!$A$11:$K$101","'DifferenceFTE'!$A$11:$K$101","'Detail1'!$A$11:$I$97","'Detail2'!$A$11:$J$97","'Detail3'!$A$11:$J$97","'Categorical1'!$A$11:$L$97"}</definedName>
    <definedName name="HTML_Control" localSheetId="63" hidden="1">{"'AssumptionsHTML'!$B$9:$E$357","'SummationHTML'!$A$4:$J$93","'Difference'!$A$11:$K$101","'DifferenceFTE'!$A$11:$K$101","'Detail1'!$A$11:$I$97","'Detail2'!$A$11:$J$97","'Detail3'!$A$11:$J$97","'Categorical1'!$A$11:$L$97"}</definedName>
    <definedName name="HTML_Control" localSheetId="64" hidden="1">{"'AssumptionsHTML'!$B$9:$E$357","'SummationHTML'!$A$4:$J$93","'Difference'!$A$11:$K$101","'DifferenceFTE'!$A$11:$K$101","'Detail1'!$A$11:$I$97","'Detail2'!$A$11:$J$97","'Detail3'!$A$11:$J$97","'Categorical1'!$A$11:$L$97"}</definedName>
    <definedName name="HTML_Control" localSheetId="65" hidden="1">{"'AssumptionsHTML'!$B$9:$E$357","'SummationHTML'!$A$4:$J$93","'Difference'!$A$11:$K$101","'DifferenceFTE'!$A$11:$K$101","'Detail1'!$A$11:$I$97","'Detail2'!$A$11:$J$97","'Detail3'!$A$11:$J$97","'Categorical1'!$A$11:$L$97"}</definedName>
    <definedName name="HTML_Control" localSheetId="66" hidden="1">{"'AssumptionsHTML'!$B$9:$E$357","'SummationHTML'!$A$4:$J$93","'Difference'!$A$11:$K$101","'DifferenceFTE'!$A$11:$K$101","'Detail1'!$A$11:$I$97","'Detail2'!$A$11:$J$97","'Detail3'!$A$11:$J$97","'Categorical1'!$A$11:$L$97"}</definedName>
    <definedName name="HTML_Control" localSheetId="67" hidden="1">{"'AssumptionsHTML'!$B$9:$E$357","'SummationHTML'!$A$4:$J$93","'Difference'!$A$11:$K$101","'DifferenceFTE'!$A$11:$K$101","'Detail1'!$A$11:$I$97","'Detail2'!$A$11:$J$97","'Detail3'!$A$11:$J$97","'Categorical1'!$A$11:$L$97"}</definedName>
    <definedName name="HTML_Control" localSheetId="68" hidden="1">{"'AssumptionsHTML'!$B$9:$E$357","'SummationHTML'!$A$4:$J$93","'Difference'!$A$11:$K$101","'DifferenceFTE'!$A$11:$K$101","'Detail1'!$A$11:$I$97","'Detail2'!$A$11:$J$97","'Detail3'!$A$11:$J$97","'Categorical1'!$A$11:$L$97"}</definedName>
    <definedName name="HTML_Control" localSheetId="69" hidden="1">{"'AssumptionsHTML'!$B$9:$E$357","'SummationHTML'!$A$4:$J$93","'Difference'!$A$11:$K$101","'DifferenceFTE'!$A$11:$K$101","'Detail1'!$A$11:$I$97","'Detail2'!$A$11:$J$97","'Detail3'!$A$11:$J$97","'Categorical1'!$A$11:$L$97"}</definedName>
    <definedName name="HTML_Control" localSheetId="70" hidden="1">{"'AssumptionsHTML'!$B$9:$E$357","'SummationHTML'!$A$4:$J$93","'Difference'!$A$11:$K$101","'DifferenceFTE'!$A$11:$K$101","'Detail1'!$A$11:$I$97","'Detail2'!$A$11:$J$97","'Detail3'!$A$11:$J$97","'Categorical1'!$A$11:$L$97"}</definedName>
    <definedName name="HTML_Control" localSheetId="72" hidden="1">{"'AssumptionsHTML'!$B$9:$E$357","'SummationHTML'!$A$4:$J$93","'Difference'!$A$11:$K$101","'DifferenceFTE'!$A$11:$K$101","'Detail1'!$A$11:$I$97","'Detail2'!$A$11:$J$97","'Detail3'!$A$11:$J$97","'Categorical1'!$A$11:$L$97"}</definedName>
    <definedName name="HTML_Control" localSheetId="71" hidden="1">{"'AssumptionsHTML'!$B$9:$E$357","'SummationHTML'!$A$4:$J$93","'Difference'!$A$11:$K$101","'DifferenceFTE'!$A$11:$K$101","'Detail1'!$A$11:$I$97","'Detail2'!$A$11:$J$97","'Detail3'!$A$11:$J$97","'Categorical1'!$A$11:$L$97"}</definedName>
    <definedName name="HTML_Control" localSheetId="73" hidden="1">{"'AssumptionsHTML'!$B$9:$E$357","'SummationHTML'!$A$4:$J$93","'Difference'!$A$11:$K$101","'DifferenceFTE'!$A$11:$K$101","'Detail1'!$A$11:$I$97","'Detail2'!$A$11:$J$97","'Detail3'!$A$11:$J$97","'Categorical1'!$A$11:$L$97"}</definedName>
    <definedName name="HTML_Control" localSheetId="74" hidden="1">{"'AssumptionsHTML'!$B$9:$E$357","'SummationHTML'!$A$4:$J$93","'Difference'!$A$11:$K$101","'DifferenceFTE'!$A$11:$K$101","'Detail1'!$A$11:$I$97","'Detail2'!$A$11:$J$97","'Detail3'!$A$11:$J$97","'Categorical1'!$A$11:$L$97"}</definedName>
    <definedName name="HTML_Control" localSheetId="75" hidden="1">{"'AssumptionsHTML'!$B$9:$E$357","'SummationHTML'!$A$4:$J$93","'Difference'!$A$11:$K$101","'DifferenceFTE'!$A$11:$K$101","'Detail1'!$A$11:$I$97","'Detail2'!$A$11:$J$97","'Detail3'!$A$11:$J$97","'Categorical1'!$A$11:$L$97"}</definedName>
    <definedName name="HTML_Control" localSheetId="76" hidden="1">{"'AssumptionsHTML'!$B$9:$E$357","'SummationHTML'!$A$4:$J$93","'Difference'!$A$11:$K$101","'DifferenceFTE'!$A$11:$K$101","'Detail1'!$A$11:$I$97","'Detail2'!$A$11:$J$97","'Detail3'!$A$11:$J$97","'Categorical1'!$A$11:$L$97"}</definedName>
    <definedName name="HTML_Control" localSheetId="1" hidden="1">{"'AssumptionsHTML'!$B$9:$E$357","'SummationHTML'!$A$4:$J$93","'Difference'!$A$11:$K$101","'DifferenceFTE'!$A$11:$K$101","'Detail1'!$A$11:$I$97","'Detail2'!$A$11:$J$97","'Detail3'!$A$11:$J$97","'Categorical1'!$A$11:$L$97"}</definedName>
    <definedName name="HTML_Control" localSheetId="0" hidden="1">{"'AssumptionsHTML'!$B$9:$E$357","'SummationHTML'!$A$4:$J$93","'Difference'!$A$11:$K$101","'DifferenceFTE'!$A$11:$K$101","'Detail1'!$A$11:$I$97","'Detail2'!$A$11:$J$97","'Detail3'!$A$11:$J$97","'Categorical1'!$A$11:$L$97"}</definedName>
    <definedName name="HTML_Control" localSheetId="2" hidden="1">{"'AssumptionsHTML'!$B$9:$E$357","'SummationHTML'!$A$4:$J$93","'Difference'!$A$11:$K$101","'DifferenceFTE'!$A$11:$K$101","'Detail1'!$A$11:$I$97","'Detail2'!$A$11:$J$97","'Detail3'!$A$11:$J$97","'Categorical1'!$A$11:$L$97"}</definedName>
    <definedName name="HTML_Control" hidden="1">{"'AssumptionsHTML'!$B$9:$E$357","'SummationHTML'!$A$4:$J$93","'Difference'!$A$11:$K$101","'DifferenceFTE'!$A$11:$K$101","'Detail1'!$A$11:$I$97","'Detail2'!$A$11:$J$97","'Detail3'!$A$11:$J$97","'Categorical1'!$A$11:$L$97"}</definedName>
    <definedName name="HTML_Description" hidden="1">""</definedName>
    <definedName name="HTML_Email" hidden="1">""</definedName>
    <definedName name="HTML_Header" hidden="1">""</definedName>
    <definedName name="HTML_LastUpdate" hidden="1">"9/4/97"</definedName>
    <definedName name="HTML_LineAfter" hidden="1">FALSE</definedName>
    <definedName name="HTML_LineBefore" hidden="1">FALSE</definedName>
    <definedName name="HTML_Name" hidden="1">"David Montford"</definedName>
    <definedName name="HTML_OBDlg2" hidden="1">TRUE</definedName>
    <definedName name="HTML_OBDlg4" hidden="1">TRUE</definedName>
    <definedName name="HTML_OS" hidden="1">0</definedName>
    <definedName name="HTML_PathFile" hidden="1">"H:\XLFILES\test.htm"</definedName>
    <definedName name="HTML_Title" hidden="1">""</definedName>
    <definedName name="IDN" localSheetId="4">#REF!</definedName>
    <definedName name="IDN" localSheetId="6">#REF!</definedName>
    <definedName name="IDN" localSheetId="8">#REF!</definedName>
    <definedName name="IDN" localSheetId="13">#REF!</definedName>
    <definedName name="IDN" localSheetId="15">#REF!</definedName>
    <definedName name="IDN" localSheetId="17">#REF!</definedName>
    <definedName name="IDN" localSheetId="19">#REF!</definedName>
    <definedName name="IDN" localSheetId="21">#REF!</definedName>
    <definedName name="IDN" localSheetId="23">#REF!</definedName>
    <definedName name="IDN" localSheetId="25">#REF!</definedName>
    <definedName name="IDN" localSheetId="31">#REF!</definedName>
    <definedName name="IDN" localSheetId="33">#REF!</definedName>
    <definedName name="IDN" localSheetId="35">#REF!</definedName>
    <definedName name="IDN" localSheetId="37">#REF!</definedName>
    <definedName name="IDN" localSheetId="41">#REF!</definedName>
    <definedName name="IDN" localSheetId="43">#REF!</definedName>
    <definedName name="IDN" localSheetId="45">#REF!</definedName>
    <definedName name="IDN" localSheetId="52">#REF!</definedName>
    <definedName name="IDN" localSheetId="55">#REF!</definedName>
    <definedName name="IDN" localSheetId="56">#REF!</definedName>
    <definedName name="IDN" localSheetId="57">#REF!</definedName>
    <definedName name="IDN" localSheetId="59">#REF!</definedName>
    <definedName name="IDN" localSheetId="61">#REF!</definedName>
    <definedName name="IDN" localSheetId="64">#REF!</definedName>
    <definedName name="IDN" localSheetId="66">#REF!</definedName>
    <definedName name="IDN" localSheetId="72">#REF!</definedName>
    <definedName name="IDN" localSheetId="71">#REF!</definedName>
    <definedName name="IDN" localSheetId="74">#REF!</definedName>
    <definedName name="IDN" localSheetId="75">#REF!</definedName>
    <definedName name="IDN" localSheetId="76">#REF!</definedName>
    <definedName name="IDN" localSheetId="1">#REF!</definedName>
    <definedName name="IDN" localSheetId="0">#REF!</definedName>
    <definedName name="IDN">#REF!</definedName>
    <definedName name="IFN" localSheetId="4">#REF!</definedName>
    <definedName name="IFN" localSheetId="6">#REF!</definedName>
    <definedName name="IFN" localSheetId="8">#REF!</definedName>
    <definedName name="IFN" localSheetId="13">#REF!</definedName>
    <definedName name="IFN" localSheetId="15">#REF!</definedName>
    <definedName name="IFN" localSheetId="17">#REF!</definedName>
    <definedName name="IFN" localSheetId="19">#REF!</definedName>
    <definedName name="IFN" localSheetId="21">#REF!</definedName>
    <definedName name="IFN" localSheetId="23">#REF!</definedName>
    <definedName name="IFN" localSheetId="25">#REF!</definedName>
    <definedName name="IFN" localSheetId="31">#REF!</definedName>
    <definedName name="IFN" localSheetId="33">#REF!</definedName>
    <definedName name="IFN" localSheetId="35">#REF!</definedName>
    <definedName name="IFN" localSheetId="37">#REF!</definedName>
    <definedName name="IFN" localSheetId="41">#REF!</definedName>
    <definedName name="IFN" localSheetId="43">#REF!</definedName>
    <definedName name="IFN" localSheetId="45">#REF!</definedName>
    <definedName name="IFN" localSheetId="52">#REF!</definedName>
    <definedName name="IFN" localSheetId="55">#REF!</definedName>
    <definedName name="IFN" localSheetId="56">#REF!</definedName>
    <definedName name="IFN" localSheetId="57">#REF!</definedName>
    <definedName name="IFN" localSheetId="59">#REF!</definedName>
    <definedName name="IFN" localSheetId="61">#REF!</definedName>
    <definedName name="IFN" localSheetId="64">#REF!</definedName>
    <definedName name="IFN" localSheetId="66">#REF!</definedName>
    <definedName name="IFN" localSheetId="72">#REF!</definedName>
    <definedName name="IFN" localSheetId="71">#REF!</definedName>
    <definedName name="IFN" localSheetId="74">#REF!</definedName>
    <definedName name="IFN" localSheetId="75">#REF!</definedName>
    <definedName name="IFN" localSheetId="76">#REF!</definedName>
    <definedName name="IFN" localSheetId="1">#REF!</definedName>
    <definedName name="IFN" localSheetId="0">#REF!</definedName>
    <definedName name="IFN">#REF!</definedName>
    <definedName name="LYN" localSheetId="4">#REF!</definedName>
    <definedName name="LYN" localSheetId="6">#REF!</definedName>
    <definedName name="LYN" localSheetId="8">#REF!</definedName>
    <definedName name="LYN" localSheetId="13">#REF!</definedName>
    <definedName name="LYN" localSheetId="15">#REF!</definedName>
    <definedName name="LYN" localSheetId="17">#REF!</definedName>
    <definedName name="LYN" localSheetId="19">#REF!</definedName>
    <definedName name="LYN" localSheetId="21">#REF!</definedName>
    <definedName name="LYN" localSheetId="23">#REF!</definedName>
    <definedName name="LYN" localSheetId="25">#REF!</definedName>
    <definedName name="LYN" localSheetId="31">#REF!</definedName>
    <definedName name="LYN" localSheetId="33">#REF!</definedName>
    <definedName name="LYN" localSheetId="35">#REF!</definedName>
    <definedName name="LYN" localSheetId="37">#REF!</definedName>
    <definedName name="LYN" localSheetId="41">#REF!</definedName>
    <definedName name="LYN" localSheetId="43">#REF!</definedName>
    <definedName name="LYN" localSheetId="45">#REF!</definedName>
    <definedName name="LYN" localSheetId="52">#REF!</definedName>
    <definedName name="LYN" localSheetId="55">#REF!</definedName>
    <definedName name="LYN" localSheetId="56">#REF!</definedName>
    <definedName name="LYN" localSheetId="57">#REF!</definedName>
    <definedName name="LYN" localSheetId="59">#REF!</definedName>
    <definedName name="LYN" localSheetId="61">#REF!</definedName>
    <definedName name="LYN" localSheetId="64">#REF!</definedName>
    <definedName name="LYN" localSheetId="66">#REF!</definedName>
    <definedName name="LYN" localSheetId="72">#REF!</definedName>
    <definedName name="LYN" localSheetId="71">#REF!</definedName>
    <definedName name="LYN" localSheetId="74">#REF!</definedName>
    <definedName name="LYN" localSheetId="75">#REF!</definedName>
    <definedName name="LYN" localSheetId="76">#REF!</definedName>
    <definedName name="LYN" localSheetId="1">#REF!</definedName>
    <definedName name="LYN" localSheetId="0">#REF!</definedName>
    <definedName name="LYN">#REF!</definedName>
    <definedName name="Matrix_Level" localSheetId="3">'0054'!$J$27</definedName>
    <definedName name="Matrix_Level" localSheetId="4">'0054 June Final'!$J$27</definedName>
    <definedName name="Matrix_Level" localSheetId="5">'0642'!$J$27</definedName>
    <definedName name="Matrix_Level" localSheetId="6">'0642 June Final'!$J$27</definedName>
    <definedName name="Matrix_Level" localSheetId="7">'0664'!$J$27</definedName>
    <definedName name="Matrix_Level" localSheetId="8">'0664 June Final'!$J$27</definedName>
    <definedName name="Matrix_Level" localSheetId="9">'1461'!$J$27</definedName>
    <definedName name="Matrix_Level" localSheetId="10">'1571'!$J$27</definedName>
    <definedName name="Matrix_Level" localSheetId="11">'2521'!$J$27</definedName>
    <definedName name="Matrix_Level" localSheetId="12">'2531'!$J$27</definedName>
    <definedName name="Matrix_Level" localSheetId="13">'2531 June final'!$J$27</definedName>
    <definedName name="Matrix_Level" localSheetId="14">'2641'!$J$27</definedName>
    <definedName name="Matrix_Level" localSheetId="15">'2641 June Final'!$J$27</definedName>
    <definedName name="Matrix_Level" localSheetId="16">'2661'!$J$27</definedName>
    <definedName name="Matrix_Level" localSheetId="17">'2661 June Final'!$J$27</definedName>
    <definedName name="Matrix_Level" localSheetId="18">'2791'!$J$27</definedName>
    <definedName name="Matrix_Level" localSheetId="19">'2791 June final'!$J$27</definedName>
    <definedName name="Matrix_Level" localSheetId="20">'2801'!$J$27</definedName>
    <definedName name="Matrix_Level" localSheetId="21">'2801 June Final'!$J$27</definedName>
    <definedName name="Matrix_Level" localSheetId="22">'2911'!$J$27</definedName>
    <definedName name="Matrix_Level" localSheetId="23">'2911 June final'!$J$27</definedName>
    <definedName name="Matrix_Level" localSheetId="24">'2941'!$J$27</definedName>
    <definedName name="Matrix_Level" localSheetId="25">'2941 June final'!$J$27</definedName>
    <definedName name="Matrix_Level" localSheetId="26">'3083'!$J$27</definedName>
    <definedName name="Matrix_Level" localSheetId="27">'3344'!$J$27</definedName>
    <definedName name="Matrix_Level" localSheetId="28">'3345'!$J$27</definedName>
    <definedName name="Matrix_Level" localSheetId="29">'3347'!$J$27</definedName>
    <definedName name="Matrix_Level" localSheetId="30">'3381'!$J$27</definedName>
    <definedName name="Matrix_Level" localSheetId="31">'3381 June Final'!$J$27</definedName>
    <definedName name="Matrix_Level" localSheetId="32">'3382'!$J$27</definedName>
    <definedName name="Matrix_Level" localSheetId="33">'3382 June Final'!$J$27</definedName>
    <definedName name="Matrix_Level" localSheetId="34">'3384'!$J$27</definedName>
    <definedName name="Matrix_Level" localSheetId="35">'3384 June Final'!$J$27</definedName>
    <definedName name="Matrix_Level" localSheetId="36">'3385'!$J$27</definedName>
    <definedName name="Matrix_Level" localSheetId="37">'3385 June Final'!$J$27</definedName>
    <definedName name="Matrix_Level" localSheetId="38">'3386'!$J$27</definedName>
    <definedName name="Matrix_Level" localSheetId="39">'3391'!$J$27</definedName>
    <definedName name="Matrix_Level" localSheetId="40">'3392'!$J$27</definedName>
    <definedName name="Matrix_Level" localSheetId="41">'3392 June Final'!$J$27</definedName>
    <definedName name="Matrix_Level" localSheetId="42">'3394'!$J$27</definedName>
    <definedName name="Matrix_Level" localSheetId="43">'3394 June Final'!$J$27</definedName>
    <definedName name="Matrix_Level" localSheetId="44">'3395'!$J$27</definedName>
    <definedName name="Matrix_Level" localSheetId="45">'3395 June Final'!$J$27</definedName>
    <definedName name="Matrix_Level" localSheetId="46">'3396'!$J$27</definedName>
    <definedName name="Matrix_Level" localSheetId="47">'3398'!$J$27</definedName>
    <definedName name="Matrix_Level" localSheetId="48">'3400'!$J$27</definedName>
    <definedName name="Matrix_Level" localSheetId="49">'3401'!$J$27</definedName>
    <definedName name="Matrix_Level" localSheetId="50">'3411'!$J$27</definedName>
    <definedName name="Matrix_Level" localSheetId="51">'3413'!$J$27</definedName>
    <definedName name="Matrix_Level" localSheetId="52">'3413 June Final'!$J$27</definedName>
    <definedName name="Matrix_Level" localSheetId="53">'3421'!$J$27</definedName>
    <definedName name="Matrix_Level" localSheetId="54">'3431'!$J$27</definedName>
    <definedName name="Matrix_Level" localSheetId="55">'3431 June Final'!$J$27</definedName>
    <definedName name="Matrix_Level" localSheetId="56">'3441'!$J$27</definedName>
    <definedName name="Matrix_Level" localSheetId="57">'3443'!$J$27</definedName>
    <definedName name="Matrix_Level" localSheetId="58">'3941'!$J$27</definedName>
    <definedName name="Matrix_Level" localSheetId="59">'3941 June Final'!$J$27</definedName>
    <definedName name="Matrix_Level" localSheetId="60">'3961'!$J$27</definedName>
    <definedName name="Matrix_Level" localSheetId="61">'3961 June Final'!$J$27</definedName>
    <definedName name="Matrix_Level" localSheetId="62">'3971'!$J$27</definedName>
    <definedName name="Matrix_Level" localSheetId="63">'4000'!$J$27</definedName>
    <definedName name="Matrix_Level" localSheetId="64">'4000 June Final'!$J$27</definedName>
    <definedName name="Matrix_Level" localSheetId="65">'4002'!$J$27</definedName>
    <definedName name="Matrix_Level" localSheetId="66">'4002 June Final'!$J$27</definedName>
    <definedName name="Matrix_Level" localSheetId="67">'4010'!$J$27</definedName>
    <definedName name="Matrix_Level" localSheetId="68">'4012'!$J$27</definedName>
    <definedName name="Matrix_Level" localSheetId="69">'4013'!$J$27</definedName>
    <definedName name="Matrix_Level" localSheetId="70">'4020'!$J$27</definedName>
    <definedName name="Matrix_Level" localSheetId="72">'4020 June Final'!$J$27</definedName>
    <definedName name="Matrix_Level" localSheetId="71">'4020 June Tch Alloc.'!$J$27</definedName>
    <definedName name="Matrix_Level" localSheetId="73">'4037'!$J$27</definedName>
    <definedName name="Matrix_Level" localSheetId="74">'4037 June Final'!$J$27</definedName>
    <definedName name="Matrix_Level" localSheetId="75">#REF!</definedName>
    <definedName name="Matrix_Level" localSheetId="76">'4041'!$J$27</definedName>
    <definedName name="Matrix_Level" localSheetId="1">#REF!</definedName>
    <definedName name="Matrix_Level" localSheetId="0">#REF!</definedName>
    <definedName name="Matrix_Level">#REF!</definedName>
    <definedName name="Number_of_FTE" localSheetId="3">'0054'!$G$8</definedName>
    <definedName name="Number_of_FTE" localSheetId="4">'0054 June Final'!$G$8</definedName>
    <definedName name="Number_of_FTE" localSheetId="5">'0642'!$G$8</definedName>
    <definedName name="Number_of_FTE" localSheetId="6">'0642 June Final'!$G$8</definedName>
    <definedName name="Number_of_FTE" localSheetId="7">'0664'!$G$8</definedName>
    <definedName name="Number_of_FTE" localSheetId="8">'0664 June Final'!$G$8</definedName>
    <definedName name="Number_of_FTE" localSheetId="9">'1461'!$G$8</definedName>
    <definedName name="Number_of_FTE" localSheetId="10">'1571'!$G$8</definedName>
    <definedName name="Number_of_FTE" localSheetId="11">'2521'!$G$8</definedName>
    <definedName name="Number_of_FTE" localSheetId="12">'2531'!$G$8</definedName>
    <definedName name="Number_of_FTE" localSheetId="13">'2531 June final'!$G$8</definedName>
    <definedName name="Number_of_FTE" localSheetId="14">'2641'!$G$8</definedName>
    <definedName name="Number_of_FTE" localSheetId="15">'2641 June Final'!$G$8</definedName>
    <definedName name="Number_of_FTE" localSheetId="16">'2661'!$G$8</definedName>
    <definedName name="Number_of_FTE" localSheetId="17">'2661 June Final'!$G$8</definedName>
    <definedName name="Number_of_FTE" localSheetId="18">'2791'!$G$8</definedName>
    <definedName name="Number_of_FTE" localSheetId="19">'2791 June final'!$G$8</definedName>
    <definedName name="Number_of_FTE" localSheetId="20">'2801'!$G$8</definedName>
    <definedName name="Number_of_FTE" localSheetId="21">'2801 June Final'!$G$8</definedName>
    <definedName name="Number_of_FTE" localSheetId="22">'2911'!$G$8</definedName>
    <definedName name="Number_of_FTE" localSheetId="23">'2911 June final'!$G$8</definedName>
    <definedName name="Number_of_FTE" localSheetId="24">'2941'!$G$8</definedName>
    <definedName name="Number_of_FTE" localSheetId="25">'2941 June final'!$G$8</definedName>
    <definedName name="Number_of_FTE" localSheetId="26">'3083'!$G$8</definedName>
    <definedName name="Number_of_FTE" localSheetId="27">'3344'!$G$8</definedName>
    <definedName name="Number_of_FTE" localSheetId="28">'3345'!$G$8</definedName>
    <definedName name="Number_of_FTE" localSheetId="29">'3347'!$G$8</definedName>
    <definedName name="Number_of_FTE" localSheetId="30">'3381'!$G$8</definedName>
    <definedName name="Number_of_FTE" localSheetId="31">'3381 June Final'!$G$8</definedName>
    <definedName name="Number_of_FTE" localSheetId="32">'3382'!$G$8</definedName>
    <definedName name="Number_of_FTE" localSheetId="33">'3382 June Final'!$G$8</definedName>
    <definedName name="Number_of_FTE" localSheetId="34">'3384'!$G$8</definedName>
    <definedName name="Number_of_FTE" localSheetId="35">'3384 June Final'!$G$8</definedName>
    <definedName name="Number_of_FTE" localSheetId="36">'3385'!$G$8</definedName>
    <definedName name="Number_of_FTE" localSheetId="37">'3385 June Final'!$G$8</definedName>
    <definedName name="Number_of_FTE" localSheetId="38">'3386'!$G$8</definedName>
    <definedName name="Number_of_FTE" localSheetId="39">'3391'!$G$8</definedName>
    <definedName name="Number_of_FTE" localSheetId="40">'3392'!$G$8</definedName>
    <definedName name="Number_of_FTE" localSheetId="41">'3392 June Final'!$G$8</definedName>
    <definedName name="Number_of_FTE" localSheetId="42">'3394'!$G$8</definedName>
    <definedName name="Number_of_FTE" localSheetId="43">'3394 June Final'!$G$8</definedName>
    <definedName name="Number_of_FTE" localSheetId="44">'3395'!$G$8</definedName>
    <definedName name="Number_of_FTE" localSheetId="45">'3395 June Final'!$G$8</definedName>
    <definedName name="Number_of_FTE" localSheetId="46">'3396'!$G$8</definedName>
    <definedName name="Number_of_FTE" localSheetId="47">'3398'!$G$8</definedName>
    <definedName name="Number_of_FTE" localSheetId="48">'3400'!$G$8</definedName>
    <definedName name="Number_of_FTE" localSheetId="49">'3401'!$G$8</definedName>
    <definedName name="Number_of_FTE" localSheetId="50">'3411'!$G$8</definedName>
    <definedName name="Number_of_FTE" localSheetId="51">'3413'!$G$8</definedName>
    <definedName name="Number_of_FTE" localSheetId="52">'3413 June Final'!$G$8</definedName>
    <definedName name="Number_of_FTE" localSheetId="53">'3421'!$G$8</definedName>
    <definedName name="Number_of_FTE" localSheetId="54">'3431'!$G$8</definedName>
    <definedName name="Number_of_FTE" localSheetId="55">'3431 June Final'!$G$8</definedName>
    <definedName name="Number_of_FTE" localSheetId="56">'3441'!$G$8</definedName>
    <definedName name="Number_of_FTE" localSheetId="57">'3443'!$G$8</definedName>
    <definedName name="Number_of_FTE" localSheetId="58">'3941'!$G$8</definedName>
    <definedName name="Number_of_FTE" localSheetId="59">'3941 June Final'!$G$8</definedName>
    <definedName name="Number_of_FTE" localSheetId="60">'3961'!$G$8</definedName>
    <definedName name="Number_of_FTE" localSheetId="61">'3961 June Final'!$G$8</definedName>
    <definedName name="Number_of_FTE" localSheetId="62">'3971'!$G$8</definedName>
    <definedName name="Number_of_FTE" localSheetId="63">'4000'!$G$8</definedName>
    <definedName name="Number_of_FTE" localSheetId="64">'4000 June Final'!$G$8</definedName>
    <definedName name="Number_of_FTE" localSheetId="65">'4002'!$G$8</definedName>
    <definedName name="Number_of_FTE" localSheetId="66">'4002 June Final'!$G$8</definedName>
    <definedName name="Number_of_FTE" localSheetId="67">'4010'!$G$8</definedName>
    <definedName name="Number_of_FTE" localSheetId="68">'4012'!$G$8</definedName>
    <definedName name="Number_of_FTE" localSheetId="69">'4013'!$G$8</definedName>
    <definedName name="Number_of_FTE" localSheetId="70">'4020'!$G$8</definedName>
    <definedName name="Number_of_FTE" localSheetId="72">'4020 June Final'!$G$8</definedName>
    <definedName name="Number_of_FTE" localSheetId="71">'4020 June Tch Alloc.'!$G$8</definedName>
    <definedName name="Number_of_FTE" localSheetId="73">'4037'!$G$8</definedName>
    <definedName name="Number_of_FTE" localSheetId="74">'4037 June Final'!$G$8</definedName>
    <definedName name="Number_of_FTE" localSheetId="75">#REF!</definedName>
    <definedName name="Number_of_FTE" localSheetId="76">'4041'!$G$8</definedName>
    <definedName name="Number_of_FTE" localSheetId="1">#REF!</definedName>
    <definedName name="Number_of_FTE" localSheetId="0">#REF!</definedName>
    <definedName name="Number_of_FTE">#REF!</definedName>
    <definedName name="NvsASD" localSheetId="3">"V2014-05-01"</definedName>
    <definedName name="NvsASD" localSheetId="4">"V2014-05-01"</definedName>
    <definedName name="NvsASD" localSheetId="5">"V2014-05-01"</definedName>
    <definedName name="NvsASD" localSheetId="6">"V2014-05-01"</definedName>
    <definedName name="NvsASD" localSheetId="7">"V2014-05-01"</definedName>
    <definedName name="NvsASD" localSheetId="8">"V2014-05-01"</definedName>
    <definedName name="NvsASD" localSheetId="9">"V2014-05-01"</definedName>
    <definedName name="NvsASD" localSheetId="10">"V2014-05-01"</definedName>
    <definedName name="NvsASD" localSheetId="11">"V2014-05-01"</definedName>
    <definedName name="NvsASD" localSheetId="12">"V2014-05-01"</definedName>
    <definedName name="NvsASD" localSheetId="13">"V2014-05-01"</definedName>
    <definedName name="NvsASD" localSheetId="14">"V2014-05-01"</definedName>
    <definedName name="NvsASD" localSheetId="15">"V2014-05-01"</definedName>
    <definedName name="NvsASD" localSheetId="16">"V2014-05-01"</definedName>
    <definedName name="NvsASD" localSheetId="17">"V2014-05-01"</definedName>
    <definedName name="NvsASD" localSheetId="18">"V2014-05-01"</definedName>
    <definedName name="NvsASD" localSheetId="19">"V2014-05-01"</definedName>
    <definedName name="NvsASD" localSheetId="20">"V2014-05-01"</definedName>
    <definedName name="NvsASD" localSheetId="21">"V2014-05-01"</definedName>
    <definedName name="NvsASD" localSheetId="22">"V2014-05-01"</definedName>
    <definedName name="NvsASD" localSheetId="23">"V2014-05-01"</definedName>
    <definedName name="NvsASD" localSheetId="24">"V2014-05-01"</definedName>
    <definedName name="NvsASD" localSheetId="25">"V2014-05-01"</definedName>
    <definedName name="NvsASD" localSheetId="26">"V2014-05-01"</definedName>
    <definedName name="NvsASD" localSheetId="27">"V2014-05-01"</definedName>
    <definedName name="NvsASD" localSheetId="28">"V2014-05-01"</definedName>
    <definedName name="NvsASD" localSheetId="29">"V2014-05-01"</definedName>
    <definedName name="NvsASD" localSheetId="30">"V2014-05-01"</definedName>
    <definedName name="NvsASD" localSheetId="31">"V2014-05-01"</definedName>
    <definedName name="NvsASD" localSheetId="32">"V2014-05-01"</definedName>
    <definedName name="NvsASD" localSheetId="33">"V2014-05-01"</definedName>
    <definedName name="NvsASD" localSheetId="34">"V2014-05-01"</definedName>
    <definedName name="NvsASD" localSheetId="35">"V2014-05-01"</definedName>
    <definedName name="NvsASD" localSheetId="36">"V2014-05-01"</definedName>
    <definedName name="NvsASD" localSheetId="37">"V2014-05-01"</definedName>
    <definedName name="NvsASD" localSheetId="38">"V2014-05-01"</definedName>
    <definedName name="NvsASD" localSheetId="39">"V2014-05-01"</definedName>
    <definedName name="NvsASD" localSheetId="40">"V2014-05-01"</definedName>
    <definedName name="NvsASD" localSheetId="41">"V2014-05-01"</definedName>
    <definedName name="NvsASD" localSheetId="42">"V2014-05-01"</definedName>
    <definedName name="NvsASD" localSheetId="43">"V2014-05-01"</definedName>
    <definedName name="NvsASD" localSheetId="44">"V2014-05-01"</definedName>
    <definedName name="NvsASD" localSheetId="45">"V2014-05-01"</definedName>
    <definedName name="NvsASD" localSheetId="46">"V2014-05-01"</definedName>
    <definedName name="NvsASD" localSheetId="47">"V2014-05-01"</definedName>
    <definedName name="NvsASD" localSheetId="48">"V2014-05-01"</definedName>
    <definedName name="NvsASD" localSheetId="49">"V2014-05-01"</definedName>
    <definedName name="NvsASD" localSheetId="50">"V2014-05-01"</definedName>
    <definedName name="NvsASD" localSheetId="51">"V2014-05-01"</definedName>
    <definedName name="NvsASD" localSheetId="52">"V2014-05-01"</definedName>
    <definedName name="NvsASD" localSheetId="53">"V2014-05-01"</definedName>
    <definedName name="NvsASD" localSheetId="54">"V2014-05-01"</definedName>
    <definedName name="NvsASD" localSheetId="55">"V2014-05-01"</definedName>
    <definedName name="NvsASD" localSheetId="56">"V2014-05-01"</definedName>
    <definedName name="NvsASD" localSheetId="57">"V2014-05-01"</definedName>
    <definedName name="NvsASD" localSheetId="58">"V2014-05-01"</definedName>
    <definedName name="NvsASD" localSheetId="59">"V2014-05-01"</definedName>
    <definedName name="NvsASD" localSheetId="60">"V2014-05-01"</definedName>
    <definedName name="NvsASD" localSheetId="61">"V2014-05-01"</definedName>
    <definedName name="NvsASD" localSheetId="62">"V2014-05-01"</definedName>
    <definedName name="NvsASD" localSheetId="63">"V2014-05-01"</definedName>
    <definedName name="NvsASD" localSheetId="64">"V2014-05-01"</definedName>
    <definedName name="NvsASD" localSheetId="65">"V2014-05-01"</definedName>
    <definedName name="NvsASD" localSheetId="66">"V2014-05-01"</definedName>
    <definedName name="NvsASD" localSheetId="67">"V2014-05-01"</definedName>
    <definedName name="NvsASD" localSheetId="68">"V2014-05-01"</definedName>
    <definedName name="NvsASD" localSheetId="69">"V2014-05-01"</definedName>
    <definedName name="NvsASD" localSheetId="70">"V2014-05-01"</definedName>
    <definedName name="NvsASD" localSheetId="72">"V2014-05-01"</definedName>
    <definedName name="NvsASD" localSheetId="71">"V2014-05-01"</definedName>
    <definedName name="NvsASD" localSheetId="73">"V2014-05-01"</definedName>
    <definedName name="NvsASD" localSheetId="74">"V2014-05-01"</definedName>
    <definedName name="NvsASD" localSheetId="76">"V2014-05-01"</definedName>
    <definedName name="NvsASD">"V2009-04-30"</definedName>
    <definedName name="NvsAutoDrillOk">"VN"</definedName>
    <definedName name="NvsElapsedTime" localSheetId="3">0.0000231481462833472</definedName>
    <definedName name="NvsElapsedTime" localSheetId="4">0.0000231481462833472</definedName>
    <definedName name="NvsElapsedTime" localSheetId="5">0.0000115740767796524</definedName>
    <definedName name="NvsElapsedTime" localSheetId="6">0.0000115740767796524</definedName>
    <definedName name="NvsElapsedTime" localSheetId="7">0.0000115740695036948</definedName>
    <definedName name="NvsElapsedTime" localSheetId="8">0.0000115740695036948</definedName>
    <definedName name="NvsElapsedTime" localSheetId="9">0.0000115740767796524</definedName>
    <definedName name="NvsElapsedTime" localSheetId="10">0.0000115740767796524</definedName>
    <definedName name="NvsElapsedTime" localSheetId="11">0.0000115740695036948</definedName>
    <definedName name="NvsElapsedTime" localSheetId="12">0.0000115740767796524</definedName>
    <definedName name="NvsElapsedTime" localSheetId="13">0.0000115740767796524</definedName>
    <definedName name="NvsElapsedTime" localSheetId="14">0.0000115740767796524</definedName>
    <definedName name="NvsElapsedTime" localSheetId="15">0.0000115740767796524</definedName>
    <definedName name="NvsElapsedTime" localSheetId="16">0.0000115740695036948</definedName>
    <definedName name="NvsElapsedTime" localSheetId="17">0.0000115740695036948</definedName>
    <definedName name="NvsElapsedTime" localSheetId="18">0.0000115740767796524</definedName>
    <definedName name="NvsElapsedTime" localSheetId="19">0.0000115740767796524</definedName>
    <definedName name="NvsElapsedTime" localSheetId="20">0.0000115740695036948</definedName>
    <definedName name="NvsElapsedTime" localSheetId="21">0.0000115740695036948</definedName>
    <definedName name="NvsElapsedTime" localSheetId="22">0.0000115740767796524</definedName>
    <definedName name="NvsElapsedTime" localSheetId="23">0.0000115740767796524</definedName>
    <definedName name="NvsElapsedTime" localSheetId="24">0.0000115740695036948</definedName>
    <definedName name="NvsElapsedTime" localSheetId="25">0.0000115740695036948</definedName>
    <definedName name="NvsElapsedTime" localSheetId="26">0.0000115740767796524</definedName>
    <definedName name="NvsElapsedTime" localSheetId="27">0.0000115740767796524</definedName>
    <definedName name="NvsElapsedTime" localSheetId="28">0</definedName>
    <definedName name="NvsElapsedTime" localSheetId="29">0</definedName>
    <definedName name="NvsElapsedTime" localSheetId="30">0.0000115740767796524</definedName>
    <definedName name="NvsElapsedTime" localSheetId="31">0.0000115740767796524</definedName>
    <definedName name="NvsElapsedTime" localSheetId="32">0.0000115740767796524</definedName>
    <definedName name="NvsElapsedTime" localSheetId="33">0.0000115740767796524</definedName>
    <definedName name="NvsElapsedTime" localSheetId="34">0.0000115740695036948</definedName>
    <definedName name="NvsElapsedTime" localSheetId="35">0.0000115740695036948</definedName>
    <definedName name="NvsElapsedTime" localSheetId="36">0.0000115740767796524</definedName>
    <definedName name="NvsElapsedTime" localSheetId="37">0.0000115740767796524</definedName>
    <definedName name="NvsElapsedTime" localSheetId="38">0.0000115740767796524</definedName>
    <definedName name="NvsElapsedTime" localSheetId="39">0.0000115740695036948</definedName>
    <definedName name="NvsElapsedTime" localSheetId="40">0.0000115740767796524</definedName>
    <definedName name="NvsElapsedTime" localSheetId="41">0.0000115740767796524</definedName>
    <definedName name="NvsElapsedTime" localSheetId="42">0.0000115740695036948</definedName>
    <definedName name="NvsElapsedTime" localSheetId="43">0.0000115740695036948</definedName>
    <definedName name="NvsElapsedTime" localSheetId="44">0.0000115740767796524</definedName>
    <definedName name="NvsElapsedTime" localSheetId="45">0.0000115740767796524</definedName>
    <definedName name="NvsElapsedTime" localSheetId="46">0.0000115740767796524</definedName>
    <definedName name="NvsElapsedTime" localSheetId="47">0.0000115740695036948</definedName>
    <definedName name="NvsElapsedTime" localSheetId="48">0.0000115740767796524</definedName>
    <definedName name="NvsElapsedTime" localSheetId="49">0.0000115740767796524</definedName>
    <definedName name="NvsElapsedTime" localSheetId="50">0</definedName>
    <definedName name="NvsElapsedTime" localSheetId="51">0.0000115740695036948</definedName>
    <definedName name="NvsElapsedTime" localSheetId="52">0.0000115740695036948</definedName>
    <definedName name="NvsElapsedTime" localSheetId="53">0.0000115740767796524</definedName>
    <definedName name="NvsElapsedTime" localSheetId="54">0.0000115740767796524</definedName>
    <definedName name="NvsElapsedTime" localSheetId="55">0.0000115740767796524</definedName>
    <definedName name="NvsElapsedTime" localSheetId="56">0.0000115740767796524</definedName>
    <definedName name="NvsElapsedTime" localSheetId="57">0.0000115740767796524</definedName>
    <definedName name="NvsElapsedTime" localSheetId="58">0.0000115740767796524</definedName>
    <definedName name="NvsElapsedTime" localSheetId="59">0.0000115740767796524</definedName>
    <definedName name="NvsElapsedTime" localSheetId="60">0.0000115740695036948</definedName>
    <definedName name="NvsElapsedTime" localSheetId="61">0.0000115740695036948</definedName>
    <definedName name="NvsElapsedTime" localSheetId="62">0.0000115740767796524</definedName>
    <definedName name="NvsElapsedTime" localSheetId="63">0.0000115740767796524</definedName>
    <definedName name="NvsElapsedTime" localSheetId="64">0.0000115740767796524</definedName>
    <definedName name="NvsElapsedTime" localSheetId="65">0</definedName>
    <definedName name="NvsElapsedTime" localSheetId="66">0</definedName>
    <definedName name="NvsElapsedTime" localSheetId="67">0.0000115740695036948</definedName>
    <definedName name="NvsElapsedTime" localSheetId="68">0.0000115740767796524</definedName>
    <definedName name="NvsElapsedTime" localSheetId="69">0.0000115740767796524</definedName>
    <definedName name="NvsElapsedTime" localSheetId="70">0.0000115740695036948</definedName>
    <definedName name="NvsElapsedTime" localSheetId="72">0.0000115740695036948</definedName>
    <definedName name="NvsElapsedTime" localSheetId="71">0.0000115740695036948</definedName>
    <definedName name="NvsElapsedTime" localSheetId="73">0.0000115740767796524</definedName>
    <definedName name="NvsElapsedTime" localSheetId="74">0.0000115740767796524</definedName>
    <definedName name="NvsElapsedTime" localSheetId="76">0.0000115740767796524</definedName>
    <definedName name="NvsElapsedTime" localSheetId="2">0</definedName>
    <definedName name="NvsElapsedTime">0.0000578703693463467</definedName>
    <definedName name="NvsEndTime" localSheetId="3">41754.4876388889</definedName>
    <definedName name="NvsEndTime" localSheetId="4">41754.4876388889</definedName>
    <definedName name="NvsEndTime" localSheetId="5">41754.487650463</definedName>
    <definedName name="NvsEndTime" localSheetId="6">41754.487650463</definedName>
    <definedName name="NvsEndTime" localSheetId="7">41754.487662037</definedName>
    <definedName name="NvsEndTime" localSheetId="8">41754.487662037</definedName>
    <definedName name="NvsEndTime" localSheetId="9">41754.4876736111</definedName>
    <definedName name="NvsEndTime" localSheetId="10">41754.4876851852</definedName>
    <definedName name="NvsEndTime" localSheetId="11">41754.4876967593</definedName>
    <definedName name="NvsEndTime" localSheetId="12">41754.4877083333</definedName>
    <definedName name="NvsEndTime" localSheetId="13">41754.4877083333</definedName>
    <definedName name="NvsEndTime" localSheetId="14">41754.4877199074</definedName>
    <definedName name="NvsEndTime" localSheetId="15">41754.4877199074</definedName>
    <definedName name="NvsEndTime" localSheetId="16">41754.4877314815</definedName>
    <definedName name="NvsEndTime" localSheetId="17">41754.4877314815</definedName>
    <definedName name="NvsEndTime" localSheetId="18">41754.4877430556</definedName>
    <definedName name="NvsEndTime" localSheetId="19">41754.4877430556</definedName>
    <definedName name="NvsEndTime" localSheetId="20">41754.4877546296</definedName>
    <definedName name="NvsEndTime" localSheetId="21">41754.4877546296</definedName>
    <definedName name="NvsEndTime" localSheetId="22">41754.4877777778</definedName>
    <definedName name="NvsEndTime" localSheetId="23">41754.4877777778</definedName>
    <definedName name="NvsEndTime" localSheetId="24">41754.4877893518</definedName>
    <definedName name="NvsEndTime" localSheetId="25">41754.4877893518</definedName>
    <definedName name="NvsEndTime" localSheetId="26">41754.4878009259</definedName>
    <definedName name="NvsEndTime" localSheetId="27">41754.4878125</definedName>
    <definedName name="NvsEndTime" localSheetId="28">41754.4878240741</definedName>
    <definedName name="NvsEndTime" localSheetId="29">41754.4878356481</definedName>
    <definedName name="NvsEndTime" localSheetId="30">41754.4878587963</definedName>
    <definedName name="NvsEndTime" localSheetId="31">41754.4878587963</definedName>
    <definedName name="NvsEndTime" localSheetId="32">41754.4878703704</definedName>
    <definedName name="NvsEndTime" localSheetId="33">41754.4878703704</definedName>
    <definedName name="NvsEndTime" localSheetId="34">41754.4878819444</definedName>
    <definedName name="NvsEndTime" localSheetId="35">41754.4878819444</definedName>
    <definedName name="NvsEndTime" localSheetId="36">41754.4878935185</definedName>
    <definedName name="NvsEndTime" localSheetId="37">41754.4878935185</definedName>
    <definedName name="NvsEndTime" localSheetId="38">41754.4879050926</definedName>
    <definedName name="NvsEndTime" localSheetId="39">41754.4879166667</definedName>
    <definedName name="NvsEndTime" localSheetId="40">41754.4879282407</definedName>
    <definedName name="NvsEndTime" localSheetId="41">41754.4879282407</definedName>
    <definedName name="NvsEndTime" localSheetId="42">41754.4879398148</definedName>
    <definedName name="NvsEndTime" localSheetId="43">41754.4879398148</definedName>
    <definedName name="NvsEndTime" localSheetId="44">41754.4879513889</definedName>
    <definedName name="NvsEndTime" localSheetId="45">41754.4879513889</definedName>
    <definedName name="NvsEndTime" localSheetId="46">41754.487962963</definedName>
    <definedName name="NvsEndTime" localSheetId="47">41754.487974537</definedName>
    <definedName name="NvsEndTime" localSheetId="48">41754.4879861111</definedName>
    <definedName name="NvsEndTime" localSheetId="49">41754.4879976852</definedName>
    <definedName name="NvsEndTime" localSheetId="50">41754.4880092593</definedName>
    <definedName name="NvsEndTime" localSheetId="51">41754.4880324074</definedName>
    <definedName name="NvsEndTime" localSheetId="52">41754.4880324074</definedName>
    <definedName name="NvsEndTime" localSheetId="53">41754.4880439815</definedName>
    <definedName name="NvsEndTime" localSheetId="54">41754.4880555556</definedName>
    <definedName name="NvsEndTime" localSheetId="55">41754.4880555556</definedName>
    <definedName name="NvsEndTime" localSheetId="56">41754.4880555556</definedName>
    <definedName name="NvsEndTime" localSheetId="57">41754.4880555556</definedName>
    <definedName name="NvsEndTime" localSheetId="58">41754.4880787037</definedName>
    <definedName name="NvsEndTime" localSheetId="59">41754.4880787037</definedName>
    <definedName name="NvsEndTime" localSheetId="60">41754.4881018518</definedName>
    <definedName name="NvsEndTime" localSheetId="61">41754.4881018518</definedName>
    <definedName name="NvsEndTime" localSheetId="62">41754.4881134259</definedName>
    <definedName name="NvsEndTime" localSheetId="63">41754.488125</definedName>
    <definedName name="NvsEndTime" localSheetId="64">41754.488125</definedName>
    <definedName name="NvsEndTime" localSheetId="65">41754.4881365741</definedName>
    <definedName name="NvsEndTime" localSheetId="66">41754.4881365741</definedName>
    <definedName name="NvsEndTime" localSheetId="67">41754.4881597222</definedName>
    <definedName name="NvsEndTime" localSheetId="68">41754.4881712963</definedName>
    <definedName name="NvsEndTime" localSheetId="69">41754.4881828704</definedName>
    <definedName name="NvsEndTime" localSheetId="70">41754.4881944444</definedName>
    <definedName name="NvsEndTime" localSheetId="72">41754.4881944444</definedName>
    <definedName name="NvsEndTime" localSheetId="71">41754.4881944444</definedName>
    <definedName name="NvsEndTime" localSheetId="73">41754.4882060185</definedName>
    <definedName name="NvsEndTime" localSheetId="74">41754.4882060185</definedName>
    <definedName name="NvsEndTime" localSheetId="76">41754.4882060185</definedName>
    <definedName name="NvsEndTime" localSheetId="2">41445.4773726852</definedName>
    <definedName name="NvsEndTime">39955.4323032407</definedName>
    <definedName name="NvsInstanceHook" localSheetId="3">"CopySheet"</definedName>
    <definedName name="NvsInstanceHook" localSheetId="4">"CopySheet"</definedName>
    <definedName name="NvsInstanceHook" localSheetId="5">"CopySheet"</definedName>
    <definedName name="NvsInstanceHook" localSheetId="6">"CopySheet"</definedName>
    <definedName name="NvsInstanceHook" localSheetId="7">"CopySheet"</definedName>
    <definedName name="NvsInstanceHook" localSheetId="8">"CopySheet"</definedName>
    <definedName name="NvsInstanceHook" localSheetId="9">"CopySheet"</definedName>
    <definedName name="NvsInstanceHook" localSheetId="10">"CopySheet"</definedName>
    <definedName name="NvsInstanceHook" localSheetId="11">"CopySheet"</definedName>
    <definedName name="NvsInstanceHook" localSheetId="12">"CopySheet"</definedName>
    <definedName name="NvsInstanceHook" localSheetId="13">"CopySheet"</definedName>
    <definedName name="NvsInstanceHook" localSheetId="14">"CopySheet"</definedName>
    <definedName name="NvsInstanceHook" localSheetId="15">"CopySheet"</definedName>
    <definedName name="NvsInstanceHook" localSheetId="16">"CopySheet"</definedName>
    <definedName name="NvsInstanceHook" localSheetId="17">"CopySheet"</definedName>
    <definedName name="NvsInstanceHook" localSheetId="18">"CopySheet"</definedName>
    <definedName name="NvsInstanceHook" localSheetId="19">"CopySheet"</definedName>
    <definedName name="NvsInstanceHook" localSheetId="20">"CopySheet"</definedName>
    <definedName name="NvsInstanceHook" localSheetId="21">"CopySheet"</definedName>
    <definedName name="NvsInstanceHook" localSheetId="22">"CopySheet"</definedName>
    <definedName name="NvsInstanceHook" localSheetId="23">"CopySheet"</definedName>
    <definedName name="NvsInstanceHook" localSheetId="24">"CopySheet"</definedName>
    <definedName name="NvsInstanceHook" localSheetId="25">"CopySheet"</definedName>
    <definedName name="NvsInstanceHook" localSheetId="26">"CopySheet"</definedName>
    <definedName name="NvsInstanceHook" localSheetId="27">"CopySheet"</definedName>
    <definedName name="NvsInstanceHook" localSheetId="28">"CopySheet"</definedName>
    <definedName name="NvsInstanceHook" localSheetId="29">"CopySheet"</definedName>
    <definedName name="NvsInstanceHook" localSheetId="30">"CopySheet"</definedName>
    <definedName name="NvsInstanceHook" localSheetId="31">"CopySheet"</definedName>
    <definedName name="NvsInstanceHook" localSheetId="32">"CopySheet"</definedName>
    <definedName name="NvsInstanceHook" localSheetId="33">"CopySheet"</definedName>
    <definedName name="NvsInstanceHook" localSheetId="34">"CopySheet"</definedName>
    <definedName name="NvsInstanceHook" localSheetId="35">"CopySheet"</definedName>
    <definedName name="NvsInstanceHook" localSheetId="36">"CopySheet"</definedName>
    <definedName name="NvsInstanceHook" localSheetId="37">"CopySheet"</definedName>
    <definedName name="NvsInstanceHook" localSheetId="38">"CopySheet"</definedName>
    <definedName name="NvsInstanceHook" localSheetId="39">"CopySheet"</definedName>
    <definedName name="NvsInstanceHook" localSheetId="40">"CopySheet"</definedName>
    <definedName name="NvsInstanceHook" localSheetId="41">"CopySheet"</definedName>
    <definedName name="NvsInstanceHook" localSheetId="42">"CopySheet"</definedName>
    <definedName name="NvsInstanceHook" localSheetId="43">"CopySheet"</definedName>
    <definedName name="NvsInstanceHook" localSheetId="44">"CopySheet"</definedName>
    <definedName name="NvsInstanceHook" localSheetId="45">"CopySheet"</definedName>
    <definedName name="NvsInstanceHook" localSheetId="46">"CopySheet"</definedName>
    <definedName name="NvsInstanceHook" localSheetId="47">"CopySheet"</definedName>
    <definedName name="NvsInstanceHook" localSheetId="48">"CopySheet"</definedName>
    <definedName name="NvsInstanceHook" localSheetId="49">"CopySheet"</definedName>
    <definedName name="NvsInstanceHook" localSheetId="50">"CopySheet"</definedName>
    <definedName name="NvsInstanceHook" localSheetId="51">"CopySheet"</definedName>
    <definedName name="NvsInstanceHook" localSheetId="52">"CopySheet"</definedName>
    <definedName name="NvsInstanceHook" localSheetId="53">"CopySheet"</definedName>
    <definedName name="NvsInstanceHook" localSheetId="54">"CopySheet"</definedName>
    <definedName name="NvsInstanceHook" localSheetId="55">"CopySheet"</definedName>
    <definedName name="NvsInstanceHook" localSheetId="56">"CopySheet"</definedName>
    <definedName name="NvsInstanceHook" localSheetId="57">"CopySheet"</definedName>
    <definedName name="NvsInstanceHook" localSheetId="58">"CopySheet"</definedName>
    <definedName name="NvsInstanceHook" localSheetId="59">"CopySheet"</definedName>
    <definedName name="NvsInstanceHook" localSheetId="60">"CopySheet"</definedName>
    <definedName name="NvsInstanceHook" localSheetId="61">"CopySheet"</definedName>
    <definedName name="NvsInstanceHook" localSheetId="62">"CopySheet"</definedName>
    <definedName name="NvsInstanceHook" localSheetId="63">"CopySheet"</definedName>
    <definedName name="NvsInstanceHook" localSheetId="64">"CopySheet"</definedName>
    <definedName name="NvsInstanceHook" localSheetId="65">"CopySheet"</definedName>
    <definedName name="NvsInstanceHook" localSheetId="66">"CopySheet"</definedName>
    <definedName name="NvsInstanceHook" localSheetId="67">"CopySheet"</definedName>
    <definedName name="NvsInstanceHook" localSheetId="68">"CopySheet"</definedName>
    <definedName name="NvsInstanceHook" localSheetId="69">"CopySheet"</definedName>
    <definedName name="NvsInstanceHook" localSheetId="70">"CopySheet"</definedName>
    <definedName name="NvsInstanceHook" localSheetId="72">"CopySheet"</definedName>
    <definedName name="NvsInstanceHook" localSheetId="71">"CopySheet"</definedName>
    <definedName name="NvsInstanceHook" localSheetId="73">"CopySheet"</definedName>
    <definedName name="NvsInstanceHook" localSheetId="74">"CopySheet"</definedName>
    <definedName name="NvsInstanceHook" localSheetId="76">"CopySheet"</definedName>
    <definedName name="NvsInstanceHook">"CopySheet"</definedName>
    <definedName name="NvsInstLang">"VENG"</definedName>
    <definedName name="NvsInstSpec" localSheetId="3">"%,FDEPTID,V0054"</definedName>
    <definedName name="NvsInstSpec" localSheetId="4">"%,FDEPTID,V0054"</definedName>
    <definedName name="NvsInstSpec" localSheetId="5">"%,FDEPTID,V0642"</definedName>
    <definedName name="NvsInstSpec" localSheetId="6">"%,FDEPTID,V0642"</definedName>
    <definedName name="NvsInstSpec" localSheetId="7">"%,FDEPTID,V0664"</definedName>
    <definedName name="NvsInstSpec" localSheetId="8">"%,FDEPTID,V0664"</definedName>
    <definedName name="NvsInstSpec" localSheetId="9">"%,FDEPTID,V1461"</definedName>
    <definedName name="NvsInstSpec" localSheetId="10">"%,FDEPTID,V1571"</definedName>
    <definedName name="NvsInstSpec" localSheetId="11">"%,FDEPTID,V2521"</definedName>
    <definedName name="NvsInstSpec" localSheetId="12">"%,FDEPTID,V2531"</definedName>
    <definedName name="NvsInstSpec" localSheetId="13">"%,FDEPTID,V2531"</definedName>
    <definedName name="NvsInstSpec" localSheetId="14">"%,FDEPTID,V2641"</definedName>
    <definedName name="NvsInstSpec" localSheetId="15">"%,FDEPTID,V2641"</definedName>
    <definedName name="NvsInstSpec" localSheetId="16">"%,FDEPTID,V2661"</definedName>
    <definedName name="NvsInstSpec" localSheetId="17">"%,FDEPTID,V2661"</definedName>
    <definedName name="NvsInstSpec" localSheetId="18">"%,FDEPTID,V2791"</definedName>
    <definedName name="NvsInstSpec" localSheetId="19">"%,FDEPTID,V2791"</definedName>
    <definedName name="NvsInstSpec" localSheetId="20">"%,FDEPTID,V2801"</definedName>
    <definedName name="NvsInstSpec" localSheetId="21">"%,FDEPTID,V2801"</definedName>
    <definedName name="NvsInstSpec" localSheetId="22">"%,FDEPTID,V2911"</definedName>
    <definedName name="NvsInstSpec" localSheetId="23">"%,FDEPTID,V2911"</definedName>
    <definedName name="NvsInstSpec" localSheetId="24">"%,FDEPTID,V2941"</definedName>
    <definedName name="NvsInstSpec" localSheetId="25">"%,FDEPTID,V2941"</definedName>
    <definedName name="NvsInstSpec" localSheetId="26">"%,FDEPTID,V3083"</definedName>
    <definedName name="NvsInstSpec" localSheetId="27">"%,FDEPTID,V3344"</definedName>
    <definedName name="NvsInstSpec" localSheetId="28">"%,FDEPTID,V3345"</definedName>
    <definedName name="NvsInstSpec" localSheetId="29">"%,FDEPTID,V3347"</definedName>
    <definedName name="NvsInstSpec" localSheetId="30">"%,FDEPTID,V3381"</definedName>
    <definedName name="NvsInstSpec" localSheetId="31">"%,FDEPTID,V3381"</definedName>
    <definedName name="NvsInstSpec" localSheetId="32">"%,FDEPTID,V3382"</definedName>
    <definedName name="NvsInstSpec" localSheetId="33">"%,FDEPTID,V3382"</definedName>
    <definedName name="NvsInstSpec" localSheetId="34">"%,FDEPTID,V3384"</definedName>
    <definedName name="NvsInstSpec" localSheetId="35">"%,FDEPTID,V3384"</definedName>
    <definedName name="NvsInstSpec" localSheetId="36">"%,FDEPTID,V3385"</definedName>
    <definedName name="NvsInstSpec" localSheetId="37">"%,FDEPTID,V3385"</definedName>
    <definedName name="NvsInstSpec" localSheetId="38">"%,FDEPTID,V3386"</definedName>
    <definedName name="NvsInstSpec" localSheetId="39">"%,FDEPTID,V3391"</definedName>
    <definedName name="NvsInstSpec" localSheetId="40">"%,FDEPTID,V3392"</definedName>
    <definedName name="NvsInstSpec" localSheetId="41">"%,FDEPTID,V3392"</definedName>
    <definedName name="NvsInstSpec" localSheetId="42">"%,FDEPTID,V3394"</definedName>
    <definedName name="NvsInstSpec" localSheetId="43">"%,FDEPTID,V3394"</definedName>
    <definedName name="NvsInstSpec" localSheetId="44">"%,FDEPTID,V3395"</definedName>
    <definedName name="NvsInstSpec" localSheetId="45">"%,FDEPTID,V3395"</definedName>
    <definedName name="NvsInstSpec" localSheetId="46">"%,FDEPTID,V3396"</definedName>
    <definedName name="NvsInstSpec" localSheetId="47">"%,FDEPTID,V3398"</definedName>
    <definedName name="NvsInstSpec" localSheetId="48">"%,FDEPTID,V3400"</definedName>
    <definedName name="NvsInstSpec" localSheetId="49">"%,FDEPTID,V3401"</definedName>
    <definedName name="NvsInstSpec" localSheetId="50">"%,FDEPTID,V3411"</definedName>
    <definedName name="NvsInstSpec" localSheetId="51">"%,FDEPTID,V3413"</definedName>
    <definedName name="NvsInstSpec" localSheetId="52">"%,FDEPTID,V3413"</definedName>
    <definedName name="NvsInstSpec" localSheetId="53">"%,FDEPTID,V3421"</definedName>
    <definedName name="NvsInstSpec" localSheetId="54">"%,FDEPTID,V3431"</definedName>
    <definedName name="NvsInstSpec" localSheetId="55">"%,FDEPTID,V3431"</definedName>
    <definedName name="NvsInstSpec" localSheetId="56">"%,FDEPTID,V3431"</definedName>
    <definedName name="NvsInstSpec" localSheetId="57">"%,FDEPTID,V3431"</definedName>
    <definedName name="NvsInstSpec" localSheetId="58">"%,FDEPTID,V3941"</definedName>
    <definedName name="NvsInstSpec" localSheetId="59">"%,FDEPTID,V3941"</definedName>
    <definedName name="NvsInstSpec" localSheetId="60">"%,FDEPTID,V3961"</definedName>
    <definedName name="NvsInstSpec" localSheetId="61">"%,FDEPTID,V3961"</definedName>
    <definedName name="NvsInstSpec" localSheetId="62">"%,FDEPTID,V3971"</definedName>
    <definedName name="NvsInstSpec" localSheetId="63">"%,FDEPTID,V4000"</definedName>
    <definedName name="NvsInstSpec" localSheetId="64">"%,FDEPTID,V4000"</definedName>
    <definedName name="NvsInstSpec" localSheetId="65">"%,FDEPTID,V4002"</definedName>
    <definedName name="NvsInstSpec" localSheetId="66">"%,FDEPTID,V4002"</definedName>
    <definedName name="NvsInstSpec" localSheetId="67">"%,FDEPTID,V4010"</definedName>
    <definedName name="NvsInstSpec" localSheetId="68">"%,FDEPTID,V4012"</definedName>
    <definedName name="NvsInstSpec" localSheetId="69">"%,FDEPTID,V4013"</definedName>
    <definedName name="NvsInstSpec" localSheetId="70">"%,FDEPTID,V4020"</definedName>
    <definedName name="NvsInstSpec" localSheetId="72">"%,FDEPTID,V4020"</definedName>
    <definedName name="NvsInstSpec" localSheetId="71">"%,FDEPTID,V4020"</definedName>
    <definedName name="NvsInstSpec" localSheetId="73">"%,FDEPTID,V4037"</definedName>
    <definedName name="NvsInstSpec" localSheetId="74">"%,FDEPTID,V4037"</definedName>
    <definedName name="NvsInstSpec" localSheetId="76">"%,FDEPTID,V4037"</definedName>
    <definedName name="NvsInstSpec">"%,FFUND_CODE,V3415"</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BusUnit">"VSDPBC"</definedName>
    <definedName name="NvsPanelEffdt" localSheetId="3">"V2007-07-01"</definedName>
    <definedName name="NvsPanelEffdt" localSheetId="4">"V2007-07-01"</definedName>
    <definedName name="NvsPanelEffdt" localSheetId="5">"V2007-07-01"</definedName>
    <definedName name="NvsPanelEffdt" localSheetId="6">"V2007-07-01"</definedName>
    <definedName name="NvsPanelEffdt" localSheetId="7">"V2007-07-01"</definedName>
    <definedName name="NvsPanelEffdt" localSheetId="8">"V2007-07-01"</definedName>
    <definedName name="NvsPanelEffdt" localSheetId="9">"V2007-07-01"</definedName>
    <definedName name="NvsPanelEffdt" localSheetId="10">"V2007-07-01"</definedName>
    <definedName name="NvsPanelEffdt" localSheetId="11">"V2007-07-01"</definedName>
    <definedName name="NvsPanelEffdt" localSheetId="12">"V2007-07-01"</definedName>
    <definedName name="NvsPanelEffdt" localSheetId="13">"V2007-07-01"</definedName>
    <definedName name="NvsPanelEffdt" localSheetId="14">"V2007-07-01"</definedName>
    <definedName name="NvsPanelEffdt" localSheetId="15">"V2007-07-01"</definedName>
    <definedName name="NvsPanelEffdt" localSheetId="16">"V2007-07-01"</definedName>
    <definedName name="NvsPanelEffdt" localSheetId="17">"V2007-07-01"</definedName>
    <definedName name="NvsPanelEffdt" localSheetId="18">"V2007-07-01"</definedName>
    <definedName name="NvsPanelEffdt" localSheetId="19">"V2007-07-01"</definedName>
    <definedName name="NvsPanelEffdt" localSheetId="20">"V2007-07-01"</definedName>
    <definedName name="NvsPanelEffdt" localSheetId="21">"V2007-07-01"</definedName>
    <definedName name="NvsPanelEffdt" localSheetId="22">"V2007-07-01"</definedName>
    <definedName name="NvsPanelEffdt" localSheetId="23">"V2007-07-01"</definedName>
    <definedName name="NvsPanelEffdt" localSheetId="24">"V2007-07-01"</definedName>
    <definedName name="NvsPanelEffdt" localSheetId="25">"V2007-07-01"</definedName>
    <definedName name="NvsPanelEffdt" localSheetId="26">"V2007-07-01"</definedName>
    <definedName name="NvsPanelEffdt" localSheetId="27">"V2007-07-01"</definedName>
    <definedName name="NvsPanelEffdt" localSheetId="28">"V2007-07-01"</definedName>
    <definedName name="NvsPanelEffdt" localSheetId="29">"V2007-07-01"</definedName>
    <definedName name="NvsPanelEffdt" localSheetId="30">"V2007-07-01"</definedName>
    <definedName name="NvsPanelEffdt" localSheetId="31">"V2007-07-01"</definedName>
    <definedName name="NvsPanelEffdt" localSheetId="32">"V2007-07-01"</definedName>
    <definedName name="NvsPanelEffdt" localSheetId="33">"V2007-07-01"</definedName>
    <definedName name="NvsPanelEffdt" localSheetId="34">"V2007-07-01"</definedName>
    <definedName name="NvsPanelEffdt" localSheetId="35">"V2007-07-01"</definedName>
    <definedName name="NvsPanelEffdt" localSheetId="36">"V2007-07-01"</definedName>
    <definedName name="NvsPanelEffdt" localSheetId="37">"V2007-07-01"</definedName>
    <definedName name="NvsPanelEffdt" localSheetId="38">"V2007-07-01"</definedName>
    <definedName name="NvsPanelEffdt" localSheetId="39">"V2007-07-01"</definedName>
    <definedName name="NvsPanelEffdt" localSheetId="40">"V2007-07-01"</definedName>
    <definedName name="NvsPanelEffdt" localSheetId="41">"V2007-07-01"</definedName>
    <definedName name="NvsPanelEffdt" localSheetId="42">"V2007-07-01"</definedName>
    <definedName name="NvsPanelEffdt" localSheetId="43">"V2007-07-01"</definedName>
    <definedName name="NvsPanelEffdt" localSheetId="44">"V2007-07-01"</definedName>
    <definedName name="NvsPanelEffdt" localSheetId="45">"V2007-07-01"</definedName>
    <definedName name="NvsPanelEffdt" localSheetId="46">"V2007-07-01"</definedName>
    <definedName name="NvsPanelEffdt" localSheetId="47">"V2007-07-01"</definedName>
    <definedName name="NvsPanelEffdt" localSheetId="48">"V2007-07-01"</definedName>
    <definedName name="NvsPanelEffdt" localSheetId="49">"V2007-07-01"</definedName>
    <definedName name="NvsPanelEffdt" localSheetId="50">"V2007-07-01"</definedName>
    <definedName name="NvsPanelEffdt" localSheetId="51">"V2007-07-01"</definedName>
    <definedName name="NvsPanelEffdt" localSheetId="52">"V2007-07-01"</definedName>
    <definedName name="NvsPanelEffdt" localSheetId="53">"V2007-07-01"</definedName>
    <definedName name="NvsPanelEffdt" localSheetId="54">"V2007-07-01"</definedName>
    <definedName name="NvsPanelEffdt" localSheetId="55">"V2007-07-01"</definedName>
    <definedName name="NvsPanelEffdt" localSheetId="56">"V2007-07-01"</definedName>
    <definedName name="NvsPanelEffdt" localSheetId="57">"V2007-07-01"</definedName>
    <definedName name="NvsPanelEffdt" localSheetId="58">"V2007-07-01"</definedName>
    <definedName name="NvsPanelEffdt" localSheetId="59">"V2007-07-01"</definedName>
    <definedName name="NvsPanelEffdt" localSheetId="60">"V2007-07-01"</definedName>
    <definedName name="NvsPanelEffdt" localSheetId="61">"V2007-07-01"</definedName>
    <definedName name="NvsPanelEffdt" localSheetId="62">"V2007-07-01"</definedName>
    <definedName name="NvsPanelEffdt" localSheetId="63">"V2007-07-01"</definedName>
    <definedName name="NvsPanelEffdt" localSheetId="64">"V2007-07-01"</definedName>
    <definedName name="NvsPanelEffdt" localSheetId="65">"V2007-07-01"</definedName>
    <definedName name="NvsPanelEffdt" localSheetId="66">"V2007-07-01"</definedName>
    <definedName name="NvsPanelEffdt" localSheetId="67">"V2007-07-01"</definedName>
    <definedName name="NvsPanelEffdt" localSheetId="68">"V2007-07-01"</definedName>
    <definedName name="NvsPanelEffdt" localSheetId="69">"V2007-07-01"</definedName>
    <definedName name="NvsPanelEffdt" localSheetId="70">"V2007-07-01"</definedName>
    <definedName name="NvsPanelEffdt" localSheetId="72">"V2007-07-01"</definedName>
    <definedName name="NvsPanelEffdt" localSheetId="71">"V2007-07-01"</definedName>
    <definedName name="NvsPanelEffdt" localSheetId="73">"V2007-07-01"</definedName>
    <definedName name="NvsPanelEffdt" localSheetId="74">"V2007-07-01"</definedName>
    <definedName name="NvsPanelEffdt" localSheetId="76">"V2007-07-01"</definedName>
    <definedName name="NvsPanelEffdt" localSheetId="2">"V2007-07-01"</definedName>
    <definedName name="NvsPanelEffdt">"V1901-01-01"</definedName>
    <definedName name="NvsPanelSetid">"VSHARE"</definedName>
    <definedName name="NvsReqBU">"VSDPBC"</definedName>
    <definedName name="NvsReqBUOnly">"VY"</definedName>
    <definedName name="NvsSheetType" localSheetId="3">"M"</definedName>
    <definedName name="NvsSheetType" localSheetId="4">"M"</definedName>
    <definedName name="NvsSheetType" localSheetId="5">"M"</definedName>
    <definedName name="NvsSheetType" localSheetId="6">"M"</definedName>
    <definedName name="NvsSheetType" localSheetId="7">"M"</definedName>
    <definedName name="NvsSheetType" localSheetId="8">"M"</definedName>
    <definedName name="NvsSheetType" localSheetId="9">"M"</definedName>
    <definedName name="NvsSheetType" localSheetId="10">"M"</definedName>
    <definedName name="NvsSheetType" localSheetId="11">"M"</definedName>
    <definedName name="NvsSheetType" localSheetId="12">"M"</definedName>
    <definedName name="NvsSheetType" localSheetId="13">"M"</definedName>
    <definedName name="NvsSheetType" localSheetId="14">"M"</definedName>
    <definedName name="NvsSheetType" localSheetId="15">"M"</definedName>
    <definedName name="NvsSheetType" localSheetId="16">"M"</definedName>
    <definedName name="NvsSheetType" localSheetId="17">"M"</definedName>
    <definedName name="NvsSheetType" localSheetId="18">"M"</definedName>
    <definedName name="NvsSheetType" localSheetId="19">"M"</definedName>
    <definedName name="NvsSheetType" localSheetId="20">"M"</definedName>
    <definedName name="NvsSheetType" localSheetId="21">"M"</definedName>
    <definedName name="NvsSheetType" localSheetId="22">"M"</definedName>
    <definedName name="NvsSheetType" localSheetId="23">"M"</definedName>
    <definedName name="NvsSheetType" localSheetId="24">"M"</definedName>
    <definedName name="NvsSheetType" localSheetId="25">"M"</definedName>
    <definedName name="NvsSheetType" localSheetId="26">"M"</definedName>
    <definedName name="NvsSheetType" localSheetId="27">"M"</definedName>
    <definedName name="NvsSheetType" localSheetId="28">"M"</definedName>
    <definedName name="NvsSheetType" localSheetId="29">"M"</definedName>
    <definedName name="NvsSheetType" localSheetId="30">"M"</definedName>
    <definedName name="NvsSheetType" localSheetId="31">"M"</definedName>
    <definedName name="NvsSheetType" localSheetId="32">"M"</definedName>
    <definedName name="NvsSheetType" localSheetId="33">"M"</definedName>
    <definedName name="NvsSheetType" localSheetId="34">"M"</definedName>
    <definedName name="NvsSheetType" localSheetId="35">"M"</definedName>
    <definedName name="NvsSheetType" localSheetId="36">"M"</definedName>
    <definedName name="NvsSheetType" localSheetId="37">"M"</definedName>
    <definedName name="NvsSheetType" localSheetId="38">"M"</definedName>
    <definedName name="NvsSheetType" localSheetId="39">"M"</definedName>
    <definedName name="NvsSheetType" localSheetId="40">"M"</definedName>
    <definedName name="NvsSheetType" localSheetId="41">"M"</definedName>
    <definedName name="NvsSheetType" localSheetId="42">"M"</definedName>
    <definedName name="NvsSheetType" localSheetId="43">"M"</definedName>
    <definedName name="NvsSheetType" localSheetId="44">"M"</definedName>
    <definedName name="NvsSheetType" localSheetId="45">"M"</definedName>
    <definedName name="NvsSheetType" localSheetId="46">"M"</definedName>
    <definedName name="NvsSheetType" localSheetId="47">"M"</definedName>
    <definedName name="NvsSheetType" localSheetId="48">"M"</definedName>
    <definedName name="NvsSheetType" localSheetId="49">"M"</definedName>
    <definedName name="NvsSheetType" localSheetId="50">"M"</definedName>
    <definedName name="NvsSheetType" localSheetId="51">"M"</definedName>
    <definedName name="NvsSheetType" localSheetId="52">"M"</definedName>
    <definedName name="NvsSheetType" localSheetId="53">"M"</definedName>
    <definedName name="NvsSheetType" localSheetId="54">"M"</definedName>
    <definedName name="NvsSheetType" localSheetId="55">"M"</definedName>
    <definedName name="NvsSheetType" localSheetId="56">"M"</definedName>
    <definedName name="NvsSheetType" localSheetId="57">"M"</definedName>
    <definedName name="NvsSheetType" localSheetId="58">"M"</definedName>
    <definedName name="NvsSheetType" localSheetId="59">"M"</definedName>
    <definedName name="NvsSheetType" localSheetId="60">"M"</definedName>
    <definedName name="NvsSheetType" localSheetId="61">"M"</definedName>
    <definedName name="NvsSheetType" localSheetId="62">"M"</definedName>
    <definedName name="NvsSheetType" localSheetId="63">"M"</definedName>
    <definedName name="NvsSheetType" localSheetId="64">"M"</definedName>
    <definedName name="NvsSheetType" localSheetId="65">"M"</definedName>
    <definedName name="NvsSheetType" localSheetId="66">"M"</definedName>
    <definedName name="NvsSheetType" localSheetId="67">"M"</definedName>
    <definedName name="NvsSheetType" localSheetId="68">"M"</definedName>
    <definedName name="NvsSheetType" localSheetId="69">"M"</definedName>
    <definedName name="NvsSheetType" localSheetId="70">"M"</definedName>
    <definedName name="NvsSheetType" localSheetId="72">"M"</definedName>
    <definedName name="NvsSheetType" localSheetId="71">"M"</definedName>
    <definedName name="NvsSheetType" localSheetId="73">"M"</definedName>
    <definedName name="NvsSheetType" localSheetId="74">"M"</definedName>
    <definedName name="NvsSheetType" localSheetId="76">"M"</definedName>
    <definedName name="NvsTransLed">"VN"</definedName>
    <definedName name="NvsTreeASD" localSheetId="3">"V2014-05-01"</definedName>
    <definedName name="NvsTreeASD" localSheetId="4">"V2014-05-01"</definedName>
    <definedName name="NvsTreeASD" localSheetId="5">"V2014-05-01"</definedName>
    <definedName name="NvsTreeASD" localSheetId="6">"V2014-05-01"</definedName>
    <definedName name="NvsTreeASD" localSheetId="7">"V2014-05-01"</definedName>
    <definedName name="NvsTreeASD" localSheetId="8">"V2014-05-01"</definedName>
    <definedName name="NvsTreeASD" localSheetId="9">"V2014-05-01"</definedName>
    <definedName name="NvsTreeASD" localSheetId="10">"V2014-05-01"</definedName>
    <definedName name="NvsTreeASD" localSheetId="11">"V2014-05-01"</definedName>
    <definedName name="NvsTreeASD" localSheetId="12">"V2014-05-01"</definedName>
    <definedName name="NvsTreeASD" localSheetId="13">"V2014-05-01"</definedName>
    <definedName name="NvsTreeASD" localSheetId="14">"V2014-05-01"</definedName>
    <definedName name="NvsTreeASD" localSheetId="15">"V2014-05-01"</definedName>
    <definedName name="NvsTreeASD" localSheetId="16">"V2014-05-01"</definedName>
    <definedName name="NvsTreeASD" localSheetId="17">"V2014-05-01"</definedName>
    <definedName name="NvsTreeASD" localSheetId="18">"V2014-05-01"</definedName>
    <definedName name="NvsTreeASD" localSheetId="19">"V2014-05-01"</definedName>
    <definedName name="NvsTreeASD" localSheetId="20">"V2014-05-01"</definedName>
    <definedName name="NvsTreeASD" localSheetId="21">"V2014-05-01"</definedName>
    <definedName name="NvsTreeASD" localSheetId="22">"V2014-05-01"</definedName>
    <definedName name="NvsTreeASD" localSheetId="23">"V2014-05-01"</definedName>
    <definedName name="NvsTreeASD" localSheetId="24">"V2014-05-01"</definedName>
    <definedName name="NvsTreeASD" localSheetId="25">"V2014-05-01"</definedName>
    <definedName name="NvsTreeASD" localSheetId="26">"V2014-05-01"</definedName>
    <definedName name="NvsTreeASD" localSheetId="27">"V2014-05-01"</definedName>
    <definedName name="NvsTreeASD" localSheetId="28">"V2014-05-01"</definedName>
    <definedName name="NvsTreeASD" localSheetId="29">"V2014-05-01"</definedName>
    <definedName name="NvsTreeASD" localSheetId="30">"V2014-05-01"</definedName>
    <definedName name="NvsTreeASD" localSheetId="31">"V2014-05-01"</definedName>
    <definedName name="NvsTreeASD" localSheetId="32">"V2014-05-01"</definedName>
    <definedName name="NvsTreeASD" localSheetId="33">"V2014-05-01"</definedName>
    <definedName name="NvsTreeASD" localSheetId="34">"V2014-05-01"</definedName>
    <definedName name="NvsTreeASD" localSheetId="35">"V2014-05-01"</definedName>
    <definedName name="NvsTreeASD" localSheetId="36">"V2014-05-01"</definedName>
    <definedName name="NvsTreeASD" localSheetId="37">"V2014-05-01"</definedName>
    <definedName name="NvsTreeASD" localSheetId="38">"V2014-05-01"</definedName>
    <definedName name="NvsTreeASD" localSheetId="39">"V2014-05-01"</definedName>
    <definedName name="NvsTreeASD" localSheetId="40">"V2014-05-01"</definedName>
    <definedName name="NvsTreeASD" localSheetId="41">"V2014-05-01"</definedName>
    <definedName name="NvsTreeASD" localSheetId="42">"V2014-05-01"</definedName>
    <definedName name="NvsTreeASD" localSheetId="43">"V2014-05-01"</definedName>
    <definedName name="NvsTreeASD" localSheetId="44">"V2014-05-01"</definedName>
    <definedName name="NvsTreeASD" localSheetId="45">"V2014-05-01"</definedName>
    <definedName name="NvsTreeASD" localSheetId="46">"V2014-05-01"</definedName>
    <definedName name="NvsTreeASD" localSheetId="47">"V2014-05-01"</definedName>
    <definedName name="NvsTreeASD" localSheetId="48">"V2014-05-01"</definedName>
    <definedName name="NvsTreeASD" localSheetId="49">"V2014-05-01"</definedName>
    <definedName name="NvsTreeASD" localSheetId="50">"V2014-05-01"</definedName>
    <definedName name="NvsTreeASD" localSheetId="51">"V2014-05-01"</definedName>
    <definedName name="NvsTreeASD" localSheetId="52">"V2014-05-01"</definedName>
    <definedName name="NvsTreeASD" localSheetId="53">"V2014-05-01"</definedName>
    <definedName name="NvsTreeASD" localSheetId="54">"V2014-05-01"</definedName>
    <definedName name="NvsTreeASD" localSheetId="55">"V2014-05-01"</definedName>
    <definedName name="NvsTreeASD" localSheetId="56">"V2014-05-01"</definedName>
    <definedName name="NvsTreeASD" localSheetId="57">"V2014-05-01"</definedName>
    <definedName name="NvsTreeASD" localSheetId="58">"V2014-05-01"</definedName>
    <definedName name="NvsTreeASD" localSheetId="59">"V2014-05-01"</definedName>
    <definedName name="NvsTreeASD" localSheetId="60">"V2014-05-01"</definedName>
    <definedName name="NvsTreeASD" localSheetId="61">"V2014-05-01"</definedName>
    <definedName name="NvsTreeASD" localSheetId="62">"V2014-05-01"</definedName>
    <definedName name="NvsTreeASD" localSheetId="63">"V2014-05-01"</definedName>
    <definedName name="NvsTreeASD" localSheetId="64">"V2014-05-01"</definedName>
    <definedName name="NvsTreeASD" localSheetId="65">"V2014-05-01"</definedName>
    <definedName name="NvsTreeASD" localSheetId="66">"V2014-05-01"</definedName>
    <definedName name="NvsTreeASD" localSheetId="67">"V2014-05-01"</definedName>
    <definedName name="NvsTreeASD" localSheetId="68">"V2014-05-01"</definedName>
    <definedName name="NvsTreeASD" localSheetId="69">"V2014-05-01"</definedName>
    <definedName name="NvsTreeASD" localSheetId="70">"V2014-05-01"</definedName>
    <definedName name="NvsTreeASD" localSheetId="72">"V2014-05-01"</definedName>
    <definedName name="NvsTreeASD" localSheetId="71">"V2014-05-01"</definedName>
    <definedName name="NvsTreeASD" localSheetId="73">"V2014-05-01"</definedName>
    <definedName name="NvsTreeASD" localSheetId="74">"V2014-05-01"</definedName>
    <definedName name="NvsTreeASD" localSheetId="76">"V2014-05-01"</definedName>
    <definedName name="NvsTreeASD">"V2009-04-30"</definedName>
    <definedName name="NvsValTbl.ACCOUNT">"GL_ACCOUNT_TBL"</definedName>
    <definedName name="NvsValTbl.BUDGET_PERIOD">"CAL_BP_ALL_VW"</definedName>
    <definedName name="NvsValTbl.BUSINESS_UNIT">"BUS_UNIT_TBL_GL"</definedName>
    <definedName name="NvsValTbl.CLASS_FLD">"CLASS_CF_TBL"</definedName>
    <definedName name="NvsValTbl.FUND_CODE">"FUND_TBL"</definedName>
    <definedName name="NvsValTbl.PRODUCT">"PRODUCT_TBL"</definedName>
    <definedName name="NvsValTbl.PROGRAM_CODE">"PROGRAM_TBL"</definedName>
    <definedName name="Per_Student" localSheetId="3">'0054'!$I$39</definedName>
    <definedName name="Per_Student" localSheetId="4">'0054 June Final'!$I$39</definedName>
    <definedName name="Per_Student" localSheetId="5">'0642'!$I$39</definedName>
    <definedName name="Per_Student" localSheetId="6">'0642 June Final'!$I$39</definedName>
    <definedName name="Per_Student" localSheetId="7">'0664'!$I$39</definedName>
    <definedName name="Per_Student" localSheetId="8">'0664 June Final'!$I$39</definedName>
    <definedName name="Per_Student" localSheetId="9">'1461'!$I$39</definedName>
    <definedName name="Per_Student" localSheetId="10">'1571'!$I$39</definedName>
    <definedName name="Per_Student" localSheetId="11">'2521'!$I$39</definedName>
    <definedName name="Per_Student" localSheetId="12">'2531'!$I$39</definedName>
    <definedName name="Per_Student" localSheetId="13">'2531 June final'!$I$39</definedName>
    <definedName name="Per_Student" localSheetId="14">'2641'!$I$39</definedName>
    <definedName name="Per_Student" localSheetId="15">'2641 June Final'!$I$39</definedName>
    <definedName name="Per_Student" localSheetId="16">'2661'!$I$39</definedName>
    <definedName name="Per_Student" localSheetId="17">'2661 June Final'!$I$39</definedName>
    <definedName name="Per_Student" localSheetId="18">'2791'!$I$39</definedName>
    <definedName name="Per_Student" localSheetId="19">'2791 June final'!$I$39</definedName>
    <definedName name="Per_Student" localSheetId="20">'2801'!$I$39</definedName>
    <definedName name="Per_Student" localSheetId="21">'2801 June Final'!$I$39</definedName>
    <definedName name="Per_Student" localSheetId="22">'2911'!$I$39</definedName>
    <definedName name="Per_Student" localSheetId="23">'2911 June final'!$I$39</definedName>
    <definedName name="Per_Student" localSheetId="24">'2941'!$I$39</definedName>
    <definedName name="Per_Student" localSheetId="25">'2941 June final'!$I$39</definedName>
    <definedName name="Per_Student" localSheetId="26">'3083'!$I$39</definedName>
    <definedName name="Per_Student" localSheetId="27">'3344'!$I$39</definedName>
    <definedName name="Per_Student" localSheetId="28">'3345'!$I$39</definedName>
    <definedName name="Per_Student" localSheetId="29">'3347'!$I$39</definedName>
    <definedName name="Per_Student" localSheetId="30">'3381'!$I$39</definedName>
    <definedName name="Per_Student" localSheetId="31">'3381 June Final'!$I$39</definedName>
    <definedName name="Per_Student" localSheetId="32">'3382'!$I$39</definedName>
    <definedName name="Per_Student" localSheetId="33">'3382 June Final'!$I$39</definedName>
    <definedName name="Per_Student" localSheetId="34">'3384'!$I$39</definedName>
    <definedName name="Per_Student" localSheetId="35">'3384 June Final'!$I$39</definedName>
    <definedName name="Per_Student" localSheetId="36">'3385'!$I$39</definedName>
    <definedName name="Per_Student" localSheetId="37">'3385 June Final'!$I$39</definedName>
    <definedName name="Per_Student" localSheetId="38">'3386'!$I$39</definedName>
    <definedName name="Per_Student" localSheetId="39">'3391'!$I$39</definedName>
    <definedName name="Per_Student" localSheetId="40">'3392'!$I$39</definedName>
    <definedName name="Per_Student" localSheetId="41">'3392 June Final'!$I$39</definedName>
    <definedName name="Per_Student" localSheetId="42">'3394'!$I$39</definedName>
    <definedName name="Per_Student" localSheetId="43">'3394 June Final'!$I$39</definedName>
    <definedName name="Per_Student" localSheetId="44">'3395'!$I$39</definedName>
    <definedName name="Per_Student" localSheetId="45">'3395 June Final'!$I$39</definedName>
    <definedName name="Per_Student" localSheetId="46">'3396'!$I$39</definedName>
    <definedName name="Per_Student" localSheetId="47">'3398'!$I$39</definedName>
    <definedName name="Per_Student" localSheetId="48">'3400'!$I$39</definedName>
    <definedName name="Per_Student" localSheetId="49">'3401'!$I$39</definedName>
    <definedName name="Per_Student" localSheetId="50">'3411'!$I$39</definedName>
    <definedName name="Per_Student" localSheetId="51">'3413'!$I$39</definedName>
    <definedName name="Per_Student" localSheetId="52">'3413 June Final'!$I$39</definedName>
    <definedName name="Per_Student" localSheetId="53">'3421'!$I$39</definedName>
    <definedName name="Per_Student" localSheetId="54">'3431'!$I$39</definedName>
    <definedName name="Per_Student" localSheetId="55">'3431 June Final'!$I$39</definedName>
    <definedName name="Per_Student" localSheetId="56">'3441'!$I$39</definedName>
    <definedName name="Per_Student" localSheetId="57">'3443'!$I$39</definedName>
    <definedName name="Per_Student" localSheetId="58">'3941'!$I$39</definedName>
    <definedName name="Per_Student" localSheetId="59">'3941 June Final'!$I$39</definedName>
    <definedName name="Per_Student" localSheetId="60">'3961'!$I$39</definedName>
    <definedName name="Per_Student" localSheetId="61">'3961 June Final'!$I$39</definedName>
    <definedName name="Per_Student" localSheetId="62">'3971'!$I$39</definedName>
    <definedName name="Per_Student" localSheetId="63">'4000'!$I$39</definedName>
    <definedName name="Per_Student" localSheetId="64">'4000 June Final'!$I$39</definedName>
    <definedName name="Per_Student" localSheetId="65">'4002'!$I$39</definedName>
    <definedName name="Per_Student" localSheetId="66">'4002 June Final'!$I$39</definedName>
    <definedName name="Per_Student" localSheetId="67">'4010'!$I$39</definedName>
    <definedName name="Per_Student" localSheetId="68">'4012'!$I$39</definedName>
    <definedName name="Per_Student" localSheetId="69">'4013'!$I$39</definedName>
    <definedName name="Per_Student" localSheetId="70">'4020'!$I$39</definedName>
    <definedName name="Per_Student" localSheetId="72">'4020 June Final'!$I$39</definedName>
    <definedName name="Per_Student" localSheetId="71">'4020 June Tch Alloc.'!$I$39</definedName>
    <definedName name="Per_Student" localSheetId="73">'4037'!$I$39</definedName>
    <definedName name="Per_Student" localSheetId="74">'4037 June Final'!$I$39</definedName>
    <definedName name="Per_Student" localSheetId="75">#REF!</definedName>
    <definedName name="Per_Student" localSheetId="76">'4041'!$I$39</definedName>
    <definedName name="Per_Student" localSheetId="1">#REF!</definedName>
    <definedName name="Per_Student" localSheetId="0">#REF!</definedName>
    <definedName name="Per_Student">#REF!</definedName>
    <definedName name="PK___3" localSheetId="3">'0054'!$B$47</definedName>
    <definedName name="PK___3" localSheetId="4">'0054 June Final'!$B$47</definedName>
    <definedName name="PK___3" localSheetId="5">'0642'!$B$47</definedName>
    <definedName name="PK___3" localSheetId="6">'0642 June Final'!$B$47</definedName>
    <definedName name="PK___3" localSheetId="7">'0664'!$B$47</definedName>
    <definedName name="PK___3" localSheetId="8">'0664 June Final'!$B$47</definedName>
    <definedName name="PK___3" localSheetId="9">'1461'!$B$47</definedName>
    <definedName name="PK___3" localSheetId="10">'1571'!$B$47</definedName>
    <definedName name="PK___3" localSheetId="11">'2521'!$B$47</definedName>
    <definedName name="PK___3" localSheetId="12">'2531'!$B$47</definedName>
    <definedName name="PK___3" localSheetId="13">'2531 June final'!$B$47</definedName>
    <definedName name="PK___3" localSheetId="14">'2641'!$B$47</definedName>
    <definedName name="PK___3" localSheetId="15">'2641 June Final'!$B$47</definedName>
    <definedName name="PK___3" localSheetId="16">'2661'!$B$47</definedName>
    <definedName name="PK___3" localSheetId="17">'2661 June Final'!$B$47</definedName>
    <definedName name="PK___3" localSheetId="18">'2791'!$B$47</definedName>
    <definedName name="PK___3" localSheetId="19">'2791 June final'!$B$47</definedName>
    <definedName name="PK___3" localSheetId="20">'2801'!$B$47</definedName>
    <definedName name="PK___3" localSheetId="21">'2801 June Final'!$B$47</definedName>
    <definedName name="PK___3" localSheetId="22">'2911'!$B$47</definedName>
    <definedName name="PK___3" localSheetId="23">'2911 June final'!$B$47</definedName>
    <definedName name="PK___3" localSheetId="24">'2941'!$B$47</definedName>
    <definedName name="PK___3" localSheetId="25">'2941 June final'!$B$47</definedName>
    <definedName name="PK___3" localSheetId="26">'3083'!$B$47</definedName>
    <definedName name="PK___3" localSheetId="27">'3344'!$B$47</definedName>
    <definedName name="PK___3" localSheetId="28">'3345'!$B$47</definedName>
    <definedName name="PK___3" localSheetId="29">'3347'!$B$47</definedName>
    <definedName name="PK___3" localSheetId="30">'3381'!$B$47</definedName>
    <definedName name="PK___3" localSheetId="31">'3381 June Final'!$B$47</definedName>
    <definedName name="PK___3" localSheetId="32">'3382'!$B$47</definedName>
    <definedName name="PK___3" localSheetId="33">'3382 June Final'!$B$47</definedName>
    <definedName name="PK___3" localSheetId="34">'3384'!$B$47</definedName>
    <definedName name="PK___3" localSheetId="35">'3384 June Final'!$B$47</definedName>
    <definedName name="PK___3" localSheetId="36">'3385'!$B$47</definedName>
    <definedName name="PK___3" localSheetId="37">'3385 June Final'!$B$47</definedName>
    <definedName name="PK___3" localSheetId="38">'3386'!$B$47</definedName>
    <definedName name="PK___3" localSheetId="39">'3391'!$B$47</definedName>
    <definedName name="PK___3" localSheetId="40">'3392'!$B$47</definedName>
    <definedName name="PK___3" localSheetId="41">'3392 June Final'!$B$47</definedName>
    <definedName name="PK___3" localSheetId="42">'3394'!$B$47</definedName>
    <definedName name="PK___3" localSheetId="43">'3394 June Final'!$B$47</definedName>
    <definedName name="PK___3" localSheetId="44">'3395'!$B$47</definedName>
    <definedName name="PK___3" localSheetId="45">'3395 June Final'!$B$47</definedName>
    <definedName name="PK___3" localSheetId="46">'3396'!$B$47</definedName>
    <definedName name="PK___3" localSheetId="47">'3398'!$B$47</definedName>
    <definedName name="PK___3" localSheetId="48">'3400'!$B$47</definedName>
    <definedName name="PK___3" localSheetId="49">'3401'!$B$47</definedName>
    <definedName name="PK___3" localSheetId="50">'3411'!$B$47</definedName>
    <definedName name="PK___3" localSheetId="51">'3413'!$B$47</definedName>
    <definedName name="PK___3" localSheetId="52">'3413 June Final'!$B$47</definedName>
    <definedName name="PK___3" localSheetId="53">'3421'!$B$47</definedName>
    <definedName name="PK___3" localSheetId="54">'3431'!$B$47</definedName>
    <definedName name="PK___3" localSheetId="55">'3431 June Final'!$B$47</definedName>
    <definedName name="PK___3" localSheetId="56">'3441'!$B$47</definedName>
    <definedName name="PK___3" localSheetId="57">'3443'!$B$47</definedName>
    <definedName name="PK___3" localSheetId="58">'3941'!$B$47</definedName>
    <definedName name="PK___3" localSheetId="59">'3941 June Final'!$B$47</definedName>
    <definedName name="PK___3" localSheetId="60">'3961'!$B$47</definedName>
    <definedName name="PK___3" localSheetId="61">'3961 June Final'!$B$47</definedName>
    <definedName name="PK___3" localSheetId="62">'3971'!$B$47</definedName>
    <definedName name="PK___3" localSheetId="63">'4000'!$B$47</definedName>
    <definedName name="PK___3" localSheetId="64">'4000 June Final'!$B$47</definedName>
    <definedName name="PK___3" localSheetId="65">'4002'!$B$47</definedName>
    <definedName name="PK___3" localSheetId="66">'4002 June Final'!$B$47</definedName>
    <definedName name="PK___3" localSheetId="67">'4010'!$B$47</definedName>
    <definedName name="PK___3" localSheetId="68">'4012'!$B$47</definedName>
    <definedName name="PK___3" localSheetId="69">'4013'!$B$47</definedName>
    <definedName name="PK___3" localSheetId="70">'4020'!$B$47</definedName>
    <definedName name="PK___3" localSheetId="72">'4020 June Final'!$B$47</definedName>
    <definedName name="PK___3" localSheetId="71">'4020 June Tch Alloc.'!$B$47</definedName>
    <definedName name="PK___3" localSheetId="73">'4037'!$B$47</definedName>
    <definedName name="PK___3" localSheetId="74">'4037 June Final'!$B$47</definedName>
    <definedName name="PK___3" localSheetId="75">#REF!</definedName>
    <definedName name="PK___3" localSheetId="76">'4041'!$B$47</definedName>
    <definedName name="PK___3" localSheetId="1">#REF!</definedName>
    <definedName name="PK___3" localSheetId="0">#REF!</definedName>
    <definedName name="PK___3">#REF!</definedName>
    <definedName name="PRACTICE" localSheetId="3" hidden="1">{#N/A,#N/A,FALSE,"Summation";#N/A,#N/A,FALSE,"BSA";#N/A,#N/A,FALSE,"Detail1";#N/A,#N/A,FALSE,"Detail2";#N/A,#N/A,FALSE,"Detail3";#N/A,#N/A,FALSE,"WFTE_Summary";#N/A,#N/A,FALSE,"Funded_WFTE";#N/A,#N/A,FALSE,"PYADJ96"}</definedName>
    <definedName name="PRACTICE" localSheetId="4" hidden="1">{#N/A,#N/A,FALSE,"Summation";#N/A,#N/A,FALSE,"BSA";#N/A,#N/A,FALSE,"Detail1";#N/A,#N/A,FALSE,"Detail2";#N/A,#N/A,FALSE,"Detail3";#N/A,#N/A,FALSE,"WFTE_Summary";#N/A,#N/A,FALSE,"Funded_WFTE";#N/A,#N/A,FALSE,"PYADJ96"}</definedName>
    <definedName name="PRACTICE" localSheetId="5" hidden="1">{#N/A,#N/A,FALSE,"Summation";#N/A,#N/A,FALSE,"BSA";#N/A,#N/A,FALSE,"Detail1";#N/A,#N/A,FALSE,"Detail2";#N/A,#N/A,FALSE,"Detail3";#N/A,#N/A,FALSE,"WFTE_Summary";#N/A,#N/A,FALSE,"Funded_WFTE";#N/A,#N/A,FALSE,"PYADJ96"}</definedName>
    <definedName name="PRACTICE" localSheetId="6" hidden="1">{#N/A,#N/A,FALSE,"Summation";#N/A,#N/A,FALSE,"BSA";#N/A,#N/A,FALSE,"Detail1";#N/A,#N/A,FALSE,"Detail2";#N/A,#N/A,FALSE,"Detail3";#N/A,#N/A,FALSE,"WFTE_Summary";#N/A,#N/A,FALSE,"Funded_WFTE";#N/A,#N/A,FALSE,"PYADJ96"}</definedName>
    <definedName name="PRACTICE" localSheetId="7" hidden="1">{#N/A,#N/A,FALSE,"Summation";#N/A,#N/A,FALSE,"BSA";#N/A,#N/A,FALSE,"Detail1";#N/A,#N/A,FALSE,"Detail2";#N/A,#N/A,FALSE,"Detail3";#N/A,#N/A,FALSE,"WFTE_Summary";#N/A,#N/A,FALSE,"Funded_WFTE";#N/A,#N/A,FALSE,"PYADJ96"}</definedName>
    <definedName name="PRACTICE" localSheetId="8" hidden="1">{#N/A,#N/A,FALSE,"Summation";#N/A,#N/A,FALSE,"BSA";#N/A,#N/A,FALSE,"Detail1";#N/A,#N/A,FALSE,"Detail2";#N/A,#N/A,FALSE,"Detail3";#N/A,#N/A,FALSE,"WFTE_Summary";#N/A,#N/A,FALSE,"Funded_WFTE";#N/A,#N/A,FALSE,"PYADJ96"}</definedName>
    <definedName name="PRACTICE" localSheetId="9" hidden="1">{#N/A,#N/A,FALSE,"Summation";#N/A,#N/A,FALSE,"BSA";#N/A,#N/A,FALSE,"Detail1";#N/A,#N/A,FALSE,"Detail2";#N/A,#N/A,FALSE,"Detail3";#N/A,#N/A,FALSE,"WFTE_Summary";#N/A,#N/A,FALSE,"Funded_WFTE";#N/A,#N/A,FALSE,"PYADJ96"}</definedName>
    <definedName name="PRACTICE" localSheetId="10" hidden="1">{#N/A,#N/A,FALSE,"Summation";#N/A,#N/A,FALSE,"BSA";#N/A,#N/A,FALSE,"Detail1";#N/A,#N/A,FALSE,"Detail2";#N/A,#N/A,FALSE,"Detail3";#N/A,#N/A,FALSE,"WFTE_Summary";#N/A,#N/A,FALSE,"Funded_WFTE";#N/A,#N/A,FALSE,"PYADJ96"}</definedName>
    <definedName name="PRACTICE" localSheetId="11" hidden="1">{#N/A,#N/A,FALSE,"Summation";#N/A,#N/A,FALSE,"BSA";#N/A,#N/A,FALSE,"Detail1";#N/A,#N/A,FALSE,"Detail2";#N/A,#N/A,FALSE,"Detail3";#N/A,#N/A,FALSE,"WFTE_Summary";#N/A,#N/A,FALSE,"Funded_WFTE";#N/A,#N/A,FALSE,"PYADJ96"}</definedName>
    <definedName name="PRACTICE" localSheetId="12" hidden="1">{#N/A,#N/A,FALSE,"Summation";#N/A,#N/A,FALSE,"BSA";#N/A,#N/A,FALSE,"Detail1";#N/A,#N/A,FALSE,"Detail2";#N/A,#N/A,FALSE,"Detail3";#N/A,#N/A,FALSE,"WFTE_Summary";#N/A,#N/A,FALSE,"Funded_WFTE";#N/A,#N/A,FALSE,"PYADJ96"}</definedName>
    <definedName name="PRACTICE" localSheetId="13" hidden="1">{#N/A,#N/A,FALSE,"Summation";#N/A,#N/A,FALSE,"BSA";#N/A,#N/A,FALSE,"Detail1";#N/A,#N/A,FALSE,"Detail2";#N/A,#N/A,FALSE,"Detail3";#N/A,#N/A,FALSE,"WFTE_Summary";#N/A,#N/A,FALSE,"Funded_WFTE";#N/A,#N/A,FALSE,"PYADJ96"}</definedName>
    <definedName name="PRACTICE" localSheetId="14" hidden="1">{#N/A,#N/A,FALSE,"Summation";#N/A,#N/A,FALSE,"BSA";#N/A,#N/A,FALSE,"Detail1";#N/A,#N/A,FALSE,"Detail2";#N/A,#N/A,FALSE,"Detail3";#N/A,#N/A,FALSE,"WFTE_Summary";#N/A,#N/A,FALSE,"Funded_WFTE";#N/A,#N/A,FALSE,"PYADJ96"}</definedName>
    <definedName name="PRACTICE" localSheetId="15" hidden="1">{#N/A,#N/A,FALSE,"Summation";#N/A,#N/A,FALSE,"BSA";#N/A,#N/A,FALSE,"Detail1";#N/A,#N/A,FALSE,"Detail2";#N/A,#N/A,FALSE,"Detail3";#N/A,#N/A,FALSE,"WFTE_Summary";#N/A,#N/A,FALSE,"Funded_WFTE";#N/A,#N/A,FALSE,"PYADJ96"}</definedName>
    <definedName name="PRACTICE" localSheetId="16" hidden="1">{#N/A,#N/A,FALSE,"Summation";#N/A,#N/A,FALSE,"BSA";#N/A,#N/A,FALSE,"Detail1";#N/A,#N/A,FALSE,"Detail2";#N/A,#N/A,FALSE,"Detail3";#N/A,#N/A,FALSE,"WFTE_Summary";#N/A,#N/A,FALSE,"Funded_WFTE";#N/A,#N/A,FALSE,"PYADJ96"}</definedName>
    <definedName name="PRACTICE" localSheetId="17" hidden="1">{#N/A,#N/A,FALSE,"Summation";#N/A,#N/A,FALSE,"BSA";#N/A,#N/A,FALSE,"Detail1";#N/A,#N/A,FALSE,"Detail2";#N/A,#N/A,FALSE,"Detail3";#N/A,#N/A,FALSE,"WFTE_Summary";#N/A,#N/A,FALSE,"Funded_WFTE";#N/A,#N/A,FALSE,"PYADJ96"}</definedName>
    <definedName name="PRACTICE" localSheetId="18" hidden="1">{#N/A,#N/A,FALSE,"Summation";#N/A,#N/A,FALSE,"BSA";#N/A,#N/A,FALSE,"Detail1";#N/A,#N/A,FALSE,"Detail2";#N/A,#N/A,FALSE,"Detail3";#N/A,#N/A,FALSE,"WFTE_Summary";#N/A,#N/A,FALSE,"Funded_WFTE";#N/A,#N/A,FALSE,"PYADJ96"}</definedName>
    <definedName name="PRACTICE" localSheetId="19" hidden="1">{#N/A,#N/A,FALSE,"Summation";#N/A,#N/A,FALSE,"BSA";#N/A,#N/A,FALSE,"Detail1";#N/A,#N/A,FALSE,"Detail2";#N/A,#N/A,FALSE,"Detail3";#N/A,#N/A,FALSE,"WFTE_Summary";#N/A,#N/A,FALSE,"Funded_WFTE";#N/A,#N/A,FALSE,"PYADJ96"}</definedName>
    <definedName name="PRACTICE" localSheetId="20" hidden="1">{#N/A,#N/A,FALSE,"Summation";#N/A,#N/A,FALSE,"BSA";#N/A,#N/A,FALSE,"Detail1";#N/A,#N/A,FALSE,"Detail2";#N/A,#N/A,FALSE,"Detail3";#N/A,#N/A,FALSE,"WFTE_Summary";#N/A,#N/A,FALSE,"Funded_WFTE";#N/A,#N/A,FALSE,"PYADJ96"}</definedName>
    <definedName name="PRACTICE" localSheetId="21" hidden="1">{#N/A,#N/A,FALSE,"Summation";#N/A,#N/A,FALSE,"BSA";#N/A,#N/A,FALSE,"Detail1";#N/A,#N/A,FALSE,"Detail2";#N/A,#N/A,FALSE,"Detail3";#N/A,#N/A,FALSE,"WFTE_Summary";#N/A,#N/A,FALSE,"Funded_WFTE";#N/A,#N/A,FALSE,"PYADJ96"}</definedName>
    <definedName name="PRACTICE" localSheetId="22" hidden="1">{#N/A,#N/A,FALSE,"Summation";#N/A,#N/A,FALSE,"BSA";#N/A,#N/A,FALSE,"Detail1";#N/A,#N/A,FALSE,"Detail2";#N/A,#N/A,FALSE,"Detail3";#N/A,#N/A,FALSE,"WFTE_Summary";#N/A,#N/A,FALSE,"Funded_WFTE";#N/A,#N/A,FALSE,"PYADJ96"}</definedName>
    <definedName name="PRACTICE" localSheetId="23" hidden="1">{#N/A,#N/A,FALSE,"Summation";#N/A,#N/A,FALSE,"BSA";#N/A,#N/A,FALSE,"Detail1";#N/A,#N/A,FALSE,"Detail2";#N/A,#N/A,FALSE,"Detail3";#N/A,#N/A,FALSE,"WFTE_Summary";#N/A,#N/A,FALSE,"Funded_WFTE";#N/A,#N/A,FALSE,"PYADJ96"}</definedName>
    <definedName name="PRACTICE" localSheetId="24" hidden="1">{#N/A,#N/A,FALSE,"Summation";#N/A,#N/A,FALSE,"BSA";#N/A,#N/A,FALSE,"Detail1";#N/A,#N/A,FALSE,"Detail2";#N/A,#N/A,FALSE,"Detail3";#N/A,#N/A,FALSE,"WFTE_Summary";#N/A,#N/A,FALSE,"Funded_WFTE";#N/A,#N/A,FALSE,"PYADJ96"}</definedName>
    <definedName name="PRACTICE" localSheetId="25" hidden="1">{#N/A,#N/A,FALSE,"Summation";#N/A,#N/A,FALSE,"BSA";#N/A,#N/A,FALSE,"Detail1";#N/A,#N/A,FALSE,"Detail2";#N/A,#N/A,FALSE,"Detail3";#N/A,#N/A,FALSE,"WFTE_Summary";#N/A,#N/A,FALSE,"Funded_WFTE";#N/A,#N/A,FALSE,"PYADJ96"}</definedName>
    <definedName name="PRACTICE" localSheetId="26" hidden="1">{#N/A,#N/A,FALSE,"Summation";#N/A,#N/A,FALSE,"BSA";#N/A,#N/A,FALSE,"Detail1";#N/A,#N/A,FALSE,"Detail2";#N/A,#N/A,FALSE,"Detail3";#N/A,#N/A,FALSE,"WFTE_Summary";#N/A,#N/A,FALSE,"Funded_WFTE";#N/A,#N/A,FALSE,"PYADJ96"}</definedName>
    <definedName name="PRACTICE" localSheetId="27" hidden="1">{#N/A,#N/A,FALSE,"Summation";#N/A,#N/A,FALSE,"BSA";#N/A,#N/A,FALSE,"Detail1";#N/A,#N/A,FALSE,"Detail2";#N/A,#N/A,FALSE,"Detail3";#N/A,#N/A,FALSE,"WFTE_Summary";#N/A,#N/A,FALSE,"Funded_WFTE";#N/A,#N/A,FALSE,"PYADJ96"}</definedName>
    <definedName name="PRACTICE" localSheetId="28" hidden="1">{#N/A,#N/A,FALSE,"Summation";#N/A,#N/A,FALSE,"BSA";#N/A,#N/A,FALSE,"Detail1";#N/A,#N/A,FALSE,"Detail2";#N/A,#N/A,FALSE,"Detail3";#N/A,#N/A,FALSE,"WFTE_Summary";#N/A,#N/A,FALSE,"Funded_WFTE";#N/A,#N/A,FALSE,"PYADJ96"}</definedName>
    <definedName name="PRACTICE" localSheetId="29" hidden="1">{#N/A,#N/A,FALSE,"Summation";#N/A,#N/A,FALSE,"BSA";#N/A,#N/A,FALSE,"Detail1";#N/A,#N/A,FALSE,"Detail2";#N/A,#N/A,FALSE,"Detail3";#N/A,#N/A,FALSE,"WFTE_Summary";#N/A,#N/A,FALSE,"Funded_WFTE";#N/A,#N/A,FALSE,"PYADJ96"}</definedName>
    <definedName name="PRACTICE" localSheetId="30" hidden="1">{#N/A,#N/A,FALSE,"Summation";#N/A,#N/A,FALSE,"BSA";#N/A,#N/A,FALSE,"Detail1";#N/A,#N/A,FALSE,"Detail2";#N/A,#N/A,FALSE,"Detail3";#N/A,#N/A,FALSE,"WFTE_Summary";#N/A,#N/A,FALSE,"Funded_WFTE";#N/A,#N/A,FALSE,"PYADJ96"}</definedName>
    <definedName name="PRACTICE" localSheetId="31" hidden="1">{#N/A,#N/A,FALSE,"Summation";#N/A,#N/A,FALSE,"BSA";#N/A,#N/A,FALSE,"Detail1";#N/A,#N/A,FALSE,"Detail2";#N/A,#N/A,FALSE,"Detail3";#N/A,#N/A,FALSE,"WFTE_Summary";#N/A,#N/A,FALSE,"Funded_WFTE";#N/A,#N/A,FALSE,"PYADJ96"}</definedName>
    <definedName name="PRACTICE" localSheetId="32" hidden="1">{#N/A,#N/A,FALSE,"Summation";#N/A,#N/A,FALSE,"BSA";#N/A,#N/A,FALSE,"Detail1";#N/A,#N/A,FALSE,"Detail2";#N/A,#N/A,FALSE,"Detail3";#N/A,#N/A,FALSE,"WFTE_Summary";#N/A,#N/A,FALSE,"Funded_WFTE";#N/A,#N/A,FALSE,"PYADJ96"}</definedName>
    <definedName name="PRACTICE" localSheetId="33" hidden="1">{#N/A,#N/A,FALSE,"Summation";#N/A,#N/A,FALSE,"BSA";#N/A,#N/A,FALSE,"Detail1";#N/A,#N/A,FALSE,"Detail2";#N/A,#N/A,FALSE,"Detail3";#N/A,#N/A,FALSE,"WFTE_Summary";#N/A,#N/A,FALSE,"Funded_WFTE";#N/A,#N/A,FALSE,"PYADJ96"}</definedName>
    <definedName name="PRACTICE" localSheetId="34" hidden="1">{#N/A,#N/A,FALSE,"Summation";#N/A,#N/A,FALSE,"BSA";#N/A,#N/A,FALSE,"Detail1";#N/A,#N/A,FALSE,"Detail2";#N/A,#N/A,FALSE,"Detail3";#N/A,#N/A,FALSE,"WFTE_Summary";#N/A,#N/A,FALSE,"Funded_WFTE";#N/A,#N/A,FALSE,"PYADJ96"}</definedName>
    <definedName name="PRACTICE" localSheetId="35" hidden="1">{#N/A,#N/A,FALSE,"Summation";#N/A,#N/A,FALSE,"BSA";#N/A,#N/A,FALSE,"Detail1";#N/A,#N/A,FALSE,"Detail2";#N/A,#N/A,FALSE,"Detail3";#N/A,#N/A,FALSE,"WFTE_Summary";#N/A,#N/A,FALSE,"Funded_WFTE";#N/A,#N/A,FALSE,"PYADJ96"}</definedName>
    <definedName name="PRACTICE" localSheetId="36" hidden="1">{#N/A,#N/A,FALSE,"Summation";#N/A,#N/A,FALSE,"BSA";#N/A,#N/A,FALSE,"Detail1";#N/A,#N/A,FALSE,"Detail2";#N/A,#N/A,FALSE,"Detail3";#N/A,#N/A,FALSE,"WFTE_Summary";#N/A,#N/A,FALSE,"Funded_WFTE";#N/A,#N/A,FALSE,"PYADJ96"}</definedName>
    <definedName name="PRACTICE" localSheetId="37" hidden="1">{#N/A,#N/A,FALSE,"Summation";#N/A,#N/A,FALSE,"BSA";#N/A,#N/A,FALSE,"Detail1";#N/A,#N/A,FALSE,"Detail2";#N/A,#N/A,FALSE,"Detail3";#N/A,#N/A,FALSE,"WFTE_Summary";#N/A,#N/A,FALSE,"Funded_WFTE";#N/A,#N/A,FALSE,"PYADJ96"}</definedName>
    <definedName name="PRACTICE" localSheetId="38" hidden="1">{#N/A,#N/A,FALSE,"Summation";#N/A,#N/A,FALSE,"BSA";#N/A,#N/A,FALSE,"Detail1";#N/A,#N/A,FALSE,"Detail2";#N/A,#N/A,FALSE,"Detail3";#N/A,#N/A,FALSE,"WFTE_Summary";#N/A,#N/A,FALSE,"Funded_WFTE";#N/A,#N/A,FALSE,"PYADJ96"}</definedName>
    <definedName name="PRACTICE" localSheetId="39" hidden="1">{#N/A,#N/A,FALSE,"Summation";#N/A,#N/A,FALSE,"BSA";#N/A,#N/A,FALSE,"Detail1";#N/A,#N/A,FALSE,"Detail2";#N/A,#N/A,FALSE,"Detail3";#N/A,#N/A,FALSE,"WFTE_Summary";#N/A,#N/A,FALSE,"Funded_WFTE";#N/A,#N/A,FALSE,"PYADJ96"}</definedName>
    <definedName name="PRACTICE" localSheetId="40" hidden="1">{#N/A,#N/A,FALSE,"Summation";#N/A,#N/A,FALSE,"BSA";#N/A,#N/A,FALSE,"Detail1";#N/A,#N/A,FALSE,"Detail2";#N/A,#N/A,FALSE,"Detail3";#N/A,#N/A,FALSE,"WFTE_Summary";#N/A,#N/A,FALSE,"Funded_WFTE";#N/A,#N/A,FALSE,"PYADJ96"}</definedName>
    <definedName name="PRACTICE" localSheetId="41" hidden="1">{#N/A,#N/A,FALSE,"Summation";#N/A,#N/A,FALSE,"BSA";#N/A,#N/A,FALSE,"Detail1";#N/A,#N/A,FALSE,"Detail2";#N/A,#N/A,FALSE,"Detail3";#N/A,#N/A,FALSE,"WFTE_Summary";#N/A,#N/A,FALSE,"Funded_WFTE";#N/A,#N/A,FALSE,"PYADJ96"}</definedName>
    <definedName name="PRACTICE" localSheetId="42" hidden="1">{#N/A,#N/A,FALSE,"Summation";#N/A,#N/A,FALSE,"BSA";#N/A,#N/A,FALSE,"Detail1";#N/A,#N/A,FALSE,"Detail2";#N/A,#N/A,FALSE,"Detail3";#N/A,#N/A,FALSE,"WFTE_Summary";#N/A,#N/A,FALSE,"Funded_WFTE";#N/A,#N/A,FALSE,"PYADJ96"}</definedName>
    <definedName name="PRACTICE" localSheetId="43" hidden="1">{#N/A,#N/A,FALSE,"Summation";#N/A,#N/A,FALSE,"BSA";#N/A,#N/A,FALSE,"Detail1";#N/A,#N/A,FALSE,"Detail2";#N/A,#N/A,FALSE,"Detail3";#N/A,#N/A,FALSE,"WFTE_Summary";#N/A,#N/A,FALSE,"Funded_WFTE";#N/A,#N/A,FALSE,"PYADJ96"}</definedName>
    <definedName name="PRACTICE" localSheetId="44" hidden="1">{#N/A,#N/A,FALSE,"Summation";#N/A,#N/A,FALSE,"BSA";#N/A,#N/A,FALSE,"Detail1";#N/A,#N/A,FALSE,"Detail2";#N/A,#N/A,FALSE,"Detail3";#N/A,#N/A,FALSE,"WFTE_Summary";#N/A,#N/A,FALSE,"Funded_WFTE";#N/A,#N/A,FALSE,"PYADJ96"}</definedName>
    <definedName name="PRACTICE" localSheetId="45" hidden="1">{#N/A,#N/A,FALSE,"Summation";#N/A,#N/A,FALSE,"BSA";#N/A,#N/A,FALSE,"Detail1";#N/A,#N/A,FALSE,"Detail2";#N/A,#N/A,FALSE,"Detail3";#N/A,#N/A,FALSE,"WFTE_Summary";#N/A,#N/A,FALSE,"Funded_WFTE";#N/A,#N/A,FALSE,"PYADJ96"}</definedName>
    <definedName name="PRACTICE" localSheetId="46" hidden="1">{#N/A,#N/A,FALSE,"Summation";#N/A,#N/A,FALSE,"BSA";#N/A,#N/A,FALSE,"Detail1";#N/A,#N/A,FALSE,"Detail2";#N/A,#N/A,FALSE,"Detail3";#N/A,#N/A,FALSE,"WFTE_Summary";#N/A,#N/A,FALSE,"Funded_WFTE";#N/A,#N/A,FALSE,"PYADJ96"}</definedName>
    <definedName name="PRACTICE" localSheetId="47" hidden="1">{#N/A,#N/A,FALSE,"Summation";#N/A,#N/A,FALSE,"BSA";#N/A,#N/A,FALSE,"Detail1";#N/A,#N/A,FALSE,"Detail2";#N/A,#N/A,FALSE,"Detail3";#N/A,#N/A,FALSE,"WFTE_Summary";#N/A,#N/A,FALSE,"Funded_WFTE";#N/A,#N/A,FALSE,"PYADJ96"}</definedName>
    <definedName name="PRACTICE" localSheetId="48" hidden="1">{#N/A,#N/A,FALSE,"Summation";#N/A,#N/A,FALSE,"BSA";#N/A,#N/A,FALSE,"Detail1";#N/A,#N/A,FALSE,"Detail2";#N/A,#N/A,FALSE,"Detail3";#N/A,#N/A,FALSE,"WFTE_Summary";#N/A,#N/A,FALSE,"Funded_WFTE";#N/A,#N/A,FALSE,"PYADJ96"}</definedName>
    <definedName name="PRACTICE" localSheetId="49" hidden="1">{#N/A,#N/A,FALSE,"Summation";#N/A,#N/A,FALSE,"BSA";#N/A,#N/A,FALSE,"Detail1";#N/A,#N/A,FALSE,"Detail2";#N/A,#N/A,FALSE,"Detail3";#N/A,#N/A,FALSE,"WFTE_Summary";#N/A,#N/A,FALSE,"Funded_WFTE";#N/A,#N/A,FALSE,"PYADJ96"}</definedName>
    <definedName name="PRACTICE" localSheetId="50" hidden="1">{#N/A,#N/A,FALSE,"Summation";#N/A,#N/A,FALSE,"BSA";#N/A,#N/A,FALSE,"Detail1";#N/A,#N/A,FALSE,"Detail2";#N/A,#N/A,FALSE,"Detail3";#N/A,#N/A,FALSE,"WFTE_Summary";#N/A,#N/A,FALSE,"Funded_WFTE";#N/A,#N/A,FALSE,"PYADJ96"}</definedName>
    <definedName name="PRACTICE" localSheetId="51" hidden="1">{#N/A,#N/A,FALSE,"Summation";#N/A,#N/A,FALSE,"BSA";#N/A,#N/A,FALSE,"Detail1";#N/A,#N/A,FALSE,"Detail2";#N/A,#N/A,FALSE,"Detail3";#N/A,#N/A,FALSE,"WFTE_Summary";#N/A,#N/A,FALSE,"Funded_WFTE";#N/A,#N/A,FALSE,"PYADJ96"}</definedName>
    <definedName name="PRACTICE" localSheetId="52" hidden="1">{#N/A,#N/A,FALSE,"Summation";#N/A,#N/A,FALSE,"BSA";#N/A,#N/A,FALSE,"Detail1";#N/A,#N/A,FALSE,"Detail2";#N/A,#N/A,FALSE,"Detail3";#N/A,#N/A,FALSE,"WFTE_Summary";#N/A,#N/A,FALSE,"Funded_WFTE";#N/A,#N/A,FALSE,"PYADJ96"}</definedName>
    <definedName name="PRACTICE" localSheetId="53" hidden="1">{#N/A,#N/A,FALSE,"Summation";#N/A,#N/A,FALSE,"BSA";#N/A,#N/A,FALSE,"Detail1";#N/A,#N/A,FALSE,"Detail2";#N/A,#N/A,FALSE,"Detail3";#N/A,#N/A,FALSE,"WFTE_Summary";#N/A,#N/A,FALSE,"Funded_WFTE";#N/A,#N/A,FALSE,"PYADJ96"}</definedName>
    <definedName name="PRACTICE" localSheetId="54" hidden="1">{#N/A,#N/A,FALSE,"Summation";#N/A,#N/A,FALSE,"BSA";#N/A,#N/A,FALSE,"Detail1";#N/A,#N/A,FALSE,"Detail2";#N/A,#N/A,FALSE,"Detail3";#N/A,#N/A,FALSE,"WFTE_Summary";#N/A,#N/A,FALSE,"Funded_WFTE";#N/A,#N/A,FALSE,"PYADJ96"}</definedName>
    <definedName name="PRACTICE" localSheetId="55" hidden="1">{#N/A,#N/A,FALSE,"Summation";#N/A,#N/A,FALSE,"BSA";#N/A,#N/A,FALSE,"Detail1";#N/A,#N/A,FALSE,"Detail2";#N/A,#N/A,FALSE,"Detail3";#N/A,#N/A,FALSE,"WFTE_Summary";#N/A,#N/A,FALSE,"Funded_WFTE";#N/A,#N/A,FALSE,"PYADJ96"}</definedName>
    <definedName name="PRACTICE" localSheetId="56" hidden="1">{#N/A,#N/A,FALSE,"Summation";#N/A,#N/A,FALSE,"BSA";#N/A,#N/A,FALSE,"Detail1";#N/A,#N/A,FALSE,"Detail2";#N/A,#N/A,FALSE,"Detail3";#N/A,#N/A,FALSE,"WFTE_Summary";#N/A,#N/A,FALSE,"Funded_WFTE";#N/A,#N/A,FALSE,"PYADJ96"}</definedName>
    <definedName name="PRACTICE" localSheetId="57" hidden="1">{#N/A,#N/A,FALSE,"Summation";#N/A,#N/A,FALSE,"BSA";#N/A,#N/A,FALSE,"Detail1";#N/A,#N/A,FALSE,"Detail2";#N/A,#N/A,FALSE,"Detail3";#N/A,#N/A,FALSE,"WFTE_Summary";#N/A,#N/A,FALSE,"Funded_WFTE";#N/A,#N/A,FALSE,"PYADJ96"}</definedName>
    <definedName name="PRACTICE" localSheetId="58" hidden="1">{#N/A,#N/A,FALSE,"Summation";#N/A,#N/A,FALSE,"BSA";#N/A,#N/A,FALSE,"Detail1";#N/A,#N/A,FALSE,"Detail2";#N/A,#N/A,FALSE,"Detail3";#N/A,#N/A,FALSE,"WFTE_Summary";#N/A,#N/A,FALSE,"Funded_WFTE";#N/A,#N/A,FALSE,"PYADJ96"}</definedName>
    <definedName name="PRACTICE" localSheetId="59" hidden="1">{#N/A,#N/A,FALSE,"Summation";#N/A,#N/A,FALSE,"BSA";#N/A,#N/A,FALSE,"Detail1";#N/A,#N/A,FALSE,"Detail2";#N/A,#N/A,FALSE,"Detail3";#N/A,#N/A,FALSE,"WFTE_Summary";#N/A,#N/A,FALSE,"Funded_WFTE";#N/A,#N/A,FALSE,"PYADJ96"}</definedName>
    <definedName name="PRACTICE" localSheetId="60" hidden="1">{#N/A,#N/A,FALSE,"Summation";#N/A,#N/A,FALSE,"BSA";#N/A,#N/A,FALSE,"Detail1";#N/A,#N/A,FALSE,"Detail2";#N/A,#N/A,FALSE,"Detail3";#N/A,#N/A,FALSE,"WFTE_Summary";#N/A,#N/A,FALSE,"Funded_WFTE";#N/A,#N/A,FALSE,"PYADJ96"}</definedName>
    <definedName name="PRACTICE" localSheetId="61" hidden="1">{#N/A,#N/A,FALSE,"Summation";#N/A,#N/A,FALSE,"BSA";#N/A,#N/A,FALSE,"Detail1";#N/A,#N/A,FALSE,"Detail2";#N/A,#N/A,FALSE,"Detail3";#N/A,#N/A,FALSE,"WFTE_Summary";#N/A,#N/A,FALSE,"Funded_WFTE";#N/A,#N/A,FALSE,"PYADJ96"}</definedName>
    <definedName name="PRACTICE" localSheetId="62" hidden="1">{#N/A,#N/A,FALSE,"Summation";#N/A,#N/A,FALSE,"BSA";#N/A,#N/A,FALSE,"Detail1";#N/A,#N/A,FALSE,"Detail2";#N/A,#N/A,FALSE,"Detail3";#N/A,#N/A,FALSE,"WFTE_Summary";#N/A,#N/A,FALSE,"Funded_WFTE";#N/A,#N/A,FALSE,"PYADJ96"}</definedName>
    <definedName name="PRACTICE" localSheetId="63" hidden="1">{#N/A,#N/A,FALSE,"Summation";#N/A,#N/A,FALSE,"BSA";#N/A,#N/A,FALSE,"Detail1";#N/A,#N/A,FALSE,"Detail2";#N/A,#N/A,FALSE,"Detail3";#N/A,#N/A,FALSE,"WFTE_Summary";#N/A,#N/A,FALSE,"Funded_WFTE";#N/A,#N/A,FALSE,"PYADJ96"}</definedName>
    <definedName name="PRACTICE" localSheetId="64" hidden="1">{#N/A,#N/A,FALSE,"Summation";#N/A,#N/A,FALSE,"BSA";#N/A,#N/A,FALSE,"Detail1";#N/A,#N/A,FALSE,"Detail2";#N/A,#N/A,FALSE,"Detail3";#N/A,#N/A,FALSE,"WFTE_Summary";#N/A,#N/A,FALSE,"Funded_WFTE";#N/A,#N/A,FALSE,"PYADJ96"}</definedName>
    <definedName name="PRACTICE" localSheetId="65" hidden="1">{#N/A,#N/A,FALSE,"Summation";#N/A,#N/A,FALSE,"BSA";#N/A,#N/A,FALSE,"Detail1";#N/A,#N/A,FALSE,"Detail2";#N/A,#N/A,FALSE,"Detail3";#N/A,#N/A,FALSE,"WFTE_Summary";#N/A,#N/A,FALSE,"Funded_WFTE";#N/A,#N/A,FALSE,"PYADJ96"}</definedName>
    <definedName name="PRACTICE" localSheetId="66" hidden="1">{#N/A,#N/A,FALSE,"Summation";#N/A,#N/A,FALSE,"BSA";#N/A,#N/A,FALSE,"Detail1";#N/A,#N/A,FALSE,"Detail2";#N/A,#N/A,FALSE,"Detail3";#N/A,#N/A,FALSE,"WFTE_Summary";#N/A,#N/A,FALSE,"Funded_WFTE";#N/A,#N/A,FALSE,"PYADJ96"}</definedName>
    <definedName name="PRACTICE" localSheetId="67" hidden="1">{#N/A,#N/A,FALSE,"Summation";#N/A,#N/A,FALSE,"BSA";#N/A,#N/A,FALSE,"Detail1";#N/A,#N/A,FALSE,"Detail2";#N/A,#N/A,FALSE,"Detail3";#N/A,#N/A,FALSE,"WFTE_Summary";#N/A,#N/A,FALSE,"Funded_WFTE";#N/A,#N/A,FALSE,"PYADJ96"}</definedName>
    <definedName name="PRACTICE" localSheetId="68" hidden="1">{#N/A,#N/A,FALSE,"Summation";#N/A,#N/A,FALSE,"BSA";#N/A,#N/A,FALSE,"Detail1";#N/A,#N/A,FALSE,"Detail2";#N/A,#N/A,FALSE,"Detail3";#N/A,#N/A,FALSE,"WFTE_Summary";#N/A,#N/A,FALSE,"Funded_WFTE";#N/A,#N/A,FALSE,"PYADJ96"}</definedName>
    <definedName name="PRACTICE" localSheetId="69" hidden="1">{#N/A,#N/A,FALSE,"Summation";#N/A,#N/A,FALSE,"BSA";#N/A,#N/A,FALSE,"Detail1";#N/A,#N/A,FALSE,"Detail2";#N/A,#N/A,FALSE,"Detail3";#N/A,#N/A,FALSE,"WFTE_Summary";#N/A,#N/A,FALSE,"Funded_WFTE";#N/A,#N/A,FALSE,"PYADJ96"}</definedName>
    <definedName name="PRACTICE" localSheetId="70" hidden="1">{#N/A,#N/A,FALSE,"Summation";#N/A,#N/A,FALSE,"BSA";#N/A,#N/A,FALSE,"Detail1";#N/A,#N/A,FALSE,"Detail2";#N/A,#N/A,FALSE,"Detail3";#N/A,#N/A,FALSE,"WFTE_Summary";#N/A,#N/A,FALSE,"Funded_WFTE";#N/A,#N/A,FALSE,"PYADJ96"}</definedName>
    <definedName name="PRACTICE" localSheetId="72" hidden="1">{#N/A,#N/A,FALSE,"Summation";#N/A,#N/A,FALSE,"BSA";#N/A,#N/A,FALSE,"Detail1";#N/A,#N/A,FALSE,"Detail2";#N/A,#N/A,FALSE,"Detail3";#N/A,#N/A,FALSE,"WFTE_Summary";#N/A,#N/A,FALSE,"Funded_WFTE";#N/A,#N/A,FALSE,"PYADJ96"}</definedName>
    <definedName name="PRACTICE" localSheetId="71" hidden="1">{#N/A,#N/A,FALSE,"Summation";#N/A,#N/A,FALSE,"BSA";#N/A,#N/A,FALSE,"Detail1";#N/A,#N/A,FALSE,"Detail2";#N/A,#N/A,FALSE,"Detail3";#N/A,#N/A,FALSE,"WFTE_Summary";#N/A,#N/A,FALSE,"Funded_WFTE";#N/A,#N/A,FALSE,"PYADJ96"}</definedName>
    <definedName name="PRACTICE" localSheetId="73" hidden="1">{#N/A,#N/A,FALSE,"Summation";#N/A,#N/A,FALSE,"BSA";#N/A,#N/A,FALSE,"Detail1";#N/A,#N/A,FALSE,"Detail2";#N/A,#N/A,FALSE,"Detail3";#N/A,#N/A,FALSE,"WFTE_Summary";#N/A,#N/A,FALSE,"Funded_WFTE";#N/A,#N/A,FALSE,"PYADJ96"}</definedName>
    <definedName name="PRACTICE" localSheetId="74" hidden="1">{#N/A,#N/A,FALSE,"Summation";#N/A,#N/A,FALSE,"BSA";#N/A,#N/A,FALSE,"Detail1";#N/A,#N/A,FALSE,"Detail2";#N/A,#N/A,FALSE,"Detail3";#N/A,#N/A,FALSE,"WFTE_Summary";#N/A,#N/A,FALSE,"Funded_WFTE";#N/A,#N/A,FALSE,"PYADJ96"}</definedName>
    <definedName name="PRACTICE" localSheetId="75" hidden="1">{#N/A,#N/A,FALSE,"Summation";#N/A,#N/A,FALSE,"BSA";#N/A,#N/A,FALSE,"Detail1";#N/A,#N/A,FALSE,"Detail2";#N/A,#N/A,FALSE,"Detail3";#N/A,#N/A,FALSE,"WFTE_Summary";#N/A,#N/A,FALSE,"Funded_WFTE";#N/A,#N/A,FALSE,"PYADJ96"}</definedName>
    <definedName name="PRACTICE" localSheetId="76" hidden="1">{#N/A,#N/A,FALSE,"Summation";#N/A,#N/A,FALSE,"BSA";#N/A,#N/A,FALSE,"Detail1";#N/A,#N/A,FALSE,"Detail2";#N/A,#N/A,FALSE,"Detail3";#N/A,#N/A,FALSE,"WFTE_Summary";#N/A,#N/A,FALSE,"Funded_WFTE";#N/A,#N/A,FALSE,"PYADJ96"}</definedName>
    <definedName name="PRACTICE" localSheetId="1" hidden="1">{#N/A,#N/A,FALSE,"Summation";#N/A,#N/A,FALSE,"BSA";#N/A,#N/A,FALSE,"Detail1";#N/A,#N/A,FALSE,"Detail2";#N/A,#N/A,FALSE,"Detail3";#N/A,#N/A,FALSE,"WFTE_Summary";#N/A,#N/A,FALSE,"Funded_WFTE";#N/A,#N/A,FALSE,"PYADJ96"}</definedName>
    <definedName name="PRACTICE" localSheetId="0" hidden="1">{#N/A,#N/A,FALSE,"Summation";#N/A,#N/A,FALSE,"BSA";#N/A,#N/A,FALSE,"Detail1";#N/A,#N/A,FALSE,"Detail2";#N/A,#N/A,FALSE,"Detail3";#N/A,#N/A,FALSE,"WFTE_Summary";#N/A,#N/A,FALSE,"Funded_WFTE";#N/A,#N/A,FALSE,"PYADJ96"}</definedName>
    <definedName name="PRACTICE" localSheetId="2" hidden="1">{#N/A,#N/A,FALSE,"Summation";#N/A,#N/A,FALSE,"BSA";#N/A,#N/A,FALSE,"Detail1";#N/A,#N/A,FALSE,"Detail2";#N/A,#N/A,FALSE,"Detail3";#N/A,#N/A,FALSE,"WFTE_Summary";#N/A,#N/A,FALSE,"Funded_WFTE";#N/A,#N/A,FALSE,"PYADJ96"}</definedName>
    <definedName name="PRACTICE" hidden="1">{#N/A,#N/A,FALSE,"Summation";#N/A,#N/A,FALSE,"BSA";#N/A,#N/A,FALSE,"Detail1";#N/A,#N/A,FALSE,"Detail2";#N/A,#N/A,FALSE,"Detail3";#N/A,#N/A,FALSE,"WFTE_Summary";#N/A,#N/A,FALSE,"Funded_WFTE";#N/A,#N/A,FALSE,"PYADJ96"}</definedName>
    <definedName name="PRACTOCE" localSheetId="3" hidden="1">{#N/A,#N/A,FALSE,"Summation";#N/A,#N/A,FALSE,"BSA";#N/A,#N/A,FALSE,"Detail1";#N/A,#N/A,FALSE,"Detail2";#N/A,#N/A,FALSE,"Detail3";#N/A,#N/A,FALSE,"WFTE_Summary";#N/A,#N/A,FALSE,"Funded_WFTE";#N/A,#N/A,FALSE,"PYADJ96"}</definedName>
    <definedName name="PRACTOCE" localSheetId="4" hidden="1">{#N/A,#N/A,FALSE,"Summation";#N/A,#N/A,FALSE,"BSA";#N/A,#N/A,FALSE,"Detail1";#N/A,#N/A,FALSE,"Detail2";#N/A,#N/A,FALSE,"Detail3";#N/A,#N/A,FALSE,"WFTE_Summary";#N/A,#N/A,FALSE,"Funded_WFTE";#N/A,#N/A,FALSE,"PYADJ96"}</definedName>
    <definedName name="PRACTOCE" localSheetId="5" hidden="1">{#N/A,#N/A,FALSE,"Summation";#N/A,#N/A,FALSE,"BSA";#N/A,#N/A,FALSE,"Detail1";#N/A,#N/A,FALSE,"Detail2";#N/A,#N/A,FALSE,"Detail3";#N/A,#N/A,FALSE,"WFTE_Summary";#N/A,#N/A,FALSE,"Funded_WFTE";#N/A,#N/A,FALSE,"PYADJ96"}</definedName>
    <definedName name="PRACTOCE" localSheetId="6" hidden="1">{#N/A,#N/A,FALSE,"Summation";#N/A,#N/A,FALSE,"BSA";#N/A,#N/A,FALSE,"Detail1";#N/A,#N/A,FALSE,"Detail2";#N/A,#N/A,FALSE,"Detail3";#N/A,#N/A,FALSE,"WFTE_Summary";#N/A,#N/A,FALSE,"Funded_WFTE";#N/A,#N/A,FALSE,"PYADJ96"}</definedName>
    <definedName name="PRACTOCE" localSheetId="7" hidden="1">{#N/A,#N/A,FALSE,"Summation";#N/A,#N/A,FALSE,"BSA";#N/A,#N/A,FALSE,"Detail1";#N/A,#N/A,FALSE,"Detail2";#N/A,#N/A,FALSE,"Detail3";#N/A,#N/A,FALSE,"WFTE_Summary";#N/A,#N/A,FALSE,"Funded_WFTE";#N/A,#N/A,FALSE,"PYADJ96"}</definedName>
    <definedName name="PRACTOCE" localSheetId="8" hidden="1">{#N/A,#N/A,FALSE,"Summation";#N/A,#N/A,FALSE,"BSA";#N/A,#N/A,FALSE,"Detail1";#N/A,#N/A,FALSE,"Detail2";#N/A,#N/A,FALSE,"Detail3";#N/A,#N/A,FALSE,"WFTE_Summary";#N/A,#N/A,FALSE,"Funded_WFTE";#N/A,#N/A,FALSE,"PYADJ96"}</definedName>
    <definedName name="PRACTOCE" localSheetId="9" hidden="1">{#N/A,#N/A,FALSE,"Summation";#N/A,#N/A,FALSE,"BSA";#N/A,#N/A,FALSE,"Detail1";#N/A,#N/A,FALSE,"Detail2";#N/A,#N/A,FALSE,"Detail3";#N/A,#N/A,FALSE,"WFTE_Summary";#N/A,#N/A,FALSE,"Funded_WFTE";#N/A,#N/A,FALSE,"PYADJ96"}</definedName>
    <definedName name="PRACTOCE" localSheetId="10" hidden="1">{#N/A,#N/A,FALSE,"Summation";#N/A,#N/A,FALSE,"BSA";#N/A,#N/A,FALSE,"Detail1";#N/A,#N/A,FALSE,"Detail2";#N/A,#N/A,FALSE,"Detail3";#N/A,#N/A,FALSE,"WFTE_Summary";#N/A,#N/A,FALSE,"Funded_WFTE";#N/A,#N/A,FALSE,"PYADJ96"}</definedName>
    <definedName name="PRACTOCE" localSheetId="11" hidden="1">{#N/A,#N/A,FALSE,"Summation";#N/A,#N/A,FALSE,"BSA";#N/A,#N/A,FALSE,"Detail1";#N/A,#N/A,FALSE,"Detail2";#N/A,#N/A,FALSE,"Detail3";#N/A,#N/A,FALSE,"WFTE_Summary";#N/A,#N/A,FALSE,"Funded_WFTE";#N/A,#N/A,FALSE,"PYADJ96"}</definedName>
    <definedName name="PRACTOCE" localSheetId="12" hidden="1">{#N/A,#N/A,FALSE,"Summation";#N/A,#N/A,FALSE,"BSA";#N/A,#N/A,FALSE,"Detail1";#N/A,#N/A,FALSE,"Detail2";#N/A,#N/A,FALSE,"Detail3";#N/A,#N/A,FALSE,"WFTE_Summary";#N/A,#N/A,FALSE,"Funded_WFTE";#N/A,#N/A,FALSE,"PYADJ96"}</definedName>
    <definedName name="PRACTOCE" localSheetId="13" hidden="1">{#N/A,#N/A,FALSE,"Summation";#N/A,#N/A,FALSE,"BSA";#N/A,#N/A,FALSE,"Detail1";#N/A,#N/A,FALSE,"Detail2";#N/A,#N/A,FALSE,"Detail3";#N/A,#N/A,FALSE,"WFTE_Summary";#N/A,#N/A,FALSE,"Funded_WFTE";#N/A,#N/A,FALSE,"PYADJ96"}</definedName>
    <definedName name="PRACTOCE" localSheetId="14" hidden="1">{#N/A,#N/A,FALSE,"Summation";#N/A,#N/A,FALSE,"BSA";#N/A,#N/A,FALSE,"Detail1";#N/A,#N/A,FALSE,"Detail2";#N/A,#N/A,FALSE,"Detail3";#N/A,#N/A,FALSE,"WFTE_Summary";#N/A,#N/A,FALSE,"Funded_WFTE";#N/A,#N/A,FALSE,"PYADJ96"}</definedName>
    <definedName name="PRACTOCE" localSheetId="15" hidden="1">{#N/A,#N/A,FALSE,"Summation";#N/A,#N/A,FALSE,"BSA";#N/A,#N/A,FALSE,"Detail1";#N/A,#N/A,FALSE,"Detail2";#N/A,#N/A,FALSE,"Detail3";#N/A,#N/A,FALSE,"WFTE_Summary";#N/A,#N/A,FALSE,"Funded_WFTE";#N/A,#N/A,FALSE,"PYADJ96"}</definedName>
    <definedName name="PRACTOCE" localSheetId="16" hidden="1">{#N/A,#N/A,FALSE,"Summation";#N/A,#N/A,FALSE,"BSA";#N/A,#N/A,FALSE,"Detail1";#N/A,#N/A,FALSE,"Detail2";#N/A,#N/A,FALSE,"Detail3";#N/A,#N/A,FALSE,"WFTE_Summary";#N/A,#N/A,FALSE,"Funded_WFTE";#N/A,#N/A,FALSE,"PYADJ96"}</definedName>
    <definedName name="PRACTOCE" localSheetId="17" hidden="1">{#N/A,#N/A,FALSE,"Summation";#N/A,#N/A,FALSE,"BSA";#N/A,#N/A,FALSE,"Detail1";#N/A,#N/A,FALSE,"Detail2";#N/A,#N/A,FALSE,"Detail3";#N/A,#N/A,FALSE,"WFTE_Summary";#N/A,#N/A,FALSE,"Funded_WFTE";#N/A,#N/A,FALSE,"PYADJ96"}</definedName>
    <definedName name="PRACTOCE" localSheetId="18" hidden="1">{#N/A,#N/A,FALSE,"Summation";#N/A,#N/A,FALSE,"BSA";#N/A,#N/A,FALSE,"Detail1";#N/A,#N/A,FALSE,"Detail2";#N/A,#N/A,FALSE,"Detail3";#N/A,#N/A,FALSE,"WFTE_Summary";#N/A,#N/A,FALSE,"Funded_WFTE";#N/A,#N/A,FALSE,"PYADJ96"}</definedName>
    <definedName name="PRACTOCE" localSheetId="19" hidden="1">{#N/A,#N/A,FALSE,"Summation";#N/A,#N/A,FALSE,"BSA";#N/A,#N/A,FALSE,"Detail1";#N/A,#N/A,FALSE,"Detail2";#N/A,#N/A,FALSE,"Detail3";#N/A,#N/A,FALSE,"WFTE_Summary";#N/A,#N/A,FALSE,"Funded_WFTE";#N/A,#N/A,FALSE,"PYADJ96"}</definedName>
    <definedName name="PRACTOCE" localSheetId="20" hidden="1">{#N/A,#N/A,FALSE,"Summation";#N/A,#N/A,FALSE,"BSA";#N/A,#N/A,FALSE,"Detail1";#N/A,#N/A,FALSE,"Detail2";#N/A,#N/A,FALSE,"Detail3";#N/A,#N/A,FALSE,"WFTE_Summary";#N/A,#N/A,FALSE,"Funded_WFTE";#N/A,#N/A,FALSE,"PYADJ96"}</definedName>
    <definedName name="PRACTOCE" localSheetId="21" hidden="1">{#N/A,#N/A,FALSE,"Summation";#N/A,#N/A,FALSE,"BSA";#N/A,#N/A,FALSE,"Detail1";#N/A,#N/A,FALSE,"Detail2";#N/A,#N/A,FALSE,"Detail3";#N/A,#N/A,FALSE,"WFTE_Summary";#N/A,#N/A,FALSE,"Funded_WFTE";#N/A,#N/A,FALSE,"PYADJ96"}</definedName>
    <definedName name="PRACTOCE" localSheetId="22" hidden="1">{#N/A,#N/A,FALSE,"Summation";#N/A,#N/A,FALSE,"BSA";#N/A,#N/A,FALSE,"Detail1";#N/A,#N/A,FALSE,"Detail2";#N/A,#N/A,FALSE,"Detail3";#N/A,#N/A,FALSE,"WFTE_Summary";#N/A,#N/A,FALSE,"Funded_WFTE";#N/A,#N/A,FALSE,"PYADJ96"}</definedName>
    <definedName name="PRACTOCE" localSheetId="23" hidden="1">{#N/A,#N/A,FALSE,"Summation";#N/A,#N/A,FALSE,"BSA";#N/A,#N/A,FALSE,"Detail1";#N/A,#N/A,FALSE,"Detail2";#N/A,#N/A,FALSE,"Detail3";#N/A,#N/A,FALSE,"WFTE_Summary";#N/A,#N/A,FALSE,"Funded_WFTE";#N/A,#N/A,FALSE,"PYADJ96"}</definedName>
    <definedName name="PRACTOCE" localSheetId="24" hidden="1">{#N/A,#N/A,FALSE,"Summation";#N/A,#N/A,FALSE,"BSA";#N/A,#N/A,FALSE,"Detail1";#N/A,#N/A,FALSE,"Detail2";#N/A,#N/A,FALSE,"Detail3";#N/A,#N/A,FALSE,"WFTE_Summary";#N/A,#N/A,FALSE,"Funded_WFTE";#N/A,#N/A,FALSE,"PYADJ96"}</definedName>
    <definedName name="PRACTOCE" localSheetId="25" hidden="1">{#N/A,#N/A,FALSE,"Summation";#N/A,#N/A,FALSE,"BSA";#N/A,#N/A,FALSE,"Detail1";#N/A,#N/A,FALSE,"Detail2";#N/A,#N/A,FALSE,"Detail3";#N/A,#N/A,FALSE,"WFTE_Summary";#N/A,#N/A,FALSE,"Funded_WFTE";#N/A,#N/A,FALSE,"PYADJ96"}</definedName>
    <definedName name="PRACTOCE" localSheetId="26" hidden="1">{#N/A,#N/A,FALSE,"Summation";#N/A,#N/A,FALSE,"BSA";#N/A,#N/A,FALSE,"Detail1";#N/A,#N/A,FALSE,"Detail2";#N/A,#N/A,FALSE,"Detail3";#N/A,#N/A,FALSE,"WFTE_Summary";#N/A,#N/A,FALSE,"Funded_WFTE";#N/A,#N/A,FALSE,"PYADJ96"}</definedName>
    <definedName name="PRACTOCE" localSheetId="27" hidden="1">{#N/A,#N/A,FALSE,"Summation";#N/A,#N/A,FALSE,"BSA";#N/A,#N/A,FALSE,"Detail1";#N/A,#N/A,FALSE,"Detail2";#N/A,#N/A,FALSE,"Detail3";#N/A,#N/A,FALSE,"WFTE_Summary";#N/A,#N/A,FALSE,"Funded_WFTE";#N/A,#N/A,FALSE,"PYADJ96"}</definedName>
    <definedName name="PRACTOCE" localSheetId="28" hidden="1">{#N/A,#N/A,FALSE,"Summation";#N/A,#N/A,FALSE,"BSA";#N/A,#N/A,FALSE,"Detail1";#N/A,#N/A,FALSE,"Detail2";#N/A,#N/A,FALSE,"Detail3";#N/A,#N/A,FALSE,"WFTE_Summary";#N/A,#N/A,FALSE,"Funded_WFTE";#N/A,#N/A,FALSE,"PYADJ96"}</definedName>
    <definedName name="PRACTOCE" localSheetId="29" hidden="1">{#N/A,#N/A,FALSE,"Summation";#N/A,#N/A,FALSE,"BSA";#N/A,#N/A,FALSE,"Detail1";#N/A,#N/A,FALSE,"Detail2";#N/A,#N/A,FALSE,"Detail3";#N/A,#N/A,FALSE,"WFTE_Summary";#N/A,#N/A,FALSE,"Funded_WFTE";#N/A,#N/A,FALSE,"PYADJ96"}</definedName>
    <definedName name="PRACTOCE" localSheetId="30" hidden="1">{#N/A,#N/A,FALSE,"Summation";#N/A,#N/A,FALSE,"BSA";#N/A,#N/A,FALSE,"Detail1";#N/A,#N/A,FALSE,"Detail2";#N/A,#N/A,FALSE,"Detail3";#N/A,#N/A,FALSE,"WFTE_Summary";#N/A,#N/A,FALSE,"Funded_WFTE";#N/A,#N/A,FALSE,"PYADJ96"}</definedName>
    <definedName name="PRACTOCE" localSheetId="31" hidden="1">{#N/A,#N/A,FALSE,"Summation";#N/A,#N/A,FALSE,"BSA";#N/A,#N/A,FALSE,"Detail1";#N/A,#N/A,FALSE,"Detail2";#N/A,#N/A,FALSE,"Detail3";#N/A,#N/A,FALSE,"WFTE_Summary";#N/A,#N/A,FALSE,"Funded_WFTE";#N/A,#N/A,FALSE,"PYADJ96"}</definedName>
    <definedName name="PRACTOCE" localSheetId="32" hidden="1">{#N/A,#N/A,FALSE,"Summation";#N/A,#N/A,FALSE,"BSA";#N/A,#N/A,FALSE,"Detail1";#N/A,#N/A,FALSE,"Detail2";#N/A,#N/A,FALSE,"Detail3";#N/A,#N/A,FALSE,"WFTE_Summary";#N/A,#N/A,FALSE,"Funded_WFTE";#N/A,#N/A,FALSE,"PYADJ96"}</definedName>
    <definedName name="PRACTOCE" localSheetId="33" hidden="1">{#N/A,#N/A,FALSE,"Summation";#N/A,#N/A,FALSE,"BSA";#N/A,#N/A,FALSE,"Detail1";#N/A,#N/A,FALSE,"Detail2";#N/A,#N/A,FALSE,"Detail3";#N/A,#N/A,FALSE,"WFTE_Summary";#N/A,#N/A,FALSE,"Funded_WFTE";#N/A,#N/A,FALSE,"PYADJ96"}</definedName>
    <definedName name="PRACTOCE" localSheetId="34" hidden="1">{#N/A,#N/A,FALSE,"Summation";#N/A,#N/A,FALSE,"BSA";#N/A,#N/A,FALSE,"Detail1";#N/A,#N/A,FALSE,"Detail2";#N/A,#N/A,FALSE,"Detail3";#N/A,#N/A,FALSE,"WFTE_Summary";#N/A,#N/A,FALSE,"Funded_WFTE";#N/A,#N/A,FALSE,"PYADJ96"}</definedName>
    <definedName name="PRACTOCE" localSheetId="35" hidden="1">{#N/A,#N/A,FALSE,"Summation";#N/A,#N/A,FALSE,"BSA";#N/A,#N/A,FALSE,"Detail1";#N/A,#N/A,FALSE,"Detail2";#N/A,#N/A,FALSE,"Detail3";#N/A,#N/A,FALSE,"WFTE_Summary";#N/A,#N/A,FALSE,"Funded_WFTE";#N/A,#N/A,FALSE,"PYADJ96"}</definedName>
    <definedName name="PRACTOCE" localSheetId="36" hidden="1">{#N/A,#N/A,FALSE,"Summation";#N/A,#N/A,FALSE,"BSA";#N/A,#N/A,FALSE,"Detail1";#N/A,#N/A,FALSE,"Detail2";#N/A,#N/A,FALSE,"Detail3";#N/A,#N/A,FALSE,"WFTE_Summary";#N/A,#N/A,FALSE,"Funded_WFTE";#N/A,#N/A,FALSE,"PYADJ96"}</definedName>
    <definedName name="PRACTOCE" localSheetId="37" hidden="1">{#N/A,#N/A,FALSE,"Summation";#N/A,#N/A,FALSE,"BSA";#N/A,#N/A,FALSE,"Detail1";#N/A,#N/A,FALSE,"Detail2";#N/A,#N/A,FALSE,"Detail3";#N/A,#N/A,FALSE,"WFTE_Summary";#N/A,#N/A,FALSE,"Funded_WFTE";#N/A,#N/A,FALSE,"PYADJ96"}</definedName>
    <definedName name="PRACTOCE" localSheetId="38" hidden="1">{#N/A,#N/A,FALSE,"Summation";#N/A,#N/A,FALSE,"BSA";#N/A,#N/A,FALSE,"Detail1";#N/A,#N/A,FALSE,"Detail2";#N/A,#N/A,FALSE,"Detail3";#N/A,#N/A,FALSE,"WFTE_Summary";#N/A,#N/A,FALSE,"Funded_WFTE";#N/A,#N/A,FALSE,"PYADJ96"}</definedName>
    <definedName name="PRACTOCE" localSheetId="39" hidden="1">{#N/A,#N/A,FALSE,"Summation";#N/A,#N/A,FALSE,"BSA";#N/A,#N/A,FALSE,"Detail1";#N/A,#N/A,FALSE,"Detail2";#N/A,#N/A,FALSE,"Detail3";#N/A,#N/A,FALSE,"WFTE_Summary";#N/A,#N/A,FALSE,"Funded_WFTE";#N/A,#N/A,FALSE,"PYADJ96"}</definedName>
    <definedName name="PRACTOCE" localSheetId="40" hidden="1">{#N/A,#N/A,FALSE,"Summation";#N/A,#N/A,FALSE,"BSA";#N/A,#N/A,FALSE,"Detail1";#N/A,#N/A,FALSE,"Detail2";#N/A,#N/A,FALSE,"Detail3";#N/A,#N/A,FALSE,"WFTE_Summary";#N/A,#N/A,FALSE,"Funded_WFTE";#N/A,#N/A,FALSE,"PYADJ96"}</definedName>
    <definedName name="PRACTOCE" localSheetId="41" hidden="1">{#N/A,#N/A,FALSE,"Summation";#N/A,#N/A,FALSE,"BSA";#N/A,#N/A,FALSE,"Detail1";#N/A,#N/A,FALSE,"Detail2";#N/A,#N/A,FALSE,"Detail3";#N/A,#N/A,FALSE,"WFTE_Summary";#N/A,#N/A,FALSE,"Funded_WFTE";#N/A,#N/A,FALSE,"PYADJ96"}</definedName>
    <definedName name="PRACTOCE" localSheetId="42" hidden="1">{#N/A,#N/A,FALSE,"Summation";#N/A,#N/A,FALSE,"BSA";#N/A,#N/A,FALSE,"Detail1";#N/A,#N/A,FALSE,"Detail2";#N/A,#N/A,FALSE,"Detail3";#N/A,#N/A,FALSE,"WFTE_Summary";#N/A,#N/A,FALSE,"Funded_WFTE";#N/A,#N/A,FALSE,"PYADJ96"}</definedName>
    <definedName name="PRACTOCE" localSheetId="43" hidden="1">{#N/A,#N/A,FALSE,"Summation";#N/A,#N/A,FALSE,"BSA";#N/A,#N/A,FALSE,"Detail1";#N/A,#N/A,FALSE,"Detail2";#N/A,#N/A,FALSE,"Detail3";#N/A,#N/A,FALSE,"WFTE_Summary";#N/A,#N/A,FALSE,"Funded_WFTE";#N/A,#N/A,FALSE,"PYADJ96"}</definedName>
    <definedName name="PRACTOCE" localSheetId="44" hidden="1">{#N/A,#N/A,FALSE,"Summation";#N/A,#N/A,FALSE,"BSA";#N/A,#N/A,FALSE,"Detail1";#N/A,#N/A,FALSE,"Detail2";#N/A,#N/A,FALSE,"Detail3";#N/A,#N/A,FALSE,"WFTE_Summary";#N/A,#N/A,FALSE,"Funded_WFTE";#N/A,#N/A,FALSE,"PYADJ96"}</definedName>
    <definedName name="PRACTOCE" localSheetId="45" hidden="1">{#N/A,#N/A,FALSE,"Summation";#N/A,#N/A,FALSE,"BSA";#N/A,#N/A,FALSE,"Detail1";#N/A,#N/A,FALSE,"Detail2";#N/A,#N/A,FALSE,"Detail3";#N/A,#N/A,FALSE,"WFTE_Summary";#N/A,#N/A,FALSE,"Funded_WFTE";#N/A,#N/A,FALSE,"PYADJ96"}</definedName>
    <definedName name="PRACTOCE" localSheetId="46" hidden="1">{#N/A,#N/A,FALSE,"Summation";#N/A,#N/A,FALSE,"BSA";#N/A,#N/A,FALSE,"Detail1";#N/A,#N/A,FALSE,"Detail2";#N/A,#N/A,FALSE,"Detail3";#N/A,#N/A,FALSE,"WFTE_Summary";#N/A,#N/A,FALSE,"Funded_WFTE";#N/A,#N/A,FALSE,"PYADJ96"}</definedName>
    <definedName name="PRACTOCE" localSheetId="47" hidden="1">{#N/A,#N/A,FALSE,"Summation";#N/A,#N/A,FALSE,"BSA";#N/A,#N/A,FALSE,"Detail1";#N/A,#N/A,FALSE,"Detail2";#N/A,#N/A,FALSE,"Detail3";#N/A,#N/A,FALSE,"WFTE_Summary";#N/A,#N/A,FALSE,"Funded_WFTE";#N/A,#N/A,FALSE,"PYADJ96"}</definedName>
    <definedName name="PRACTOCE" localSheetId="48" hidden="1">{#N/A,#N/A,FALSE,"Summation";#N/A,#N/A,FALSE,"BSA";#N/A,#N/A,FALSE,"Detail1";#N/A,#N/A,FALSE,"Detail2";#N/A,#N/A,FALSE,"Detail3";#N/A,#N/A,FALSE,"WFTE_Summary";#N/A,#N/A,FALSE,"Funded_WFTE";#N/A,#N/A,FALSE,"PYADJ96"}</definedName>
    <definedName name="PRACTOCE" localSheetId="49" hidden="1">{#N/A,#N/A,FALSE,"Summation";#N/A,#N/A,FALSE,"BSA";#N/A,#N/A,FALSE,"Detail1";#N/A,#N/A,FALSE,"Detail2";#N/A,#N/A,FALSE,"Detail3";#N/A,#N/A,FALSE,"WFTE_Summary";#N/A,#N/A,FALSE,"Funded_WFTE";#N/A,#N/A,FALSE,"PYADJ96"}</definedName>
    <definedName name="PRACTOCE" localSheetId="50" hidden="1">{#N/A,#N/A,FALSE,"Summation";#N/A,#N/A,FALSE,"BSA";#N/A,#N/A,FALSE,"Detail1";#N/A,#N/A,FALSE,"Detail2";#N/A,#N/A,FALSE,"Detail3";#N/A,#N/A,FALSE,"WFTE_Summary";#N/A,#N/A,FALSE,"Funded_WFTE";#N/A,#N/A,FALSE,"PYADJ96"}</definedName>
    <definedName name="PRACTOCE" localSheetId="51" hidden="1">{#N/A,#N/A,FALSE,"Summation";#N/A,#N/A,FALSE,"BSA";#N/A,#N/A,FALSE,"Detail1";#N/A,#N/A,FALSE,"Detail2";#N/A,#N/A,FALSE,"Detail3";#N/A,#N/A,FALSE,"WFTE_Summary";#N/A,#N/A,FALSE,"Funded_WFTE";#N/A,#N/A,FALSE,"PYADJ96"}</definedName>
    <definedName name="PRACTOCE" localSheetId="52" hidden="1">{#N/A,#N/A,FALSE,"Summation";#N/A,#N/A,FALSE,"BSA";#N/A,#N/A,FALSE,"Detail1";#N/A,#N/A,FALSE,"Detail2";#N/A,#N/A,FALSE,"Detail3";#N/A,#N/A,FALSE,"WFTE_Summary";#N/A,#N/A,FALSE,"Funded_WFTE";#N/A,#N/A,FALSE,"PYADJ96"}</definedName>
    <definedName name="PRACTOCE" localSheetId="53" hidden="1">{#N/A,#N/A,FALSE,"Summation";#N/A,#N/A,FALSE,"BSA";#N/A,#N/A,FALSE,"Detail1";#N/A,#N/A,FALSE,"Detail2";#N/A,#N/A,FALSE,"Detail3";#N/A,#N/A,FALSE,"WFTE_Summary";#N/A,#N/A,FALSE,"Funded_WFTE";#N/A,#N/A,FALSE,"PYADJ96"}</definedName>
    <definedName name="PRACTOCE" localSheetId="54" hidden="1">{#N/A,#N/A,FALSE,"Summation";#N/A,#N/A,FALSE,"BSA";#N/A,#N/A,FALSE,"Detail1";#N/A,#N/A,FALSE,"Detail2";#N/A,#N/A,FALSE,"Detail3";#N/A,#N/A,FALSE,"WFTE_Summary";#N/A,#N/A,FALSE,"Funded_WFTE";#N/A,#N/A,FALSE,"PYADJ96"}</definedName>
    <definedName name="PRACTOCE" localSheetId="55" hidden="1">{#N/A,#N/A,FALSE,"Summation";#N/A,#N/A,FALSE,"BSA";#N/A,#N/A,FALSE,"Detail1";#N/A,#N/A,FALSE,"Detail2";#N/A,#N/A,FALSE,"Detail3";#N/A,#N/A,FALSE,"WFTE_Summary";#N/A,#N/A,FALSE,"Funded_WFTE";#N/A,#N/A,FALSE,"PYADJ96"}</definedName>
    <definedName name="PRACTOCE" localSheetId="56" hidden="1">{#N/A,#N/A,FALSE,"Summation";#N/A,#N/A,FALSE,"BSA";#N/A,#N/A,FALSE,"Detail1";#N/A,#N/A,FALSE,"Detail2";#N/A,#N/A,FALSE,"Detail3";#N/A,#N/A,FALSE,"WFTE_Summary";#N/A,#N/A,FALSE,"Funded_WFTE";#N/A,#N/A,FALSE,"PYADJ96"}</definedName>
    <definedName name="PRACTOCE" localSheetId="57" hidden="1">{#N/A,#N/A,FALSE,"Summation";#N/A,#N/A,FALSE,"BSA";#N/A,#N/A,FALSE,"Detail1";#N/A,#N/A,FALSE,"Detail2";#N/A,#N/A,FALSE,"Detail3";#N/A,#N/A,FALSE,"WFTE_Summary";#N/A,#N/A,FALSE,"Funded_WFTE";#N/A,#N/A,FALSE,"PYADJ96"}</definedName>
    <definedName name="PRACTOCE" localSheetId="58" hidden="1">{#N/A,#N/A,FALSE,"Summation";#N/A,#N/A,FALSE,"BSA";#N/A,#N/A,FALSE,"Detail1";#N/A,#N/A,FALSE,"Detail2";#N/A,#N/A,FALSE,"Detail3";#N/A,#N/A,FALSE,"WFTE_Summary";#N/A,#N/A,FALSE,"Funded_WFTE";#N/A,#N/A,FALSE,"PYADJ96"}</definedName>
    <definedName name="PRACTOCE" localSheetId="59" hidden="1">{#N/A,#N/A,FALSE,"Summation";#N/A,#N/A,FALSE,"BSA";#N/A,#N/A,FALSE,"Detail1";#N/A,#N/A,FALSE,"Detail2";#N/A,#N/A,FALSE,"Detail3";#N/A,#N/A,FALSE,"WFTE_Summary";#N/A,#N/A,FALSE,"Funded_WFTE";#N/A,#N/A,FALSE,"PYADJ96"}</definedName>
    <definedName name="PRACTOCE" localSheetId="60" hidden="1">{#N/A,#N/A,FALSE,"Summation";#N/A,#N/A,FALSE,"BSA";#N/A,#N/A,FALSE,"Detail1";#N/A,#N/A,FALSE,"Detail2";#N/A,#N/A,FALSE,"Detail3";#N/A,#N/A,FALSE,"WFTE_Summary";#N/A,#N/A,FALSE,"Funded_WFTE";#N/A,#N/A,FALSE,"PYADJ96"}</definedName>
    <definedName name="PRACTOCE" localSheetId="61" hidden="1">{#N/A,#N/A,FALSE,"Summation";#N/A,#N/A,FALSE,"BSA";#N/A,#N/A,FALSE,"Detail1";#N/A,#N/A,FALSE,"Detail2";#N/A,#N/A,FALSE,"Detail3";#N/A,#N/A,FALSE,"WFTE_Summary";#N/A,#N/A,FALSE,"Funded_WFTE";#N/A,#N/A,FALSE,"PYADJ96"}</definedName>
    <definedName name="PRACTOCE" localSheetId="62" hidden="1">{#N/A,#N/A,FALSE,"Summation";#N/A,#N/A,FALSE,"BSA";#N/A,#N/A,FALSE,"Detail1";#N/A,#N/A,FALSE,"Detail2";#N/A,#N/A,FALSE,"Detail3";#N/A,#N/A,FALSE,"WFTE_Summary";#N/A,#N/A,FALSE,"Funded_WFTE";#N/A,#N/A,FALSE,"PYADJ96"}</definedName>
    <definedName name="PRACTOCE" localSheetId="63" hidden="1">{#N/A,#N/A,FALSE,"Summation";#N/A,#N/A,FALSE,"BSA";#N/A,#N/A,FALSE,"Detail1";#N/A,#N/A,FALSE,"Detail2";#N/A,#N/A,FALSE,"Detail3";#N/A,#N/A,FALSE,"WFTE_Summary";#N/A,#N/A,FALSE,"Funded_WFTE";#N/A,#N/A,FALSE,"PYADJ96"}</definedName>
    <definedName name="PRACTOCE" localSheetId="64" hidden="1">{#N/A,#N/A,FALSE,"Summation";#N/A,#N/A,FALSE,"BSA";#N/A,#N/A,FALSE,"Detail1";#N/A,#N/A,FALSE,"Detail2";#N/A,#N/A,FALSE,"Detail3";#N/A,#N/A,FALSE,"WFTE_Summary";#N/A,#N/A,FALSE,"Funded_WFTE";#N/A,#N/A,FALSE,"PYADJ96"}</definedName>
    <definedName name="PRACTOCE" localSheetId="65" hidden="1">{#N/A,#N/A,FALSE,"Summation";#N/A,#N/A,FALSE,"BSA";#N/A,#N/A,FALSE,"Detail1";#N/A,#N/A,FALSE,"Detail2";#N/A,#N/A,FALSE,"Detail3";#N/A,#N/A,FALSE,"WFTE_Summary";#N/A,#N/A,FALSE,"Funded_WFTE";#N/A,#N/A,FALSE,"PYADJ96"}</definedName>
    <definedName name="PRACTOCE" localSheetId="66" hidden="1">{#N/A,#N/A,FALSE,"Summation";#N/A,#N/A,FALSE,"BSA";#N/A,#N/A,FALSE,"Detail1";#N/A,#N/A,FALSE,"Detail2";#N/A,#N/A,FALSE,"Detail3";#N/A,#N/A,FALSE,"WFTE_Summary";#N/A,#N/A,FALSE,"Funded_WFTE";#N/A,#N/A,FALSE,"PYADJ96"}</definedName>
    <definedName name="PRACTOCE" localSheetId="67" hidden="1">{#N/A,#N/A,FALSE,"Summation";#N/A,#N/A,FALSE,"BSA";#N/A,#N/A,FALSE,"Detail1";#N/A,#N/A,FALSE,"Detail2";#N/A,#N/A,FALSE,"Detail3";#N/A,#N/A,FALSE,"WFTE_Summary";#N/A,#N/A,FALSE,"Funded_WFTE";#N/A,#N/A,FALSE,"PYADJ96"}</definedName>
    <definedName name="PRACTOCE" localSheetId="68" hidden="1">{#N/A,#N/A,FALSE,"Summation";#N/A,#N/A,FALSE,"BSA";#N/A,#N/A,FALSE,"Detail1";#N/A,#N/A,FALSE,"Detail2";#N/A,#N/A,FALSE,"Detail3";#N/A,#N/A,FALSE,"WFTE_Summary";#N/A,#N/A,FALSE,"Funded_WFTE";#N/A,#N/A,FALSE,"PYADJ96"}</definedName>
    <definedName name="PRACTOCE" localSheetId="69" hidden="1">{#N/A,#N/A,FALSE,"Summation";#N/A,#N/A,FALSE,"BSA";#N/A,#N/A,FALSE,"Detail1";#N/A,#N/A,FALSE,"Detail2";#N/A,#N/A,FALSE,"Detail3";#N/A,#N/A,FALSE,"WFTE_Summary";#N/A,#N/A,FALSE,"Funded_WFTE";#N/A,#N/A,FALSE,"PYADJ96"}</definedName>
    <definedName name="PRACTOCE" localSheetId="70" hidden="1">{#N/A,#N/A,FALSE,"Summation";#N/A,#N/A,FALSE,"BSA";#N/A,#N/A,FALSE,"Detail1";#N/A,#N/A,FALSE,"Detail2";#N/A,#N/A,FALSE,"Detail3";#N/A,#N/A,FALSE,"WFTE_Summary";#N/A,#N/A,FALSE,"Funded_WFTE";#N/A,#N/A,FALSE,"PYADJ96"}</definedName>
    <definedName name="PRACTOCE" localSheetId="72" hidden="1">{#N/A,#N/A,FALSE,"Summation";#N/A,#N/A,FALSE,"BSA";#N/A,#N/A,FALSE,"Detail1";#N/A,#N/A,FALSE,"Detail2";#N/A,#N/A,FALSE,"Detail3";#N/A,#N/A,FALSE,"WFTE_Summary";#N/A,#N/A,FALSE,"Funded_WFTE";#N/A,#N/A,FALSE,"PYADJ96"}</definedName>
    <definedName name="PRACTOCE" localSheetId="71" hidden="1">{#N/A,#N/A,FALSE,"Summation";#N/A,#N/A,FALSE,"BSA";#N/A,#N/A,FALSE,"Detail1";#N/A,#N/A,FALSE,"Detail2";#N/A,#N/A,FALSE,"Detail3";#N/A,#N/A,FALSE,"WFTE_Summary";#N/A,#N/A,FALSE,"Funded_WFTE";#N/A,#N/A,FALSE,"PYADJ96"}</definedName>
    <definedName name="PRACTOCE" localSheetId="73" hidden="1">{#N/A,#N/A,FALSE,"Summation";#N/A,#N/A,FALSE,"BSA";#N/A,#N/A,FALSE,"Detail1";#N/A,#N/A,FALSE,"Detail2";#N/A,#N/A,FALSE,"Detail3";#N/A,#N/A,FALSE,"WFTE_Summary";#N/A,#N/A,FALSE,"Funded_WFTE";#N/A,#N/A,FALSE,"PYADJ96"}</definedName>
    <definedName name="PRACTOCE" localSheetId="74" hidden="1">{#N/A,#N/A,FALSE,"Summation";#N/A,#N/A,FALSE,"BSA";#N/A,#N/A,FALSE,"Detail1";#N/A,#N/A,FALSE,"Detail2";#N/A,#N/A,FALSE,"Detail3";#N/A,#N/A,FALSE,"WFTE_Summary";#N/A,#N/A,FALSE,"Funded_WFTE";#N/A,#N/A,FALSE,"PYADJ96"}</definedName>
    <definedName name="PRACTOCE" localSheetId="75" hidden="1">{#N/A,#N/A,FALSE,"Summation";#N/A,#N/A,FALSE,"BSA";#N/A,#N/A,FALSE,"Detail1";#N/A,#N/A,FALSE,"Detail2";#N/A,#N/A,FALSE,"Detail3";#N/A,#N/A,FALSE,"WFTE_Summary";#N/A,#N/A,FALSE,"Funded_WFTE";#N/A,#N/A,FALSE,"PYADJ96"}</definedName>
    <definedName name="PRACTOCE" localSheetId="76" hidden="1">{#N/A,#N/A,FALSE,"Summation";#N/A,#N/A,FALSE,"BSA";#N/A,#N/A,FALSE,"Detail1";#N/A,#N/A,FALSE,"Detail2";#N/A,#N/A,FALSE,"Detail3";#N/A,#N/A,FALSE,"WFTE_Summary";#N/A,#N/A,FALSE,"Funded_WFTE";#N/A,#N/A,FALSE,"PYADJ96"}</definedName>
    <definedName name="PRACTOCE" localSheetId="1" hidden="1">{#N/A,#N/A,FALSE,"Summation";#N/A,#N/A,FALSE,"BSA";#N/A,#N/A,FALSE,"Detail1";#N/A,#N/A,FALSE,"Detail2";#N/A,#N/A,FALSE,"Detail3";#N/A,#N/A,FALSE,"WFTE_Summary";#N/A,#N/A,FALSE,"Funded_WFTE";#N/A,#N/A,FALSE,"PYADJ96"}</definedName>
    <definedName name="PRACTOCE" localSheetId="0" hidden="1">{#N/A,#N/A,FALSE,"Summation";#N/A,#N/A,FALSE,"BSA";#N/A,#N/A,FALSE,"Detail1";#N/A,#N/A,FALSE,"Detail2";#N/A,#N/A,FALSE,"Detail3";#N/A,#N/A,FALSE,"WFTE_Summary";#N/A,#N/A,FALSE,"Funded_WFTE";#N/A,#N/A,FALSE,"PYADJ96"}</definedName>
    <definedName name="PRACTOCE" localSheetId="2" hidden="1">{#N/A,#N/A,FALSE,"Summation";#N/A,#N/A,FALSE,"BSA";#N/A,#N/A,FALSE,"Detail1";#N/A,#N/A,FALSE,"Detail2";#N/A,#N/A,FALSE,"Detail3";#N/A,#N/A,FALSE,"WFTE_Summary";#N/A,#N/A,FALSE,"Funded_WFTE";#N/A,#N/A,FALSE,"PYADJ96"}</definedName>
    <definedName name="PRACTOCE" hidden="1">{#N/A,#N/A,FALSE,"Summation";#N/A,#N/A,FALSE,"BSA";#N/A,#N/A,FALSE,"Detail1";#N/A,#N/A,FALSE,"Detail2";#N/A,#N/A,FALSE,"Detail3";#N/A,#N/A,FALSE,"WFTE_Summary";#N/A,#N/A,FALSE,"Funded_WFTE";#N/A,#N/A,FALSE,"PYADJ96"}</definedName>
    <definedName name="_xlnm.Print_Area" localSheetId="3">'0054'!$B$3:$L$95</definedName>
    <definedName name="_xlnm.Print_Area" localSheetId="4">'0054 June Final'!$B$3:$L$95</definedName>
    <definedName name="_xlnm.Print_Area" localSheetId="5">'0642'!$B$3:$L$95</definedName>
    <definedName name="_xlnm.Print_Area" localSheetId="6">'0642 June Final'!$B$3:$L$95</definedName>
    <definedName name="_xlnm.Print_Area" localSheetId="7">'0664'!$B$3:$L$95</definedName>
    <definedName name="_xlnm.Print_Area" localSheetId="8">'0664 June Final'!$B$3:$L$95</definedName>
    <definedName name="_xlnm.Print_Area" localSheetId="9">'1461'!$B$3:$L$95</definedName>
    <definedName name="_xlnm.Print_Area" localSheetId="10">'1571'!$B$3:$L$95</definedName>
    <definedName name="_xlnm.Print_Area" localSheetId="11">'2521'!$B$3:$L$95</definedName>
    <definedName name="_xlnm.Print_Area" localSheetId="12">'2531'!$B$3:$L$95</definedName>
    <definedName name="_xlnm.Print_Area" localSheetId="13">'2531 June final'!$B$3:$L$95</definedName>
    <definedName name="_xlnm.Print_Area" localSheetId="14">'2641'!$B$3:$L$95</definedName>
    <definedName name="_xlnm.Print_Area" localSheetId="15">'2641 June Final'!$B$3:$L$95</definedName>
    <definedName name="_xlnm.Print_Area" localSheetId="16">'2661'!$B$3:$L$95</definedName>
    <definedName name="_xlnm.Print_Area" localSheetId="17">'2661 June Final'!$B$3:$L$95</definedName>
    <definedName name="_xlnm.Print_Area" localSheetId="18">'2791'!$B$3:$L$95</definedName>
    <definedName name="_xlnm.Print_Area" localSheetId="19">'2791 June final'!$B$3:$L$95</definedName>
    <definedName name="_xlnm.Print_Area" localSheetId="20">'2801'!$B$3:$L$95</definedName>
    <definedName name="_xlnm.Print_Area" localSheetId="21">'2801 June Final'!$B$3:$L$95</definedName>
    <definedName name="_xlnm.Print_Area" localSheetId="22">'2911'!$B$3:$L$95</definedName>
    <definedName name="_xlnm.Print_Area" localSheetId="23">'2911 June final'!$B$3:$L$95</definedName>
    <definedName name="_xlnm.Print_Area" localSheetId="24">'2941'!$B$3:$L$95</definedName>
    <definedName name="_xlnm.Print_Area" localSheetId="25">'2941 June final'!$B$3:$L$95</definedName>
    <definedName name="_xlnm.Print_Area" localSheetId="26">'3083'!$B$3:$L$95</definedName>
    <definedName name="_xlnm.Print_Area" localSheetId="27">'3344'!$B$3:$L$95</definedName>
    <definedName name="_xlnm.Print_Area" localSheetId="28">'3345'!$B$3:$L$95</definedName>
    <definedName name="_xlnm.Print_Area" localSheetId="29">'3347'!$B$3:$L$95</definedName>
    <definedName name="_xlnm.Print_Area" localSheetId="30">'3381'!$B$3:$L$95</definedName>
    <definedName name="_xlnm.Print_Area" localSheetId="31">'3381 June Final'!$B$3:$L$95</definedName>
    <definedName name="_xlnm.Print_Area" localSheetId="32">'3382'!$B$3:$L$95</definedName>
    <definedName name="_xlnm.Print_Area" localSheetId="33">'3382 June Final'!$B$3:$L$95</definedName>
    <definedName name="_xlnm.Print_Area" localSheetId="34">'3384'!$B$3:$L$95</definedName>
    <definedName name="_xlnm.Print_Area" localSheetId="35">'3384 June Final'!$B$3:$L$95</definedName>
    <definedName name="_xlnm.Print_Area" localSheetId="36">'3385'!$B$3:$L$95</definedName>
    <definedName name="_xlnm.Print_Area" localSheetId="37">'3385 June Final'!$B$3:$L$95</definedName>
    <definedName name="_xlnm.Print_Area" localSheetId="38">'3386'!$B$3:$L$95</definedName>
    <definedName name="_xlnm.Print_Area" localSheetId="39">'3391'!$B$3:$L$95</definedName>
    <definedName name="_xlnm.Print_Area" localSheetId="40">'3392'!$B$3:$L$95</definedName>
    <definedName name="_xlnm.Print_Area" localSheetId="41">'3392 June Final'!$B$3:$L$95</definedName>
    <definedName name="_xlnm.Print_Area" localSheetId="42">'3394'!$B$3:$L$95</definedName>
    <definedName name="_xlnm.Print_Area" localSheetId="43">'3394 June Final'!$B$3:$L$95</definedName>
    <definedName name="_xlnm.Print_Area" localSheetId="44">'3395'!$B$3:$L$95</definedName>
    <definedName name="_xlnm.Print_Area" localSheetId="45">'3395 June Final'!$B$3:$L$95</definedName>
    <definedName name="_xlnm.Print_Area" localSheetId="46">'3396'!$B$3:$L$95</definedName>
    <definedName name="_xlnm.Print_Area" localSheetId="47">'3398'!$B$3:$L$95</definedName>
    <definedName name="_xlnm.Print_Area" localSheetId="48">'3400'!$B$3:$L$95</definedName>
    <definedName name="_xlnm.Print_Area" localSheetId="49">'3401'!$B$3:$L$95</definedName>
    <definedName name="_xlnm.Print_Area" localSheetId="50">'3411'!$B$3:$L$95</definedName>
    <definedName name="_xlnm.Print_Area" localSheetId="51">'3413'!$B$3:$L$95</definedName>
    <definedName name="_xlnm.Print_Area" localSheetId="52">'3413 June Final'!$B$3:$L$95</definedName>
    <definedName name="_xlnm.Print_Area" localSheetId="53">'3421'!$B$3:$L$95</definedName>
    <definedName name="_xlnm.Print_Area" localSheetId="54">'3431'!$B$3:$L$95</definedName>
    <definedName name="_xlnm.Print_Area" localSheetId="55">'3431 June Final'!$B$3:$L$95</definedName>
    <definedName name="_xlnm.Print_Area" localSheetId="56">'3441'!$B$3:$L$95</definedName>
    <definedName name="_xlnm.Print_Area" localSheetId="57">'3443'!$B$3:$L$95</definedName>
    <definedName name="_xlnm.Print_Area" localSheetId="58">'3941'!$B$3:$L$95</definedName>
    <definedName name="_xlnm.Print_Area" localSheetId="59">'3941 June Final'!$B$3:$L$95</definedName>
    <definedName name="_xlnm.Print_Area" localSheetId="60">'3961'!$B$3:$L$95</definedName>
    <definedName name="_xlnm.Print_Area" localSheetId="61">'3961 June Final'!$B$3:$L$95</definedName>
    <definedName name="_xlnm.Print_Area" localSheetId="62">'3971'!$B$3:$L$95</definedName>
    <definedName name="_xlnm.Print_Area" localSheetId="63">'4000'!$B$3:$L$95</definedName>
    <definedName name="_xlnm.Print_Area" localSheetId="64">'4000 June Final'!$B$3:$L$95</definedName>
    <definedName name="_xlnm.Print_Area" localSheetId="65">'4002'!$A$1:$L$95</definedName>
    <definedName name="_xlnm.Print_Area" localSheetId="66">'4002 June Final'!$B$3:$L$95</definedName>
    <definedName name="_xlnm.Print_Area" localSheetId="67">'4010'!$B$3:$L$95</definedName>
    <definedName name="_xlnm.Print_Area" localSheetId="68">'4012'!$B$3:$L$95</definedName>
    <definedName name="_xlnm.Print_Area" localSheetId="69">'4013'!$B$3:$L$95</definedName>
    <definedName name="_xlnm.Print_Area" localSheetId="70">'4020'!$B$3:$L$95</definedName>
    <definedName name="_xlnm.Print_Area" localSheetId="72">'4020 June Final'!$B$3:$L$95</definedName>
    <definedName name="_xlnm.Print_Area" localSheetId="71">'4020 June Tch Alloc.'!$B$3:$L$95</definedName>
    <definedName name="_xlnm.Print_Area" localSheetId="73">'4037'!$B$3:$L$95</definedName>
    <definedName name="_xlnm.Print_Area" localSheetId="74">'4037 June Final'!$B$3:$L$95</definedName>
    <definedName name="_xlnm.Print_Area" localSheetId="75">'4040'!$A$3:$D$21</definedName>
    <definedName name="_xlnm.Print_Area" localSheetId="76">'4041'!$B$3:$L$95</definedName>
    <definedName name="_xlnm.Print_Area" localSheetId="0">'Net Payment'!$B$4:$D$80</definedName>
    <definedName name="_xlnm.Print_Titles" localSheetId="0">'Net Payment'!$3:$3</definedName>
    <definedName name="Program" localSheetId="3">'0054'!$B$8</definedName>
    <definedName name="Program" localSheetId="4">'0054 June Final'!$B$8</definedName>
    <definedName name="Program" localSheetId="5">'0642'!$B$8</definedName>
    <definedName name="Program" localSheetId="6">'0642 June Final'!$B$8</definedName>
    <definedName name="Program" localSheetId="7">'0664'!$B$8</definedName>
    <definedName name="Program" localSheetId="8">'0664 June Final'!$B$8</definedName>
    <definedName name="Program" localSheetId="9">'1461'!$B$8</definedName>
    <definedName name="Program" localSheetId="10">'1571'!$B$8</definedName>
    <definedName name="Program" localSheetId="11">'2521'!$B$8</definedName>
    <definedName name="Program" localSheetId="12">'2531'!$B$8</definedName>
    <definedName name="Program" localSheetId="13">'2531 June final'!$B$8</definedName>
    <definedName name="Program" localSheetId="14">'2641'!$B$8</definedName>
    <definedName name="Program" localSheetId="15">'2641 June Final'!$B$8</definedName>
    <definedName name="Program" localSheetId="16">'2661'!$B$8</definedName>
    <definedName name="Program" localSheetId="17">'2661 June Final'!$B$8</definedName>
    <definedName name="Program" localSheetId="18">'2791'!$B$8</definedName>
    <definedName name="Program" localSheetId="19">'2791 June final'!$B$8</definedName>
    <definedName name="Program" localSheetId="20">'2801'!$B$8</definedName>
    <definedName name="Program" localSheetId="21">'2801 June Final'!$B$8</definedName>
    <definedName name="Program" localSheetId="22">'2911'!$B$8</definedName>
    <definedName name="Program" localSheetId="23">'2911 June final'!$B$8</definedName>
    <definedName name="Program" localSheetId="24">'2941'!$B$8</definedName>
    <definedName name="Program" localSheetId="25">'2941 June final'!$B$8</definedName>
    <definedName name="Program" localSheetId="26">'3083'!$B$8</definedName>
    <definedName name="Program" localSheetId="27">'3344'!$B$8</definedName>
    <definedName name="Program" localSheetId="28">'3345'!$B$8</definedName>
    <definedName name="Program" localSheetId="29">'3347'!$B$8</definedName>
    <definedName name="Program" localSheetId="30">'3381'!$B$8</definedName>
    <definedName name="Program" localSheetId="31">'3381 June Final'!$B$8</definedName>
    <definedName name="Program" localSheetId="32">'3382'!$B$8</definedName>
    <definedName name="Program" localSheetId="33">'3382 June Final'!$B$8</definedName>
    <definedName name="Program" localSheetId="34">'3384'!$B$8</definedName>
    <definedName name="Program" localSheetId="35">'3384 June Final'!$B$8</definedName>
    <definedName name="Program" localSheetId="36">'3385'!$B$8</definedName>
    <definedName name="Program" localSheetId="37">'3385 June Final'!$B$8</definedName>
    <definedName name="Program" localSheetId="38">'3386'!$B$8</definedName>
    <definedName name="Program" localSheetId="39">'3391'!$B$8</definedName>
    <definedName name="Program" localSheetId="40">'3392'!$B$8</definedName>
    <definedName name="Program" localSheetId="41">'3392 June Final'!$B$8</definedName>
    <definedName name="Program" localSheetId="42">'3394'!$B$8</definedName>
    <definedName name="Program" localSheetId="43">'3394 June Final'!$B$8</definedName>
    <definedName name="Program" localSheetId="44">'3395'!$B$8</definedName>
    <definedName name="Program" localSheetId="45">'3395 June Final'!$B$8</definedName>
    <definedName name="Program" localSheetId="46">'3396'!$B$8</definedName>
    <definedName name="Program" localSheetId="47">'3398'!$B$8</definedName>
    <definedName name="Program" localSheetId="48">'3400'!$B$8</definedName>
    <definedName name="Program" localSheetId="49">'3401'!$B$8</definedName>
    <definedName name="Program" localSheetId="50">'3411'!$B$8</definedName>
    <definedName name="Program" localSheetId="51">'3413'!$B$8</definedName>
    <definedName name="Program" localSheetId="52">'3413 June Final'!$B$8</definedName>
    <definedName name="Program" localSheetId="53">'3421'!$B$8</definedName>
    <definedName name="Program" localSheetId="54">'3431'!$B$8</definedName>
    <definedName name="Program" localSheetId="55">'3431 June Final'!$B$8</definedName>
    <definedName name="Program" localSheetId="56">'3441'!$B$8</definedName>
    <definedName name="Program" localSheetId="57">'3443'!$B$8</definedName>
    <definedName name="Program" localSheetId="58">'3941'!$B$8</definedName>
    <definedName name="Program" localSheetId="59">'3941 June Final'!$B$8</definedName>
    <definedName name="Program" localSheetId="60">'3961'!$B$8</definedName>
    <definedName name="Program" localSheetId="61">'3961 June Final'!$B$8</definedName>
    <definedName name="Program" localSheetId="62">'3971'!$B$8</definedName>
    <definedName name="Program" localSheetId="63">'4000'!$B$8</definedName>
    <definedName name="Program" localSheetId="64">'4000 June Final'!$B$8</definedName>
    <definedName name="Program" localSheetId="65">'4002'!$B$8</definedName>
    <definedName name="Program" localSheetId="66">'4002 June Final'!$B$8</definedName>
    <definedName name="Program" localSheetId="67">'4010'!$B$8</definedName>
    <definedName name="Program" localSheetId="68">'4012'!$B$8</definedName>
    <definedName name="Program" localSheetId="69">'4013'!$B$8</definedName>
    <definedName name="Program" localSheetId="70">'4020'!$B$8</definedName>
    <definedName name="Program" localSheetId="72">'4020 June Final'!$B$8</definedName>
    <definedName name="Program" localSheetId="71">'4020 June Tch Alloc.'!$B$8</definedName>
    <definedName name="Program" localSheetId="73">'4037'!$B$8</definedName>
    <definedName name="Program" localSheetId="74">'4037 June Final'!$B$8</definedName>
    <definedName name="Program" localSheetId="75">#REF!</definedName>
    <definedName name="Program" localSheetId="76">'4041'!$B$8</definedName>
    <definedName name="Program" localSheetId="1">#REF!</definedName>
    <definedName name="Program" localSheetId="0">#REF!</definedName>
    <definedName name="Program">#REF!</definedName>
    <definedName name="Program______________________________Cost_Factor" localSheetId="3">'0054'!$I$8</definedName>
    <definedName name="Program______________________________Cost_Factor" localSheetId="4">'0054 June Final'!$I$8</definedName>
    <definedName name="Program______________________________Cost_Factor" localSheetId="5">'0642'!$I$8</definedName>
    <definedName name="Program______________________________Cost_Factor" localSheetId="6">'0642 June Final'!$I$8</definedName>
    <definedName name="Program______________________________Cost_Factor" localSheetId="7">'0664'!$I$8</definedName>
    <definedName name="Program______________________________Cost_Factor" localSheetId="8">'0664 June Final'!$I$8</definedName>
    <definedName name="Program______________________________Cost_Factor" localSheetId="9">'1461'!$I$8</definedName>
    <definedName name="Program______________________________Cost_Factor" localSheetId="10">'1571'!$I$8</definedName>
    <definedName name="Program______________________________Cost_Factor" localSheetId="11">'2521'!$I$8</definedName>
    <definedName name="Program______________________________Cost_Factor" localSheetId="12">'2531'!$I$8</definedName>
    <definedName name="Program______________________________Cost_Factor" localSheetId="13">'2531 June final'!$I$8</definedName>
    <definedName name="Program______________________________Cost_Factor" localSheetId="14">'2641'!$I$8</definedName>
    <definedName name="Program______________________________Cost_Factor" localSheetId="15">'2641 June Final'!$I$8</definedName>
    <definedName name="Program______________________________Cost_Factor" localSheetId="16">'2661'!$I$8</definedName>
    <definedName name="Program______________________________Cost_Factor" localSheetId="17">'2661 June Final'!$I$8</definedName>
    <definedName name="Program______________________________Cost_Factor" localSheetId="18">'2791'!$I$8</definedName>
    <definedName name="Program______________________________Cost_Factor" localSheetId="19">'2791 June final'!$I$8</definedName>
    <definedName name="Program______________________________Cost_Factor" localSheetId="20">'2801'!$I$8</definedName>
    <definedName name="Program______________________________Cost_Factor" localSheetId="21">'2801 June Final'!$I$8</definedName>
    <definedName name="Program______________________________Cost_Factor" localSheetId="22">'2911'!$I$8</definedName>
    <definedName name="Program______________________________Cost_Factor" localSheetId="23">'2911 June final'!$I$8</definedName>
    <definedName name="Program______________________________Cost_Factor" localSheetId="24">'2941'!$I$8</definedName>
    <definedName name="Program______________________________Cost_Factor" localSheetId="25">'2941 June final'!$I$8</definedName>
    <definedName name="Program______________________________Cost_Factor" localSheetId="26">'3083'!$I$8</definedName>
    <definedName name="Program______________________________Cost_Factor" localSheetId="27">'3344'!$I$8</definedName>
    <definedName name="Program______________________________Cost_Factor" localSheetId="28">'3345'!$I$8</definedName>
    <definedName name="Program______________________________Cost_Factor" localSheetId="29">'3347'!$I$8</definedName>
    <definedName name="Program______________________________Cost_Factor" localSheetId="30">'3381'!$I$8</definedName>
    <definedName name="Program______________________________Cost_Factor" localSheetId="31">'3381 June Final'!$I$8</definedName>
    <definedName name="Program______________________________Cost_Factor" localSheetId="32">'3382'!$I$8</definedName>
    <definedName name="Program______________________________Cost_Factor" localSheetId="33">'3382 June Final'!$I$8</definedName>
    <definedName name="Program______________________________Cost_Factor" localSheetId="34">'3384'!$I$8</definedName>
    <definedName name="Program______________________________Cost_Factor" localSheetId="35">'3384 June Final'!$I$8</definedName>
    <definedName name="Program______________________________Cost_Factor" localSheetId="36">'3385'!$I$8</definedName>
    <definedName name="Program______________________________Cost_Factor" localSheetId="37">'3385 June Final'!$I$8</definedName>
    <definedName name="Program______________________________Cost_Factor" localSheetId="38">'3386'!$I$8</definedName>
    <definedName name="Program______________________________Cost_Factor" localSheetId="39">'3391'!$I$8</definedName>
    <definedName name="Program______________________________Cost_Factor" localSheetId="40">'3392'!$I$8</definedName>
    <definedName name="Program______________________________Cost_Factor" localSheetId="41">'3392 June Final'!$I$8</definedName>
    <definedName name="Program______________________________Cost_Factor" localSheetId="42">'3394'!$I$8</definedName>
    <definedName name="Program______________________________Cost_Factor" localSheetId="43">'3394 June Final'!$I$8</definedName>
    <definedName name="Program______________________________Cost_Factor" localSheetId="44">'3395'!$I$8</definedName>
    <definedName name="Program______________________________Cost_Factor" localSheetId="45">'3395 June Final'!$I$8</definedName>
    <definedName name="Program______________________________Cost_Factor" localSheetId="46">'3396'!$I$8</definedName>
    <definedName name="Program______________________________Cost_Factor" localSheetId="47">'3398'!$I$8</definedName>
    <definedName name="Program______________________________Cost_Factor" localSheetId="48">'3400'!$I$8</definedName>
    <definedName name="Program______________________________Cost_Factor" localSheetId="49">'3401'!$I$8</definedName>
    <definedName name="Program______________________________Cost_Factor" localSheetId="50">'3411'!$I$8</definedName>
    <definedName name="Program______________________________Cost_Factor" localSheetId="51">'3413'!$I$8</definedName>
    <definedName name="Program______________________________Cost_Factor" localSheetId="52">'3413 June Final'!$I$8</definedName>
    <definedName name="Program______________________________Cost_Factor" localSheetId="53">'3421'!$I$8</definedName>
    <definedName name="Program______________________________Cost_Factor" localSheetId="54">'3431'!$I$8</definedName>
    <definedName name="Program______________________________Cost_Factor" localSheetId="55">'3431 June Final'!$I$8</definedName>
    <definedName name="Program______________________________Cost_Factor" localSheetId="56">'3441'!$I$8</definedName>
    <definedName name="Program______________________________Cost_Factor" localSheetId="57">'3443'!$I$8</definedName>
    <definedName name="Program______________________________Cost_Factor" localSheetId="58">'3941'!$I$8</definedName>
    <definedName name="Program______________________________Cost_Factor" localSheetId="59">'3941 June Final'!$I$8</definedName>
    <definedName name="Program______________________________Cost_Factor" localSheetId="60">'3961'!$I$8</definedName>
    <definedName name="Program______________________________Cost_Factor" localSheetId="61">'3961 June Final'!$I$8</definedName>
    <definedName name="Program______________________________Cost_Factor" localSheetId="62">'3971'!$I$8</definedName>
    <definedName name="Program______________________________Cost_Factor" localSheetId="63">'4000'!$I$8</definedName>
    <definedName name="Program______________________________Cost_Factor" localSheetId="64">'4000 June Final'!$I$8</definedName>
    <definedName name="Program______________________________Cost_Factor" localSheetId="65">'4002'!$I$8</definedName>
    <definedName name="Program______________________________Cost_Factor" localSheetId="66">'4002 June Final'!$I$8</definedName>
    <definedName name="Program______________________________Cost_Factor" localSheetId="67">'4010'!$I$8</definedName>
    <definedName name="Program______________________________Cost_Factor" localSheetId="68">'4012'!$I$8</definedName>
    <definedName name="Program______________________________Cost_Factor" localSheetId="69">'4013'!$I$8</definedName>
    <definedName name="Program______________________________Cost_Factor" localSheetId="70">'4020'!$I$8</definedName>
    <definedName name="Program______________________________Cost_Factor" localSheetId="72">'4020 June Final'!$I$8</definedName>
    <definedName name="Program______________________________Cost_Factor" localSheetId="71">'4020 June Tch Alloc.'!$I$8</definedName>
    <definedName name="Program______________________________Cost_Factor" localSheetId="73">'4037'!$I$8</definedName>
    <definedName name="Program______________________________Cost_Factor" localSheetId="74">'4037 June Final'!$I$8</definedName>
    <definedName name="Program______________________________Cost_Factor" localSheetId="75">#REF!</definedName>
    <definedName name="Program______________________________Cost_Factor" localSheetId="76">'4041'!$I$8</definedName>
    <definedName name="Program______________________________Cost_Factor" localSheetId="1">#REF!</definedName>
    <definedName name="Program______________________________Cost_Factor" localSheetId="0">#REF!</definedName>
    <definedName name="Program______________________________Cost_Factor">#REF!</definedName>
    <definedName name="Revenue_Estimate_Worksheet_for___________Charter_School" localSheetId="3">'0054'!$B$3</definedName>
    <definedName name="Revenue_Estimate_Worksheet_for___________Charter_School" localSheetId="4">'0054 June Final'!$B$3</definedName>
    <definedName name="Revenue_Estimate_Worksheet_for___________Charter_School" localSheetId="5">'0642'!$B$3</definedName>
    <definedName name="Revenue_Estimate_Worksheet_for___________Charter_School" localSheetId="6">'0642 June Final'!$B$3</definedName>
    <definedName name="Revenue_Estimate_Worksheet_for___________Charter_School" localSheetId="7">'0664'!$B$3</definedName>
    <definedName name="Revenue_Estimate_Worksheet_for___________Charter_School" localSheetId="8">'0664 June Final'!$B$3</definedName>
    <definedName name="Revenue_Estimate_Worksheet_for___________Charter_School" localSheetId="9">'1461'!$B$3</definedName>
    <definedName name="Revenue_Estimate_Worksheet_for___________Charter_School" localSheetId="10">'1571'!$B$3</definedName>
    <definedName name="Revenue_Estimate_Worksheet_for___________Charter_School" localSheetId="11">'2521'!$B$3</definedName>
    <definedName name="Revenue_Estimate_Worksheet_for___________Charter_School" localSheetId="12">'2531'!$B$3</definedName>
    <definedName name="Revenue_Estimate_Worksheet_for___________Charter_School" localSheetId="13">'2531 June final'!$B$3</definedName>
    <definedName name="Revenue_Estimate_Worksheet_for___________Charter_School" localSheetId="14">'2641'!$B$3</definedName>
    <definedName name="Revenue_Estimate_Worksheet_for___________Charter_School" localSheetId="15">'2641 June Final'!$B$3</definedName>
    <definedName name="Revenue_Estimate_Worksheet_for___________Charter_School" localSheetId="16">'2661'!$B$3</definedName>
    <definedName name="Revenue_Estimate_Worksheet_for___________Charter_School" localSheetId="17">'2661 June Final'!$B$3</definedName>
    <definedName name="Revenue_Estimate_Worksheet_for___________Charter_School" localSheetId="18">'2791'!$B$3</definedName>
    <definedName name="Revenue_Estimate_Worksheet_for___________Charter_School" localSheetId="19">'2791 June final'!$B$3</definedName>
    <definedName name="Revenue_Estimate_Worksheet_for___________Charter_School" localSheetId="20">'2801'!$B$3</definedName>
    <definedName name="Revenue_Estimate_Worksheet_for___________Charter_School" localSheetId="21">'2801 June Final'!$B$3</definedName>
    <definedName name="Revenue_Estimate_Worksheet_for___________Charter_School" localSheetId="22">'2911'!$B$3</definedName>
    <definedName name="Revenue_Estimate_Worksheet_for___________Charter_School" localSheetId="23">'2911 June final'!$B$3</definedName>
    <definedName name="Revenue_Estimate_Worksheet_for___________Charter_School" localSheetId="24">'2941'!$B$3</definedName>
    <definedName name="Revenue_Estimate_Worksheet_for___________Charter_School" localSheetId="25">'2941 June final'!$B$3</definedName>
    <definedName name="Revenue_Estimate_Worksheet_for___________Charter_School" localSheetId="26">'3083'!$B$3</definedName>
    <definedName name="Revenue_Estimate_Worksheet_for___________Charter_School" localSheetId="27">'3344'!$B$3</definedName>
    <definedName name="Revenue_Estimate_Worksheet_for___________Charter_School" localSheetId="28">'3345'!$B$3</definedName>
    <definedName name="Revenue_Estimate_Worksheet_for___________Charter_School" localSheetId="29">'3347'!$B$3</definedName>
    <definedName name="Revenue_Estimate_Worksheet_for___________Charter_School" localSheetId="30">'3381'!$B$3</definedName>
    <definedName name="Revenue_Estimate_Worksheet_for___________Charter_School" localSheetId="31">'3381 June Final'!$B$3</definedName>
    <definedName name="Revenue_Estimate_Worksheet_for___________Charter_School" localSheetId="32">'3382'!$B$3</definedName>
    <definedName name="Revenue_Estimate_Worksheet_for___________Charter_School" localSheetId="33">'3382 June Final'!$B$3</definedName>
    <definedName name="Revenue_Estimate_Worksheet_for___________Charter_School" localSheetId="34">'3384'!$B$3</definedName>
    <definedName name="Revenue_Estimate_Worksheet_for___________Charter_School" localSheetId="35">'3384 June Final'!$B$3</definedName>
    <definedName name="Revenue_Estimate_Worksheet_for___________Charter_School" localSheetId="36">'3385'!$B$3</definedName>
    <definedName name="Revenue_Estimate_Worksheet_for___________Charter_School" localSheetId="37">'3385 June Final'!$B$3</definedName>
    <definedName name="Revenue_Estimate_Worksheet_for___________Charter_School" localSheetId="38">'3386'!$B$3</definedName>
    <definedName name="Revenue_Estimate_Worksheet_for___________Charter_School" localSheetId="39">'3391'!$B$3</definedName>
    <definedName name="Revenue_Estimate_Worksheet_for___________Charter_School" localSheetId="40">'3392'!$B$3</definedName>
    <definedName name="Revenue_Estimate_Worksheet_for___________Charter_School" localSheetId="41">'3392 June Final'!$B$3</definedName>
    <definedName name="Revenue_Estimate_Worksheet_for___________Charter_School" localSheetId="42">'3394'!$B$3</definedName>
    <definedName name="Revenue_Estimate_Worksheet_for___________Charter_School" localSheetId="43">'3394 June Final'!$B$3</definedName>
    <definedName name="Revenue_Estimate_Worksheet_for___________Charter_School" localSheetId="44">'3395'!$B$3</definedName>
    <definedName name="Revenue_Estimate_Worksheet_for___________Charter_School" localSheetId="45">'3395 June Final'!$B$3</definedName>
    <definedName name="Revenue_Estimate_Worksheet_for___________Charter_School" localSheetId="46">'3396'!$B$3</definedName>
    <definedName name="Revenue_Estimate_Worksheet_for___________Charter_School" localSheetId="47">'3398'!$B$3</definedName>
    <definedName name="Revenue_Estimate_Worksheet_for___________Charter_School" localSheetId="48">'3400'!$B$3</definedName>
    <definedName name="Revenue_Estimate_Worksheet_for___________Charter_School" localSheetId="49">'3401'!$B$3</definedName>
    <definedName name="Revenue_Estimate_Worksheet_for___________Charter_School" localSheetId="50">'3411'!$B$3</definedName>
    <definedName name="Revenue_Estimate_Worksheet_for___________Charter_School" localSheetId="51">'3413'!$B$3</definedName>
    <definedName name="Revenue_Estimate_Worksheet_for___________Charter_School" localSheetId="52">'3413 June Final'!$B$3</definedName>
    <definedName name="Revenue_Estimate_Worksheet_for___________Charter_School" localSheetId="53">'3421'!$B$3</definedName>
    <definedName name="Revenue_Estimate_Worksheet_for___________Charter_School" localSheetId="54">'3431'!$B$3</definedName>
    <definedName name="Revenue_Estimate_Worksheet_for___________Charter_School" localSheetId="55">'3431 June Final'!$B$3</definedName>
    <definedName name="Revenue_Estimate_Worksheet_for___________Charter_School" localSheetId="56">'3441'!$B$3</definedName>
    <definedName name="Revenue_Estimate_Worksheet_for___________Charter_School" localSheetId="57">'3443'!$B$3</definedName>
    <definedName name="Revenue_Estimate_Worksheet_for___________Charter_School" localSheetId="58">'3941'!$B$3</definedName>
    <definedName name="Revenue_Estimate_Worksheet_for___________Charter_School" localSheetId="59">'3941 June Final'!$B$3</definedName>
    <definedName name="Revenue_Estimate_Worksheet_for___________Charter_School" localSheetId="60">'3961'!$B$3</definedName>
    <definedName name="Revenue_Estimate_Worksheet_for___________Charter_School" localSheetId="61">'3961 June Final'!$B$3</definedName>
    <definedName name="Revenue_Estimate_Worksheet_for___________Charter_School" localSheetId="62">'3971'!$B$3</definedName>
    <definedName name="Revenue_Estimate_Worksheet_for___________Charter_School" localSheetId="63">'4000'!$B$3</definedName>
    <definedName name="Revenue_Estimate_Worksheet_for___________Charter_School" localSheetId="64">'4000 June Final'!$B$3</definedName>
    <definedName name="Revenue_Estimate_Worksheet_for___________Charter_School" localSheetId="65">'4002'!$B$3</definedName>
    <definedName name="Revenue_Estimate_Worksheet_for___________Charter_School" localSheetId="66">'4002 June Final'!$B$3</definedName>
    <definedName name="Revenue_Estimate_Worksheet_for___________Charter_School" localSheetId="67">'4010'!$B$3</definedName>
    <definedName name="Revenue_Estimate_Worksheet_for___________Charter_School" localSheetId="68">'4012'!$B$3</definedName>
    <definedName name="Revenue_Estimate_Worksheet_for___________Charter_School" localSheetId="69">'4013'!$B$3</definedName>
    <definedName name="Revenue_Estimate_Worksheet_for___________Charter_School" localSheetId="70">'4020'!$B$3</definedName>
    <definedName name="Revenue_Estimate_Worksheet_for___________Charter_School" localSheetId="72">'4020 June Final'!$B$3</definedName>
    <definedName name="Revenue_Estimate_Worksheet_for___________Charter_School" localSheetId="71">'4020 June Tch Alloc.'!$B$3</definedName>
    <definedName name="Revenue_Estimate_Worksheet_for___________Charter_School" localSheetId="73">'4037'!$B$3</definedName>
    <definedName name="Revenue_Estimate_Worksheet_for___________Charter_School" localSheetId="74">'4037 June Final'!$B$3</definedName>
    <definedName name="Revenue_Estimate_Worksheet_for___________Charter_School" localSheetId="75">#REF!</definedName>
    <definedName name="Revenue_Estimate_Worksheet_for___________Charter_School" localSheetId="76">'4041'!$B$3</definedName>
    <definedName name="Revenue_Estimate_Worksheet_for___________Charter_School" localSheetId="1">#REF!</definedName>
    <definedName name="Revenue_Estimate_Worksheet_for___________Charter_School" localSheetId="0">#REF!</definedName>
    <definedName name="Revenue_Estimate_Worksheet_for___________Charter_School">#REF!</definedName>
    <definedName name="RID" localSheetId="4">#REF!</definedName>
    <definedName name="RID" localSheetId="6">#REF!</definedName>
    <definedName name="RID" localSheetId="8">#REF!</definedName>
    <definedName name="RID" localSheetId="13">#REF!</definedName>
    <definedName name="RID" localSheetId="15">#REF!</definedName>
    <definedName name="RID" localSheetId="17">#REF!</definedName>
    <definedName name="RID" localSheetId="19">#REF!</definedName>
    <definedName name="RID" localSheetId="21">#REF!</definedName>
    <definedName name="RID" localSheetId="23">#REF!</definedName>
    <definedName name="RID" localSheetId="25">#REF!</definedName>
    <definedName name="RID" localSheetId="31">#REF!</definedName>
    <definedName name="RID" localSheetId="33">#REF!</definedName>
    <definedName name="RID" localSheetId="35">#REF!</definedName>
    <definedName name="RID" localSheetId="37">#REF!</definedName>
    <definedName name="RID" localSheetId="41">#REF!</definedName>
    <definedName name="RID" localSheetId="43">#REF!</definedName>
    <definedName name="RID" localSheetId="45">#REF!</definedName>
    <definedName name="RID" localSheetId="52">#REF!</definedName>
    <definedName name="RID" localSheetId="55">#REF!</definedName>
    <definedName name="RID" localSheetId="56">#REF!</definedName>
    <definedName name="RID" localSheetId="57">#REF!</definedName>
    <definedName name="RID" localSheetId="59">#REF!</definedName>
    <definedName name="RID" localSheetId="61">#REF!</definedName>
    <definedName name="RID" localSheetId="64">#REF!</definedName>
    <definedName name="RID" localSheetId="66">#REF!</definedName>
    <definedName name="RID" localSheetId="72">#REF!</definedName>
    <definedName name="RID" localSheetId="71">#REF!</definedName>
    <definedName name="RID" localSheetId="74">#REF!</definedName>
    <definedName name="RID" localSheetId="75">#REF!</definedName>
    <definedName name="RID" localSheetId="76">#REF!</definedName>
    <definedName name="RID" localSheetId="1">#REF!</definedName>
    <definedName name="RID" localSheetId="0">#REF!</definedName>
    <definedName name="RID">#REF!</definedName>
    <definedName name="School_District" localSheetId="3">'0054'!$B$5</definedName>
    <definedName name="School_District" localSheetId="4">'0054 June Final'!$B$5</definedName>
    <definedName name="School_District" localSheetId="5">'0642'!$B$5</definedName>
    <definedName name="School_District" localSheetId="6">'0642 June Final'!$B$5</definedName>
    <definedName name="School_District" localSheetId="7">'0664'!$B$5</definedName>
    <definedName name="School_District" localSheetId="8">'0664 June Final'!$B$5</definedName>
    <definedName name="School_District" localSheetId="9">'1461'!$B$5</definedName>
    <definedName name="School_District" localSheetId="10">'1571'!$B$5</definedName>
    <definedName name="School_District" localSheetId="11">'2521'!$B$5</definedName>
    <definedName name="School_District" localSheetId="12">'2531'!$B$5</definedName>
    <definedName name="School_District" localSheetId="13">'2531 June final'!$B$5</definedName>
    <definedName name="School_District" localSheetId="14">'2641'!$B$5</definedName>
    <definedName name="School_District" localSheetId="15">'2641 June Final'!$B$5</definedName>
    <definedName name="School_District" localSheetId="16">'2661'!$B$5</definedName>
    <definedName name="School_District" localSheetId="17">'2661 June Final'!$B$5</definedName>
    <definedName name="School_District" localSheetId="18">'2791'!$B$5</definedName>
    <definedName name="School_District" localSheetId="19">'2791 June final'!$B$5</definedName>
    <definedName name="School_District" localSheetId="20">'2801'!$B$5</definedName>
    <definedName name="School_District" localSheetId="21">'2801 June Final'!$B$5</definedName>
    <definedName name="School_District" localSheetId="22">'2911'!$B$5</definedName>
    <definedName name="School_District" localSheetId="23">'2911 June final'!$B$5</definedName>
    <definedName name="School_District" localSheetId="24">'2941'!$B$5</definedName>
    <definedName name="School_District" localSheetId="25">'2941 June final'!$B$5</definedName>
    <definedName name="School_District" localSheetId="26">'3083'!$B$5</definedName>
    <definedName name="School_District" localSheetId="27">'3344'!$B$5</definedName>
    <definedName name="School_District" localSheetId="28">'3345'!$B$5</definedName>
    <definedName name="School_District" localSheetId="29">'3347'!$B$5</definedName>
    <definedName name="School_District" localSheetId="30">'3381'!$B$5</definedName>
    <definedName name="School_District" localSheetId="31">'3381 June Final'!$B$5</definedName>
    <definedName name="School_District" localSheetId="32">'3382'!$B$5</definedName>
    <definedName name="School_District" localSheetId="33">'3382 June Final'!$B$5</definedName>
    <definedName name="School_District" localSheetId="34">'3384'!$B$5</definedName>
    <definedName name="School_District" localSheetId="35">'3384 June Final'!$B$5</definedName>
    <definedName name="School_District" localSheetId="36">'3385'!$B$5</definedName>
    <definedName name="School_District" localSheetId="37">'3385 June Final'!$B$5</definedName>
    <definedName name="School_District" localSheetId="38">'3386'!$B$5</definedName>
    <definedName name="School_District" localSheetId="39">'3391'!$B$5</definedName>
    <definedName name="School_District" localSheetId="40">'3392'!$B$5</definedName>
    <definedName name="School_District" localSheetId="41">'3392 June Final'!$B$5</definedName>
    <definedName name="School_District" localSheetId="42">'3394'!$B$5</definedName>
    <definedName name="School_District" localSheetId="43">'3394 June Final'!$B$5</definedName>
    <definedName name="School_District" localSheetId="44">'3395'!$B$5</definedName>
    <definedName name="School_District" localSheetId="45">'3395 June Final'!$B$5</definedName>
    <definedName name="School_District" localSheetId="46">'3396'!$B$5</definedName>
    <definedName name="School_District" localSheetId="47">'3398'!$B$5</definedName>
    <definedName name="School_District" localSheetId="48">'3400'!$B$5</definedName>
    <definedName name="School_District" localSheetId="49">'3401'!$B$5</definedName>
    <definedName name="School_District" localSheetId="50">'3411'!$B$5</definedName>
    <definedName name="School_District" localSheetId="51">'3413'!$B$5</definedName>
    <definedName name="School_District" localSheetId="52">'3413 June Final'!$B$5</definedName>
    <definedName name="School_District" localSheetId="53">'3421'!$B$5</definedName>
    <definedName name="School_District" localSheetId="54">'3431'!$B$5</definedName>
    <definedName name="School_District" localSheetId="55">'3431 June Final'!$B$5</definedName>
    <definedName name="School_District" localSheetId="56">'3441'!$B$5</definedName>
    <definedName name="School_District" localSheetId="57">'3443'!$B$5</definedName>
    <definedName name="School_District" localSheetId="58">'3941'!$B$5</definedName>
    <definedName name="School_District" localSheetId="59">'3941 June Final'!$B$5</definedName>
    <definedName name="School_District" localSheetId="60">'3961'!$B$5</definedName>
    <definedName name="School_District" localSheetId="61">'3961 June Final'!$B$5</definedName>
    <definedName name="School_District" localSheetId="62">'3971'!$B$5</definedName>
    <definedName name="School_District" localSheetId="63">'4000'!$B$5</definedName>
    <definedName name="School_District" localSheetId="64">'4000 June Final'!$B$5</definedName>
    <definedName name="School_District" localSheetId="65">'4002'!$B$5</definedName>
    <definedName name="School_District" localSheetId="66">'4002 June Final'!$B$5</definedName>
    <definedName name="School_District" localSheetId="67">'4010'!$B$5</definedName>
    <definedName name="School_District" localSheetId="68">'4012'!$B$5</definedName>
    <definedName name="School_District" localSheetId="69">'4013'!$B$5</definedName>
    <definedName name="School_District" localSheetId="70">'4020'!$B$5</definedName>
    <definedName name="School_District" localSheetId="72">'4020 June Final'!$B$5</definedName>
    <definedName name="School_District" localSheetId="71">'4020 June Tch Alloc.'!$B$5</definedName>
    <definedName name="School_District" localSheetId="73">'4037'!$B$5</definedName>
    <definedName name="School_District" localSheetId="74">'4037 June Final'!$B$5</definedName>
    <definedName name="School_District" localSheetId="75">#REF!</definedName>
    <definedName name="School_District" localSheetId="76">'4041'!$B$5</definedName>
    <definedName name="School_District" localSheetId="1">#REF!</definedName>
    <definedName name="School_District" localSheetId="0">#REF!</definedName>
    <definedName name="School_District">#REF!</definedName>
    <definedName name="SFV_QFUND_CODE" localSheetId="4">#REF!</definedName>
    <definedName name="SFV_QFUND_CODE" localSheetId="6">#REF!</definedName>
    <definedName name="SFV_QFUND_CODE" localSheetId="8">#REF!</definedName>
    <definedName name="SFV_QFUND_CODE" localSheetId="13">#REF!</definedName>
    <definedName name="SFV_QFUND_CODE" localSheetId="15">#REF!</definedName>
    <definedName name="SFV_QFUND_CODE" localSheetId="17">#REF!</definedName>
    <definedName name="SFV_QFUND_CODE" localSheetId="19">#REF!</definedName>
    <definedName name="SFV_QFUND_CODE" localSheetId="21">#REF!</definedName>
    <definedName name="SFV_QFUND_CODE" localSheetId="23">#REF!</definedName>
    <definedName name="SFV_QFUND_CODE" localSheetId="25">#REF!</definedName>
    <definedName name="SFV_QFUND_CODE" localSheetId="31">#REF!</definedName>
    <definedName name="SFV_QFUND_CODE" localSheetId="33">#REF!</definedName>
    <definedName name="SFV_QFUND_CODE" localSheetId="35">#REF!</definedName>
    <definedName name="SFV_QFUND_CODE" localSheetId="37">#REF!</definedName>
    <definedName name="SFV_QFUND_CODE" localSheetId="41">#REF!</definedName>
    <definedName name="SFV_QFUND_CODE" localSheetId="43">#REF!</definedName>
    <definedName name="SFV_QFUND_CODE" localSheetId="45">#REF!</definedName>
    <definedName name="SFV_QFUND_CODE" localSheetId="52">#REF!</definedName>
    <definedName name="SFV_QFUND_CODE" localSheetId="55">#REF!</definedName>
    <definedName name="SFV_QFUND_CODE" localSheetId="56">#REF!</definedName>
    <definedName name="SFV_QFUND_CODE" localSheetId="57">#REF!</definedName>
    <definedName name="SFV_QFUND_CODE" localSheetId="59">#REF!</definedName>
    <definedName name="SFV_QFUND_CODE" localSheetId="61">#REF!</definedName>
    <definedName name="SFV_QFUND_CODE" localSheetId="64">#REF!</definedName>
    <definedName name="SFV_QFUND_CODE" localSheetId="66">#REF!</definedName>
    <definedName name="SFV_QFUND_CODE" localSheetId="72">#REF!</definedName>
    <definedName name="SFV_QFUND_CODE" localSheetId="71">#REF!</definedName>
    <definedName name="SFV_QFUND_CODE" localSheetId="74">#REF!</definedName>
    <definedName name="SFV_QFUND_CODE" localSheetId="75">#REF!</definedName>
    <definedName name="SFV_QFUND_CODE" localSheetId="76">#REF!</definedName>
    <definedName name="SFV_QFUND_CODE" localSheetId="1">#REF!</definedName>
    <definedName name="SFV_QFUND_CODE" localSheetId="0">#REF!</definedName>
    <definedName name="SFV_QFUND_CODE">#REF!</definedName>
    <definedName name="Total" localSheetId="3">'0054'!$B$50</definedName>
    <definedName name="Total" localSheetId="4">'0054 June Final'!$B$50</definedName>
    <definedName name="Total" localSheetId="5">'0642'!$B$50</definedName>
    <definedName name="Total" localSheetId="6">'0642 June Final'!$B$50</definedName>
    <definedName name="Total" localSheetId="7">'0664'!$B$50</definedName>
    <definedName name="Total" localSheetId="8">'0664 June Final'!$B$50</definedName>
    <definedName name="Total" localSheetId="9">'1461'!$B$50</definedName>
    <definedName name="Total" localSheetId="10">'1571'!$B$50</definedName>
    <definedName name="Total" localSheetId="11">'2521'!$B$50</definedName>
    <definedName name="Total" localSheetId="12">'2531'!$B$50</definedName>
    <definedName name="Total" localSheetId="13">'2531 June final'!$B$50</definedName>
    <definedName name="Total" localSheetId="14">'2641'!$B$50</definedName>
    <definedName name="Total" localSheetId="15">'2641 June Final'!$B$50</definedName>
    <definedName name="Total" localSheetId="16">'2661'!$B$50</definedName>
    <definedName name="Total" localSheetId="17">'2661 June Final'!$B$50</definedName>
    <definedName name="Total" localSheetId="18">'2791'!$B$50</definedName>
    <definedName name="Total" localSheetId="19">'2791 June final'!$B$50</definedName>
    <definedName name="Total" localSheetId="20">'2801'!$B$50</definedName>
    <definedName name="Total" localSheetId="21">'2801 June Final'!$B$50</definedName>
    <definedName name="Total" localSheetId="22">'2911'!$B$50</definedName>
    <definedName name="Total" localSheetId="23">'2911 June final'!$B$50</definedName>
    <definedName name="Total" localSheetId="24">'2941'!$B$50</definedName>
    <definedName name="Total" localSheetId="25">'2941 June final'!$B$50</definedName>
    <definedName name="Total" localSheetId="26">'3083'!$B$50</definedName>
    <definedName name="Total" localSheetId="27">'3344'!$B$50</definedName>
    <definedName name="Total" localSheetId="28">'3345'!$B$50</definedName>
    <definedName name="Total" localSheetId="29">'3347'!$B$50</definedName>
    <definedName name="Total" localSheetId="30">'3381'!$B$50</definedName>
    <definedName name="Total" localSheetId="31">'3381 June Final'!$B$50</definedName>
    <definedName name="Total" localSheetId="32">'3382'!$B$50</definedName>
    <definedName name="Total" localSheetId="33">'3382 June Final'!$B$50</definedName>
    <definedName name="Total" localSheetId="34">'3384'!$B$50</definedName>
    <definedName name="Total" localSheetId="35">'3384 June Final'!$B$50</definedName>
    <definedName name="Total" localSheetId="36">'3385'!$B$50</definedName>
    <definedName name="Total" localSheetId="37">'3385 June Final'!$B$50</definedName>
    <definedName name="Total" localSheetId="38">'3386'!$B$50</definedName>
    <definedName name="Total" localSheetId="39">'3391'!$B$50</definedName>
    <definedName name="Total" localSheetId="40">'3392'!$B$50</definedName>
    <definedName name="Total" localSheetId="41">'3392 June Final'!$B$50</definedName>
    <definedName name="Total" localSheetId="42">'3394'!$B$50</definedName>
    <definedName name="Total" localSheetId="43">'3394 June Final'!$B$50</definedName>
    <definedName name="Total" localSheetId="44">'3395'!$B$50</definedName>
    <definedName name="Total" localSheetId="45">'3395 June Final'!$B$50</definedName>
    <definedName name="Total" localSheetId="46">'3396'!$B$50</definedName>
    <definedName name="Total" localSheetId="47">'3398'!$B$50</definedName>
    <definedName name="Total" localSheetId="48">'3400'!$B$50</definedName>
    <definedName name="Total" localSheetId="49">'3401'!$B$50</definedName>
    <definedName name="Total" localSheetId="50">'3411'!$B$50</definedName>
    <definedName name="Total" localSheetId="51">'3413'!$B$50</definedName>
    <definedName name="Total" localSheetId="52">'3413 June Final'!$B$50</definedName>
    <definedName name="Total" localSheetId="53">'3421'!$B$50</definedName>
    <definedName name="Total" localSheetId="54">'3431'!$B$50</definedName>
    <definedName name="Total" localSheetId="55">'3431 June Final'!$B$50</definedName>
    <definedName name="Total" localSheetId="56">'3441'!$B$50</definedName>
    <definedName name="Total" localSheetId="57">'3443'!$B$50</definedName>
    <definedName name="Total" localSheetId="58">'3941'!$B$50</definedName>
    <definedName name="Total" localSheetId="59">'3941 June Final'!$B$50</definedName>
    <definedName name="Total" localSheetId="60">'3961'!$B$50</definedName>
    <definedName name="Total" localSheetId="61">'3961 June Final'!$B$50</definedName>
    <definedName name="Total" localSheetId="62">'3971'!$B$50</definedName>
    <definedName name="Total" localSheetId="63">'4000'!$B$50</definedName>
    <definedName name="Total" localSheetId="64">'4000 June Final'!$B$50</definedName>
    <definedName name="Total" localSheetId="65">'4002'!$B$50</definedName>
    <definedName name="Total" localSheetId="66">'4002 June Final'!$B$50</definedName>
    <definedName name="Total" localSheetId="67">'4010'!$B$50</definedName>
    <definedName name="Total" localSheetId="68">'4012'!$B$50</definedName>
    <definedName name="Total" localSheetId="69">'4013'!$B$50</definedName>
    <definedName name="Total" localSheetId="70">'4020'!$B$50</definedName>
    <definedName name="Total" localSheetId="72">'4020 June Final'!$B$50</definedName>
    <definedName name="Total" localSheetId="71">'4020 June Tch Alloc.'!$B$50</definedName>
    <definedName name="Total" localSheetId="73">'4037'!$B$50</definedName>
    <definedName name="Total" localSheetId="74">'4037 June Final'!$B$50</definedName>
    <definedName name="Total" localSheetId="75">#REF!</definedName>
    <definedName name="Total" localSheetId="76">'4041'!$B$50</definedName>
    <definedName name="Total" localSheetId="1">#REF!</definedName>
    <definedName name="Total" localSheetId="0">#REF!</definedName>
    <definedName name="Total">#REF!</definedName>
    <definedName name="Total_Class_Size_Reduction_Funds" localSheetId="3">'0054'!$G$50</definedName>
    <definedName name="Total_Class_Size_Reduction_Funds" localSheetId="4">'0054 June Final'!$G$50</definedName>
    <definedName name="Total_Class_Size_Reduction_Funds" localSheetId="5">'0642'!$G$50</definedName>
    <definedName name="Total_Class_Size_Reduction_Funds" localSheetId="6">'0642 June Final'!$G$50</definedName>
    <definedName name="Total_Class_Size_Reduction_Funds" localSheetId="7">'0664'!$G$50</definedName>
    <definedName name="Total_Class_Size_Reduction_Funds" localSheetId="8">'0664 June Final'!$G$50</definedName>
    <definedName name="Total_Class_Size_Reduction_Funds" localSheetId="9">'1461'!$G$50</definedName>
    <definedName name="Total_Class_Size_Reduction_Funds" localSheetId="10">'1571'!$G$50</definedName>
    <definedName name="Total_Class_Size_Reduction_Funds" localSheetId="11">'2521'!$G$50</definedName>
    <definedName name="Total_Class_Size_Reduction_Funds" localSheetId="12">'2531'!$G$50</definedName>
    <definedName name="Total_Class_Size_Reduction_Funds" localSheetId="13">'2531 June final'!$G$50</definedName>
    <definedName name="Total_Class_Size_Reduction_Funds" localSheetId="14">'2641'!$G$50</definedName>
    <definedName name="Total_Class_Size_Reduction_Funds" localSheetId="15">'2641 June Final'!$G$50</definedName>
    <definedName name="Total_Class_Size_Reduction_Funds" localSheetId="16">'2661'!$G$50</definedName>
    <definedName name="Total_Class_Size_Reduction_Funds" localSheetId="17">'2661 June Final'!$G$50</definedName>
    <definedName name="Total_Class_Size_Reduction_Funds" localSheetId="18">'2791'!$G$50</definedName>
    <definedName name="Total_Class_Size_Reduction_Funds" localSheetId="19">'2791 June final'!$G$50</definedName>
    <definedName name="Total_Class_Size_Reduction_Funds" localSheetId="20">'2801'!$G$50</definedName>
    <definedName name="Total_Class_Size_Reduction_Funds" localSheetId="21">'2801 June Final'!$G$50</definedName>
    <definedName name="Total_Class_Size_Reduction_Funds" localSheetId="22">'2911'!$G$50</definedName>
    <definedName name="Total_Class_Size_Reduction_Funds" localSheetId="23">'2911 June final'!$G$50</definedName>
    <definedName name="Total_Class_Size_Reduction_Funds" localSheetId="24">'2941'!$G$50</definedName>
    <definedName name="Total_Class_Size_Reduction_Funds" localSheetId="25">'2941 June final'!$G$50</definedName>
    <definedName name="Total_Class_Size_Reduction_Funds" localSheetId="26">'3083'!$G$50</definedName>
    <definedName name="Total_Class_Size_Reduction_Funds" localSheetId="27">'3344'!$G$50</definedName>
    <definedName name="Total_Class_Size_Reduction_Funds" localSheetId="28">'3345'!$G$50</definedName>
    <definedName name="Total_Class_Size_Reduction_Funds" localSheetId="29">'3347'!$G$50</definedName>
    <definedName name="Total_Class_Size_Reduction_Funds" localSheetId="30">'3381'!$G$50</definedName>
    <definedName name="Total_Class_Size_Reduction_Funds" localSheetId="31">'3381 June Final'!$G$50</definedName>
    <definedName name="Total_Class_Size_Reduction_Funds" localSheetId="32">'3382'!$G$50</definedName>
    <definedName name="Total_Class_Size_Reduction_Funds" localSheetId="33">'3382 June Final'!$G$50</definedName>
    <definedName name="Total_Class_Size_Reduction_Funds" localSheetId="34">'3384'!$G$50</definedName>
    <definedName name="Total_Class_Size_Reduction_Funds" localSheetId="35">'3384 June Final'!$G$50</definedName>
    <definedName name="Total_Class_Size_Reduction_Funds" localSheetId="36">'3385'!$G$50</definedName>
    <definedName name="Total_Class_Size_Reduction_Funds" localSheetId="37">'3385 June Final'!$G$50</definedName>
    <definedName name="Total_Class_Size_Reduction_Funds" localSheetId="38">'3386'!$G$50</definedName>
    <definedName name="Total_Class_Size_Reduction_Funds" localSheetId="39">'3391'!$G$50</definedName>
    <definedName name="Total_Class_Size_Reduction_Funds" localSheetId="40">'3392'!$G$50</definedName>
    <definedName name="Total_Class_Size_Reduction_Funds" localSheetId="41">'3392 June Final'!$G$50</definedName>
    <definedName name="Total_Class_Size_Reduction_Funds" localSheetId="42">'3394'!$G$50</definedName>
    <definedName name="Total_Class_Size_Reduction_Funds" localSheetId="43">'3394 June Final'!$G$50</definedName>
    <definedName name="Total_Class_Size_Reduction_Funds" localSheetId="44">'3395'!$G$50</definedName>
    <definedName name="Total_Class_Size_Reduction_Funds" localSheetId="45">'3395 June Final'!$G$50</definedName>
    <definedName name="Total_Class_Size_Reduction_Funds" localSheetId="46">'3396'!$G$50</definedName>
    <definedName name="Total_Class_Size_Reduction_Funds" localSheetId="47">'3398'!$G$50</definedName>
    <definedName name="Total_Class_Size_Reduction_Funds" localSheetId="48">'3400'!$G$50</definedName>
    <definedName name="Total_Class_Size_Reduction_Funds" localSheetId="49">'3401'!$G$50</definedName>
    <definedName name="Total_Class_Size_Reduction_Funds" localSheetId="50">'3411'!$G$50</definedName>
    <definedName name="Total_Class_Size_Reduction_Funds" localSheetId="51">'3413'!$G$50</definedName>
    <definedName name="Total_Class_Size_Reduction_Funds" localSheetId="52">'3413 June Final'!$G$50</definedName>
    <definedName name="Total_Class_Size_Reduction_Funds" localSheetId="53">'3421'!$G$50</definedName>
    <definedName name="Total_Class_Size_Reduction_Funds" localSheetId="54">'3431'!$G$50</definedName>
    <definedName name="Total_Class_Size_Reduction_Funds" localSheetId="55">'3431 June Final'!$G$50</definedName>
    <definedName name="Total_Class_Size_Reduction_Funds" localSheetId="56">'3441'!$G$50</definedName>
    <definedName name="Total_Class_Size_Reduction_Funds" localSheetId="57">'3443'!$G$50</definedName>
    <definedName name="Total_Class_Size_Reduction_Funds" localSheetId="58">'3941'!$G$50</definedName>
    <definedName name="Total_Class_Size_Reduction_Funds" localSheetId="59">'3941 June Final'!$G$50</definedName>
    <definedName name="Total_Class_Size_Reduction_Funds" localSheetId="60">'3961'!$G$50</definedName>
    <definedName name="Total_Class_Size_Reduction_Funds" localSheetId="61">'3961 June Final'!$G$50</definedName>
    <definedName name="Total_Class_Size_Reduction_Funds" localSheetId="62">'3971'!$G$50</definedName>
    <definedName name="Total_Class_Size_Reduction_Funds" localSheetId="63">'4000'!$G$50</definedName>
    <definedName name="Total_Class_Size_Reduction_Funds" localSheetId="64">'4000 June Final'!$G$50</definedName>
    <definedName name="Total_Class_Size_Reduction_Funds" localSheetId="65">'4002'!$G$50</definedName>
    <definedName name="Total_Class_Size_Reduction_Funds" localSheetId="66">'4002 June Final'!$G$50</definedName>
    <definedName name="Total_Class_Size_Reduction_Funds" localSheetId="67">'4010'!$G$50</definedName>
    <definedName name="Total_Class_Size_Reduction_Funds" localSheetId="68">'4012'!$G$50</definedName>
    <definedName name="Total_Class_Size_Reduction_Funds" localSheetId="69">'4013'!$G$50</definedName>
    <definedName name="Total_Class_Size_Reduction_Funds" localSheetId="70">'4020'!$G$50</definedName>
    <definedName name="Total_Class_Size_Reduction_Funds" localSheetId="72">'4020 June Final'!$G$50</definedName>
    <definedName name="Total_Class_Size_Reduction_Funds" localSheetId="71">'4020 June Tch Alloc.'!$G$50</definedName>
    <definedName name="Total_Class_Size_Reduction_Funds" localSheetId="73">'4037'!$G$50</definedName>
    <definedName name="Total_Class_Size_Reduction_Funds" localSheetId="74">'4037 June Final'!$G$50</definedName>
    <definedName name="Total_Class_Size_Reduction_Funds" localSheetId="75">#REF!</definedName>
    <definedName name="Total_Class_Size_Reduction_Funds" localSheetId="76">'4041'!$G$50</definedName>
    <definedName name="Total_Class_Size_Reduction_Funds" localSheetId="1">#REF!</definedName>
    <definedName name="Total_Class_Size_Reduction_Funds" localSheetId="0">#REF!</definedName>
    <definedName name="Total_Class_Size_Reduction_Funds">#REF!</definedName>
    <definedName name="Total_from_ESE_Guarantee" localSheetId="3">'0054'!$I$37</definedName>
    <definedName name="Total_from_ESE_Guarantee" localSheetId="4">'0054 June Final'!$I$37</definedName>
    <definedName name="Total_from_ESE_Guarantee" localSheetId="5">'0642'!$I$37</definedName>
    <definedName name="Total_from_ESE_Guarantee" localSheetId="6">'0642 June Final'!$I$37</definedName>
    <definedName name="Total_from_ESE_Guarantee" localSheetId="7">'0664'!$I$37</definedName>
    <definedName name="Total_from_ESE_Guarantee" localSheetId="8">'0664 June Final'!$I$37</definedName>
    <definedName name="Total_from_ESE_Guarantee" localSheetId="9">'1461'!$I$37</definedName>
    <definedName name="Total_from_ESE_Guarantee" localSheetId="10">'1571'!$I$37</definedName>
    <definedName name="Total_from_ESE_Guarantee" localSheetId="11">'2521'!$I$37</definedName>
    <definedName name="Total_from_ESE_Guarantee" localSheetId="12">'2531'!$I$37</definedName>
    <definedName name="Total_from_ESE_Guarantee" localSheetId="13">'2531 June final'!$I$37</definedName>
    <definedName name="Total_from_ESE_Guarantee" localSheetId="14">'2641'!$I$37</definedName>
    <definedName name="Total_from_ESE_Guarantee" localSheetId="15">'2641 June Final'!$I$37</definedName>
    <definedName name="Total_from_ESE_Guarantee" localSheetId="16">'2661'!$I$37</definedName>
    <definedName name="Total_from_ESE_Guarantee" localSheetId="17">'2661 June Final'!$I$37</definedName>
    <definedName name="Total_from_ESE_Guarantee" localSheetId="18">'2791'!$I$37</definedName>
    <definedName name="Total_from_ESE_Guarantee" localSheetId="19">'2791 June final'!$I$37</definedName>
    <definedName name="Total_from_ESE_Guarantee" localSheetId="20">'2801'!$I$37</definedName>
    <definedName name="Total_from_ESE_Guarantee" localSheetId="21">'2801 June Final'!$I$37</definedName>
    <definedName name="Total_from_ESE_Guarantee" localSheetId="22">'2911'!$I$37</definedName>
    <definedName name="Total_from_ESE_Guarantee" localSheetId="23">'2911 June final'!$I$37</definedName>
    <definedName name="Total_from_ESE_Guarantee" localSheetId="24">'2941'!$I$37</definedName>
    <definedName name="Total_from_ESE_Guarantee" localSheetId="25">'2941 June final'!$I$37</definedName>
    <definedName name="Total_from_ESE_Guarantee" localSheetId="26">'3083'!$I$37</definedName>
    <definedName name="Total_from_ESE_Guarantee" localSheetId="27">'3344'!$I$37</definedName>
    <definedName name="Total_from_ESE_Guarantee" localSheetId="28">'3345'!$I$37</definedName>
    <definedName name="Total_from_ESE_Guarantee" localSheetId="29">'3347'!$I$37</definedName>
    <definedName name="Total_from_ESE_Guarantee" localSheetId="30">'3381'!$I$37</definedName>
    <definedName name="Total_from_ESE_Guarantee" localSheetId="31">'3381 June Final'!$I$37</definedName>
    <definedName name="Total_from_ESE_Guarantee" localSheetId="32">'3382'!$I$37</definedName>
    <definedName name="Total_from_ESE_Guarantee" localSheetId="33">'3382 June Final'!$I$37</definedName>
    <definedName name="Total_from_ESE_Guarantee" localSheetId="34">'3384'!$I$37</definedName>
    <definedName name="Total_from_ESE_Guarantee" localSheetId="35">'3384 June Final'!$I$37</definedName>
    <definedName name="Total_from_ESE_Guarantee" localSheetId="36">'3385'!$I$37</definedName>
    <definedName name="Total_from_ESE_Guarantee" localSheetId="37">'3385 June Final'!$I$37</definedName>
    <definedName name="Total_from_ESE_Guarantee" localSheetId="38">'3386'!$I$37</definedName>
    <definedName name="Total_from_ESE_Guarantee" localSheetId="39">'3391'!$I$37</definedName>
    <definedName name="Total_from_ESE_Guarantee" localSheetId="40">'3392'!$I$37</definedName>
    <definedName name="Total_from_ESE_Guarantee" localSheetId="41">'3392 June Final'!$I$37</definedName>
    <definedName name="Total_from_ESE_Guarantee" localSheetId="42">'3394'!$I$37</definedName>
    <definedName name="Total_from_ESE_Guarantee" localSheetId="43">'3394 June Final'!$I$37</definedName>
    <definedName name="Total_from_ESE_Guarantee" localSheetId="44">'3395'!$I$37</definedName>
    <definedName name="Total_from_ESE_Guarantee" localSheetId="45">'3395 June Final'!$I$37</definedName>
    <definedName name="Total_from_ESE_Guarantee" localSheetId="46">'3396'!$I$37</definedName>
    <definedName name="Total_from_ESE_Guarantee" localSheetId="47">'3398'!$I$37</definedName>
    <definedName name="Total_from_ESE_Guarantee" localSheetId="48">'3400'!$I$37</definedName>
    <definedName name="Total_from_ESE_Guarantee" localSheetId="49">'3401'!$I$37</definedName>
    <definedName name="Total_from_ESE_Guarantee" localSheetId="50">'3411'!$I$37</definedName>
    <definedName name="Total_from_ESE_Guarantee" localSheetId="51">'3413'!$I$37</definedName>
    <definedName name="Total_from_ESE_Guarantee" localSheetId="52">'3413 June Final'!$I$37</definedName>
    <definedName name="Total_from_ESE_Guarantee" localSheetId="53">'3421'!$I$37</definedName>
    <definedName name="Total_from_ESE_Guarantee" localSheetId="54">'3431'!$I$37</definedName>
    <definedName name="Total_from_ESE_Guarantee" localSheetId="55">'3431 June Final'!$I$37</definedName>
    <definedName name="Total_from_ESE_Guarantee" localSheetId="56">'3441'!$I$37</definedName>
    <definedName name="Total_from_ESE_Guarantee" localSheetId="57">'3443'!$I$37</definedName>
    <definedName name="Total_from_ESE_Guarantee" localSheetId="58">'3941'!$I$37</definedName>
    <definedName name="Total_from_ESE_Guarantee" localSheetId="59">'3941 June Final'!$I$37</definedName>
    <definedName name="Total_from_ESE_Guarantee" localSheetId="60">'3961'!$I$37</definedName>
    <definedName name="Total_from_ESE_Guarantee" localSheetId="61">'3961 June Final'!$I$37</definedName>
    <definedName name="Total_from_ESE_Guarantee" localSheetId="62">'3971'!$I$37</definedName>
    <definedName name="Total_from_ESE_Guarantee" localSheetId="63">'4000'!$I$37</definedName>
    <definedName name="Total_from_ESE_Guarantee" localSheetId="64">'4000 June Final'!$I$37</definedName>
    <definedName name="Total_from_ESE_Guarantee" localSheetId="65">'4002'!$I$37</definedName>
    <definedName name="Total_from_ESE_Guarantee" localSheetId="66">'4002 June Final'!$I$37</definedName>
    <definedName name="Total_from_ESE_Guarantee" localSheetId="67">'4010'!$I$37</definedName>
    <definedName name="Total_from_ESE_Guarantee" localSheetId="68">'4012'!$I$37</definedName>
    <definedName name="Total_from_ESE_Guarantee" localSheetId="69">'4013'!$I$37</definedName>
    <definedName name="Total_from_ESE_Guarantee" localSheetId="70">'4020'!$I$37</definedName>
    <definedName name="Total_from_ESE_Guarantee" localSheetId="72">'4020 June Final'!$I$37</definedName>
    <definedName name="Total_from_ESE_Guarantee" localSheetId="71">'4020 June Tch Alloc.'!$I$37</definedName>
    <definedName name="Total_from_ESE_Guarantee" localSheetId="73">'4037'!$I$37</definedName>
    <definedName name="Total_from_ESE_Guarantee" localSheetId="74">'4037 June Final'!$I$37</definedName>
    <definedName name="Total_from_ESE_Guarantee" localSheetId="75">#REF!</definedName>
    <definedName name="Total_from_ESE_Guarantee" localSheetId="76">'4041'!$I$37</definedName>
    <definedName name="Total_from_ESE_Guarantee" localSheetId="1">#REF!</definedName>
    <definedName name="Total_from_ESE_Guarantee" localSheetId="0">#REF!</definedName>
    <definedName name="Total_from_ESE_Guarantee">#REF!</definedName>
    <definedName name="Total_FTE_with_ESE_Services" localSheetId="3">'0054'!$B$37</definedName>
    <definedName name="Total_FTE_with_ESE_Services" localSheetId="4">'0054 June Final'!$B$37</definedName>
    <definedName name="Total_FTE_with_ESE_Services" localSheetId="5">'0642'!$B$37</definedName>
    <definedName name="Total_FTE_with_ESE_Services" localSheetId="6">'0642 June Final'!$B$37</definedName>
    <definedName name="Total_FTE_with_ESE_Services" localSheetId="7">'0664'!$B$37</definedName>
    <definedName name="Total_FTE_with_ESE_Services" localSheetId="8">'0664 June Final'!$B$37</definedName>
    <definedName name="Total_FTE_with_ESE_Services" localSheetId="9">'1461'!$B$37</definedName>
    <definedName name="Total_FTE_with_ESE_Services" localSheetId="10">'1571'!$B$37</definedName>
    <definedName name="Total_FTE_with_ESE_Services" localSheetId="11">'2521'!$B$37</definedName>
    <definedName name="Total_FTE_with_ESE_Services" localSheetId="12">'2531'!$B$37</definedName>
    <definedName name="Total_FTE_with_ESE_Services" localSheetId="13">'2531 June final'!$B$37</definedName>
    <definedName name="Total_FTE_with_ESE_Services" localSheetId="14">'2641'!$B$37</definedName>
    <definedName name="Total_FTE_with_ESE_Services" localSheetId="15">'2641 June Final'!$B$37</definedName>
    <definedName name="Total_FTE_with_ESE_Services" localSheetId="16">'2661'!$B$37</definedName>
    <definedName name="Total_FTE_with_ESE_Services" localSheetId="17">'2661 June Final'!$B$37</definedName>
    <definedName name="Total_FTE_with_ESE_Services" localSheetId="18">'2791'!$B$37</definedName>
    <definedName name="Total_FTE_with_ESE_Services" localSheetId="19">'2791 June final'!$B$37</definedName>
    <definedName name="Total_FTE_with_ESE_Services" localSheetId="20">'2801'!$B$37</definedName>
    <definedName name="Total_FTE_with_ESE_Services" localSheetId="21">'2801 June Final'!$B$37</definedName>
    <definedName name="Total_FTE_with_ESE_Services" localSheetId="22">'2911'!$B$37</definedName>
    <definedName name="Total_FTE_with_ESE_Services" localSheetId="23">'2911 June final'!$B$37</definedName>
    <definedName name="Total_FTE_with_ESE_Services" localSheetId="24">'2941'!$B$37</definedName>
    <definedName name="Total_FTE_with_ESE_Services" localSheetId="25">'2941 June final'!$B$37</definedName>
    <definedName name="Total_FTE_with_ESE_Services" localSheetId="26">'3083'!$B$37</definedName>
    <definedName name="Total_FTE_with_ESE_Services" localSheetId="27">'3344'!$B$37</definedName>
    <definedName name="Total_FTE_with_ESE_Services" localSheetId="28">'3345'!$B$37</definedName>
    <definedName name="Total_FTE_with_ESE_Services" localSheetId="29">'3347'!$B$37</definedName>
    <definedName name="Total_FTE_with_ESE_Services" localSheetId="30">'3381'!$B$37</definedName>
    <definedName name="Total_FTE_with_ESE_Services" localSheetId="31">'3381 June Final'!$B$37</definedName>
    <definedName name="Total_FTE_with_ESE_Services" localSheetId="32">'3382'!$B$37</definedName>
    <definedName name="Total_FTE_with_ESE_Services" localSheetId="33">'3382 June Final'!$B$37</definedName>
    <definedName name="Total_FTE_with_ESE_Services" localSheetId="34">'3384'!$B$37</definedName>
    <definedName name="Total_FTE_with_ESE_Services" localSheetId="35">'3384 June Final'!$B$37</definedName>
    <definedName name="Total_FTE_with_ESE_Services" localSheetId="36">'3385'!$B$37</definedName>
    <definedName name="Total_FTE_with_ESE_Services" localSheetId="37">'3385 June Final'!$B$37</definedName>
    <definedName name="Total_FTE_with_ESE_Services" localSheetId="38">'3386'!$B$37</definedName>
    <definedName name="Total_FTE_with_ESE_Services" localSheetId="39">'3391'!$B$37</definedName>
    <definedName name="Total_FTE_with_ESE_Services" localSheetId="40">'3392'!$B$37</definedName>
    <definedName name="Total_FTE_with_ESE_Services" localSheetId="41">'3392 June Final'!$B$37</definedName>
    <definedName name="Total_FTE_with_ESE_Services" localSheetId="42">'3394'!$B$37</definedName>
    <definedName name="Total_FTE_with_ESE_Services" localSheetId="43">'3394 June Final'!$B$37</definedName>
    <definedName name="Total_FTE_with_ESE_Services" localSheetId="44">'3395'!$B$37</definedName>
    <definedName name="Total_FTE_with_ESE_Services" localSheetId="45">'3395 June Final'!$B$37</definedName>
    <definedName name="Total_FTE_with_ESE_Services" localSheetId="46">'3396'!$B$37</definedName>
    <definedName name="Total_FTE_with_ESE_Services" localSheetId="47">'3398'!$B$37</definedName>
    <definedName name="Total_FTE_with_ESE_Services" localSheetId="48">'3400'!$B$37</definedName>
    <definedName name="Total_FTE_with_ESE_Services" localSheetId="49">'3401'!$B$37</definedName>
    <definedName name="Total_FTE_with_ESE_Services" localSheetId="50">'3411'!$B$37</definedName>
    <definedName name="Total_FTE_with_ESE_Services" localSheetId="51">'3413'!$B$37</definedName>
    <definedName name="Total_FTE_with_ESE_Services" localSheetId="52">'3413 June Final'!$B$37</definedName>
    <definedName name="Total_FTE_with_ESE_Services" localSheetId="53">'3421'!$B$37</definedName>
    <definedName name="Total_FTE_with_ESE_Services" localSheetId="54">'3431'!$B$37</definedName>
    <definedName name="Total_FTE_with_ESE_Services" localSheetId="55">'3431 June Final'!$B$37</definedName>
    <definedName name="Total_FTE_with_ESE_Services" localSheetId="56">'3441'!$B$37</definedName>
    <definedName name="Total_FTE_with_ESE_Services" localSheetId="57">'3443'!$B$37</definedName>
    <definedName name="Total_FTE_with_ESE_Services" localSheetId="58">'3941'!$B$37</definedName>
    <definedName name="Total_FTE_with_ESE_Services" localSheetId="59">'3941 June Final'!$B$37</definedName>
    <definedName name="Total_FTE_with_ESE_Services" localSheetId="60">'3961'!$B$37</definedName>
    <definedName name="Total_FTE_with_ESE_Services" localSheetId="61">'3961 June Final'!$B$37</definedName>
    <definedName name="Total_FTE_with_ESE_Services" localSheetId="62">'3971'!$B$37</definedName>
    <definedName name="Total_FTE_with_ESE_Services" localSheetId="63">'4000'!$B$37</definedName>
    <definedName name="Total_FTE_with_ESE_Services" localSheetId="64">'4000 June Final'!$B$37</definedName>
    <definedName name="Total_FTE_with_ESE_Services" localSheetId="65">'4002'!$B$37</definedName>
    <definedName name="Total_FTE_with_ESE_Services" localSheetId="66">'4002 June Final'!$B$37</definedName>
    <definedName name="Total_FTE_with_ESE_Services" localSheetId="67">'4010'!$B$37</definedName>
    <definedName name="Total_FTE_with_ESE_Services" localSheetId="68">'4012'!$B$37</definedName>
    <definedName name="Total_FTE_with_ESE_Services" localSheetId="69">'4013'!$B$37</definedName>
    <definedName name="Total_FTE_with_ESE_Services" localSheetId="70">'4020'!$B$37</definedName>
    <definedName name="Total_FTE_with_ESE_Services" localSheetId="72">'4020 June Final'!$B$37</definedName>
    <definedName name="Total_FTE_with_ESE_Services" localSheetId="71">'4020 June Tch Alloc.'!$B$37</definedName>
    <definedName name="Total_FTE_with_ESE_Services" localSheetId="73">'4037'!$B$37</definedName>
    <definedName name="Total_FTE_with_ESE_Services" localSheetId="74">'4037 June Final'!$B$37</definedName>
    <definedName name="Total_FTE_with_ESE_Services" localSheetId="75">#REF!</definedName>
    <definedName name="Total_FTE_with_ESE_Services" localSheetId="76">'4041'!$B$37</definedName>
    <definedName name="Total_FTE_with_ESE_Services" localSheetId="1">#REF!</definedName>
    <definedName name="Total_FTE_with_ESE_Services" localSheetId="0">#REF!</definedName>
    <definedName name="Total_FTE_with_ESE_Services">#REF!</definedName>
    <definedName name="Totals" localSheetId="3">'0054'!$B$26</definedName>
    <definedName name="Totals" localSheetId="4">'0054 June Final'!$B$26</definedName>
    <definedName name="Totals" localSheetId="5">'0642'!$B$26</definedName>
    <definedName name="Totals" localSheetId="6">'0642 June Final'!$B$26</definedName>
    <definedName name="Totals" localSheetId="7">'0664'!$B$26</definedName>
    <definedName name="Totals" localSheetId="8">'0664 June Final'!$B$26</definedName>
    <definedName name="Totals" localSheetId="9">'1461'!$B$26</definedName>
    <definedName name="Totals" localSheetId="10">'1571'!$B$26</definedName>
    <definedName name="Totals" localSheetId="11">'2521'!$B$26</definedName>
    <definedName name="Totals" localSheetId="12">'2531'!$B$26</definedName>
    <definedName name="Totals" localSheetId="13">'2531 June final'!$B$26</definedName>
    <definedName name="Totals" localSheetId="14">'2641'!$B$26</definedName>
    <definedName name="Totals" localSheetId="15">'2641 June Final'!$B$26</definedName>
    <definedName name="Totals" localSheetId="16">'2661'!$B$26</definedName>
    <definedName name="Totals" localSheetId="17">'2661 June Final'!$B$26</definedName>
    <definedName name="Totals" localSheetId="18">'2791'!$B$26</definedName>
    <definedName name="Totals" localSheetId="19">'2791 June final'!$B$26</definedName>
    <definedName name="Totals" localSheetId="20">'2801'!$B$26</definedName>
    <definedName name="Totals" localSheetId="21">'2801 June Final'!$B$26</definedName>
    <definedName name="Totals" localSheetId="22">'2911'!$B$26</definedName>
    <definedName name="Totals" localSheetId="23">'2911 June final'!$B$26</definedName>
    <definedName name="Totals" localSheetId="24">'2941'!$B$26</definedName>
    <definedName name="Totals" localSheetId="25">'2941 June final'!$B$26</definedName>
    <definedName name="Totals" localSheetId="26">'3083'!$B$26</definedName>
    <definedName name="Totals" localSheetId="27">'3344'!$B$26</definedName>
    <definedName name="Totals" localSheetId="28">'3345'!$B$26</definedName>
    <definedName name="Totals" localSheetId="29">'3347'!$B$26</definedName>
    <definedName name="Totals" localSheetId="30">'3381'!$B$26</definedName>
    <definedName name="Totals" localSheetId="31">'3381 June Final'!$B$26</definedName>
    <definedName name="Totals" localSheetId="32">'3382'!$B$26</definedName>
    <definedName name="Totals" localSheetId="33">'3382 June Final'!$B$26</definedName>
    <definedName name="Totals" localSheetId="34">'3384'!$B$26</definedName>
    <definedName name="Totals" localSheetId="35">'3384 June Final'!$B$26</definedName>
    <definedName name="Totals" localSheetId="36">'3385'!$B$26</definedName>
    <definedName name="Totals" localSheetId="37">'3385 June Final'!$B$26</definedName>
    <definedName name="Totals" localSheetId="38">'3386'!$B$26</definedName>
    <definedName name="Totals" localSheetId="39">'3391'!$B$26</definedName>
    <definedName name="Totals" localSheetId="40">'3392'!$B$26</definedName>
    <definedName name="Totals" localSheetId="41">'3392 June Final'!$B$26</definedName>
    <definedName name="Totals" localSheetId="42">'3394'!$B$26</definedName>
    <definedName name="Totals" localSheetId="43">'3394 June Final'!$B$26</definedName>
    <definedName name="Totals" localSheetId="44">'3395'!$B$26</definedName>
    <definedName name="Totals" localSheetId="45">'3395 June Final'!$B$26</definedName>
    <definedName name="Totals" localSheetId="46">'3396'!$B$26</definedName>
    <definedName name="Totals" localSheetId="47">'3398'!$B$26</definedName>
    <definedName name="Totals" localSheetId="48">'3400'!$B$26</definedName>
    <definedName name="Totals" localSheetId="49">'3401'!$B$26</definedName>
    <definedName name="Totals" localSheetId="50">'3411'!$B$26</definedName>
    <definedName name="Totals" localSheetId="51">'3413'!$B$26</definedName>
    <definedName name="Totals" localSheetId="52">'3413 June Final'!$B$26</definedName>
    <definedName name="Totals" localSheetId="53">'3421'!$B$26</definedName>
    <definedName name="Totals" localSheetId="54">'3431'!$B$26</definedName>
    <definedName name="Totals" localSheetId="55">'3431 June Final'!$B$26</definedName>
    <definedName name="Totals" localSheetId="56">'3441'!$B$26</definedName>
    <definedName name="Totals" localSheetId="57">'3443'!$B$26</definedName>
    <definedName name="Totals" localSheetId="58">'3941'!$B$26</definedName>
    <definedName name="Totals" localSheetId="59">'3941 June Final'!$B$26</definedName>
    <definedName name="Totals" localSheetId="60">'3961'!$B$26</definedName>
    <definedName name="Totals" localSheetId="61">'3961 June Final'!$B$26</definedName>
    <definedName name="Totals" localSheetId="62">'3971'!$B$26</definedName>
    <definedName name="Totals" localSheetId="63">'4000'!$B$26</definedName>
    <definedName name="Totals" localSheetId="64">'4000 June Final'!$B$26</definedName>
    <definedName name="Totals" localSheetId="65">'4002'!$B$26</definedName>
    <definedName name="Totals" localSheetId="66">'4002 June Final'!$B$26</definedName>
    <definedName name="Totals" localSheetId="67">'4010'!$B$26</definedName>
    <definedName name="Totals" localSheetId="68">'4012'!$B$26</definedName>
    <definedName name="Totals" localSheetId="69">'4013'!$B$26</definedName>
    <definedName name="Totals" localSheetId="70">'4020'!$B$26</definedName>
    <definedName name="Totals" localSheetId="72">'4020 June Final'!$B$26</definedName>
    <definedName name="Totals" localSheetId="71">'4020 June Tch Alloc.'!$B$26</definedName>
    <definedName name="Totals" localSheetId="73">'4037'!$B$26</definedName>
    <definedName name="Totals" localSheetId="74">'4037 June Final'!$B$26</definedName>
    <definedName name="Totals" localSheetId="75">#REF!</definedName>
    <definedName name="Totals" localSheetId="76">'4041'!$B$26</definedName>
    <definedName name="Totals" localSheetId="1">#REF!</definedName>
    <definedName name="Totals" localSheetId="0">#REF!</definedName>
    <definedName name="Totals">#REF!</definedName>
    <definedName name="Weighted_FTE____________b__x__c" localSheetId="3">'0054'!$K$8</definedName>
    <definedName name="Weighted_FTE____________b__x__c" localSheetId="4">'0054 June Final'!$K$8</definedName>
    <definedName name="Weighted_FTE____________b__x__c" localSheetId="5">'0642'!$K$8</definedName>
    <definedName name="Weighted_FTE____________b__x__c" localSheetId="6">'0642 June Final'!$K$8</definedName>
    <definedName name="Weighted_FTE____________b__x__c" localSheetId="7">'0664'!$K$8</definedName>
    <definedName name="Weighted_FTE____________b__x__c" localSheetId="8">'0664 June Final'!$K$8</definedName>
    <definedName name="Weighted_FTE____________b__x__c" localSheetId="9">'1461'!$K$8</definedName>
    <definedName name="Weighted_FTE____________b__x__c" localSheetId="10">'1571'!$K$8</definedName>
    <definedName name="Weighted_FTE____________b__x__c" localSheetId="11">'2521'!$K$8</definedName>
    <definedName name="Weighted_FTE____________b__x__c" localSheetId="12">'2531'!$K$8</definedName>
    <definedName name="Weighted_FTE____________b__x__c" localSheetId="13">'2531 June final'!$K$8</definedName>
    <definedName name="Weighted_FTE____________b__x__c" localSheetId="14">'2641'!$K$8</definedName>
    <definedName name="Weighted_FTE____________b__x__c" localSheetId="15">'2641 June Final'!$K$8</definedName>
    <definedName name="Weighted_FTE____________b__x__c" localSheetId="16">'2661'!$K$8</definedName>
    <definedName name="Weighted_FTE____________b__x__c" localSheetId="17">'2661 June Final'!$K$8</definedName>
    <definedName name="Weighted_FTE____________b__x__c" localSheetId="18">'2791'!$K$8</definedName>
    <definedName name="Weighted_FTE____________b__x__c" localSheetId="19">'2791 June final'!$K$8</definedName>
    <definedName name="Weighted_FTE____________b__x__c" localSheetId="20">'2801'!$K$8</definedName>
    <definedName name="Weighted_FTE____________b__x__c" localSheetId="21">'2801 June Final'!$K$8</definedName>
    <definedName name="Weighted_FTE____________b__x__c" localSheetId="22">'2911'!$K$8</definedName>
    <definedName name="Weighted_FTE____________b__x__c" localSheetId="23">'2911 June final'!$K$8</definedName>
    <definedName name="Weighted_FTE____________b__x__c" localSheetId="24">'2941'!$K$8</definedName>
    <definedName name="Weighted_FTE____________b__x__c" localSheetId="25">'2941 June final'!$K$8</definedName>
    <definedName name="Weighted_FTE____________b__x__c" localSheetId="26">'3083'!$K$8</definedName>
    <definedName name="Weighted_FTE____________b__x__c" localSheetId="27">'3344'!$K$8</definedName>
    <definedName name="Weighted_FTE____________b__x__c" localSheetId="28">'3345'!$K$8</definedName>
    <definedName name="Weighted_FTE____________b__x__c" localSheetId="29">'3347'!$K$8</definedName>
    <definedName name="Weighted_FTE____________b__x__c" localSheetId="30">'3381'!$K$8</definedName>
    <definedName name="Weighted_FTE____________b__x__c" localSheetId="31">'3381 June Final'!$K$8</definedName>
    <definedName name="Weighted_FTE____________b__x__c" localSheetId="32">'3382'!$K$8</definedName>
    <definedName name="Weighted_FTE____________b__x__c" localSheetId="33">'3382 June Final'!$K$8</definedName>
    <definedName name="Weighted_FTE____________b__x__c" localSheetId="34">'3384'!$K$8</definedName>
    <definedName name="Weighted_FTE____________b__x__c" localSheetId="35">'3384 June Final'!$K$8</definedName>
    <definedName name="Weighted_FTE____________b__x__c" localSheetId="36">'3385'!$K$8</definedName>
    <definedName name="Weighted_FTE____________b__x__c" localSheetId="37">'3385 June Final'!$K$8</definedName>
    <definedName name="Weighted_FTE____________b__x__c" localSheetId="38">'3386'!$K$8</definedName>
    <definedName name="Weighted_FTE____________b__x__c" localSheetId="39">'3391'!$K$8</definedName>
    <definedName name="Weighted_FTE____________b__x__c" localSheetId="40">'3392'!$K$8</definedName>
    <definedName name="Weighted_FTE____________b__x__c" localSheetId="41">'3392 June Final'!$K$8</definedName>
    <definedName name="Weighted_FTE____________b__x__c" localSheetId="42">'3394'!$K$8</definedName>
    <definedName name="Weighted_FTE____________b__x__c" localSheetId="43">'3394 June Final'!$K$8</definedName>
    <definedName name="Weighted_FTE____________b__x__c" localSheetId="44">'3395'!$K$8</definedName>
    <definedName name="Weighted_FTE____________b__x__c" localSheetId="45">'3395 June Final'!$K$8</definedName>
    <definedName name="Weighted_FTE____________b__x__c" localSheetId="46">'3396'!$K$8</definedName>
    <definedName name="Weighted_FTE____________b__x__c" localSheetId="47">'3398'!$K$8</definedName>
    <definedName name="Weighted_FTE____________b__x__c" localSheetId="48">'3400'!$K$8</definedName>
    <definedName name="Weighted_FTE____________b__x__c" localSheetId="49">'3401'!$K$8</definedName>
    <definedName name="Weighted_FTE____________b__x__c" localSheetId="50">'3411'!$K$8</definedName>
    <definedName name="Weighted_FTE____________b__x__c" localSheetId="51">'3413'!$K$8</definedName>
    <definedName name="Weighted_FTE____________b__x__c" localSheetId="52">'3413 June Final'!$K$8</definedName>
    <definedName name="Weighted_FTE____________b__x__c" localSheetId="53">'3421'!$K$8</definedName>
    <definedName name="Weighted_FTE____________b__x__c" localSheetId="54">'3431'!$K$8</definedName>
    <definedName name="Weighted_FTE____________b__x__c" localSheetId="55">'3431 June Final'!$K$8</definedName>
    <definedName name="Weighted_FTE____________b__x__c" localSheetId="56">'3441'!$K$8</definedName>
    <definedName name="Weighted_FTE____________b__x__c" localSheetId="57">'3443'!$K$8</definedName>
    <definedName name="Weighted_FTE____________b__x__c" localSheetId="58">'3941'!$K$8</definedName>
    <definedName name="Weighted_FTE____________b__x__c" localSheetId="59">'3941 June Final'!$K$8</definedName>
    <definedName name="Weighted_FTE____________b__x__c" localSheetId="60">'3961'!$K$8</definedName>
    <definedName name="Weighted_FTE____________b__x__c" localSheetId="61">'3961 June Final'!$K$8</definedName>
    <definedName name="Weighted_FTE____________b__x__c" localSheetId="62">'3971'!$K$8</definedName>
    <definedName name="Weighted_FTE____________b__x__c" localSheetId="63">'4000'!$K$8</definedName>
    <definedName name="Weighted_FTE____________b__x__c" localSheetId="64">'4000 June Final'!$K$8</definedName>
    <definedName name="Weighted_FTE____________b__x__c" localSheetId="65">'4002'!$K$8</definedName>
    <definedName name="Weighted_FTE____________b__x__c" localSheetId="66">'4002 June Final'!$K$8</definedName>
    <definedName name="Weighted_FTE____________b__x__c" localSheetId="67">'4010'!$K$8</definedName>
    <definedName name="Weighted_FTE____________b__x__c" localSheetId="68">'4012'!$K$8</definedName>
    <definedName name="Weighted_FTE____________b__x__c" localSheetId="69">'4013'!$K$8</definedName>
    <definedName name="Weighted_FTE____________b__x__c" localSheetId="70">'4020'!$K$8</definedName>
    <definedName name="Weighted_FTE____________b__x__c" localSheetId="72">'4020 June Final'!$K$8</definedName>
    <definedName name="Weighted_FTE____________b__x__c" localSheetId="71">'4020 June Tch Alloc.'!$K$8</definedName>
    <definedName name="Weighted_FTE____________b__x__c" localSheetId="73">'4037'!$K$8</definedName>
    <definedName name="Weighted_FTE____________b__x__c" localSheetId="74">'4037 June Final'!$K$8</definedName>
    <definedName name="Weighted_FTE____________b__x__c" localSheetId="75">#REF!</definedName>
    <definedName name="Weighted_FTE____________b__x__c" localSheetId="76">'4041'!$K$8</definedName>
    <definedName name="Weighted_FTE____________b__x__c" localSheetId="1">#REF!</definedName>
    <definedName name="Weighted_FTE____________b__x__c" localSheetId="0">#REF!</definedName>
    <definedName name="Weighted_FTE____________b__x__c">#REF!</definedName>
    <definedName name="Weighted_FTE__From_Section_1" localSheetId="3">'0054'!$C$46</definedName>
    <definedName name="Weighted_FTE__From_Section_1" localSheetId="4">'0054 June Final'!$C$46</definedName>
    <definedName name="Weighted_FTE__From_Section_1" localSheetId="5">'0642'!$C$46</definedName>
    <definedName name="Weighted_FTE__From_Section_1" localSheetId="6">'0642 June Final'!$C$46</definedName>
    <definedName name="Weighted_FTE__From_Section_1" localSheetId="7">'0664'!$C$46</definedName>
    <definedName name="Weighted_FTE__From_Section_1" localSheetId="8">'0664 June Final'!$C$46</definedName>
    <definedName name="Weighted_FTE__From_Section_1" localSheetId="9">'1461'!$C$46</definedName>
    <definedName name="Weighted_FTE__From_Section_1" localSheetId="10">'1571'!$C$46</definedName>
    <definedName name="Weighted_FTE__From_Section_1" localSheetId="11">'2521'!$C$46</definedName>
    <definedName name="Weighted_FTE__From_Section_1" localSheetId="12">'2531'!$C$46</definedName>
    <definedName name="Weighted_FTE__From_Section_1" localSheetId="13">'2531 June final'!$C$46</definedName>
    <definedName name="Weighted_FTE__From_Section_1" localSheetId="14">'2641'!$C$46</definedName>
    <definedName name="Weighted_FTE__From_Section_1" localSheetId="15">'2641 June Final'!$C$46</definedName>
    <definedName name="Weighted_FTE__From_Section_1" localSheetId="16">'2661'!$C$46</definedName>
    <definedName name="Weighted_FTE__From_Section_1" localSheetId="17">'2661 June Final'!$C$46</definedName>
    <definedName name="Weighted_FTE__From_Section_1" localSheetId="18">'2791'!$C$46</definedName>
    <definedName name="Weighted_FTE__From_Section_1" localSheetId="19">'2791 June final'!$C$46</definedName>
    <definedName name="Weighted_FTE__From_Section_1" localSheetId="20">'2801'!$C$46</definedName>
    <definedName name="Weighted_FTE__From_Section_1" localSheetId="21">'2801 June Final'!$C$46</definedName>
    <definedName name="Weighted_FTE__From_Section_1" localSheetId="22">'2911'!$C$46</definedName>
    <definedName name="Weighted_FTE__From_Section_1" localSheetId="23">'2911 June final'!$C$46</definedName>
    <definedName name="Weighted_FTE__From_Section_1" localSheetId="24">'2941'!$C$46</definedName>
    <definedName name="Weighted_FTE__From_Section_1" localSheetId="25">'2941 June final'!$C$46</definedName>
    <definedName name="Weighted_FTE__From_Section_1" localSheetId="26">'3083'!$C$46</definedName>
    <definedName name="Weighted_FTE__From_Section_1" localSheetId="27">'3344'!$C$46</definedName>
    <definedName name="Weighted_FTE__From_Section_1" localSheetId="28">'3345'!$C$46</definedName>
    <definedName name="Weighted_FTE__From_Section_1" localSheetId="29">'3347'!$C$46</definedName>
    <definedName name="Weighted_FTE__From_Section_1" localSheetId="30">'3381'!$C$46</definedName>
    <definedName name="Weighted_FTE__From_Section_1" localSheetId="31">'3381 June Final'!$C$46</definedName>
    <definedName name="Weighted_FTE__From_Section_1" localSheetId="32">'3382'!$C$46</definedName>
    <definedName name="Weighted_FTE__From_Section_1" localSheetId="33">'3382 June Final'!$C$46</definedName>
    <definedName name="Weighted_FTE__From_Section_1" localSheetId="34">'3384'!$C$46</definedName>
    <definedName name="Weighted_FTE__From_Section_1" localSheetId="35">'3384 June Final'!$C$46</definedName>
    <definedName name="Weighted_FTE__From_Section_1" localSheetId="36">'3385'!$C$46</definedName>
    <definedName name="Weighted_FTE__From_Section_1" localSheetId="37">'3385 June Final'!$C$46</definedName>
    <definedName name="Weighted_FTE__From_Section_1" localSheetId="38">'3386'!$C$46</definedName>
    <definedName name="Weighted_FTE__From_Section_1" localSheetId="39">'3391'!$C$46</definedName>
    <definedName name="Weighted_FTE__From_Section_1" localSheetId="40">'3392'!$C$46</definedName>
    <definedName name="Weighted_FTE__From_Section_1" localSheetId="41">'3392 June Final'!$C$46</definedName>
    <definedName name="Weighted_FTE__From_Section_1" localSheetId="42">'3394'!$C$46</definedName>
    <definedName name="Weighted_FTE__From_Section_1" localSheetId="43">'3394 June Final'!$C$46</definedName>
    <definedName name="Weighted_FTE__From_Section_1" localSheetId="44">'3395'!$C$46</definedName>
    <definedName name="Weighted_FTE__From_Section_1" localSheetId="45">'3395 June Final'!$C$46</definedName>
    <definedName name="Weighted_FTE__From_Section_1" localSheetId="46">'3396'!$C$46</definedName>
    <definedName name="Weighted_FTE__From_Section_1" localSheetId="47">'3398'!$C$46</definedName>
    <definedName name="Weighted_FTE__From_Section_1" localSheetId="48">'3400'!$C$46</definedName>
    <definedName name="Weighted_FTE__From_Section_1" localSheetId="49">'3401'!$C$46</definedName>
    <definedName name="Weighted_FTE__From_Section_1" localSheetId="50">'3411'!$C$46</definedName>
    <definedName name="Weighted_FTE__From_Section_1" localSheetId="51">'3413'!$C$46</definedName>
    <definedName name="Weighted_FTE__From_Section_1" localSheetId="52">'3413 June Final'!$C$46</definedName>
    <definedName name="Weighted_FTE__From_Section_1" localSheetId="53">'3421'!$C$46</definedName>
    <definedName name="Weighted_FTE__From_Section_1" localSheetId="54">'3431'!$C$46</definedName>
    <definedName name="Weighted_FTE__From_Section_1" localSheetId="55">'3431 June Final'!$C$46</definedName>
    <definedName name="Weighted_FTE__From_Section_1" localSheetId="56">'3441'!$C$46</definedName>
    <definedName name="Weighted_FTE__From_Section_1" localSheetId="57">'3443'!$C$46</definedName>
    <definedName name="Weighted_FTE__From_Section_1" localSheetId="58">'3941'!$C$46</definedName>
    <definedName name="Weighted_FTE__From_Section_1" localSheetId="59">'3941 June Final'!$C$46</definedName>
    <definedName name="Weighted_FTE__From_Section_1" localSheetId="60">'3961'!$C$46</definedName>
    <definedName name="Weighted_FTE__From_Section_1" localSheetId="61">'3961 June Final'!$C$46</definedName>
    <definedName name="Weighted_FTE__From_Section_1" localSheetId="62">'3971'!$C$46</definedName>
    <definedName name="Weighted_FTE__From_Section_1" localSheetId="63">'4000'!$C$46</definedName>
    <definedName name="Weighted_FTE__From_Section_1" localSheetId="64">'4000 June Final'!$C$46</definedName>
    <definedName name="Weighted_FTE__From_Section_1" localSheetId="65">'4002'!$C$46</definedName>
    <definedName name="Weighted_FTE__From_Section_1" localSheetId="66">'4002 June Final'!$C$46</definedName>
    <definedName name="Weighted_FTE__From_Section_1" localSheetId="67">'4010'!$C$46</definedName>
    <definedName name="Weighted_FTE__From_Section_1" localSheetId="68">'4012'!$C$46</definedName>
    <definedName name="Weighted_FTE__From_Section_1" localSheetId="69">'4013'!$C$46</definedName>
    <definedName name="Weighted_FTE__From_Section_1" localSheetId="70">'4020'!$C$46</definedName>
    <definedName name="Weighted_FTE__From_Section_1" localSheetId="72">'4020 June Final'!$C$46</definedName>
    <definedName name="Weighted_FTE__From_Section_1" localSheetId="71">'4020 June Tch Alloc.'!$C$46</definedName>
    <definedName name="Weighted_FTE__From_Section_1" localSheetId="73">'4037'!$C$46</definedName>
    <definedName name="Weighted_FTE__From_Section_1" localSheetId="74">'4037 June Final'!$C$46</definedName>
    <definedName name="Weighted_FTE__From_Section_1" localSheetId="75">#REF!</definedName>
    <definedName name="Weighted_FTE__From_Section_1" localSheetId="76">'4041'!$C$46</definedName>
    <definedName name="Weighted_FTE__From_Section_1" localSheetId="1">#REF!</definedName>
    <definedName name="Weighted_FTE__From_Section_1" localSheetId="0">#REF!</definedName>
    <definedName name="Weighted_FTE__From_Section_1">#REF!</definedName>
    <definedName name="wrn.Base._.Data._.Comparison." localSheetId="3" hidden="1">{#N/A,#N/A,FALSE,"Summation";#N/A,#N/A,FALSE,"BSA";#N/A,#N/A,FALSE,"Detail1";#N/A,#N/A,FALSE,"Detail2";#N/A,#N/A,FALSE,"Detail3";#N/A,#N/A,FALSE,"WFTE_Summary";#N/A,#N/A,FALSE,"Funded_WFTE";#N/A,#N/A,FALSE,"PYADJ96"}</definedName>
    <definedName name="wrn.Base._.Data._.Comparison." localSheetId="4" hidden="1">{#N/A,#N/A,FALSE,"Summation";#N/A,#N/A,FALSE,"BSA";#N/A,#N/A,FALSE,"Detail1";#N/A,#N/A,FALSE,"Detail2";#N/A,#N/A,FALSE,"Detail3";#N/A,#N/A,FALSE,"WFTE_Summary";#N/A,#N/A,FALSE,"Funded_WFTE";#N/A,#N/A,FALSE,"PYADJ96"}</definedName>
    <definedName name="wrn.Base._.Data._.Comparison." localSheetId="5" hidden="1">{#N/A,#N/A,FALSE,"Summation";#N/A,#N/A,FALSE,"BSA";#N/A,#N/A,FALSE,"Detail1";#N/A,#N/A,FALSE,"Detail2";#N/A,#N/A,FALSE,"Detail3";#N/A,#N/A,FALSE,"WFTE_Summary";#N/A,#N/A,FALSE,"Funded_WFTE";#N/A,#N/A,FALSE,"PYADJ96"}</definedName>
    <definedName name="wrn.Base._.Data._.Comparison." localSheetId="6" hidden="1">{#N/A,#N/A,FALSE,"Summation";#N/A,#N/A,FALSE,"BSA";#N/A,#N/A,FALSE,"Detail1";#N/A,#N/A,FALSE,"Detail2";#N/A,#N/A,FALSE,"Detail3";#N/A,#N/A,FALSE,"WFTE_Summary";#N/A,#N/A,FALSE,"Funded_WFTE";#N/A,#N/A,FALSE,"PYADJ96"}</definedName>
    <definedName name="wrn.Base._.Data._.Comparison." localSheetId="7" hidden="1">{#N/A,#N/A,FALSE,"Summation";#N/A,#N/A,FALSE,"BSA";#N/A,#N/A,FALSE,"Detail1";#N/A,#N/A,FALSE,"Detail2";#N/A,#N/A,FALSE,"Detail3";#N/A,#N/A,FALSE,"WFTE_Summary";#N/A,#N/A,FALSE,"Funded_WFTE";#N/A,#N/A,FALSE,"PYADJ96"}</definedName>
    <definedName name="wrn.Base._.Data._.Comparison." localSheetId="8" hidden="1">{#N/A,#N/A,FALSE,"Summation";#N/A,#N/A,FALSE,"BSA";#N/A,#N/A,FALSE,"Detail1";#N/A,#N/A,FALSE,"Detail2";#N/A,#N/A,FALSE,"Detail3";#N/A,#N/A,FALSE,"WFTE_Summary";#N/A,#N/A,FALSE,"Funded_WFTE";#N/A,#N/A,FALSE,"PYADJ96"}</definedName>
    <definedName name="wrn.Base._.Data._.Comparison." localSheetId="9" hidden="1">{#N/A,#N/A,FALSE,"Summation";#N/A,#N/A,FALSE,"BSA";#N/A,#N/A,FALSE,"Detail1";#N/A,#N/A,FALSE,"Detail2";#N/A,#N/A,FALSE,"Detail3";#N/A,#N/A,FALSE,"WFTE_Summary";#N/A,#N/A,FALSE,"Funded_WFTE";#N/A,#N/A,FALSE,"PYADJ96"}</definedName>
    <definedName name="wrn.Base._.Data._.Comparison." localSheetId="10" hidden="1">{#N/A,#N/A,FALSE,"Summation";#N/A,#N/A,FALSE,"BSA";#N/A,#N/A,FALSE,"Detail1";#N/A,#N/A,FALSE,"Detail2";#N/A,#N/A,FALSE,"Detail3";#N/A,#N/A,FALSE,"WFTE_Summary";#N/A,#N/A,FALSE,"Funded_WFTE";#N/A,#N/A,FALSE,"PYADJ96"}</definedName>
    <definedName name="wrn.Base._.Data._.Comparison." localSheetId="11" hidden="1">{#N/A,#N/A,FALSE,"Summation";#N/A,#N/A,FALSE,"BSA";#N/A,#N/A,FALSE,"Detail1";#N/A,#N/A,FALSE,"Detail2";#N/A,#N/A,FALSE,"Detail3";#N/A,#N/A,FALSE,"WFTE_Summary";#N/A,#N/A,FALSE,"Funded_WFTE";#N/A,#N/A,FALSE,"PYADJ96"}</definedName>
    <definedName name="wrn.Base._.Data._.Comparison." localSheetId="12" hidden="1">{#N/A,#N/A,FALSE,"Summation";#N/A,#N/A,FALSE,"BSA";#N/A,#N/A,FALSE,"Detail1";#N/A,#N/A,FALSE,"Detail2";#N/A,#N/A,FALSE,"Detail3";#N/A,#N/A,FALSE,"WFTE_Summary";#N/A,#N/A,FALSE,"Funded_WFTE";#N/A,#N/A,FALSE,"PYADJ96"}</definedName>
    <definedName name="wrn.Base._.Data._.Comparison." localSheetId="13" hidden="1">{#N/A,#N/A,FALSE,"Summation";#N/A,#N/A,FALSE,"BSA";#N/A,#N/A,FALSE,"Detail1";#N/A,#N/A,FALSE,"Detail2";#N/A,#N/A,FALSE,"Detail3";#N/A,#N/A,FALSE,"WFTE_Summary";#N/A,#N/A,FALSE,"Funded_WFTE";#N/A,#N/A,FALSE,"PYADJ96"}</definedName>
    <definedName name="wrn.Base._.Data._.Comparison." localSheetId="14" hidden="1">{#N/A,#N/A,FALSE,"Summation";#N/A,#N/A,FALSE,"BSA";#N/A,#N/A,FALSE,"Detail1";#N/A,#N/A,FALSE,"Detail2";#N/A,#N/A,FALSE,"Detail3";#N/A,#N/A,FALSE,"WFTE_Summary";#N/A,#N/A,FALSE,"Funded_WFTE";#N/A,#N/A,FALSE,"PYADJ96"}</definedName>
    <definedName name="wrn.Base._.Data._.Comparison." localSheetId="15" hidden="1">{#N/A,#N/A,FALSE,"Summation";#N/A,#N/A,FALSE,"BSA";#N/A,#N/A,FALSE,"Detail1";#N/A,#N/A,FALSE,"Detail2";#N/A,#N/A,FALSE,"Detail3";#N/A,#N/A,FALSE,"WFTE_Summary";#N/A,#N/A,FALSE,"Funded_WFTE";#N/A,#N/A,FALSE,"PYADJ96"}</definedName>
    <definedName name="wrn.Base._.Data._.Comparison." localSheetId="16" hidden="1">{#N/A,#N/A,FALSE,"Summation";#N/A,#N/A,FALSE,"BSA";#N/A,#N/A,FALSE,"Detail1";#N/A,#N/A,FALSE,"Detail2";#N/A,#N/A,FALSE,"Detail3";#N/A,#N/A,FALSE,"WFTE_Summary";#N/A,#N/A,FALSE,"Funded_WFTE";#N/A,#N/A,FALSE,"PYADJ96"}</definedName>
    <definedName name="wrn.Base._.Data._.Comparison." localSheetId="17" hidden="1">{#N/A,#N/A,FALSE,"Summation";#N/A,#N/A,FALSE,"BSA";#N/A,#N/A,FALSE,"Detail1";#N/A,#N/A,FALSE,"Detail2";#N/A,#N/A,FALSE,"Detail3";#N/A,#N/A,FALSE,"WFTE_Summary";#N/A,#N/A,FALSE,"Funded_WFTE";#N/A,#N/A,FALSE,"PYADJ96"}</definedName>
    <definedName name="wrn.Base._.Data._.Comparison." localSheetId="18" hidden="1">{#N/A,#N/A,FALSE,"Summation";#N/A,#N/A,FALSE,"BSA";#N/A,#N/A,FALSE,"Detail1";#N/A,#N/A,FALSE,"Detail2";#N/A,#N/A,FALSE,"Detail3";#N/A,#N/A,FALSE,"WFTE_Summary";#N/A,#N/A,FALSE,"Funded_WFTE";#N/A,#N/A,FALSE,"PYADJ96"}</definedName>
    <definedName name="wrn.Base._.Data._.Comparison." localSheetId="19" hidden="1">{#N/A,#N/A,FALSE,"Summation";#N/A,#N/A,FALSE,"BSA";#N/A,#N/A,FALSE,"Detail1";#N/A,#N/A,FALSE,"Detail2";#N/A,#N/A,FALSE,"Detail3";#N/A,#N/A,FALSE,"WFTE_Summary";#N/A,#N/A,FALSE,"Funded_WFTE";#N/A,#N/A,FALSE,"PYADJ96"}</definedName>
    <definedName name="wrn.Base._.Data._.Comparison." localSheetId="20" hidden="1">{#N/A,#N/A,FALSE,"Summation";#N/A,#N/A,FALSE,"BSA";#N/A,#N/A,FALSE,"Detail1";#N/A,#N/A,FALSE,"Detail2";#N/A,#N/A,FALSE,"Detail3";#N/A,#N/A,FALSE,"WFTE_Summary";#N/A,#N/A,FALSE,"Funded_WFTE";#N/A,#N/A,FALSE,"PYADJ96"}</definedName>
    <definedName name="wrn.Base._.Data._.Comparison." localSheetId="21" hidden="1">{#N/A,#N/A,FALSE,"Summation";#N/A,#N/A,FALSE,"BSA";#N/A,#N/A,FALSE,"Detail1";#N/A,#N/A,FALSE,"Detail2";#N/A,#N/A,FALSE,"Detail3";#N/A,#N/A,FALSE,"WFTE_Summary";#N/A,#N/A,FALSE,"Funded_WFTE";#N/A,#N/A,FALSE,"PYADJ96"}</definedName>
    <definedName name="wrn.Base._.Data._.Comparison." localSheetId="22" hidden="1">{#N/A,#N/A,FALSE,"Summation";#N/A,#N/A,FALSE,"BSA";#N/A,#N/A,FALSE,"Detail1";#N/A,#N/A,FALSE,"Detail2";#N/A,#N/A,FALSE,"Detail3";#N/A,#N/A,FALSE,"WFTE_Summary";#N/A,#N/A,FALSE,"Funded_WFTE";#N/A,#N/A,FALSE,"PYADJ96"}</definedName>
    <definedName name="wrn.Base._.Data._.Comparison." localSheetId="23" hidden="1">{#N/A,#N/A,FALSE,"Summation";#N/A,#N/A,FALSE,"BSA";#N/A,#N/A,FALSE,"Detail1";#N/A,#N/A,FALSE,"Detail2";#N/A,#N/A,FALSE,"Detail3";#N/A,#N/A,FALSE,"WFTE_Summary";#N/A,#N/A,FALSE,"Funded_WFTE";#N/A,#N/A,FALSE,"PYADJ96"}</definedName>
    <definedName name="wrn.Base._.Data._.Comparison." localSheetId="24" hidden="1">{#N/A,#N/A,FALSE,"Summation";#N/A,#N/A,FALSE,"BSA";#N/A,#N/A,FALSE,"Detail1";#N/A,#N/A,FALSE,"Detail2";#N/A,#N/A,FALSE,"Detail3";#N/A,#N/A,FALSE,"WFTE_Summary";#N/A,#N/A,FALSE,"Funded_WFTE";#N/A,#N/A,FALSE,"PYADJ96"}</definedName>
    <definedName name="wrn.Base._.Data._.Comparison." localSheetId="25" hidden="1">{#N/A,#N/A,FALSE,"Summation";#N/A,#N/A,FALSE,"BSA";#N/A,#N/A,FALSE,"Detail1";#N/A,#N/A,FALSE,"Detail2";#N/A,#N/A,FALSE,"Detail3";#N/A,#N/A,FALSE,"WFTE_Summary";#N/A,#N/A,FALSE,"Funded_WFTE";#N/A,#N/A,FALSE,"PYADJ96"}</definedName>
    <definedName name="wrn.Base._.Data._.Comparison." localSheetId="26" hidden="1">{#N/A,#N/A,FALSE,"Summation";#N/A,#N/A,FALSE,"BSA";#N/A,#N/A,FALSE,"Detail1";#N/A,#N/A,FALSE,"Detail2";#N/A,#N/A,FALSE,"Detail3";#N/A,#N/A,FALSE,"WFTE_Summary";#N/A,#N/A,FALSE,"Funded_WFTE";#N/A,#N/A,FALSE,"PYADJ96"}</definedName>
    <definedName name="wrn.Base._.Data._.Comparison." localSheetId="27" hidden="1">{#N/A,#N/A,FALSE,"Summation";#N/A,#N/A,FALSE,"BSA";#N/A,#N/A,FALSE,"Detail1";#N/A,#N/A,FALSE,"Detail2";#N/A,#N/A,FALSE,"Detail3";#N/A,#N/A,FALSE,"WFTE_Summary";#N/A,#N/A,FALSE,"Funded_WFTE";#N/A,#N/A,FALSE,"PYADJ96"}</definedName>
    <definedName name="wrn.Base._.Data._.Comparison." localSheetId="28" hidden="1">{#N/A,#N/A,FALSE,"Summation";#N/A,#N/A,FALSE,"BSA";#N/A,#N/A,FALSE,"Detail1";#N/A,#N/A,FALSE,"Detail2";#N/A,#N/A,FALSE,"Detail3";#N/A,#N/A,FALSE,"WFTE_Summary";#N/A,#N/A,FALSE,"Funded_WFTE";#N/A,#N/A,FALSE,"PYADJ96"}</definedName>
    <definedName name="wrn.Base._.Data._.Comparison." localSheetId="29" hidden="1">{#N/A,#N/A,FALSE,"Summation";#N/A,#N/A,FALSE,"BSA";#N/A,#N/A,FALSE,"Detail1";#N/A,#N/A,FALSE,"Detail2";#N/A,#N/A,FALSE,"Detail3";#N/A,#N/A,FALSE,"WFTE_Summary";#N/A,#N/A,FALSE,"Funded_WFTE";#N/A,#N/A,FALSE,"PYADJ96"}</definedName>
    <definedName name="wrn.Base._.Data._.Comparison." localSheetId="30" hidden="1">{#N/A,#N/A,FALSE,"Summation";#N/A,#N/A,FALSE,"BSA";#N/A,#N/A,FALSE,"Detail1";#N/A,#N/A,FALSE,"Detail2";#N/A,#N/A,FALSE,"Detail3";#N/A,#N/A,FALSE,"WFTE_Summary";#N/A,#N/A,FALSE,"Funded_WFTE";#N/A,#N/A,FALSE,"PYADJ96"}</definedName>
    <definedName name="wrn.Base._.Data._.Comparison." localSheetId="31" hidden="1">{#N/A,#N/A,FALSE,"Summation";#N/A,#N/A,FALSE,"BSA";#N/A,#N/A,FALSE,"Detail1";#N/A,#N/A,FALSE,"Detail2";#N/A,#N/A,FALSE,"Detail3";#N/A,#N/A,FALSE,"WFTE_Summary";#N/A,#N/A,FALSE,"Funded_WFTE";#N/A,#N/A,FALSE,"PYADJ96"}</definedName>
    <definedName name="wrn.Base._.Data._.Comparison." localSheetId="32" hidden="1">{#N/A,#N/A,FALSE,"Summation";#N/A,#N/A,FALSE,"BSA";#N/A,#N/A,FALSE,"Detail1";#N/A,#N/A,FALSE,"Detail2";#N/A,#N/A,FALSE,"Detail3";#N/A,#N/A,FALSE,"WFTE_Summary";#N/A,#N/A,FALSE,"Funded_WFTE";#N/A,#N/A,FALSE,"PYADJ96"}</definedName>
    <definedName name="wrn.Base._.Data._.Comparison." localSheetId="33" hidden="1">{#N/A,#N/A,FALSE,"Summation";#N/A,#N/A,FALSE,"BSA";#N/A,#N/A,FALSE,"Detail1";#N/A,#N/A,FALSE,"Detail2";#N/A,#N/A,FALSE,"Detail3";#N/A,#N/A,FALSE,"WFTE_Summary";#N/A,#N/A,FALSE,"Funded_WFTE";#N/A,#N/A,FALSE,"PYADJ96"}</definedName>
    <definedName name="wrn.Base._.Data._.Comparison." localSheetId="34" hidden="1">{#N/A,#N/A,FALSE,"Summation";#N/A,#N/A,FALSE,"BSA";#N/A,#N/A,FALSE,"Detail1";#N/A,#N/A,FALSE,"Detail2";#N/A,#N/A,FALSE,"Detail3";#N/A,#N/A,FALSE,"WFTE_Summary";#N/A,#N/A,FALSE,"Funded_WFTE";#N/A,#N/A,FALSE,"PYADJ96"}</definedName>
    <definedName name="wrn.Base._.Data._.Comparison." localSheetId="35" hidden="1">{#N/A,#N/A,FALSE,"Summation";#N/A,#N/A,FALSE,"BSA";#N/A,#N/A,FALSE,"Detail1";#N/A,#N/A,FALSE,"Detail2";#N/A,#N/A,FALSE,"Detail3";#N/A,#N/A,FALSE,"WFTE_Summary";#N/A,#N/A,FALSE,"Funded_WFTE";#N/A,#N/A,FALSE,"PYADJ96"}</definedName>
    <definedName name="wrn.Base._.Data._.Comparison." localSheetId="36" hidden="1">{#N/A,#N/A,FALSE,"Summation";#N/A,#N/A,FALSE,"BSA";#N/A,#N/A,FALSE,"Detail1";#N/A,#N/A,FALSE,"Detail2";#N/A,#N/A,FALSE,"Detail3";#N/A,#N/A,FALSE,"WFTE_Summary";#N/A,#N/A,FALSE,"Funded_WFTE";#N/A,#N/A,FALSE,"PYADJ96"}</definedName>
    <definedName name="wrn.Base._.Data._.Comparison." localSheetId="37" hidden="1">{#N/A,#N/A,FALSE,"Summation";#N/A,#N/A,FALSE,"BSA";#N/A,#N/A,FALSE,"Detail1";#N/A,#N/A,FALSE,"Detail2";#N/A,#N/A,FALSE,"Detail3";#N/A,#N/A,FALSE,"WFTE_Summary";#N/A,#N/A,FALSE,"Funded_WFTE";#N/A,#N/A,FALSE,"PYADJ96"}</definedName>
    <definedName name="wrn.Base._.Data._.Comparison." localSheetId="38" hidden="1">{#N/A,#N/A,FALSE,"Summation";#N/A,#N/A,FALSE,"BSA";#N/A,#N/A,FALSE,"Detail1";#N/A,#N/A,FALSE,"Detail2";#N/A,#N/A,FALSE,"Detail3";#N/A,#N/A,FALSE,"WFTE_Summary";#N/A,#N/A,FALSE,"Funded_WFTE";#N/A,#N/A,FALSE,"PYADJ96"}</definedName>
    <definedName name="wrn.Base._.Data._.Comparison." localSheetId="39" hidden="1">{#N/A,#N/A,FALSE,"Summation";#N/A,#N/A,FALSE,"BSA";#N/A,#N/A,FALSE,"Detail1";#N/A,#N/A,FALSE,"Detail2";#N/A,#N/A,FALSE,"Detail3";#N/A,#N/A,FALSE,"WFTE_Summary";#N/A,#N/A,FALSE,"Funded_WFTE";#N/A,#N/A,FALSE,"PYADJ96"}</definedName>
    <definedName name="wrn.Base._.Data._.Comparison." localSheetId="40" hidden="1">{#N/A,#N/A,FALSE,"Summation";#N/A,#N/A,FALSE,"BSA";#N/A,#N/A,FALSE,"Detail1";#N/A,#N/A,FALSE,"Detail2";#N/A,#N/A,FALSE,"Detail3";#N/A,#N/A,FALSE,"WFTE_Summary";#N/A,#N/A,FALSE,"Funded_WFTE";#N/A,#N/A,FALSE,"PYADJ96"}</definedName>
    <definedName name="wrn.Base._.Data._.Comparison." localSheetId="41" hidden="1">{#N/A,#N/A,FALSE,"Summation";#N/A,#N/A,FALSE,"BSA";#N/A,#N/A,FALSE,"Detail1";#N/A,#N/A,FALSE,"Detail2";#N/A,#N/A,FALSE,"Detail3";#N/A,#N/A,FALSE,"WFTE_Summary";#N/A,#N/A,FALSE,"Funded_WFTE";#N/A,#N/A,FALSE,"PYADJ96"}</definedName>
    <definedName name="wrn.Base._.Data._.Comparison." localSheetId="42" hidden="1">{#N/A,#N/A,FALSE,"Summation";#N/A,#N/A,FALSE,"BSA";#N/A,#N/A,FALSE,"Detail1";#N/A,#N/A,FALSE,"Detail2";#N/A,#N/A,FALSE,"Detail3";#N/A,#N/A,FALSE,"WFTE_Summary";#N/A,#N/A,FALSE,"Funded_WFTE";#N/A,#N/A,FALSE,"PYADJ96"}</definedName>
    <definedName name="wrn.Base._.Data._.Comparison." localSheetId="43" hidden="1">{#N/A,#N/A,FALSE,"Summation";#N/A,#N/A,FALSE,"BSA";#N/A,#N/A,FALSE,"Detail1";#N/A,#N/A,FALSE,"Detail2";#N/A,#N/A,FALSE,"Detail3";#N/A,#N/A,FALSE,"WFTE_Summary";#N/A,#N/A,FALSE,"Funded_WFTE";#N/A,#N/A,FALSE,"PYADJ96"}</definedName>
    <definedName name="wrn.Base._.Data._.Comparison." localSheetId="44" hidden="1">{#N/A,#N/A,FALSE,"Summation";#N/A,#N/A,FALSE,"BSA";#N/A,#N/A,FALSE,"Detail1";#N/A,#N/A,FALSE,"Detail2";#N/A,#N/A,FALSE,"Detail3";#N/A,#N/A,FALSE,"WFTE_Summary";#N/A,#N/A,FALSE,"Funded_WFTE";#N/A,#N/A,FALSE,"PYADJ96"}</definedName>
    <definedName name="wrn.Base._.Data._.Comparison." localSheetId="45" hidden="1">{#N/A,#N/A,FALSE,"Summation";#N/A,#N/A,FALSE,"BSA";#N/A,#N/A,FALSE,"Detail1";#N/A,#N/A,FALSE,"Detail2";#N/A,#N/A,FALSE,"Detail3";#N/A,#N/A,FALSE,"WFTE_Summary";#N/A,#N/A,FALSE,"Funded_WFTE";#N/A,#N/A,FALSE,"PYADJ96"}</definedName>
    <definedName name="wrn.Base._.Data._.Comparison." localSheetId="46" hidden="1">{#N/A,#N/A,FALSE,"Summation";#N/A,#N/A,FALSE,"BSA";#N/A,#N/A,FALSE,"Detail1";#N/A,#N/A,FALSE,"Detail2";#N/A,#N/A,FALSE,"Detail3";#N/A,#N/A,FALSE,"WFTE_Summary";#N/A,#N/A,FALSE,"Funded_WFTE";#N/A,#N/A,FALSE,"PYADJ96"}</definedName>
    <definedName name="wrn.Base._.Data._.Comparison." localSheetId="47" hidden="1">{#N/A,#N/A,FALSE,"Summation";#N/A,#N/A,FALSE,"BSA";#N/A,#N/A,FALSE,"Detail1";#N/A,#N/A,FALSE,"Detail2";#N/A,#N/A,FALSE,"Detail3";#N/A,#N/A,FALSE,"WFTE_Summary";#N/A,#N/A,FALSE,"Funded_WFTE";#N/A,#N/A,FALSE,"PYADJ96"}</definedName>
    <definedName name="wrn.Base._.Data._.Comparison." localSheetId="48" hidden="1">{#N/A,#N/A,FALSE,"Summation";#N/A,#N/A,FALSE,"BSA";#N/A,#N/A,FALSE,"Detail1";#N/A,#N/A,FALSE,"Detail2";#N/A,#N/A,FALSE,"Detail3";#N/A,#N/A,FALSE,"WFTE_Summary";#N/A,#N/A,FALSE,"Funded_WFTE";#N/A,#N/A,FALSE,"PYADJ96"}</definedName>
    <definedName name="wrn.Base._.Data._.Comparison." localSheetId="49" hidden="1">{#N/A,#N/A,FALSE,"Summation";#N/A,#N/A,FALSE,"BSA";#N/A,#N/A,FALSE,"Detail1";#N/A,#N/A,FALSE,"Detail2";#N/A,#N/A,FALSE,"Detail3";#N/A,#N/A,FALSE,"WFTE_Summary";#N/A,#N/A,FALSE,"Funded_WFTE";#N/A,#N/A,FALSE,"PYADJ96"}</definedName>
    <definedName name="wrn.Base._.Data._.Comparison." localSheetId="50" hidden="1">{#N/A,#N/A,FALSE,"Summation";#N/A,#N/A,FALSE,"BSA";#N/A,#N/A,FALSE,"Detail1";#N/A,#N/A,FALSE,"Detail2";#N/A,#N/A,FALSE,"Detail3";#N/A,#N/A,FALSE,"WFTE_Summary";#N/A,#N/A,FALSE,"Funded_WFTE";#N/A,#N/A,FALSE,"PYADJ96"}</definedName>
    <definedName name="wrn.Base._.Data._.Comparison." localSheetId="51" hidden="1">{#N/A,#N/A,FALSE,"Summation";#N/A,#N/A,FALSE,"BSA";#N/A,#N/A,FALSE,"Detail1";#N/A,#N/A,FALSE,"Detail2";#N/A,#N/A,FALSE,"Detail3";#N/A,#N/A,FALSE,"WFTE_Summary";#N/A,#N/A,FALSE,"Funded_WFTE";#N/A,#N/A,FALSE,"PYADJ96"}</definedName>
    <definedName name="wrn.Base._.Data._.Comparison." localSheetId="52" hidden="1">{#N/A,#N/A,FALSE,"Summation";#N/A,#N/A,FALSE,"BSA";#N/A,#N/A,FALSE,"Detail1";#N/A,#N/A,FALSE,"Detail2";#N/A,#N/A,FALSE,"Detail3";#N/A,#N/A,FALSE,"WFTE_Summary";#N/A,#N/A,FALSE,"Funded_WFTE";#N/A,#N/A,FALSE,"PYADJ96"}</definedName>
    <definedName name="wrn.Base._.Data._.Comparison." localSheetId="53" hidden="1">{#N/A,#N/A,FALSE,"Summation";#N/A,#N/A,FALSE,"BSA";#N/A,#N/A,FALSE,"Detail1";#N/A,#N/A,FALSE,"Detail2";#N/A,#N/A,FALSE,"Detail3";#N/A,#N/A,FALSE,"WFTE_Summary";#N/A,#N/A,FALSE,"Funded_WFTE";#N/A,#N/A,FALSE,"PYADJ96"}</definedName>
    <definedName name="wrn.Base._.Data._.Comparison." localSheetId="54" hidden="1">{#N/A,#N/A,FALSE,"Summation";#N/A,#N/A,FALSE,"BSA";#N/A,#N/A,FALSE,"Detail1";#N/A,#N/A,FALSE,"Detail2";#N/A,#N/A,FALSE,"Detail3";#N/A,#N/A,FALSE,"WFTE_Summary";#N/A,#N/A,FALSE,"Funded_WFTE";#N/A,#N/A,FALSE,"PYADJ96"}</definedName>
    <definedName name="wrn.Base._.Data._.Comparison." localSheetId="55" hidden="1">{#N/A,#N/A,FALSE,"Summation";#N/A,#N/A,FALSE,"BSA";#N/A,#N/A,FALSE,"Detail1";#N/A,#N/A,FALSE,"Detail2";#N/A,#N/A,FALSE,"Detail3";#N/A,#N/A,FALSE,"WFTE_Summary";#N/A,#N/A,FALSE,"Funded_WFTE";#N/A,#N/A,FALSE,"PYADJ96"}</definedName>
    <definedName name="wrn.Base._.Data._.Comparison." localSheetId="56" hidden="1">{#N/A,#N/A,FALSE,"Summation";#N/A,#N/A,FALSE,"BSA";#N/A,#N/A,FALSE,"Detail1";#N/A,#N/A,FALSE,"Detail2";#N/A,#N/A,FALSE,"Detail3";#N/A,#N/A,FALSE,"WFTE_Summary";#N/A,#N/A,FALSE,"Funded_WFTE";#N/A,#N/A,FALSE,"PYADJ96"}</definedName>
    <definedName name="wrn.Base._.Data._.Comparison." localSheetId="57" hidden="1">{#N/A,#N/A,FALSE,"Summation";#N/A,#N/A,FALSE,"BSA";#N/A,#N/A,FALSE,"Detail1";#N/A,#N/A,FALSE,"Detail2";#N/A,#N/A,FALSE,"Detail3";#N/A,#N/A,FALSE,"WFTE_Summary";#N/A,#N/A,FALSE,"Funded_WFTE";#N/A,#N/A,FALSE,"PYADJ96"}</definedName>
    <definedName name="wrn.Base._.Data._.Comparison." localSheetId="58" hidden="1">{#N/A,#N/A,FALSE,"Summation";#N/A,#N/A,FALSE,"BSA";#N/A,#N/A,FALSE,"Detail1";#N/A,#N/A,FALSE,"Detail2";#N/A,#N/A,FALSE,"Detail3";#N/A,#N/A,FALSE,"WFTE_Summary";#N/A,#N/A,FALSE,"Funded_WFTE";#N/A,#N/A,FALSE,"PYADJ96"}</definedName>
    <definedName name="wrn.Base._.Data._.Comparison." localSheetId="59" hidden="1">{#N/A,#N/A,FALSE,"Summation";#N/A,#N/A,FALSE,"BSA";#N/A,#N/A,FALSE,"Detail1";#N/A,#N/A,FALSE,"Detail2";#N/A,#N/A,FALSE,"Detail3";#N/A,#N/A,FALSE,"WFTE_Summary";#N/A,#N/A,FALSE,"Funded_WFTE";#N/A,#N/A,FALSE,"PYADJ96"}</definedName>
    <definedName name="wrn.Base._.Data._.Comparison." localSheetId="60" hidden="1">{#N/A,#N/A,FALSE,"Summation";#N/A,#N/A,FALSE,"BSA";#N/A,#N/A,FALSE,"Detail1";#N/A,#N/A,FALSE,"Detail2";#N/A,#N/A,FALSE,"Detail3";#N/A,#N/A,FALSE,"WFTE_Summary";#N/A,#N/A,FALSE,"Funded_WFTE";#N/A,#N/A,FALSE,"PYADJ96"}</definedName>
    <definedName name="wrn.Base._.Data._.Comparison." localSheetId="61" hidden="1">{#N/A,#N/A,FALSE,"Summation";#N/A,#N/A,FALSE,"BSA";#N/A,#N/A,FALSE,"Detail1";#N/A,#N/A,FALSE,"Detail2";#N/A,#N/A,FALSE,"Detail3";#N/A,#N/A,FALSE,"WFTE_Summary";#N/A,#N/A,FALSE,"Funded_WFTE";#N/A,#N/A,FALSE,"PYADJ96"}</definedName>
    <definedName name="wrn.Base._.Data._.Comparison." localSheetId="62" hidden="1">{#N/A,#N/A,FALSE,"Summation";#N/A,#N/A,FALSE,"BSA";#N/A,#N/A,FALSE,"Detail1";#N/A,#N/A,FALSE,"Detail2";#N/A,#N/A,FALSE,"Detail3";#N/A,#N/A,FALSE,"WFTE_Summary";#N/A,#N/A,FALSE,"Funded_WFTE";#N/A,#N/A,FALSE,"PYADJ96"}</definedName>
    <definedName name="wrn.Base._.Data._.Comparison." localSheetId="63" hidden="1">{#N/A,#N/A,FALSE,"Summation";#N/A,#N/A,FALSE,"BSA";#N/A,#N/A,FALSE,"Detail1";#N/A,#N/A,FALSE,"Detail2";#N/A,#N/A,FALSE,"Detail3";#N/A,#N/A,FALSE,"WFTE_Summary";#N/A,#N/A,FALSE,"Funded_WFTE";#N/A,#N/A,FALSE,"PYADJ96"}</definedName>
    <definedName name="wrn.Base._.Data._.Comparison." localSheetId="64" hidden="1">{#N/A,#N/A,FALSE,"Summation";#N/A,#N/A,FALSE,"BSA";#N/A,#N/A,FALSE,"Detail1";#N/A,#N/A,FALSE,"Detail2";#N/A,#N/A,FALSE,"Detail3";#N/A,#N/A,FALSE,"WFTE_Summary";#N/A,#N/A,FALSE,"Funded_WFTE";#N/A,#N/A,FALSE,"PYADJ96"}</definedName>
    <definedName name="wrn.Base._.Data._.Comparison." localSheetId="65" hidden="1">{#N/A,#N/A,FALSE,"Summation";#N/A,#N/A,FALSE,"BSA";#N/A,#N/A,FALSE,"Detail1";#N/A,#N/A,FALSE,"Detail2";#N/A,#N/A,FALSE,"Detail3";#N/A,#N/A,FALSE,"WFTE_Summary";#N/A,#N/A,FALSE,"Funded_WFTE";#N/A,#N/A,FALSE,"PYADJ96"}</definedName>
    <definedName name="wrn.Base._.Data._.Comparison." localSheetId="66" hidden="1">{#N/A,#N/A,FALSE,"Summation";#N/A,#N/A,FALSE,"BSA";#N/A,#N/A,FALSE,"Detail1";#N/A,#N/A,FALSE,"Detail2";#N/A,#N/A,FALSE,"Detail3";#N/A,#N/A,FALSE,"WFTE_Summary";#N/A,#N/A,FALSE,"Funded_WFTE";#N/A,#N/A,FALSE,"PYADJ96"}</definedName>
    <definedName name="wrn.Base._.Data._.Comparison." localSheetId="67" hidden="1">{#N/A,#N/A,FALSE,"Summation";#N/A,#N/A,FALSE,"BSA";#N/A,#N/A,FALSE,"Detail1";#N/A,#N/A,FALSE,"Detail2";#N/A,#N/A,FALSE,"Detail3";#N/A,#N/A,FALSE,"WFTE_Summary";#N/A,#N/A,FALSE,"Funded_WFTE";#N/A,#N/A,FALSE,"PYADJ96"}</definedName>
    <definedName name="wrn.Base._.Data._.Comparison." localSheetId="68" hidden="1">{#N/A,#N/A,FALSE,"Summation";#N/A,#N/A,FALSE,"BSA";#N/A,#N/A,FALSE,"Detail1";#N/A,#N/A,FALSE,"Detail2";#N/A,#N/A,FALSE,"Detail3";#N/A,#N/A,FALSE,"WFTE_Summary";#N/A,#N/A,FALSE,"Funded_WFTE";#N/A,#N/A,FALSE,"PYADJ96"}</definedName>
    <definedName name="wrn.Base._.Data._.Comparison." localSheetId="69" hidden="1">{#N/A,#N/A,FALSE,"Summation";#N/A,#N/A,FALSE,"BSA";#N/A,#N/A,FALSE,"Detail1";#N/A,#N/A,FALSE,"Detail2";#N/A,#N/A,FALSE,"Detail3";#N/A,#N/A,FALSE,"WFTE_Summary";#N/A,#N/A,FALSE,"Funded_WFTE";#N/A,#N/A,FALSE,"PYADJ96"}</definedName>
    <definedName name="wrn.Base._.Data._.Comparison." localSheetId="70" hidden="1">{#N/A,#N/A,FALSE,"Summation";#N/A,#N/A,FALSE,"BSA";#N/A,#N/A,FALSE,"Detail1";#N/A,#N/A,FALSE,"Detail2";#N/A,#N/A,FALSE,"Detail3";#N/A,#N/A,FALSE,"WFTE_Summary";#N/A,#N/A,FALSE,"Funded_WFTE";#N/A,#N/A,FALSE,"PYADJ96"}</definedName>
    <definedName name="wrn.Base._.Data._.Comparison." localSheetId="72" hidden="1">{#N/A,#N/A,FALSE,"Summation";#N/A,#N/A,FALSE,"BSA";#N/A,#N/A,FALSE,"Detail1";#N/A,#N/A,FALSE,"Detail2";#N/A,#N/A,FALSE,"Detail3";#N/A,#N/A,FALSE,"WFTE_Summary";#N/A,#N/A,FALSE,"Funded_WFTE";#N/A,#N/A,FALSE,"PYADJ96"}</definedName>
    <definedName name="wrn.Base._.Data._.Comparison." localSheetId="71" hidden="1">{#N/A,#N/A,FALSE,"Summation";#N/A,#N/A,FALSE,"BSA";#N/A,#N/A,FALSE,"Detail1";#N/A,#N/A,FALSE,"Detail2";#N/A,#N/A,FALSE,"Detail3";#N/A,#N/A,FALSE,"WFTE_Summary";#N/A,#N/A,FALSE,"Funded_WFTE";#N/A,#N/A,FALSE,"PYADJ96"}</definedName>
    <definedName name="wrn.Base._.Data._.Comparison." localSheetId="73" hidden="1">{#N/A,#N/A,FALSE,"Summation";#N/A,#N/A,FALSE,"BSA";#N/A,#N/A,FALSE,"Detail1";#N/A,#N/A,FALSE,"Detail2";#N/A,#N/A,FALSE,"Detail3";#N/A,#N/A,FALSE,"WFTE_Summary";#N/A,#N/A,FALSE,"Funded_WFTE";#N/A,#N/A,FALSE,"PYADJ96"}</definedName>
    <definedName name="wrn.Base._.Data._.Comparison." localSheetId="74" hidden="1">{#N/A,#N/A,FALSE,"Summation";#N/A,#N/A,FALSE,"BSA";#N/A,#N/A,FALSE,"Detail1";#N/A,#N/A,FALSE,"Detail2";#N/A,#N/A,FALSE,"Detail3";#N/A,#N/A,FALSE,"WFTE_Summary";#N/A,#N/A,FALSE,"Funded_WFTE";#N/A,#N/A,FALSE,"PYADJ96"}</definedName>
    <definedName name="wrn.Base._.Data._.Comparison." localSheetId="75" hidden="1">{#N/A,#N/A,FALSE,"Summation";#N/A,#N/A,FALSE,"BSA";#N/A,#N/A,FALSE,"Detail1";#N/A,#N/A,FALSE,"Detail2";#N/A,#N/A,FALSE,"Detail3";#N/A,#N/A,FALSE,"WFTE_Summary";#N/A,#N/A,FALSE,"Funded_WFTE";#N/A,#N/A,FALSE,"PYADJ96"}</definedName>
    <definedName name="wrn.Base._.Data._.Comparison." localSheetId="76" hidden="1">{#N/A,#N/A,FALSE,"Summation";#N/A,#N/A,FALSE,"BSA";#N/A,#N/A,FALSE,"Detail1";#N/A,#N/A,FALSE,"Detail2";#N/A,#N/A,FALSE,"Detail3";#N/A,#N/A,FALSE,"WFTE_Summary";#N/A,#N/A,FALSE,"Funded_WFTE";#N/A,#N/A,FALSE,"PYADJ96"}</definedName>
    <definedName name="wrn.Base._.Data._.Comparison." localSheetId="1" hidden="1">{#N/A,#N/A,FALSE,"Summation";#N/A,#N/A,FALSE,"BSA";#N/A,#N/A,FALSE,"Detail1";#N/A,#N/A,FALSE,"Detail2";#N/A,#N/A,FALSE,"Detail3";#N/A,#N/A,FALSE,"WFTE_Summary";#N/A,#N/A,FALSE,"Funded_WFTE";#N/A,#N/A,FALSE,"PYADJ96"}</definedName>
    <definedName name="wrn.Base._.Data._.Comparison." localSheetId="0" hidden="1">{#N/A,#N/A,FALSE,"Summation";#N/A,#N/A,FALSE,"BSA";#N/A,#N/A,FALSE,"Detail1";#N/A,#N/A,FALSE,"Detail2";#N/A,#N/A,FALSE,"Detail3";#N/A,#N/A,FALSE,"WFTE_Summary";#N/A,#N/A,FALSE,"Funded_WFTE";#N/A,#N/A,FALSE,"PYADJ96"}</definedName>
    <definedName name="wrn.Base._.Data._.Comparison." localSheetId="2" hidden="1">{#N/A,#N/A,FALSE,"Summation";#N/A,#N/A,FALSE,"BSA";#N/A,#N/A,FALSE,"Detail1";#N/A,#N/A,FALSE,"Detail2";#N/A,#N/A,FALSE,"Detail3";#N/A,#N/A,FALSE,"WFTE_Summary";#N/A,#N/A,FALSE,"Funded_WFTE";#N/A,#N/A,FALSE,"PYADJ96"}</definedName>
    <definedName name="wrn.Base._.Data._.Comparison." hidden="1">{#N/A,#N/A,FALSE,"Summation";#N/A,#N/A,FALSE,"BSA";#N/A,#N/A,FALSE,"Detail1";#N/A,#N/A,FALSE,"Detail2";#N/A,#N/A,FALSE,"Detail3";#N/A,#N/A,FALSE,"WFTE_Summary";#N/A,#N/A,FALSE,"Funded_WFTE";#N/A,#N/A,FALSE,"PYADJ96"}</definedName>
    <definedName name="wrn.SecondCalc9798." localSheetId="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6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6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6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6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6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6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6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6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6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6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7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7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7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7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7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7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7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s>
  <calcPr calcId="144525"/>
</workbook>
</file>

<file path=xl/calcChain.xml><?xml version="1.0" encoding="utf-8"?>
<calcChain xmlns="http://schemas.openxmlformats.org/spreadsheetml/2006/main">
  <c r="E22" i="86" l="1"/>
  <c r="D22" i="86"/>
  <c r="V2" i="107" l="1"/>
  <c r="B3" i="107"/>
  <c r="V4" i="107"/>
  <c r="X7" i="107"/>
  <c r="AB7" i="107"/>
  <c r="G10" i="107"/>
  <c r="K10" i="107" s="1"/>
  <c r="G11" i="107"/>
  <c r="I11" i="107"/>
  <c r="K11" i="107"/>
  <c r="L11" i="107" s="1"/>
  <c r="G12" i="107"/>
  <c r="K12" i="107" s="1"/>
  <c r="G13" i="107"/>
  <c r="I13" i="107"/>
  <c r="K13" i="107"/>
  <c r="L13" i="107" s="1"/>
  <c r="G14" i="107"/>
  <c r="K14" i="107" s="1"/>
  <c r="L14" i="107" s="1"/>
  <c r="G15" i="107"/>
  <c r="I15" i="107"/>
  <c r="K15" i="107"/>
  <c r="L15" i="107" s="1"/>
  <c r="G16" i="107"/>
  <c r="K16" i="107" s="1"/>
  <c r="L16" i="107" s="1"/>
  <c r="G17" i="107"/>
  <c r="I17" i="107"/>
  <c r="K17" i="107"/>
  <c r="L17" i="107" s="1"/>
  <c r="G18" i="107"/>
  <c r="I18" i="107"/>
  <c r="K18" i="107" s="1"/>
  <c r="L18" i="107" s="1"/>
  <c r="G19" i="107"/>
  <c r="K19" i="107" s="1"/>
  <c r="L19" i="107" s="1"/>
  <c r="G20" i="107"/>
  <c r="I20" i="107"/>
  <c r="K20" i="107"/>
  <c r="L20" i="107" s="1"/>
  <c r="G21" i="107"/>
  <c r="I21" i="107"/>
  <c r="K21" i="107" s="1"/>
  <c r="L21" i="107" s="1"/>
  <c r="G22" i="107"/>
  <c r="K22" i="107" s="1"/>
  <c r="L22" i="107" s="1"/>
  <c r="G23" i="107"/>
  <c r="K23" i="107" s="1"/>
  <c r="L23" i="107" s="1"/>
  <c r="I23" i="107"/>
  <c r="G24" i="107"/>
  <c r="I24" i="107"/>
  <c r="K24" i="107" s="1"/>
  <c r="L24" i="107" s="1"/>
  <c r="G25" i="107"/>
  <c r="K25" i="107" s="1"/>
  <c r="L25" i="107" s="1"/>
  <c r="D26" i="107"/>
  <c r="E26" i="107"/>
  <c r="G26" i="107"/>
  <c r="L40" i="107" s="1"/>
  <c r="G28" i="107"/>
  <c r="L28" i="107" s="1"/>
  <c r="AB28" i="107"/>
  <c r="AC28" i="107" s="1"/>
  <c r="G29" i="107"/>
  <c r="L29" i="107" s="1"/>
  <c r="AB29" i="107"/>
  <c r="AC29" i="107" s="1"/>
  <c r="G30" i="107"/>
  <c r="L30" i="107" s="1"/>
  <c r="AB30" i="107"/>
  <c r="AC30" i="107" s="1"/>
  <c r="G31" i="107"/>
  <c r="L31" i="107" s="1"/>
  <c r="AB31" i="107"/>
  <c r="AC31" i="107" s="1"/>
  <c r="G32" i="107"/>
  <c r="L32" i="107" s="1"/>
  <c r="AB32" i="107"/>
  <c r="AC32" i="107" s="1"/>
  <c r="G33" i="107"/>
  <c r="L33" i="107" s="1"/>
  <c r="AB33" i="107"/>
  <c r="AC33" i="107" s="1"/>
  <c r="G34" i="107"/>
  <c r="L34" i="107" s="1"/>
  <c r="AB34" i="107"/>
  <c r="AC34" i="107" s="1"/>
  <c r="G35" i="107"/>
  <c r="L35" i="107" s="1"/>
  <c r="AB35" i="107"/>
  <c r="AC35" i="107" s="1"/>
  <c r="G36" i="107"/>
  <c r="L36" i="107" s="1"/>
  <c r="AB36" i="107"/>
  <c r="AC36" i="107" s="1"/>
  <c r="D37" i="107"/>
  <c r="E37" i="107"/>
  <c r="G37" i="107"/>
  <c r="X37" i="107"/>
  <c r="X39" i="107"/>
  <c r="K40" i="107"/>
  <c r="X40" i="107"/>
  <c r="AB40" i="107"/>
  <c r="G47" i="107"/>
  <c r="X47" i="107"/>
  <c r="Z47" i="107"/>
  <c r="G48" i="107"/>
  <c r="X48" i="107"/>
  <c r="Z48" i="107"/>
  <c r="C49" i="107"/>
  <c r="G49" i="107"/>
  <c r="K49" i="107"/>
  <c r="X49" i="107"/>
  <c r="Z49" i="107"/>
  <c r="AA53" i="107"/>
  <c r="J56" i="107"/>
  <c r="AA56" i="107"/>
  <c r="X60" i="107"/>
  <c r="X61" i="107"/>
  <c r="G65" i="107"/>
  <c r="X64" i="107" s="1"/>
  <c r="Y58" i="107" s="1"/>
  <c r="X65" i="107"/>
  <c r="Y66" i="107"/>
  <c r="Y68" i="107"/>
  <c r="Y69" i="107"/>
  <c r="Y70" i="107"/>
  <c r="Y71" i="107"/>
  <c r="AB74" i="107"/>
  <c r="G75" i="107"/>
  <c r="I75" i="107" s="1"/>
  <c r="AB75" i="107"/>
  <c r="G76" i="107"/>
  <c r="I76" i="107" s="1"/>
  <c r="Y76" i="107"/>
  <c r="V77" i="107"/>
  <c r="Y77" i="107"/>
  <c r="V78" i="107"/>
  <c r="V79" i="107"/>
  <c r="M86" i="107"/>
  <c r="B135" i="107"/>
  <c r="B136" i="107"/>
  <c r="G56" i="107" l="1"/>
  <c r="K57" i="107" s="1"/>
  <c r="K69" i="107" s="1"/>
  <c r="L69" i="107" s="1"/>
  <c r="K84" i="107"/>
  <c r="X10" i="107" s="1"/>
  <c r="Z75" i="107"/>
  <c r="L76" i="107"/>
  <c r="Z74" i="107"/>
  <c r="L75" i="107"/>
  <c r="AC75" i="107"/>
  <c r="AC74" i="107"/>
  <c r="L37" i="107"/>
  <c r="C48" i="107"/>
  <c r="K48" i="107" s="1"/>
  <c r="L12" i="107"/>
  <c r="K26" i="107"/>
  <c r="G53" i="107" s="1"/>
  <c r="K54" i="107" s="1"/>
  <c r="L10" i="107"/>
  <c r="L26" i="107" s="1"/>
  <c r="L44" i="107" s="1"/>
  <c r="C47" i="107"/>
  <c r="AC37" i="107"/>
  <c r="M15" i="107"/>
  <c r="M13" i="107"/>
  <c r="M11" i="107"/>
  <c r="V2" i="106"/>
  <c r="B3" i="106"/>
  <c r="V4" i="106"/>
  <c r="X7" i="106"/>
  <c r="AB7" i="106"/>
  <c r="G10" i="106"/>
  <c r="K10" i="106" s="1"/>
  <c r="G11" i="106"/>
  <c r="I11" i="106"/>
  <c r="K11" i="106"/>
  <c r="L11" i="106" s="1"/>
  <c r="G12" i="106"/>
  <c r="K12" i="106" s="1"/>
  <c r="G13" i="106"/>
  <c r="I13" i="106"/>
  <c r="K13" i="106"/>
  <c r="L13" i="106" s="1"/>
  <c r="G14" i="106"/>
  <c r="K14" i="106" s="1"/>
  <c r="L14" i="106" s="1"/>
  <c r="G15" i="106"/>
  <c r="I15" i="106"/>
  <c r="K15" i="106"/>
  <c r="L15" i="106" s="1"/>
  <c r="G16" i="106"/>
  <c r="K16" i="106" s="1"/>
  <c r="L16" i="106" s="1"/>
  <c r="G17" i="106"/>
  <c r="I17" i="106"/>
  <c r="K17" i="106"/>
  <c r="L17" i="106" s="1"/>
  <c r="G18" i="106"/>
  <c r="I18" i="106"/>
  <c r="K18" i="106" s="1"/>
  <c r="L18" i="106" s="1"/>
  <c r="G19" i="106"/>
  <c r="K19" i="106" s="1"/>
  <c r="L19" i="106" s="1"/>
  <c r="G20" i="106"/>
  <c r="I20" i="106"/>
  <c r="K20" i="106"/>
  <c r="L20" i="106" s="1"/>
  <c r="G21" i="106"/>
  <c r="I21" i="106"/>
  <c r="K21" i="106" s="1"/>
  <c r="L21" i="106" s="1"/>
  <c r="G22" i="106"/>
  <c r="K22" i="106" s="1"/>
  <c r="L22" i="106" s="1"/>
  <c r="G23" i="106"/>
  <c r="K23" i="106" s="1"/>
  <c r="L23" i="106" s="1"/>
  <c r="I23" i="106"/>
  <c r="G24" i="106"/>
  <c r="I24" i="106"/>
  <c r="K24" i="106" s="1"/>
  <c r="L24" i="106" s="1"/>
  <c r="G25" i="106"/>
  <c r="K25" i="106" s="1"/>
  <c r="L25" i="106" s="1"/>
  <c r="D26" i="106"/>
  <c r="E26" i="106"/>
  <c r="G28" i="106"/>
  <c r="L28" i="106" s="1"/>
  <c r="AB28" i="106"/>
  <c r="AC28" i="106" s="1"/>
  <c r="G29" i="106"/>
  <c r="L29" i="106" s="1"/>
  <c r="AB29" i="106"/>
  <c r="AC29" i="106" s="1"/>
  <c r="G30" i="106"/>
  <c r="L30" i="106" s="1"/>
  <c r="AB30" i="106"/>
  <c r="AC30" i="106" s="1"/>
  <c r="G31" i="106"/>
  <c r="L31" i="106" s="1"/>
  <c r="AB31" i="106"/>
  <c r="AC31" i="106" s="1"/>
  <c r="G32" i="106"/>
  <c r="L32" i="106" s="1"/>
  <c r="AB32" i="106"/>
  <c r="AC32" i="106" s="1"/>
  <c r="G33" i="106"/>
  <c r="L33" i="106" s="1"/>
  <c r="AB33" i="106"/>
  <c r="AC33" i="106" s="1"/>
  <c r="G34" i="106"/>
  <c r="L34" i="106" s="1"/>
  <c r="AB34" i="106"/>
  <c r="AC34" i="106" s="1"/>
  <c r="G35" i="106"/>
  <c r="L35" i="106" s="1"/>
  <c r="AB35" i="106"/>
  <c r="AC35" i="106" s="1"/>
  <c r="G36" i="106"/>
  <c r="L36" i="106" s="1"/>
  <c r="AB36" i="106"/>
  <c r="AC36" i="106" s="1"/>
  <c r="D37" i="106"/>
  <c r="E37" i="106"/>
  <c r="G37" i="106"/>
  <c r="X37" i="106"/>
  <c r="X39" i="106"/>
  <c r="K40" i="106"/>
  <c r="X40" i="106"/>
  <c r="AB40" i="106"/>
  <c r="G47" i="106"/>
  <c r="X47" i="106"/>
  <c r="Z47" i="106"/>
  <c r="G48" i="106"/>
  <c r="X48" i="106"/>
  <c r="Z48" i="106"/>
  <c r="C49" i="106"/>
  <c r="G49" i="106"/>
  <c r="K49" i="106"/>
  <c r="X49" i="106"/>
  <c r="Z49" i="106"/>
  <c r="AA53" i="106"/>
  <c r="J56" i="106"/>
  <c r="AA56" i="106"/>
  <c r="X60" i="106"/>
  <c r="X61" i="106"/>
  <c r="Y58" i="106" s="1"/>
  <c r="G65" i="106"/>
  <c r="X64" i="106" s="1"/>
  <c r="X65" i="106"/>
  <c r="Y66" i="106"/>
  <c r="Y68" i="106"/>
  <c r="Y69" i="106"/>
  <c r="Y70" i="106"/>
  <c r="Y71" i="106"/>
  <c r="AB74" i="106"/>
  <c r="G75" i="106"/>
  <c r="I75" i="106"/>
  <c r="L75" i="106" s="1"/>
  <c r="AB75" i="106"/>
  <c r="AC75" i="106" s="1"/>
  <c r="G76" i="106"/>
  <c r="I76" i="106" s="1"/>
  <c r="L76" i="106" s="1"/>
  <c r="Y76" i="106"/>
  <c r="V77" i="106"/>
  <c r="Y77" i="106"/>
  <c r="V78" i="106"/>
  <c r="V79" i="106"/>
  <c r="M86" i="106"/>
  <c r="B135" i="106"/>
  <c r="B136" i="106"/>
  <c r="V2" i="105"/>
  <c r="B3" i="105"/>
  <c r="V4" i="105"/>
  <c r="X7" i="105"/>
  <c r="AB7" i="105"/>
  <c r="X47" i="105" s="1"/>
  <c r="G10" i="105"/>
  <c r="K10" i="105"/>
  <c r="L10" i="105" s="1"/>
  <c r="G11" i="105"/>
  <c r="I11" i="105"/>
  <c r="K11" i="105" s="1"/>
  <c r="L11" i="105" s="1"/>
  <c r="G12" i="105"/>
  <c r="K12" i="105"/>
  <c r="L12" i="105" s="1"/>
  <c r="G13" i="105"/>
  <c r="I13" i="105"/>
  <c r="K13" i="105" s="1"/>
  <c r="L13" i="105" s="1"/>
  <c r="G14" i="105"/>
  <c r="K14" i="105"/>
  <c r="G15" i="105"/>
  <c r="I15" i="105"/>
  <c r="K15" i="105" s="1"/>
  <c r="L15" i="105" s="1"/>
  <c r="G16" i="105"/>
  <c r="K16" i="105"/>
  <c r="L16" i="105" s="1"/>
  <c r="G17" i="105"/>
  <c r="I17" i="105"/>
  <c r="G18" i="105"/>
  <c r="G19" i="105"/>
  <c r="K19" i="105"/>
  <c r="L19" i="105" s="1"/>
  <c r="G20" i="105"/>
  <c r="I20" i="105"/>
  <c r="G21" i="105"/>
  <c r="G22" i="105"/>
  <c r="K22" i="105" s="1"/>
  <c r="L22" i="105" s="1"/>
  <c r="G23" i="105"/>
  <c r="I23" i="105"/>
  <c r="G24" i="105"/>
  <c r="G25" i="105"/>
  <c r="K25" i="105"/>
  <c r="L25" i="105" s="1"/>
  <c r="D26" i="105"/>
  <c r="E26" i="105"/>
  <c r="G28" i="105"/>
  <c r="M11" i="105" s="1"/>
  <c r="L28" i="105"/>
  <c r="AB28" i="105"/>
  <c r="AC28" i="105"/>
  <c r="G29" i="105"/>
  <c r="L29" i="105"/>
  <c r="AB29" i="105"/>
  <c r="AC29" i="105"/>
  <c r="G30" i="105"/>
  <c r="L30" i="105"/>
  <c r="AB30" i="105"/>
  <c r="AC30" i="105"/>
  <c r="G31" i="105"/>
  <c r="M13" i="105" s="1"/>
  <c r="L31" i="105"/>
  <c r="AB31" i="105"/>
  <c r="AC31" i="105"/>
  <c r="G32" i="105"/>
  <c r="L32" i="105"/>
  <c r="AB32" i="105"/>
  <c r="AC32" i="105"/>
  <c r="G33" i="105"/>
  <c r="L33" i="105"/>
  <c r="AB33" i="105"/>
  <c r="AC33" i="105"/>
  <c r="G34" i="105"/>
  <c r="M15" i="105" s="1"/>
  <c r="L34" i="105"/>
  <c r="AB34" i="105"/>
  <c r="AC34" i="105"/>
  <c r="G35" i="105"/>
  <c r="L35" i="105"/>
  <c r="AB35" i="105"/>
  <c r="AC35" i="105"/>
  <c r="G36" i="105"/>
  <c r="L36" i="105"/>
  <c r="AB36" i="105"/>
  <c r="AC36" i="105"/>
  <c r="D37" i="105"/>
  <c r="E37" i="105"/>
  <c r="G37" i="105"/>
  <c r="L37" i="105"/>
  <c r="X37" i="105"/>
  <c r="AC37" i="105"/>
  <c r="X39" i="105"/>
  <c r="K40" i="105"/>
  <c r="X40" i="105"/>
  <c r="AB40" i="105" s="1"/>
  <c r="G47" i="105"/>
  <c r="Z47" i="105"/>
  <c r="G48" i="105"/>
  <c r="X48" i="105"/>
  <c r="Z48" i="105"/>
  <c r="G49" i="105"/>
  <c r="Z49" i="105"/>
  <c r="AA53" i="105"/>
  <c r="J56" i="105"/>
  <c r="AA56" i="105"/>
  <c r="X60" i="105"/>
  <c r="X61" i="105"/>
  <c r="X64" i="105"/>
  <c r="G65" i="105"/>
  <c r="X65" i="105"/>
  <c r="Y58" i="105" s="1"/>
  <c r="Y66" i="105"/>
  <c r="Y68" i="105"/>
  <c r="Y69" i="105"/>
  <c r="Y70" i="105"/>
  <c r="Y71" i="105"/>
  <c r="AB74" i="105"/>
  <c r="G75" i="105"/>
  <c r="I75" i="105"/>
  <c r="L75" i="105" s="1"/>
  <c r="AB75" i="105"/>
  <c r="G76" i="105"/>
  <c r="I76" i="105"/>
  <c r="L76" i="105" s="1"/>
  <c r="Y76" i="105"/>
  <c r="V77" i="105"/>
  <c r="Y77" i="105"/>
  <c r="V78" i="105"/>
  <c r="V79" i="105"/>
  <c r="M86" i="105"/>
  <c r="B135" i="105"/>
  <c r="B136" i="105"/>
  <c r="V2" i="104"/>
  <c r="B3" i="104"/>
  <c r="V4" i="104"/>
  <c r="X7" i="104"/>
  <c r="AB7" i="104"/>
  <c r="G10" i="104"/>
  <c r="K10" i="104" s="1"/>
  <c r="G11" i="104"/>
  <c r="I11" i="104"/>
  <c r="K11" i="104"/>
  <c r="L11" i="104" s="1"/>
  <c r="G12" i="104"/>
  <c r="K12" i="104" s="1"/>
  <c r="G13" i="104"/>
  <c r="K13" i="104" s="1"/>
  <c r="L13" i="104" s="1"/>
  <c r="I13" i="104"/>
  <c r="G14" i="104"/>
  <c r="K14" i="104" s="1"/>
  <c r="G15" i="104"/>
  <c r="I15" i="104"/>
  <c r="K15" i="104"/>
  <c r="L15" i="104" s="1"/>
  <c r="G16" i="104"/>
  <c r="K16" i="104" s="1"/>
  <c r="L16" i="104" s="1"/>
  <c r="G17" i="104"/>
  <c r="I17" i="104"/>
  <c r="K17" i="104"/>
  <c r="L17" i="104" s="1"/>
  <c r="G18" i="104"/>
  <c r="I18" i="104"/>
  <c r="K18" i="104" s="1"/>
  <c r="L18" i="104" s="1"/>
  <c r="G19" i="104"/>
  <c r="K19" i="104" s="1"/>
  <c r="L19" i="104" s="1"/>
  <c r="G20" i="104"/>
  <c r="I20" i="104"/>
  <c r="K20" i="104"/>
  <c r="L20" i="104" s="1"/>
  <c r="G21" i="104"/>
  <c r="I21" i="104"/>
  <c r="K21" i="104" s="1"/>
  <c r="L21" i="104" s="1"/>
  <c r="G22" i="104"/>
  <c r="K22" i="104" s="1"/>
  <c r="L22" i="104" s="1"/>
  <c r="G23" i="104"/>
  <c r="K23" i="104" s="1"/>
  <c r="L23" i="104" s="1"/>
  <c r="I23" i="104"/>
  <c r="G24" i="104"/>
  <c r="I24" i="104"/>
  <c r="K24" i="104" s="1"/>
  <c r="L24" i="104" s="1"/>
  <c r="G25" i="104"/>
  <c r="K25" i="104" s="1"/>
  <c r="L25" i="104" s="1"/>
  <c r="D26" i="104"/>
  <c r="E26" i="104"/>
  <c r="G28" i="104"/>
  <c r="L28" i="104" s="1"/>
  <c r="AB28" i="104"/>
  <c r="AC28" i="104" s="1"/>
  <c r="G29" i="104"/>
  <c r="L29" i="104" s="1"/>
  <c r="AB29" i="104"/>
  <c r="AC29" i="104" s="1"/>
  <c r="G30" i="104"/>
  <c r="L30" i="104" s="1"/>
  <c r="AB30" i="104"/>
  <c r="AC30" i="104" s="1"/>
  <c r="G31" i="104"/>
  <c r="L31" i="104" s="1"/>
  <c r="AB31" i="104"/>
  <c r="AC31" i="104" s="1"/>
  <c r="G32" i="104"/>
  <c r="L32" i="104" s="1"/>
  <c r="AB32" i="104"/>
  <c r="AC32" i="104" s="1"/>
  <c r="G33" i="104"/>
  <c r="L33" i="104" s="1"/>
  <c r="AB33" i="104"/>
  <c r="AC33" i="104" s="1"/>
  <c r="G34" i="104"/>
  <c r="L34" i="104" s="1"/>
  <c r="AB34" i="104"/>
  <c r="AC34" i="104" s="1"/>
  <c r="G35" i="104"/>
  <c r="L35" i="104" s="1"/>
  <c r="AB35" i="104"/>
  <c r="AC35" i="104" s="1"/>
  <c r="G36" i="104"/>
  <c r="L36" i="104" s="1"/>
  <c r="AB36" i="104"/>
  <c r="AC36" i="104" s="1"/>
  <c r="D37" i="104"/>
  <c r="E37" i="104"/>
  <c r="G37" i="104"/>
  <c r="X37" i="104"/>
  <c r="X39" i="104"/>
  <c r="K40" i="104"/>
  <c r="X40" i="104"/>
  <c r="AB40" i="104"/>
  <c r="G47" i="104"/>
  <c r="X47" i="104"/>
  <c r="Z47" i="104"/>
  <c r="G48" i="104"/>
  <c r="X48" i="104"/>
  <c r="Z48" i="104"/>
  <c r="G49" i="104"/>
  <c r="X49" i="104"/>
  <c r="Z49" i="104"/>
  <c r="AA53" i="104"/>
  <c r="J56" i="104"/>
  <c r="AA56" i="104"/>
  <c r="X60" i="104"/>
  <c r="X61" i="104"/>
  <c r="G65" i="104"/>
  <c r="X64" i="104" s="1"/>
  <c r="Y58" i="104" s="1"/>
  <c r="X65" i="104"/>
  <c r="Y66" i="104"/>
  <c r="Y68" i="104"/>
  <c r="Y69" i="104"/>
  <c r="Y70" i="104"/>
  <c r="Y71" i="104"/>
  <c r="AB74" i="104"/>
  <c r="G75" i="104"/>
  <c r="I75" i="104" s="1"/>
  <c r="AB75" i="104"/>
  <c r="G76" i="104"/>
  <c r="I76" i="104" s="1"/>
  <c r="Y76" i="104"/>
  <c r="V77" i="104"/>
  <c r="Y77" i="104"/>
  <c r="V78" i="104"/>
  <c r="V79" i="104"/>
  <c r="M86" i="104"/>
  <c r="B135" i="104"/>
  <c r="B136" i="104"/>
  <c r="V2" i="103"/>
  <c r="B3" i="103"/>
  <c r="V4" i="103"/>
  <c r="X7" i="103"/>
  <c r="AB7" i="103"/>
  <c r="G10" i="103"/>
  <c r="K10" i="103" s="1"/>
  <c r="G11" i="103"/>
  <c r="K11" i="103" s="1"/>
  <c r="L11" i="103" s="1"/>
  <c r="I11" i="103"/>
  <c r="G12" i="103"/>
  <c r="K12" i="103" s="1"/>
  <c r="G13" i="103"/>
  <c r="I13" i="103"/>
  <c r="K13" i="103"/>
  <c r="L13" i="103" s="1"/>
  <c r="G14" i="103"/>
  <c r="K14" i="103" s="1"/>
  <c r="G15" i="103"/>
  <c r="I15" i="103"/>
  <c r="K15" i="103"/>
  <c r="L15" i="103" s="1"/>
  <c r="G16" i="103"/>
  <c r="K16" i="103" s="1"/>
  <c r="L16" i="103" s="1"/>
  <c r="G17" i="103"/>
  <c r="I17" i="103"/>
  <c r="K17" i="103"/>
  <c r="L17" i="103" s="1"/>
  <c r="G18" i="103"/>
  <c r="I18" i="103"/>
  <c r="K18" i="103" s="1"/>
  <c r="L18" i="103" s="1"/>
  <c r="G19" i="103"/>
  <c r="K19" i="103" s="1"/>
  <c r="L19" i="103" s="1"/>
  <c r="G20" i="103"/>
  <c r="I20" i="103"/>
  <c r="K20" i="103"/>
  <c r="L20" i="103" s="1"/>
  <c r="G21" i="103"/>
  <c r="I21" i="103"/>
  <c r="K21" i="103" s="1"/>
  <c r="L21" i="103" s="1"/>
  <c r="G22" i="103"/>
  <c r="K22" i="103" s="1"/>
  <c r="L22" i="103" s="1"/>
  <c r="G23" i="103"/>
  <c r="I23" i="103"/>
  <c r="K23" i="103"/>
  <c r="L23" i="103" s="1"/>
  <c r="G24" i="103"/>
  <c r="I24" i="103"/>
  <c r="K24" i="103" s="1"/>
  <c r="L24" i="103" s="1"/>
  <c r="G25" i="103"/>
  <c r="K25" i="103" s="1"/>
  <c r="L25" i="103" s="1"/>
  <c r="D26" i="103"/>
  <c r="E26" i="103"/>
  <c r="G28" i="103"/>
  <c r="L28" i="103" s="1"/>
  <c r="AB28" i="103"/>
  <c r="AC28" i="103" s="1"/>
  <c r="G29" i="103"/>
  <c r="L29" i="103" s="1"/>
  <c r="AB29" i="103"/>
  <c r="AC29" i="103" s="1"/>
  <c r="G30" i="103"/>
  <c r="L30" i="103" s="1"/>
  <c r="AB30" i="103"/>
  <c r="AC30" i="103" s="1"/>
  <c r="G31" i="103"/>
  <c r="L31" i="103" s="1"/>
  <c r="AB31" i="103"/>
  <c r="AC31" i="103" s="1"/>
  <c r="G32" i="103"/>
  <c r="L32" i="103" s="1"/>
  <c r="AB32" i="103"/>
  <c r="AC32" i="103" s="1"/>
  <c r="G33" i="103"/>
  <c r="L33" i="103" s="1"/>
  <c r="AB33" i="103"/>
  <c r="AC33" i="103" s="1"/>
  <c r="G34" i="103"/>
  <c r="L34" i="103" s="1"/>
  <c r="AB34" i="103"/>
  <c r="AC34" i="103" s="1"/>
  <c r="G35" i="103"/>
  <c r="L35" i="103" s="1"/>
  <c r="AB35" i="103"/>
  <c r="AC35" i="103" s="1"/>
  <c r="G36" i="103"/>
  <c r="L36" i="103" s="1"/>
  <c r="AB36" i="103"/>
  <c r="AC36" i="103" s="1"/>
  <c r="D37" i="103"/>
  <c r="E37" i="103"/>
  <c r="G37" i="103"/>
  <c r="X37" i="103"/>
  <c r="X39" i="103"/>
  <c r="K40" i="103"/>
  <c r="X40" i="103"/>
  <c r="AB40" i="103"/>
  <c r="G47" i="103"/>
  <c r="X47" i="103"/>
  <c r="Z47" i="103"/>
  <c r="G48" i="103"/>
  <c r="X48" i="103"/>
  <c r="Z48" i="103"/>
  <c r="G49" i="103"/>
  <c r="X49" i="103"/>
  <c r="Z49" i="103"/>
  <c r="AA53" i="103"/>
  <c r="J56" i="103"/>
  <c r="AA56" i="103"/>
  <c r="X60" i="103"/>
  <c r="X61" i="103"/>
  <c r="G65" i="103"/>
  <c r="X64" i="103" s="1"/>
  <c r="Y58" i="103" s="1"/>
  <c r="X65" i="103"/>
  <c r="Y66" i="103"/>
  <c r="Y68" i="103"/>
  <c r="Y69" i="103"/>
  <c r="Y70" i="103"/>
  <c r="Y71" i="103"/>
  <c r="AB74" i="103"/>
  <c r="G75" i="103"/>
  <c r="I75" i="103" s="1"/>
  <c r="AB75" i="103"/>
  <c r="G76" i="103"/>
  <c r="I76" i="103" s="1"/>
  <c r="Y76" i="103"/>
  <c r="V77" i="103"/>
  <c r="Y77" i="103"/>
  <c r="V78" i="103"/>
  <c r="V79" i="103"/>
  <c r="M86" i="103"/>
  <c r="B135" i="103"/>
  <c r="B136" i="103"/>
  <c r="V2" i="102"/>
  <c r="B3" i="102"/>
  <c r="V4" i="102"/>
  <c r="X7" i="102"/>
  <c r="AB7" i="102"/>
  <c r="G10" i="102"/>
  <c r="K10" i="102" s="1"/>
  <c r="G11" i="102"/>
  <c r="K11" i="102" s="1"/>
  <c r="L11" i="102" s="1"/>
  <c r="I11" i="102"/>
  <c r="G12" i="102"/>
  <c r="K12" i="102" s="1"/>
  <c r="G13" i="102"/>
  <c r="I13" i="102"/>
  <c r="K13" i="102"/>
  <c r="L13" i="102" s="1"/>
  <c r="G14" i="102"/>
  <c r="K14" i="102" s="1"/>
  <c r="G15" i="102"/>
  <c r="I15" i="102"/>
  <c r="K15" i="102"/>
  <c r="L15" i="102" s="1"/>
  <c r="G16" i="102"/>
  <c r="K16" i="102" s="1"/>
  <c r="L16" i="102" s="1"/>
  <c r="G17" i="102"/>
  <c r="I17" i="102"/>
  <c r="K17" i="102"/>
  <c r="L17" i="102" s="1"/>
  <c r="G18" i="102"/>
  <c r="I18" i="102"/>
  <c r="K18" i="102" s="1"/>
  <c r="L18" i="102" s="1"/>
  <c r="G19" i="102"/>
  <c r="K19" i="102" s="1"/>
  <c r="L19" i="102" s="1"/>
  <c r="G20" i="102"/>
  <c r="I20" i="102"/>
  <c r="K20" i="102"/>
  <c r="L20" i="102" s="1"/>
  <c r="G21" i="102"/>
  <c r="I21" i="102"/>
  <c r="K21" i="102" s="1"/>
  <c r="L21" i="102" s="1"/>
  <c r="G22" i="102"/>
  <c r="K22" i="102" s="1"/>
  <c r="L22" i="102" s="1"/>
  <c r="G23" i="102"/>
  <c r="I23" i="102"/>
  <c r="K23" i="102"/>
  <c r="L23" i="102" s="1"/>
  <c r="G24" i="102"/>
  <c r="I24" i="102"/>
  <c r="K24" i="102" s="1"/>
  <c r="L24" i="102" s="1"/>
  <c r="G25" i="102"/>
  <c r="K25" i="102" s="1"/>
  <c r="L25" i="102" s="1"/>
  <c r="D26" i="102"/>
  <c r="E26" i="102"/>
  <c r="G28" i="102"/>
  <c r="L28" i="102" s="1"/>
  <c r="AB28" i="102"/>
  <c r="AC28" i="102" s="1"/>
  <c r="G29" i="102"/>
  <c r="L29" i="102" s="1"/>
  <c r="AB29" i="102"/>
  <c r="AC29" i="102" s="1"/>
  <c r="G30" i="102"/>
  <c r="L30" i="102" s="1"/>
  <c r="AB30" i="102"/>
  <c r="AC30" i="102" s="1"/>
  <c r="G31" i="102"/>
  <c r="L31" i="102" s="1"/>
  <c r="AB31" i="102"/>
  <c r="AC31" i="102" s="1"/>
  <c r="G32" i="102"/>
  <c r="L32" i="102" s="1"/>
  <c r="AB32" i="102"/>
  <c r="AC32" i="102" s="1"/>
  <c r="G33" i="102"/>
  <c r="L33" i="102" s="1"/>
  <c r="AB33" i="102"/>
  <c r="AC33" i="102" s="1"/>
  <c r="G34" i="102"/>
  <c r="L34" i="102" s="1"/>
  <c r="AB34" i="102"/>
  <c r="AC34" i="102" s="1"/>
  <c r="G35" i="102"/>
  <c r="L35" i="102" s="1"/>
  <c r="AB35" i="102"/>
  <c r="AC35" i="102" s="1"/>
  <c r="G36" i="102"/>
  <c r="L36" i="102" s="1"/>
  <c r="AB36" i="102"/>
  <c r="AC36" i="102" s="1"/>
  <c r="D37" i="102"/>
  <c r="E37" i="102"/>
  <c r="G37" i="102"/>
  <c r="X37" i="102"/>
  <c r="X39" i="102"/>
  <c r="K40" i="102"/>
  <c r="X40" i="102"/>
  <c r="AB40" i="102"/>
  <c r="G47" i="102"/>
  <c r="X47" i="102"/>
  <c r="Z47" i="102"/>
  <c r="G48" i="102"/>
  <c r="X48" i="102"/>
  <c r="Z48" i="102"/>
  <c r="G49" i="102"/>
  <c r="X49" i="102"/>
  <c r="Z49" i="102"/>
  <c r="AA53" i="102"/>
  <c r="J56" i="102"/>
  <c r="AA56" i="102"/>
  <c r="X60" i="102"/>
  <c r="X61" i="102"/>
  <c r="G65" i="102"/>
  <c r="X64" i="102" s="1"/>
  <c r="Y58" i="102" s="1"/>
  <c r="X65" i="102"/>
  <c r="Y66" i="102"/>
  <c r="Y68" i="102"/>
  <c r="Y69" i="102"/>
  <c r="Y70" i="102"/>
  <c r="Y71" i="102"/>
  <c r="AB74" i="102"/>
  <c r="G75" i="102"/>
  <c r="I75" i="102" s="1"/>
  <c r="AB75" i="102"/>
  <c r="G76" i="102"/>
  <c r="I76" i="102" s="1"/>
  <c r="Y76" i="102"/>
  <c r="V77" i="102"/>
  <c r="Y77" i="102"/>
  <c r="V78" i="102"/>
  <c r="V79" i="102"/>
  <c r="M86" i="102"/>
  <c r="B135" i="102"/>
  <c r="B136" i="102"/>
  <c r="V2" i="101"/>
  <c r="B3" i="101"/>
  <c r="V4" i="101"/>
  <c r="X7" i="101"/>
  <c r="AB7" i="101"/>
  <c r="G10" i="101"/>
  <c r="K10" i="101" s="1"/>
  <c r="G11" i="101"/>
  <c r="K11" i="101" s="1"/>
  <c r="L11" i="101" s="1"/>
  <c r="I11" i="101"/>
  <c r="G12" i="101"/>
  <c r="K12" i="101" s="1"/>
  <c r="G13" i="101"/>
  <c r="I13" i="101"/>
  <c r="K13" i="101"/>
  <c r="L13" i="101" s="1"/>
  <c r="G14" i="101"/>
  <c r="K14" i="101" s="1"/>
  <c r="L14" i="101" s="1"/>
  <c r="G15" i="101"/>
  <c r="I15" i="101"/>
  <c r="K15" i="101"/>
  <c r="L15" i="101" s="1"/>
  <c r="G16" i="101"/>
  <c r="K16" i="101" s="1"/>
  <c r="L16" i="101" s="1"/>
  <c r="G17" i="101"/>
  <c r="I17" i="101"/>
  <c r="K17" i="101"/>
  <c r="L17" i="101" s="1"/>
  <c r="G18" i="101"/>
  <c r="I18" i="101"/>
  <c r="K18" i="101" s="1"/>
  <c r="L18" i="101" s="1"/>
  <c r="G19" i="101"/>
  <c r="K19" i="101" s="1"/>
  <c r="L19" i="101" s="1"/>
  <c r="G20" i="101"/>
  <c r="I20" i="101"/>
  <c r="K20" i="101"/>
  <c r="L20" i="101" s="1"/>
  <c r="G21" i="101"/>
  <c r="I21" i="101"/>
  <c r="K21" i="101" s="1"/>
  <c r="L21" i="101" s="1"/>
  <c r="G22" i="101"/>
  <c r="K22" i="101" s="1"/>
  <c r="L22" i="101" s="1"/>
  <c r="G23" i="101"/>
  <c r="I23" i="101"/>
  <c r="K23" i="101"/>
  <c r="L23" i="101" s="1"/>
  <c r="G24" i="101"/>
  <c r="I24" i="101"/>
  <c r="K24" i="101" s="1"/>
  <c r="L24" i="101" s="1"/>
  <c r="G25" i="101"/>
  <c r="K25" i="101" s="1"/>
  <c r="L25" i="101" s="1"/>
  <c r="D26" i="101"/>
  <c r="E26" i="101"/>
  <c r="G28" i="101"/>
  <c r="L28" i="101" s="1"/>
  <c r="AB28" i="101"/>
  <c r="AC28" i="101" s="1"/>
  <c r="G29" i="101"/>
  <c r="L29" i="101" s="1"/>
  <c r="AB29" i="101"/>
  <c r="AC29" i="101" s="1"/>
  <c r="G30" i="101"/>
  <c r="L30" i="101" s="1"/>
  <c r="AB30" i="101"/>
  <c r="AC30" i="101" s="1"/>
  <c r="G31" i="101"/>
  <c r="L31" i="101" s="1"/>
  <c r="AB31" i="101"/>
  <c r="AC31" i="101" s="1"/>
  <c r="G32" i="101"/>
  <c r="L32" i="101" s="1"/>
  <c r="AB32" i="101"/>
  <c r="AC32" i="101" s="1"/>
  <c r="G33" i="101"/>
  <c r="L33" i="101" s="1"/>
  <c r="AB33" i="101"/>
  <c r="AC33" i="101" s="1"/>
  <c r="G34" i="101"/>
  <c r="L34" i="101" s="1"/>
  <c r="AB34" i="101"/>
  <c r="AC34" i="101" s="1"/>
  <c r="G35" i="101"/>
  <c r="L35" i="101" s="1"/>
  <c r="AB35" i="101"/>
  <c r="AC35" i="101" s="1"/>
  <c r="G36" i="101"/>
  <c r="L36" i="101" s="1"/>
  <c r="AB36" i="101"/>
  <c r="AC36" i="101" s="1"/>
  <c r="D37" i="101"/>
  <c r="E37" i="101"/>
  <c r="G37" i="101"/>
  <c r="X37" i="101"/>
  <c r="X39" i="101"/>
  <c r="K40" i="101"/>
  <c r="X40" i="101"/>
  <c r="AB40" i="101"/>
  <c r="G47" i="101"/>
  <c r="X47" i="101"/>
  <c r="Z47" i="101"/>
  <c r="G48" i="101"/>
  <c r="X48" i="101"/>
  <c r="Z48" i="101"/>
  <c r="C49" i="101"/>
  <c r="G49" i="101"/>
  <c r="K49" i="101"/>
  <c r="X49" i="101"/>
  <c r="Z49" i="101"/>
  <c r="AA53" i="101"/>
  <c r="J56" i="101"/>
  <c r="AA56" i="101"/>
  <c r="X60" i="101"/>
  <c r="X61" i="101"/>
  <c r="G65" i="101"/>
  <c r="X64" i="101" s="1"/>
  <c r="Y58" i="101" s="1"/>
  <c r="X65" i="101"/>
  <c r="Y66" i="101"/>
  <c r="Y68" i="101"/>
  <c r="Y69" i="101"/>
  <c r="Y70" i="101"/>
  <c r="Y71" i="101"/>
  <c r="AB74" i="101"/>
  <c r="G75" i="101"/>
  <c r="I75" i="101" s="1"/>
  <c r="AB75" i="101"/>
  <c r="G76" i="101"/>
  <c r="I76" i="101" s="1"/>
  <c r="Y76" i="101"/>
  <c r="V77" i="101"/>
  <c r="Y77" i="101"/>
  <c r="V78" i="101"/>
  <c r="V79" i="101"/>
  <c r="M86" i="101"/>
  <c r="B135" i="101"/>
  <c r="B136" i="101"/>
  <c r="V2" i="100"/>
  <c r="B3" i="100"/>
  <c r="V4" i="100"/>
  <c r="X7" i="100"/>
  <c r="AB7" i="100"/>
  <c r="G10" i="100"/>
  <c r="K10" i="100" s="1"/>
  <c r="G11" i="100"/>
  <c r="K11" i="100" s="1"/>
  <c r="L11" i="100" s="1"/>
  <c r="I11" i="100"/>
  <c r="G12" i="100"/>
  <c r="K12" i="100" s="1"/>
  <c r="G13" i="100"/>
  <c r="K13" i="100" s="1"/>
  <c r="L13" i="100" s="1"/>
  <c r="I13" i="100"/>
  <c r="G14" i="100"/>
  <c r="K14" i="100" s="1"/>
  <c r="G15" i="100"/>
  <c r="I15" i="100"/>
  <c r="K15" i="100"/>
  <c r="L15" i="100" s="1"/>
  <c r="G16" i="100"/>
  <c r="K16" i="100" s="1"/>
  <c r="L16" i="100" s="1"/>
  <c r="G17" i="100"/>
  <c r="I17" i="100"/>
  <c r="K17" i="100"/>
  <c r="L17" i="100" s="1"/>
  <c r="G18" i="100"/>
  <c r="I18" i="100"/>
  <c r="K18" i="100" s="1"/>
  <c r="L18" i="100" s="1"/>
  <c r="G19" i="100"/>
  <c r="K19" i="100" s="1"/>
  <c r="L19" i="100" s="1"/>
  <c r="G20" i="100"/>
  <c r="I20" i="100"/>
  <c r="K20" i="100"/>
  <c r="L20" i="100" s="1"/>
  <c r="G21" i="100"/>
  <c r="I21" i="100"/>
  <c r="K21" i="100" s="1"/>
  <c r="L21" i="100" s="1"/>
  <c r="G22" i="100"/>
  <c r="K22" i="100" s="1"/>
  <c r="L22" i="100" s="1"/>
  <c r="G23" i="100"/>
  <c r="K23" i="100" s="1"/>
  <c r="L23" i="100" s="1"/>
  <c r="I23" i="100"/>
  <c r="G24" i="100"/>
  <c r="I24" i="100"/>
  <c r="K24" i="100" s="1"/>
  <c r="L24" i="100" s="1"/>
  <c r="G25" i="100"/>
  <c r="K25" i="100" s="1"/>
  <c r="L25" i="100" s="1"/>
  <c r="D26" i="100"/>
  <c r="E26" i="100"/>
  <c r="G28" i="100"/>
  <c r="L28" i="100" s="1"/>
  <c r="AB28" i="100"/>
  <c r="AC28" i="100" s="1"/>
  <c r="G29" i="100"/>
  <c r="L29" i="100" s="1"/>
  <c r="AB29" i="100"/>
  <c r="AC29" i="100" s="1"/>
  <c r="G30" i="100"/>
  <c r="L30" i="100" s="1"/>
  <c r="AB30" i="100"/>
  <c r="AC30" i="100" s="1"/>
  <c r="G31" i="100"/>
  <c r="L31" i="100" s="1"/>
  <c r="AB31" i="100"/>
  <c r="AC31" i="100" s="1"/>
  <c r="G32" i="100"/>
  <c r="L32" i="100" s="1"/>
  <c r="AB32" i="100"/>
  <c r="AC32" i="100" s="1"/>
  <c r="G33" i="100"/>
  <c r="L33" i="100" s="1"/>
  <c r="AB33" i="100"/>
  <c r="AC33" i="100" s="1"/>
  <c r="G34" i="100"/>
  <c r="L34" i="100" s="1"/>
  <c r="AB34" i="100"/>
  <c r="AC34" i="100" s="1"/>
  <c r="G35" i="100"/>
  <c r="L35" i="100" s="1"/>
  <c r="AB35" i="100"/>
  <c r="AC35" i="100" s="1"/>
  <c r="G36" i="100"/>
  <c r="L36" i="100" s="1"/>
  <c r="AB36" i="100"/>
  <c r="AC36" i="100" s="1"/>
  <c r="D37" i="100"/>
  <c r="E37" i="100"/>
  <c r="X37" i="100"/>
  <c r="X39" i="100"/>
  <c r="K40" i="100"/>
  <c r="X40" i="100"/>
  <c r="AB40" i="100"/>
  <c r="G47" i="100"/>
  <c r="X47" i="100"/>
  <c r="Z47" i="100"/>
  <c r="G48" i="100"/>
  <c r="X48" i="100"/>
  <c r="Z48" i="100"/>
  <c r="G49" i="100"/>
  <c r="X49" i="100"/>
  <c r="Z49" i="100"/>
  <c r="AA53" i="100"/>
  <c r="J56" i="100"/>
  <c r="AA56" i="100"/>
  <c r="X60" i="100"/>
  <c r="X61" i="100"/>
  <c r="G65" i="100"/>
  <c r="X64" i="100" s="1"/>
  <c r="Y58" i="100" s="1"/>
  <c r="X65" i="100"/>
  <c r="Y66" i="100"/>
  <c r="Y68" i="100"/>
  <c r="Y69" i="100"/>
  <c r="Y70" i="100"/>
  <c r="Y71" i="100"/>
  <c r="AB74" i="100"/>
  <c r="G75" i="100"/>
  <c r="I75" i="100" s="1"/>
  <c r="AB75" i="100"/>
  <c r="G76" i="100"/>
  <c r="I76" i="100" s="1"/>
  <c r="Y76" i="100"/>
  <c r="V77" i="100"/>
  <c r="Y77" i="100"/>
  <c r="V78" i="100"/>
  <c r="V79" i="100"/>
  <c r="M86" i="100"/>
  <c r="B135" i="100"/>
  <c r="B136" i="100"/>
  <c r="V2" i="99"/>
  <c r="B3" i="99"/>
  <c r="V4" i="99"/>
  <c r="X7" i="99"/>
  <c r="AB7" i="99"/>
  <c r="G10" i="99"/>
  <c r="K10" i="99" s="1"/>
  <c r="G11" i="99"/>
  <c r="I11" i="99"/>
  <c r="K11" i="99"/>
  <c r="L11" i="99" s="1"/>
  <c r="G12" i="99"/>
  <c r="K12" i="99" s="1"/>
  <c r="G13" i="99"/>
  <c r="I13" i="99"/>
  <c r="K13" i="99"/>
  <c r="L13" i="99" s="1"/>
  <c r="G14" i="99"/>
  <c r="K14" i="99" s="1"/>
  <c r="G15" i="99"/>
  <c r="I15" i="99"/>
  <c r="K15" i="99"/>
  <c r="L15" i="99" s="1"/>
  <c r="G16" i="99"/>
  <c r="K16" i="99" s="1"/>
  <c r="L16" i="99" s="1"/>
  <c r="G17" i="99"/>
  <c r="I17" i="99"/>
  <c r="K17" i="99"/>
  <c r="L17" i="99" s="1"/>
  <c r="G18" i="99"/>
  <c r="I18" i="99"/>
  <c r="K18" i="99" s="1"/>
  <c r="L18" i="99" s="1"/>
  <c r="G19" i="99"/>
  <c r="K19" i="99" s="1"/>
  <c r="L19" i="99" s="1"/>
  <c r="G20" i="99"/>
  <c r="I20" i="99"/>
  <c r="K20" i="99"/>
  <c r="L20" i="99" s="1"/>
  <c r="G21" i="99"/>
  <c r="I21" i="99"/>
  <c r="K21" i="99" s="1"/>
  <c r="L21" i="99" s="1"/>
  <c r="G22" i="99"/>
  <c r="K22" i="99" s="1"/>
  <c r="L22" i="99" s="1"/>
  <c r="G23" i="99"/>
  <c r="I23" i="99"/>
  <c r="K23" i="99"/>
  <c r="L23" i="99" s="1"/>
  <c r="G24" i="99"/>
  <c r="I24" i="99"/>
  <c r="K24" i="99" s="1"/>
  <c r="L24" i="99" s="1"/>
  <c r="G25" i="99"/>
  <c r="K25" i="99" s="1"/>
  <c r="L25" i="99" s="1"/>
  <c r="D26" i="99"/>
  <c r="E26" i="99"/>
  <c r="G28" i="99"/>
  <c r="L28" i="99" s="1"/>
  <c r="AB28" i="99"/>
  <c r="AC28" i="99" s="1"/>
  <c r="G29" i="99"/>
  <c r="L29" i="99" s="1"/>
  <c r="AB29" i="99"/>
  <c r="AC29" i="99" s="1"/>
  <c r="G30" i="99"/>
  <c r="L30" i="99" s="1"/>
  <c r="AB30" i="99"/>
  <c r="AC30" i="99" s="1"/>
  <c r="G31" i="99"/>
  <c r="L31" i="99" s="1"/>
  <c r="AB31" i="99"/>
  <c r="AC31" i="99" s="1"/>
  <c r="G32" i="99"/>
  <c r="L32" i="99" s="1"/>
  <c r="AB32" i="99"/>
  <c r="AC32" i="99" s="1"/>
  <c r="G33" i="99"/>
  <c r="L33" i="99" s="1"/>
  <c r="AB33" i="99"/>
  <c r="AC33" i="99" s="1"/>
  <c r="G34" i="99"/>
  <c r="L34" i="99" s="1"/>
  <c r="AB34" i="99"/>
  <c r="AC34" i="99" s="1"/>
  <c r="G35" i="99"/>
  <c r="L35" i="99" s="1"/>
  <c r="AB35" i="99"/>
  <c r="AC35" i="99" s="1"/>
  <c r="G36" i="99"/>
  <c r="L36" i="99" s="1"/>
  <c r="AB36" i="99"/>
  <c r="AC36" i="99" s="1"/>
  <c r="D37" i="99"/>
  <c r="E37" i="99"/>
  <c r="G37" i="99"/>
  <c r="X37" i="99"/>
  <c r="X39" i="99"/>
  <c r="K40" i="99"/>
  <c r="X40" i="99"/>
  <c r="AB40" i="99"/>
  <c r="G47" i="99"/>
  <c r="X47" i="99"/>
  <c r="Z47" i="99"/>
  <c r="G48" i="99"/>
  <c r="X48" i="99"/>
  <c r="Z48" i="99"/>
  <c r="G49" i="99"/>
  <c r="X49" i="99"/>
  <c r="Z49" i="99"/>
  <c r="AA53" i="99"/>
  <c r="J56" i="99"/>
  <c r="AA56" i="99"/>
  <c r="X60" i="99"/>
  <c r="X61" i="99"/>
  <c r="G65" i="99"/>
  <c r="X64" i="99" s="1"/>
  <c r="Y58" i="99" s="1"/>
  <c r="X65" i="99"/>
  <c r="Y66" i="99"/>
  <c r="Y68" i="99"/>
  <c r="Y69" i="99"/>
  <c r="Y70" i="99"/>
  <c r="Y71" i="99"/>
  <c r="AB74" i="99"/>
  <c r="G75" i="99"/>
  <c r="I75" i="99" s="1"/>
  <c r="AB75" i="99"/>
  <c r="G76" i="99"/>
  <c r="I76" i="99" s="1"/>
  <c r="Y76" i="99"/>
  <c r="V77" i="99"/>
  <c r="Y77" i="99"/>
  <c r="V78" i="99"/>
  <c r="V79" i="99"/>
  <c r="M86" i="99"/>
  <c r="B135" i="99"/>
  <c r="B136" i="99"/>
  <c r="V2" i="98"/>
  <c r="B3" i="98"/>
  <c r="V4" i="98"/>
  <c r="X7" i="98"/>
  <c r="AB7" i="98"/>
  <c r="G10" i="98"/>
  <c r="K10" i="98" s="1"/>
  <c r="L10" i="98" s="1"/>
  <c r="G11" i="98"/>
  <c r="I11" i="98"/>
  <c r="K11" i="98" s="1"/>
  <c r="G12" i="98"/>
  <c r="K12" i="98" s="1"/>
  <c r="G13" i="98"/>
  <c r="I13" i="98"/>
  <c r="K13" i="98"/>
  <c r="L13" i="98" s="1"/>
  <c r="G14" i="98"/>
  <c r="K14" i="98" s="1"/>
  <c r="G15" i="98"/>
  <c r="I15" i="98"/>
  <c r="K15" i="98"/>
  <c r="L15" i="98" s="1"/>
  <c r="G16" i="98"/>
  <c r="K16" i="98" s="1"/>
  <c r="L16" i="98" s="1"/>
  <c r="G17" i="98"/>
  <c r="I17" i="98"/>
  <c r="K17" i="98"/>
  <c r="L17" i="98" s="1"/>
  <c r="G18" i="98"/>
  <c r="I18" i="98"/>
  <c r="K18" i="98" s="1"/>
  <c r="L18" i="98" s="1"/>
  <c r="G19" i="98"/>
  <c r="K19" i="98" s="1"/>
  <c r="L19" i="98" s="1"/>
  <c r="G20" i="98"/>
  <c r="I20" i="98"/>
  <c r="K20" i="98"/>
  <c r="L20" i="98" s="1"/>
  <c r="G21" i="98"/>
  <c r="I21" i="98"/>
  <c r="K21" i="98" s="1"/>
  <c r="L21" i="98" s="1"/>
  <c r="G22" i="98"/>
  <c r="K22" i="98" s="1"/>
  <c r="L22" i="98" s="1"/>
  <c r="G23" i="98"/>
  <c r="I23" i="98"/>
  <c r="K23" i="98"/>
  <c r="L23" i="98" s="1"/>
  <c r="G24" i="98"/>
  <c r="I24" i="98"/>
  <c r="K24" i="98" s="1"/>
  <c r="L24" i="98" s="1"/>
  <c r="G25" i="98"/>
  <c r="K25" i="98" s="1"/>
  <c r="L25" i="98" s="1"/>
  <c r="D26" i="98"/>
  <c r="E26" i="98"/>
  <c r="G28" i="98"/>
  <c r="L28" i="98" s="1"/>
  <c r="AB28" i="98"/>
  <c r="AC28" i="98" s="1"/>
  <c r="G29" i="98"/>
  <c r="L29" i="98" s="1"/>
  <c r="AB29" i="98"/>
  <c r="AC29" i="98" s="1"/>
  <c r="G30" i="98"/>
  <c r="L30" i="98" s="1"/>
  <c r="AB30" i="98"/>
  <c r="AC30" i="98" s="1"/>
  <c r="G31" i="98"/>
  <c r="L31" i="98" s="1"/>
  <c r="AB31" i="98"/>
  <c r="AC31" i="98" s="1"/>
  <c r="G32" i="98"/>
  <c r="L32" i="98" s="1"/>
  <c r="AB32" i="98"/>
  <c r="AC32" i="98" s="1"/>
  <c r="G33" i="98"/>
  <c r="L33" i="98" s="1"/>
  <c r="AB33" i="98"/>
  <c r="AC33" i="98" s="1"/>
  <c r="G34" i="98"/>
  <c r="L34" i="98" s="1"/>
  <c r="AB34" i="98"/>
  <c r="AC34" i="98" s="1"/>
  <c r="G35" i="98"/>
  <c r="L35" i="98" s="1"/>
  <c r="AB35" i="98"/>
  <c r="AC35" i="98"/>
  <c r="G36" i="98"/>
  <c r="L36" i="98"/>
  <c r="AB36" i="98"/>
  <c r="AC36" i="98"/>
  <c r="D37" i="98"/>
  <c r="E37" i="98"/>
  <c r="G37" i="98"/>
  <c r="X37" i="98"/>
  <c r="X39" i="98"/>
  <c r="K40" i="98"/>
  <c r="X40" i="98"/>
  <c r="AB40" i="98" s="1"/>
  <c r="G47" i="98"/>
  <c r="X47" i="98"/>
  <c r="Z47" i="98"/>
  <c r="G48" i="98"/>
  <c r="X48" i="98"/>
  <c r="Z48" i="98"/>
  <c r="G49" i="98"/>
  <c r="X49" i="98"/>
  <c r="Z49" i="98"/>
  <c r="AA53" i="98"/>
  <c r="J56" i="98"/>
  <c r="AA56" i="98"/>
  <c r="X60" i="98"/>
  <c r="X61" i="98"/>
  <c r="G65" i="98"/>
  <c r="X64" i="98" s="1"/>
  <c r="Y58" i="98" s="1"/>
  <c r="X65" i="98"/>
  <c r="Y66" i="98"/>
  <c r="Y68" i="98"/>
  <c r="Y69" i="98"/>
  <c r="Y70" i="98"/>
  <c r="Y71" i="98"/>
  <c r="AB74" i="98"/>
  <c r="G75" i="98"/>
  <c r="I75" i="98" s="1"/>
  <c r="AB75" i="98"/>
  <c r="G76" i="98"/>
  <c r="I76" i="98" s="1"/>
  <c r="Y76" i="98"/>
  <c r="V77" i="98"/>
  <c r="Y77" i="98"/>
  <c r="V78" i="98"/>
  <c r="V79" i="98"/>
  <c r="M86" i="98"/>
  <c r="B135" i="98"/>
  <c r="B136" i="98"/>
  <c r="V2" i="97"/>
  <c r="B3" i="97"/>
  <c r="V4" i="97"/>
  <c r="X7" i="97"/>
  <c r="AB7" i="97"/>
  <c r="G10" i="97"/>
  <c r="K10" i="97" s="1"/>
  <c r="G11" i="97"/>
  <c r="K11" i="97" s="1"/>
  <c r="L11" i="97" s="1"/>
  <c r="I11" i="97"/>
  <c r="G12" i="97"/>
  <c r="K12" i="97" s="1"/>
  <c r="G13" i="97"/>
  <c r="I13" i="97"/>
  <c r="K13" i="97"/>
  <c r="L13" i="97" s="1"/>
  <c r="G14" i="97"/>
  <c r="K14" i="97" s="1"/>
  <c r="L14" i="97" s="1"/>
  <c r="G15" i="97"/>
  <c r="I15" i="97"/>
  <c r="K15" i="97"/>
  <c r="L15" i="97" s="1"/>
  <c r="G16" i="97"/>
  <c r="K16" i="97" s="1"/>
  <c r="L16" i="97" s="1"/>
  <c r="G17" i="97"/>
  <c r="I17" i="97"/>
  <c r="K17" i="97"/>
  <c r="L17" i="97" s="1"/>
  <c r="G18" i="97"/>
  <c r="I18" i="97"/>
  <c r="K18" i="97" s="1"/>
  <c r="L18" i="97" s="1"/>
  <c r="G19" i="97"/>
  <c r="K19" i="97" s="1"/>
  <c r="L19" i="97" s="1"/>
  <c r="G20" i="97"/>
  <c r="I20" i="97"/>
  <c r="K20" i="97"/>
  <c r="L20" i="97" s="1"/>
  <c r="G21" i="97"/>
  <c r="I21" i="97"/>
  <c r="K21" i="97" s="1"/>
  <c r="L21" i="97" s="1"/>
  <c r="G22" i="97"/>
  <c r="K22" i="97" s="1"/>
  <c r="L22" i="97" s="1"/>
  <c r="G23" i="97"/>
  <c r="K23" i="97" s="1"/>
  <c r="L23" i="97" s="1"/>
  <c r="I23" i="97"/>
  <c r="G24" i="97"/>
  <c r="I24" i="97"/>
  <c r="K24" i="97" s="1"/>
  <c r="L24" i="97" s="1"/>
  <c r="G25" i="97"/>
  <c r="K25" i="97" s="1"/>
  <c r="L25" i="97" s="1"/>
  <c r="D26" i="97"/>
  <c r="E26" i="97"/>
  <c r="G26" i="97"/>
  <c r="L40" i="97" s="1"/>
  <c r="G28" i="97"/>
  <c r="L28" i="97" s="1"/>
  <c r="AB28" i="97"/>
  <c r="AC28" i="97" s="1"/>
  <c r="G29" i="97"/>
  <c r="L29" i="97" s="1"/>
  <c r="AB29" i="97"/>
  <c r="AC29" i="97" s="1"/>
  <c r="G30" i="97"/>
  <c r="L30" i="97" s="1"/>
  <c r="AB30" i="97"/>
  <c r="AC30" i="97" s="1"/>
  <c r="G31" i="97"/>
  <c r="L31" i="97" s="1"/>
  <c r="AB31" i="97"/>
  <c r="AC31" i="97" s="1"/>
  <c r="G32" i="97"/>
  <c r="L32" i="97" s="1"/>
  <c r="AB32" i="97"/>
  <c r="AC32" i="97" s="1"/>
  <c r="G33" i="97"/>
  <c r="L33" i="97" s="1"/>
  <c r="AB33" i="97"/>
  <c r="AC33" i="97" s="1"/>
  <c r="G34" i="97"/>
  <c r="L34" i="97" s="1"/>
  <c r="AB34" i="97"/>
  <c r="AC34" i="97" s="1"/>
  <c r="G35" i="97"/>
  <c r="L35" i="97" s="1"/>
  <c r="AB35" i="97"/>
  <c r="AC35" i="97" s="1"/>
  <c r="G36" i="97"/>
  <c r="L36" i="97" s="1"/>
  <c r="AB36" i="97"/>
  <c r="AC36" i="97" s="1"/>
  <c r="D37" i="97"/>
  <c r="E37" i="97"/>
  <c r="G37" i="97"/>
  <c r="X37" i="97"/>
  <c r="X39" i="97"/>
  <c r="K40" i="97"/>
  <c r="X40" i="97"/>
  <c r="AB40" i="97"/>
  <c r="G47" i="97"/>
  <c r="X47" i="97"/>
  <c r="Z47" i="97"/>
  <c r="G48" i="97"/>
  <c r="X48" i="97"/>
  <c r="Z48" i="97"/>
  <c r="C49" i="97"/>
  <c r="G49" i="97"/>
  <c r="K49" i="97"/>
  <c r="X49" i="97"/>
  <c r="Z49" i="97"/>
  <c r="AA53" i="97"/>
  <c r="J56" i="97"/>
  <c r="AA56" i="97"/>
  <c r="X60" i="97"/>
  <c r="X61" i="97"/>
  <c r="G65" i="97"/>
  <c r="X64" i="97" s="1"/>
  <c r="Y58" i="97" s="1"/>
  <c r="X65" i="97"/>
  <c r="Y66" i="97"/>
  <c r="Y68" i="97"/>
  <c r="Y69" i="97"/>
  <c r="Y70" i="97"/>
  <c r="Y71" i="97"/>
  <c r="AB74" i="97"/>
  <c r="G75" i="97"/>
  <c r="I75" i="97" s="1"/>
  <c r="AB75" i="97"/>
  <c r="G76" i="97"/>
  <c r="I76" i="97" s="1"/>
  <c r="Y76" i="97"/>
  <c r="V77" i="97"/>
  <c r="Y77" i="97"/>
  <c r="V78" i="97"/>
  <c r="V79" i="97"/>
  <c r="M86" i="97"/>
  <c r="B135" i="97"/>
  <c r="B136" i="97"/>
  <c r="V2" i="96"/>
  <c r="B3" i="96"/>
  <c r="V4" i="96"/>
  <c r="X7" i="96"/>
  <c r="AB7" i="96"/>
  <c r="G10" i="96"/>
  <c r="K10" i="96" s="1"/>
  <c r="G11" i="96"/>
  <c r="K11" i="96" s="1"/>
  <c r="L11" i="96" s="1"/>
  <c r="I11" i="96"/>
  <c r="G12" i="96"/>
  <c r="K12" i="96" s="1"/>
  <c r="G13" i="96"/>
  <c r="K13" i="96" s="1"/>
  <c r="L13" i="96" s="1"/>
  <c r="I13" i="96"/>
  <c r="G14" i="96"/>
  <c r="K14" i="96" s="1"/>
  <c r="L14" i="96" s="1"/>
  <c r="G15" i="96"/>
  <c r="I15" i="96"/>
  <c r="K15" i="96"/>
  <c r="L15" i="96" s="1"/>
  <c r="G16" i="96"/>
  <c r="K16" i="96" s="1"/>
  <c r="L16" i="96" s="1"/>
  <c r="G17" i="96"/>
  <c r="I17" i="96"/>
  <c r="K17" i="96"/>
  <c r="L17" i="96" s="1"/>
  <c r="G18" i="96"/>
  <c r="I18" i="96"/>
  <c r="K18" i="96" s="1"/>
  <c r="L18" i="96" s="1"/>
  <c r="G19" i="96"/>
  <c r="K19" i="96" s="1"/>
  <c r="L19" i="96" s="1"/>
  <c r="G20" i="96"/>
  <c r="I20" i="96"/>
  <c r="K20" i="96"/>
  <c r="L20" i="96" s="1"/>
  <c r="G21" i="96"/>
  <c r="I21" i="96"/>
  <c r="K21" i="96" s="1"/>
  <c r="L21" i="96" s="1"/>
  <c r="G22" i="96"/>
  <c r="K22" i="96" s="1"/>
  <c r="L22" i="96" s="1"/>
  <c r="G23" i="96"/>
  <c r="I23" i="96"/>
  <c r="K23" i="96"/>
  <c r="L23" i="96" s="1"/>
  <c r="G24" i="96"/>
  <c r="I24" i="96"/>
  <c r="G25" i="96"/>
  <c r="K25" i="96" s="1"/>
  <c r="L25" i="96" s="1"/>
  <c r="D26" i="96"/>
  <c r="E26" i="96"/>
  <c r="G26" i="96"/>
  <c r="L40" i="96" s="1"/>
  <c r="G28" i="96"/>
  <c r="L28" i="96" s="1"/>
  <c r="AB28" i="96"/>
  <c r="AC28" i="96" s="1"/>
  <c r="G29" i="96"/>
  <c r="L29" i="96" s="1"/>
  <c r="AB29" i="96"/>
  <c r="AC29" i="96" s="1"/>
  <c r="G30" i="96"/>
  <c r="L30" i="96" s="1"/>
  <c r="AB30" i="96"/>
  <c r="AC30" i="96" s="1"/>
  <c r="G31" i="96"/>
  <c r="L31" i="96" s="1"/>
  <c r="AB31" i="96"/>
  <c r="AC31" i="96" s="1"/>
  <c r="G32" i="96"/>
  <c r="L32" i="96" s="1"/>
  <c r="AB32" i="96"/>
  <c r="AC32" i="96" s="1"/>
  <c r="G33" i="96"/>
  <c r="L33" i="96" s="1"/>
  <c r="AB33" i="96"/>
  <c r="AC33" i="96" s="1"/>
  <c r="G34" i="96"/>
  <c r="L34" i="96" s="1"/>
  <c r="AB34" i="96"/>
  <c r="AC34" i="96" s="1"/>
  <c r="G35" i="96"/>
  <c r="L35" i="96" s="1"/>
  <c r="AB35" i="96"/>
  <c r="AC35" i="96" s="1"/>
  <c r="G36" i="96"/>
  <c r="L36" i="96" s="1"/>
  <c r="AB36" i="96"/>
  <c r="AC36" i="96" s="1"/>
  <c r="D37" i="96"/>
  <c r="E37" i="96"/>
  <c r="G37" i="96"/>
  <c r="X37" i="96"/>
  <c r="X39" i="96"/>
  <c r="K40" i="96"/>
  <c r="X40" i="96"/>
  <c r="AB40" i="96"/>
  <c r="G47" i="96"/>
  <c r="X47" i="96"/>
  <c r="Z47" i="96"/>
  <c r="G48" i="96"/>
  <c r="X48" i="96"/>
  <c r="Z48" i="96"/>
  <c r="G49" i="96"/>
  <c r="X49" i="96"/>
  <c r="Z49" i="96"/>
  <c r="AA53" i="96"/>
  <c r="J56" i="96"/>
  <c r="AA56" i="96"/>
  <c r="X60" i="96"/>
  <c r="X61" i="96"/>
  <c r="G65" i="96"/>
  <c r="X64" i="96" s="1"/>
  <c r="Y58" i="96" s="1"/>
  <c r="X65" i="96"/>
  <c r="Y66" i="96"/>
  <c r="Y68" i="96"/>
  <c r="Y69" i="96"/>
  <c r="Y70" i="96"/>
  <c r="Y71" i="96"/>
  <c r="AB74" i="96"/>
  <c r="G75" i="96"/>
  <c r="I75" i="96" s="1"/>
  <c r="AB75" i="96"/>
  <c r="G76" i="96"/>
  <c r="I76" i="96" s="1"/>
  <c r="Y76" i="96"/>
  <c r="V77" i="96"/>
  <c r="Y77" i="96"/>
  <c r="V78" i="96"/>
  <c r="V79" i="96"/>
  <c r="M86" i="96"/>
  <c r="B135" i="96"/>
  <c r="B136" i="96"/>
  <c r="V2" i="95"/>
  <c r="B3" i="95"/>
  <c r="V4" i="95"/>
  <c r="X7" i="95"/>
  <c r="AB7" i="95"/>
  <c r="G10" i="95"/>
  <c r="K10" i="95" s="1"/>
  <c r="G11" i="95"/>
  <c r="K11" i="95" s="1"/>
  <c r="L11" i="95" s="1"/>
  <c r="I11" i="95"/>
  <c r="G12" i="95"/>
  <c r="K12" i="95" s="1"/>
  <c r="G13" i="95"/>
  <c r="K13" i="95" s="1"/>
  <c r="L13" i="95" s="1"/>
  <c r="I13" i="95"/>
  <c r="G14" i="95"/>
  <c r="K14" i="95" s="1"/>
  <c r="L14" i="95" s="1"/>
  <c r="G15" i="95"/>
  <c r="I15" i="95"/>
  <c r="K15" i="95"/>
  <c r="L15" i="95" s="1"/>
  <c r="G16" i="95"/>
  <c r="K16" i="95" s="1"/>
  <c r="L16" i="95" s="1"/>
  <c r="G17" i="95"/>
  <c r="I17" i="95"/>
  <c r="K17" i="95"/>
  <c r="L17" i="95" s="1"/>
  <c r="G18" i="95"/>
  <c r="I18" i="95"/>
  <c r="K18" i="95" s="1"/>
  <c r="L18" i="95" s="1"/>
  <c r="G19" i="95"/>
  <c r="K19" i="95" s="1"/>
  <c r="L19" i="95" s="1"/>
  <c r="G20" i="95"/>
  <c r="I20" i="95"/>
  <c r="K20" i="95"/>
  <c r="L20" i="95" s="1"/>
  <c r="G21" i="95"/>
  <c r="I21" i="95"/>
  <c r="K21" i="95" s="1"/>
  <c r="L21" i="95" s="1"/>
  <c r="G22" i="95"/>
  <c r="K22" i="95" s="1"/>
  <c r="L22" i="95" s="1"/>
  <c r="G23" i="95"/>
  <c r="I23" i="95"/>
  <c r="K23" i="95"/>
  <c r="L23" i="95" s="1"/>
  <c r="G24" i="95"/>
  <c r="I24" i="95"/>
  <c r="K24" i="95" s="1"/>
  <c r="L24" i="95" s="1"/>
  <c r="G25" i="95"/>
  <c r="K25" i="95" s="1"/>
  <c r="L25" i="95" s="1"/>
  <c r="D26" i="95"/>
  <c r="E26" i="95"/>
  <c r="G26" i="95"/>
  <c r="L40" i="95" s="1"/>
  <c r="G28" i="95"/>
  <c r="L28" i="95" s="1"/>
  <c r="AB28" i="95"/>
  <c r="AC28" i="95" s="1"/>
  <c r="G29" i="95"/>
  <c r="L29" i="95" s="1"/>
  <c r="AB29" i="95"/>
  <c r="AC29" i="95" s="1"/>
  <c r="G30" i="95"/>
  <c r="L30" i="95" s="1"/>
  <c r="AB30" i="95"/>
  <c r="AC30" i="95" s="1"/>
  <c r="G31" i="95"/>
  <c r="L31" i="95" s="1"/>
  <c r="AB31" i="95"/>
  <c r="AC31" i="95" s="1"/>
  <c r="G32" i="95"/>
  <c r="L32" i="95" s="1"/>
  <c r="AB32" i="95"/>
  <c r="AC32" i="95" s="1"/>
  <c r="G33" i="95"/>
  <c r="L33" i="95" s="1"/>
  <c r="AB33" i="95"/>
  <c r="AC33" i="95" s="1"/>
  <c r="G34" i="95"/>
  <c r="L34" i="95" s="1"/>
  <c r="AB34" i="95"/>
  <c r="AC34" i="95" s="1"/>
  <c r="G35" i="95"/>
  <c r="L35" i="95" s="1"/>
  <c r="AB35" i="95"/>
  <c r="AC35" i="95" s="1"/>
  <c r="G36" i="95"/>
  <c r="L36" i="95" s="1"/>
  <c r="AB36" i="95"/>
  <c r="AC36" i="95" s="1"/>
  <c r="D37" i="95"/>
  <c r="E37" i="95"/>
  <c r="G37" i="95"/>
  <c r="X37" i="95"/>
  <c r="X39" i="95"/>
  <c r="K40" i="95"/>
  <c r="X40" i="95"/>
  <c r="AB40" i="95"/>
  <c r="G47" i="95"/>
  <c r="X47" i="95"/>
  <c r="Z47" i="95"/>
  <c r="G48" i="95"/>
  <c r="X48" i="95"/>
  <c r="Z48" i="95"/>
  <c r="C49" i="95"/>
  <c r="G49" i="95"/>
  <c r="K49" i="95"/>
  <c r="X49" i="95"/>
  <c r="Z49" i="95"/>
  <c r="AA53" i="95"/>
  <c r="J56" i="95"/>
  <c r="AA56" i="95"/>
  <c r="X60" i="95"/>
  <c r="X61" i="95"/>
  <c r="G65" i="95"/>
  <c r="X64" i="95" s="1"/>
  <c r="Y58" i="95" s="1"/>
  <c r="X65" i="95"/>
  <c r="Y66" i="95"/>
  <c r="Y68" i="95"/>
  <c r="Y69" i="95"/>
  <c r="Y70" i="95"/>
  <c r="Y71" i="95"/>
  <c r="AB74" i="95"/>
  <c r="G75" i="95"/>
  <c r="I75" i="95" s="1"/>
  <c r="AB75" i="95"/>
  <c r="G76" i="95"/>
  <c r="I76" i="95" s="1"/>
  <c r="Y76" i="95"/>
  <c r="V77" i="95"/>
  <c r="Y77" i="95"/>
  <c r="V78" i="95"/>
  <c r="V79" i="95"/>
  <c r="M86" i="95"/>
  <c r="B135" i="95"/>
  <c r="B136" i="95"/>
  <c r="V2" i="94"/>
  <c r="B3" i="94"/>
  <c r="V4" i="94"/>
  <c r="X7" i="94"/>
  <c r="AB7" i="94"/>
  <c r="G10" i="94"/>
  <c r="K10" i="94" s="1"/>
  <c r="G11" i="94"/>
  <c r="I11" i="94"/>
  <c r="K11" i="94"/>
  <c r="L11" i="94" s="1"/>
  <c r="G12" i="94"/>
  <c r="K12" i="94" s="1"/>
  <c r="G13" i="94"/>
  <c r="I13" i="94"/>
  <c r="K13" i="94"/>
  <c r="L13" i="94" s="1"/>
  <c r="G14" i="94"/>
  <c r="K14" i="94" s="1"/>
  <c r="G15" i="94"/>
  <c r="I15" i="94"/>
  <c r="K15" i="94"/>
  <c r="L15" i="94" s="1"/>
  <c r="G16" i="94"/>
  <c r="K16" i="94" s="1"/>
  <c r="L16" i="94" s="1"/>
  <c r="G17" i="94"/>
  <c r="I17" i="94"/>
  <c r="K17" i="94"/>
  <c r="L17" i="94" s="1"/>
  <c r="G18" i="94"/>
  <c r="I18" i="94"/>
  <c r="K18" i="94" s="1"/>
  <c r="L18" i="94" s="1"/>
  <c r="G19" i="94"/>
  <c r="K19" i="94" s="1"/>
  <c r="L19" i="94" s="1"/>
  <c r="G20" i="94"/>
  <c r="I20" i="94"/>
  <c r="K20" i="94"/>
  <c r="L20" i="94" s="1"/>
  <c r="G21" i="94"/>
  <c r="I21" i="94"/>
  <c r="K21" i="94" s="1"/>
  <c r="L21" i="94" s="1"/>
  <c r="G22" i="94"/>
  <c r="K22" i="94" s="1"/>
  <c r="L22" i="94" s="1"/>
  <c r="G23" i="94"/>
  <c r="I23" i="94"/>
  <c r="K23" i="94"/>
  <c r="L23" i="94" s="1"/>
  <c r="G24" i="94"/>
  <c r="I24" i="94"/>
  <c r="K24" i="94" s="1"/>
  <c r="L24" i="94" s="1"/>
  <c r="G25" i="94"/>
  <c r="K25" i="94" s="1"/>
  <c r="L25" i="94" s="1"/>
  <c r="D26" i="94"/>
  <c r="E26" i="94"/>
  <c r="G26" i="94"/>
  <c r="L40" i="94" s="1"/>
  <c r="G28" i="94"/>
  <c r="L28" i="94" s="1"/>
  <c r="AB28" i="94"/>
  <c r="AC28" i="94" s="1"/>
  <c r="G29" i="94"/>
  <c r="L29" i="94" s="1"/>
  <c r="AB29" i="94"/>
  <c r="AC29" i="94" s="1"/>
  <c r="G30" i="94"/>
  <c r="L30" i="94" s="1"/>
  <c r="AB30" i="94"/>
  <c r="AC30" i="94" s="1"/>
  <c r="G31" i="94"/>
  <c r="L31" i="94" s="1"/>
  <c r="AB31" i="94"/>
  <c r="AC31" i="94" s="1"/>
  <c r="G32" i="94"/>
  <c r="L32" i="94" s="1"/>
  <c r="AB32" i="94"/>
  <c r="AC32" i="94" s="1"/>
  <c r="G33" i="94"/>
  <c r="L33" i="94" s="1"/>
  <c r="AB33" i="94"/>
  <c r="AC33" i="94" s="1"/>
  <c r="G34" i="94"/>
  <c r="L34" i="94" s="1"/>
  <c r="AB34" i="94"/>
  <c r="AC34" i="94" s="1"/>
  <c r="G35" i="94"/>
  <c r="L35" i="94" s="1"/>
  <c r="AB35" i="94"/>
  <c r="AC35" i="94" s="1"/>
  <c r="G36" i="94"/>
  <c r="L36" i="94" s="1"/>
  <c r="AB36" i="94"/>
  <c r="AC36" i="94" s="1"/>
  <c r="D37" i="94"/>
  <c r="E37" i="94"/>
  <c r="G37" i="94"/>
  <c r="X37" i="94"/>
  <c r="X39" i="94"/>
  <c r="K40" i="94"/>
  <c r="X40" i="94"/>
  <c r="AB40" i="94"/>
  <c r="G47" i="94"/>
  <c r="X47" i="94"/>
  <c r="Z47" i="94"/>
  <c r="G48" i="94"/>
  <c r="X48" i="94"/>
  <c r="Z48" i="94"/>
  <c r="G49" i="94"/>
  <c r="X49" i="94"/>
  <c r="Z49" i="94"/>
  <c r="AA53" i="94"/>
  <c r="G56" i="94"/>
  <c r="K57" i="94" s="1"/>
  <c r="K69" i="94" s="1"/>
  <c r="L69" i="94" s="1"/>
  <c r="J56" i="94"/>
  <c r="AA56" i="94"/>
  <c r="X60" i="94"/>
  <c r="X61" i="94"/>
  <c r="G65" i="94"/>
  <c r="X64" i="94" s="1"/>
  <c r="Y58" i="94" s="1"/>
  <c r="X65" i="94"/>
  <c r="Y66" i="94"/>
  <c r="Y68" i="94"/>
  <c r="Y69" i="94"/>
  <c r="Y70" i="94"/>
  <c r="Y71" i="94"/>
  <c r="AB74" i="94"/>
  <c r="G75" i="94"/>
  <c r="I75" i="94" s="1"/>
  <c r="AB75" i="94"/>
  <c r="G76" i="94"/>
  <c r="I76" i="94" s="1"/>
  <c r="Y76" i="94"/>
  <c r="V77" i="94"/>
  <c r="Y77" i="94"/>
  <c r="V78" i="94"/>
  <c r="V79" i="94"/>
  <c r="K84" i="94"/>
  <c r="M86" i="94"/>
  <c r="B135" i="94"/>
  <c r="B136" i="94"/>
  <c r="V2" i="93"/>
  <c r="B3" i="93"/>
  <c r="V4" i="93"/>
  <c r="X7" i="93"/>
  <c r="AB7" i="93"/>
  <c r="G10" i="93"/>
  <c r="K10" i="93" s="1"/>
  <c r="G11" i="93"/>
  <c r="I11" i="93"/>
  <c r="K11" i="93"/>
  <c r="L11" i="93" s="1"/>
  <c r="G12" i="93"/>
  <c r="K12" i="93" s="1"/>
  <c r="G13" i="93"/>
  <c r="I13" i="93"/>
  <c r="K13" i="93"/>
  <c r="L13" i="93" s="1"/>
  <c r="G14" i="93"/>
  <c r="K14" i="93" s="1"/>
  <c r="L14" i="93" s="1"/>
  <c r="G15" i="93"/>
  <c r="I15" i="93"/>
  <c r="K15" i="93"/>
  <c r="L15" i="93" s="1"/>
  <c r="G16" i="93"/>
  <c r="K16" i="93" s="1"/>
  <c r="L16" i="93" s="1"/>
  <c r="G17" i="93"/>
  <c r="I17" i="93"/>
  <c r="K17" i="93"/>
  <c r="L17" i="93" s="1"/>
  <c r="G18" i="93"/>
  <c r="I18" i="93"/>
  <c r="K18" i="93" s="1"/>
  <c r="L18" i="93" s="1"/>
  <c r="G19" i="93"/>
  <c r="K19" i="93" s="1"/>
  <c r="L19" i="93" s="1"/>
  <c r="G20" i="93"/>
  <c r="I20" i="93"/>
  <c r="K20" i="93"/>
  <c r="L20" i="93" s="1"/>
  <c r="G21" i="93"/>
  <c r="I21" i="93"/>
  <c r="K21" i="93" s="1"/>
  <c r="L21" i="93" s="1"/>
  <c r="G22" i="93"/>
  <c r="K22" i="93" s="1"/>
  <c r="L22" i="93" s="1"/>
  <c r="G23" i="93"/>
  <c r="K23" i="93" s="1"/>
  <c r="L23" i="93" s="1"/>
  <c r="I23" i="93"/>
  <c r="G24" i="93"/>
  <c r="I24" i="93"/>
  <c r="K24" i="93" s="1"/>
  <c r="L24" i="93" s="1"/>
  <c r="G25" i="93"/>
  <c r="K25" i="93" s="1"/>
  <c r="L25" i="93" s="1"/>
  <c r="D26" i="93"/>
  <c r="E26" i="93"/>
  <c r="G28" i="93"/>
  <c r="L28" i="93" s="1"/>
  <c r="AB28" i="93"/>
  <c r="AC28" i="93" s="1"/>
  <c r="G29" i="93"/>
  <c r="L29" i="93" s="1"/>
  <c r="AB29" i="93"/>
  <c r="AC29" i="93" s="1"/>
  <c r="G30" i="93"/>
  <c r="L30" i="93" s="1"/>
  <c r="AB30" i="93"/>
  <c r="AC30" i="93" s="1"/>
  <c r="G31" i="93"/>
  <c r="L31" i="93" s="1"/>
  <c r="AB31" i="93"/>
  <c r="AC31" i="93" s="1"/>
  <c r="G32" i="93"/>
  <c r="L32" i="93" s="1"/>
  <c r="AB32" i="93"/>
  <c r="AC32" i="93" s="1"/>
  <c r="G33" i="93"/>
  <c r="L33" i="93" s="1"/>
  <c r="AB33" i="93"/>
  <c r="AC33" i="93" s="1"/>
  <c r="G34" i="93"/>
  <c r="L34" i="93" s="1"/>
  <c r="AB34" i="93"/>
  <c r="AC34" i="93" s="1"/>
  <c r="G35" i="93"/>
  <c r="L35" i="93" s="1"/>
  <c r="AB35" i="93"/>
  <c r="AC35" i="93" s="1"/>
  <c r="G36" i="93"/>
  <c r="L36" i="93" s="1"/>
  <c r="AB36" i="93"/>
  <c r="AC36" i="93" s="1"/>
  <c r="D37" i="93"/>
  <c r="E37" i="93"/>
  <c r="G37" i="93"/>
  <c r="X37" i="93"/>
  <c r="X39" i="93"/>
  <c r="K40" i="93"/>
  <c r="X40" i="93"/>
  <c r="AB40" i="93"/>
  <c r="G47" i="93"/>
  <c r="X47" i="93"/>
  <c r="Z47" i="93"/>
  <c r="G48" i="93"/>
  <c r="X48" i="93"/>
  <c r="Z48" i="93"/>
  <c r="C49" i="93"/>
  <c r="G49" i="93"/>
  <c r="K49" i="93"/>
  <c r="X49" i="93"/>
  <c r="Z49" i="93"/>
  <c r="AA53" i="93"/>
  <c r="J56" i="93"/>
  <c r="AA56" i="93"/>
  <c r="X60" i="93"/>
  <c r="X61" i="93"/>
  <c r="G65" i="93"/>
  <c r="X64" i="93" s="1"/>
  <c r="Y58" i="93" s="1"/>
  <c r="X65" i="93"/>
  <c r="Y66" i="93"/>
  <c r="Y68" i="93"/>
  <c r="Y69" i="93"/>
  <c r="Y70" i="93"/>
  <c r="Y71" i="93"/>
  <c r="AB74" i="93"/>
  <c r="G75" i="93"/>
  <c r="I75" i="93" s="1"/>
  <c r="AB75" i="93"/>
  <c r="G76" i="93"/>
  <c r="I76" i="93" s="1"/>
  <c r="Y76" i="93"/>
  <c r="V77" i="93"/>
  <c r="Y77" i="93"/>
  <c r="V78" i="93"/>
  <c r="V79" i="93"/>
  <c r="M86" i="93"/>
  <c r="B135" i="93"/>
  <c r="B136" i="93"/>
  <c r="V2" i="92"/>
  <c r="B3" i="92"/>
  <c r="V4" i="92"/>
  <c r="X7" i="92"/>
  <c r="AB7" i="92"/>
  <c r="G10" i="92"/>
  <c r="K10" i="92" s="1"/>
  <c r="G11" i="92"/>
  <c r="I11" i="92"/>
  <c r="K11" i="92"/>
  <c r="L11" i="92" s="1"/>
  <c r="G12" i="92"/>
  <c r="K12" i="92" s="1"/>
  <c r="G13" i="92"/>
  <c r="K13" i="92" s="1"/>
  <c r="L13" i="92" s="1"/>
  <c r="I13" i="92"/>
  <c r="G14" i="92"/>
  <c r="K14" i="92" s="1"/>
  <c r="L14" i="92" s="1"/>
  <c r="G15" i="92"/>
  <c r="I15" i="92"/>
  <c r="K15" i="92"/>
  <c r="L15" i="92" s="1"/>
  <c r="G16" i="92"/>
  <c r="K16" i="92" s="1"/>
  <c r="L16" i="92" s="1"/>
  <c r="G17" i="92"/>
  <c r="I17" i="92"/>
  <c r="K17" i="92"/>
  <c r="L17" i="92" s="1"/>
  <c r="G18" i="92"/>
  <c r="I18" i="92"/>
  <c r="K18" i="92" s="1"/>
  <c r="L18" i="92" s="1"/>
  <c r="G19" i="92"/>
  <c r="K19" i="92" s="1"/>
  <c r="L19" i="92" s="1"/>
  <c r="G20" i="92"/>
  <c r="I20" i="92"/>
  <c r="K20" i="92"/>
  <c r="L20" i="92" s="1"/>
  <c r="G21" i="92"/>
  <c r="I21" i="92"/>
  <c r="K21" i="92" s="1"/>
  <c r="L21" i="92" s="1"/>
  <c r="G22" i="92"/>
  <c r="K22" i="92" s="1"/>
  <c r="L22" i="92" s="1"/>
  <c r="G23" i="92"/>
  <c r="I23" i="92"/>
  <c r="K23" i="92"/>
  <c r="L23" i="92" s="1"/>
  <c r="G24" i="92"/>
  <c r="I24" i="92"/>
  <c r="K24" i="92" s="1"/>
  <c r="L24" i="92" s="1"/>
  <c r="G25" i="92"/>
  <c r="K25" i="92" s="1"/>
  <c r="L25" i="92" s="1"/>
  <c r="D26" i="92"/>
  <c r="E26" i="92"/>
  <c r="G28" i="92"/>
  <c r="L28" i="92" s="1"/>
  <c r="AB28" i="92"/>
  <c r="AC28" i="92" s="1"/>
  <c r="G29" i="92"/>
  <c r="L29" i="92" s="1"/>
  <c r="AB29" i="92"/>
  <c r="AC29" i="92" s="1"/>
  <c r="G30" i="92"/>
  <c r="L30" i="92" s="1"/>
  <c r="AB30" i="92"/>
  <c r="AC30" i="92" s="1"/>
  <c r="G31" i="92"/>
  <c r="L31" i="92" s="1"/>
  <c r="AB31" i="92"/>
  <c r="AC31" i="92" s="1"/>
  <c r="G32" i="92"/>
  <c r="L32" i="92" s="1"/>
  <c r="AB32" i="92"/>
  <c r="AC32" i="92" s="1"/>
  <c r="G33" i="92"/>
  <c r="L33" i="92" s="1"/>
  <c r="AB33" i="92"/>
  <c r="AC33" i="92" s="1"/>
  <c r="G34" i="92"/>
  <c r="L34" i="92" s="1"/>
  <c r="AB34" i="92"/>
  <c r="AC34" i="92" s="1"/>
  <c r="G35" i="92"/>
  <c r="L35" i="92" s="1"/>
  <c r="AB35" i="92"/>
  <c r="AC35" i="92" s="1"/>
  <c r="G36" i="92"/>
  <c r="L36" i="92" s="1"/>
  <c r="AB36" i="92"/>
  <c r="AC36" i="92" s="1"/>
  <c r="D37" i="92"/>
  <c r="E37" i="92"/>
  <c r="G37" i="92"/>
  <c r="X37" i="92"/>
  <c r="X39" i="92"/>
  <c r="K40" i="92"/>
  <c r="X40" i="92"/>
  <c r="AB40" i="92"/>
  <c r="G47" i="92"/>
  <c r="X47" i="92"/>
  <c r="Z47" i="92"/>
  <c r="G48" i="92"/>
  <c r="X48" i="92"/>
  <c r="Z48" i="92"/>
  <c r="C49" i="92"/>
  <c r="G49" i="92"/>
  <c r="K49" i="92"/>
  <c r="X49" i="92"/>
  <c r="Z49" i="92"/>
  <c r="AA53" i="92"/>
  <c r="J56" i="92"/>
  <c r="AA56" i="92"/>
  <c r="X60" i="92"/>
  <c r="X61" i="92"/>
  <c r="Y58" i="92" s="1"/>
  <c r="G65" i="92"/>
  <c r="X64" i="92" s="1"/>
  <c r="X65" i="92"/>
  <c r="Y66" i="92"/>
  <c r="Y68" i="92"/>
  <c r="Y69" i="92"/>
  <c r="Y70" i="92"/>
  <c r="Y71" i="92"/>
  <c r="AB74" i="92"/>
  <c r="G75" i="92"/>
  <c r="I75" i="92"/>
  <c r="Z74" i="92" s="1"/>
  <c r="AC74" i="92" s="1"/>
  <c r="AB75" i="92"/>
  <c r="G76" i="92"/>
  <c r="I76" i="92"/>
  <c r="Z75" i="92" s="1"/>
  <c r="AC75" i="92" s="1"/>
  <c r="Y76" i="92"/>
  <c r="V77" i="92"/>
  <c r="Y77" i="92"/>
  <c r="V78" i="92"/>
  <c r="V79" i="92"/>
  <c r="M86" i="92"/>
  <c r="B135" i="92"/>
  <c r="B136" i="92"/>
  <c r="V2" i="91"/>
  <c r="B3" i="91"/>
  <c r="V4" i="91"/>
  <c r="X7" i="91"/>
  <c r="AB7" i="91"/>
  <c r="G10" i="91"/>
  <c r="K10" i="91" s="1"/>
  <c r="G11" i="91"/>
  <c r="I11" i="91"/>
  <c r="K11" i="91"/>
  <c r="L11" i="91" s="1"/>
  <c r="G12" i="91"/>
  <c r="K12" i="91" s="1"/>
  <c r="G13" i="91"/>
  <c r="I13" i="91"/>
  <c r="K13" i="91"/>
  <c r="L13" i="91" s="1"/>
  <c r="G14" i="91"/>
  <c r="K14" i="91" s="1"/>
  <c r="L14" i="91" s="1"/>
  <c r="G15" i="91"/>
  <c r="I15" i="91"/>
  <c r="K15" i="91"/>
  <c r="L15" i="91" s="1"/>
  <c r="G16" i="91"/>
  <c r="K16" i="91" s="1"/>
  <c r="L16" i="91" s="1"/>
  <c r="G17" i="91"/>
  <c r="I17" i="91"/>
  <c r="K17" i="91"/>
  <c r="L17" i="91" s="1"/>
  <c r="G18" i="91"/>
  <c r="I18" i="91"/>
  <c r="K18" i="91" s="1"/>
  <c r="L18" i="91" s="1"/>
  <c r="G19" i="91"/>
  <c r="K19" i="91" s="1"/>
  <c r="L19" i="91" s="1"/>
  <c r="G20" i="91"/>
  <c r="I20" i="91"/>
  <c r="K20" i="91"/>
  <c r="L20" i="91" s="1"/>
  <c r="G21" i="91"/>
  <c r="I21" i="91"/>
  <c r="K21" i="91" s="1"/>
  <c r="L21" i="91" s="1"/>
  <c r="G22" i="91"/>
  <c r="K22" i="91" s="1"/>
  <c r="L22" i="91" s="1"/>
  <c r="G23" i="91"/>
  <c r="K23" i="91" s="1"/>
  <c r="L23" i="91" s="1"/>
  <c r="I23" i="91"/>
  <c r="G24" i="91"/>
  <c r="I24" i="91"/>
  <c r="K24" i="91" s="1"/>
  <c r="L24" i="91" s="1"/>
  <c r="G25" i="91"/>
  <c r="K25" i="91" s="1"/>
  <c r="L25" i="91" s="1"/>
  <c r="D26" i="91"/>
  <c r="E26" i="91"/>
  <c r="G28" i="91"/>
  <c r="L28" i="91" s="1"/>
  <c r="AB28" i="91"/>
  <c r="AC28" i="91" s="1"/>
  <c r="G29" i="91"/>
  <c r="L29" i="91" s="1"/>
  <c r="AB29" i="91"/>
  <c r="AC29" i="91" s="1"/>
  <c r="G30" i="91"/>
  <c r="L30" i="91" s="1"/>
  <c r="AB30" i="91"/>
  <c r="AC30" i="91" s="1"/>
  <c r="G31" i="91"/>
  <c r="L31" i="91" s="1"/>
  <c r="AB31" i="91"/>
  <c r="AC31" i="91" s="1"/>
  <c r="G32" i="91"/>
  <c r="L32" i="91" s="1"/>
  <c r="AB32" i="91"/>
  <c r="AC32" i="91" s="1"/>
  <c r="G33" i="91"/>
  <c r="L33" i="91" s="1"/>
  <c r="AB33" i="91"/>
  <c r="AC33" i="91" s="1"/>
  <c r="G34" i="91"/>
  <c r="L34" i="91" s="1"/>
  <c r="AB34" i="91"/>
  <c r="AC34" i="91" s="1"/>
  <c r="G35" i="91"/>
  <c r="L35" i="91" s="1"/>
  <c r="AB35" i="91"/>
  <c r="AC35" i="91" s="1"/>
  <c r="G36" i="91"/>
  <c r="L36" i="91" s="1"/>
  <c r="AB36" i="91"/>
  <c r="AC36" i="91" s="1"/>
  <c r="D37" i="91"/>
  <c r="E37" i="91"/>
  <c r="G37" i="91"/>
  <c r="X37" i="91"/>
  <c r="X39" i="91"/>
  <c r="K40" i="91"/>
  <c r="X40" i="91"/>
  <c r="AB40" i="91"/>
  <c r="G47" i="91"/>
  <c r="X47" i="91"/>
  <c r="Z47" i="91"/>
  <c r="G48" i="91"/>
  <c r="X48" i="91"/>
  <c r="Z48" i="91"/>
  <c r="C49" i="91"/>
  <c r="G49" i="91"/>
  <c r="K49" i="91"/>
  <c r="X49" i="91"/>
  <c r="Z49" i="91"/>
  <c r="AA53" i="91"/>
  <c r="J56" i="91"/>
  <c r="AA56" i="91"/>
  <c r="X60" i="91"/>
  <c r="X61" i="91"/>
  <c r="G65" i="91"/>
  <c r="X64" i="91" s="1"/>
  <c r="Y58" i="91" s="1"/>
  <c r="X65" i="91"/>
  <c r="Y66" i="91"/>
  <c r="Y68" i="91"/>
  <c r="Y69" i="91"/>
  <c r="Y70" i="91"/>
  <c r="Y71" i="91"/>
  <c r="AB74" i="91"/>
  <c r="G75" i="91"/>
  <c r="I75" i="91" s="1"/>
  <c r="AB75" i="91"/>
  <c r="G76" i="91"/>
  <c r="I76" i="91" s="1"/>
  <c r="Y76" i="91"/>
  <c r="V77" i="91"/>
  <c r="Y77" i="91"/>
  <c r="V78" i="91"/>
  <c r="V79" i="91"/>
  <c r="M86" i="91"/>
  <c r="B135" i="91"/>
  <c r="B136" i="91"/>
  <c r="V2" i="90"/>
  <c r="B3" i="90"/>
  <c r="V4" i="90"/>
  <c r="X7" i="90"/>
  <c r="AB7" i="90"/>
  <c r="G10" i="90"/>
  <c r="K10" i="90" s="1"/>
  <c r="G11" i="90"/>
  <c r="K11" i="90" s="1"/>
  <c r="L11" i="90" s="1"/>
  <c r="I11" i="90"/>
  <c r="G12" i="90"/>
  <c r="K12" i="90" s="1"/>
  <c r="G13" i="90"/>
  <c r="K13" i="90" s="1"/>
  <c r="L13" i="90" s="1"/>
  <c r="I13" i="90"/>
  <c r="G14" i="90"/>
  <c r="K14" i="90" s="1"/>
  <c r="G15" i="90"/>
  <c r="I15" i="90"/>
  <c r="K15" i="90"/>
  <c r="L15" i="90" s="1"/>
  <c r="G16" i="90"/>
  <c r="K16" i="90" s="1"/>
  <c r="L16" i="90" s="1"/>
  <c r="G17" i="90"/>
  <c r="I17" i="90"/>
  <c r="K17" i="90"/>
  <c r="L17" i="90" s="1"/>
  <c r="G18" i="90"/>
  <c r="I18" i="90"/>
  <c r="K18" i="90" s="1"/>
  <c r="L18" i="90" s="1"/>
  <c r="G19" i="90"/>
  <c r="K19" i="90" s="1"/>
  <c r="L19" i="90" s="1"/>
  <c r="G20" i="90"/>
  <c r="I20" i="90"/>
  <c r="K20" i="90"/>
  <c r="L20" i="90" s="1"/>
  <c r="G21" i="90"/>
  <c r="I21" i="90"/>
  <c r="K21" i="90" s="1"/>
  <c r="L21" i="90" s="1"/>
  <c r="G22" i="90"/>
  <c r="K22" i="90" s="1"/>
  <c r="L22" i="90" s="1"/>
  <c r="G23" i="90"/>
  <c r="K23" i="90" s="1"/>
  <c r="L23" i="90" s="1"/>
  <c r="I23" i="90"/>
  <c r="G24" i="90"/>
  <c r="I24" i="90"/>
  <c r="K24" i="90" s="1"/>
  <c r="L24" i="90" s="1"/>
  <c r="G25" i="90"/>
  <c r="K25" i="90" s="1"/>
  <c r="L25" i="90" s="1"/>
  <c r="D26" i="90"/>
  <c r="E26" i="90"/>
  <c r="G26" i="90"/>
  <c r="L40" i="90" s="1"/>
  <c r="G28" i="90"/>
  <c r="L28" i="90" s="1"/>
  <c r="AB28" i="90"/>
  <c r="AC28" i="90" s="1"/>
  <c r="G29" i="90"/>
  <c r="L29" i="90" s="1"/>
  <c r="AB29" i="90"/>
  <c r="AC29" i="90" s="1"/>
  <c r="G30" i="90"/>
  <c r="L30" i="90" s="1"/>
  <c r="AB30" i="90"/>
  <c r="AC30" i="90" s="1"/>
  <c r="G31" i="90"/>
  <c r="L31" i="90" s="1"/>
  <c r="AB31" i="90"/>
  <c r="AC31" i="90" s="1"/>
  <c r="G32" i="90"/>
  <c r="L32" i="90" s="1"/>
  <c r="AB32" i="90"/>
  <c r="AC32" i="90" s="1"/>
  <c r="G33" i="90"/>
  <c r="L33" i="90" s="1"/>
  <c r="AB33" i="90"/>
  <c r="AC33" i="90" s="1"/>
  <c r="G34" i="90"/>
  <c r="L34" i="90" s="1"/>
  <c r="AB34" i="90"/>
  <c r="AC34" i="90" s="1"/>
  <c r="G35" i="90"/>
  <c r="L35" i="90" s="1"/>
  <c r="AB35" i="90"/>
  <c r="AC35" i="90" s="1"/>
  <c r="G36" i="90"/>
  <c r="L36" i="90" s="1"/>
  <c r="AB36" i="90"/>
  <c r="AC36" i="90" s="1"/>
  <c r="D37" i="90"/>
  <c r="E37" i="90"/>
  <c r="X37" i="90"/>
  <c r="X39" i="90"/>
  <c r="K40" i="90"/>
  <c r="X40" i="90"/>
  <c r="AB40" i="90"/>
  <c r="G47" i="90"/>
  <c r="X47" i="90"/>
  <c r="Z47" i="90"/>
  <c r="G48" i="90"/>
  <c r="X48" i="90"/>
  <c r="Z48" i="90"/>
  <c r="G49" i="90"/>
  <c r="X49" i="90"/>
  <c r="Z49" i="90"/>
  <c r="AA53" i="90"/>
  <c r="J56" i="90"/>
  <c r="AA56" i="90"/>
  <c r="X60" i="90"/>
  <c r="X61" i="90"/>
  <c r="G65" i="90"/>
  <c r="X64" i="90" s="1"/>
  <c r="Y58" i="90" s="1"/>
  <c r="X65" i="90"/>
  <c r="Y66" i="90"/>
  <c r="Y68" i="90"/>
  <c r="Y69" i="90"/>
  <c r="Y70" i="90"/>
  <c r="Y71" i="90"/>
  <c r="AB74" i="90"/>
  <c r="G75" i="90"/>
  <c r="I75" i="90" s="1"/>
  <c r="AB75" i="90"/>
  <c r="G76" i="90"/>
  <c r="I76" i="90" s="1"/>
  <c r="Y76" i="90"/>
  <c r="V77" i="90"/>
  <c r="Y77" i="90"/>
  <c r="V78" i="90"/>
  <c r="V79" i="90"/>
  <c r="M86" i="90"/>
  <c r="B135" i="90"/>
  <c r="B136" i="90"/>
  <c r="V2" i="89"/>
  <c r="B3" i="89"/>
  <c r="V4" i="89"/>
  <c r="X7" i="89"/>
  <c r="AB7" i="89"/>
  <c r="G10" i="89"/>
  <c r="K10" i="89" s="1"/>
  <c r="G11" i="89"/>
  <c r="I11" i="89"/>
  <c r="K11" i="89"/>
  <c r="L11" i="89" s="1"/>
  <c r="G12" i="89"/>
  <c r="K12" i="89" s="1"/>
  <c r="G13" i="89"/>
  <c r="K13" i="89" s="1"/>
  <c r="L13" i="89" s="1"/>
  <c r="I13" i="89"/>
  <c r="G14" i="89"/>
  <c r="K14" i="89" s="1"/>
  <c r="L14" i="89" s="1"/>
  <c r="G15" i="89"/>
  <c r="I15" i="89"/>
  <c r="K15" i="89"/>
  <c r="L15" i="89" s="1"/>
  <c r="G16" i="89"/>
  <c r="K16" i="89" s="1"/>
  <c r="L16" i="89" s="1"/>
  <c r="G17" i="89"/>
  <c r="I17" i="89"/>
  <c r="K17" i="89"/>
  <c r="L17" i="89" s="1"/>
  <c r="G18" i="89"/>
  <c r="I18" i="89"/>
  <c r="K18" i="89" s="1"/>
  <c r="L18" i="89"/>
  <c r="G19" i="89"/>
  <c r="K19" i="89" s="1"/>
  <c r="L19" i="89" s="1"/>
  <c r="G20" i="89"/>
  <c r="I20" i="89"/>
  <c r="K20" i="89"/>
  <c r="L20" i="89" s="1"/>
  <c r="G21" i="89"/>
  <c r="I21" i="89"/>
  <c r="K21" i="89" s="1"/>
  <c r="L21" i="89"/>
  <c r="G22" i="89"/>
  <c r="K22" i="89" s="1"/>
  <c r="L22" i="89" s="1"/>
  <c r="G23" i="89"/>
  <c r="I23" i="89"/>
  <c r="K23" i="89"/>
  <c r="L23" i="89" s="1"/>
  <c r="G24" i="89"/>
  <c r="I24" i="89"/>
  <c r="K24" i="89" s="1"/>
  <c r="L24" i="89"/>
  <c r="G25" i="89"/>
  <c r="K25" i="89" s="1"/>
  <c r="L25" i="89" s="1"/>
  <c r="D26" i="89"/>
  <c r="E26" i="89"/>
  <c r="G28" i="89"/>
  <c r="L28" i="89" s="1"/>
  <c r="AB28" i="89"/>
  <c r="AC28" i="89" s="1"/>
  <c r="G29" i="89"/>
  <c r="L29" i="89" s="1"/>
  <c r="AB29" i="89"/>
  <c r="AC29" i="89" s="1"/>
  <c r="G30" i="89"/>
  <c r="L30" i="89" s="1"/>
  <c r="AB30" i="89"/>
  <c r="AC30" i="89" s="1"/>
  <c r="G31" i="89"/>
  <c r="L31" i="89" s="1"/>
  <c r="AB31" i="89"/>
  <c r="AC31" i="89" s="1"/>
  <c r="G32" i="89"/>
  <c r="L32" i="89" s="1"/>
  <c r="AB32" i="89"/>
  <c r="AC32" i="89" s="1"/>
  <c r="G33" i="89"/>
  <c r="L33" i="89" s="1"/>
  <c r="AB33" i="89"/>
  <c r="AC33" i="89" s="1"/>
  <c r="G34" i="89"/>
  <c r="L34" i="89" s="1"/>
  <c r="AB34" i="89"/>
  <c r="AC34" i="89" s="1"/>
  <c r="G35" i="89"/>
  <c r="L35" i="89" s="1"/>
  <c r="AB35" i="89"/>
  <c r="AC35" i="89" s="1"/>
  <c r="G36" i="89"/>
  <c r="L36" i="89" s="1"/>
  <c r="AB36" i="89"/>
  <c r="AC36" i="89" s="1"/>
  <c r="D37" i="89"/>
  <c r="E37" i="89"/>
  <c r="G37" i="89"/>
  <c r="X37" i="89"/>
  <c r="X39" i="89"/>
  <c r="K40" i="89"/>
  <c r="X40" i="89"/>
  <c r="AB40" i="89"/>
  <c r="G47" i="89"/>
  <c r="X47" i="89"/>
  <c r="Z47" i="89"/>
  <c r="G48" i="89"/>
  <c r="X48" i="89"/>
  <c r="Z48" i="89"/>
  <c r="C49" i="89"/>
  <c r="G49" i="89"/>
  <c r="K49" i="89"/>
  <c r="X49" i="89"/>
  <c r="Z49" i="89"/>
  <c r="AA53" i="89"/>
  <c r="J56" i="89"/>
  <c r="AA56" i="89"/>
  <c r="X60" i="89"/>
  <c r="X61" i="89"/>
  <c r="Y58" i="89" s="1"/>
  <c r="G65" i="89"/>
  <c r="X64" i="89" s="1"/>
  <c r="X65" i="89"/>
  <c r="Y66" i="89"/>
  <c r="Y68" i="89"/>
  <c r="Y69" i="89"/>
  <c r="Y70" i="89"/>
  <c r="Y71" i="89"/>
  <c r="AB74" i="89"/>
  <c r="G75" i="89"/>
  <c r="I75" i="89"/>
  <c r="L75" i="89" s="1"/>
  <c r="AB75" i="89"/>
  <c r="G76" i="89"/>
  <c r="I76" i="89"/>
  <c r="L76" i="89" s="1"/>
  <c r="Y76" i="89"/>
  <c r="V77" i="89"/>
  <c r="Y77" i="89"/>
  <c r="V78" i="89"/>
  <c r="V79" i="89"/>
  <c r="M86" i="89"/>
  <c r="B135" i="89"/>
  <c r="B136" i="89"/>
  <c r="V2" i="87"/>
  <c r="B3" i="87"/>
  <c r="V4" i="87"/>
  <c r="X7" i="87"/>
  <c r="AB7" i="87"/>
  <c r="G10" i="87"/>
  <c r="K10" i="87" s="1"/>
  <c r="G11" i="87"/>
  <c r="I11" i="87"/>
  <c r="K11" i="87"/>
  <c r="L11" i="87" s="1"/>
  <c r="G12" i="87"/>
  <c r="K12" i="87" s="1"/>
  <c r="G13" i="87"/>
  <c r="I13" i="87"/>
  <c r="K13" i="87"/>
  <c r="L13" i="87" s="1"/>
  <c r="G14" i="87"/>
  <c r="K14" i="87" s="1"/>
  <c r="L14" i="87" s="1"/>
  <c r="G15" i="87"/>
  <c r="I15" i="87"/>
  <c r="K15" i="87"/>
  <c r="L15" i="87" s="1"/>
  <c r="G16" i="87"/>
  <c r="K16" i="87" s="1"/>
  <c r="L16" i="87" s="1"/>
  <c r="G17" i="87"/>
  <c r="I17" i="87"/>
  <c r="K17" i="87"/>
  <c r="L17" i="87" s="1"/>
  <c r="G18" i="87"/>
  <c r="I18" i="87"/>
  <c r="K18" i="87" s="1"/>
  <c r="L18" i="87" s="1"/>
  <c r="G19" i="87"/>
  <c r="K19" i="87" s="1"/>
  <c r="L19" i="87" s="1"/>
  <c r="G20" i="87"/>
  <c r="I20" i="87"/>
  <c r="K20" i="87"/>
  <c r="L20" i="87" s="1"/>
  <c r="G21" i="87"/>
  <c r="I21" i="87"/>
  <c r="K21" i="87" s="1"/>
  <c r="L21" i="87" s="1"/>
  <c r="G22" i="87"/>
  <c r="K22" i="87" s="1"/>
  <c r="L22" i="87" s="1"/>
  <c r="G23" i="87"/>
  <c r="I23" i="87"/>
  <c r="K23" i="87"/>
  <c r="L23" i="87" s="1"/>
  <c r="G24" i="87"/>
  <c r="I24" i="87"/>
  <c r="K24" i="87" s="1"/>
  <c r="L24" i="87" s="1"/>
  <c r="G25" i="87"/>
  <c r="K25" i="87" s="1"/>
  <c r="L25" i="87" s="1"/>
  <c r="D26" i="87"/>
  <c r="E26" i="87"/>
  <c r="G26" i="87"/>
  <c r="L40" i="87" s="1"/>
  <c r="G28" i="87"/>
  <c r="L28" i="87" s="1"/>
  <c r="AB28" i="87"/>
  <c r="AC28" i="87" s="1"/>
  <c r="G29" i="87"/>
  <c r="L29" i="87" s="1"/>
  <c r="AB29" i="87"/>
  <c r="AC29" i="87" s="1"/>
  <c r="G30" i="87"/>
  <c r="L30" i="87" s="1"/>
  <c r="AB30" i="87"/>
  <c r="AC30" i="87" s="1"/>
  <c r="G31" i="87"/>
  <c r="L31" i="87" s="1"/>
  <c r="AB31" i="87"/>
  <c r="AC31" i="87" s="1"/>
  <c r="G32" i="87"/>
  <c r="L32" i="87" s="1"/>
  <c r="AB32" i="87"/>
  <c r="AC32" i="87" s="1"/>
  <c r="G33" i="87"/>
  <c r="L33" i="87" s="1"/>
  <c r="AB33" i="87"/>
  <c r="AC33" i="87" s="1"/>
  <c r="G34" i="87"/>
  <c r="L34" i="87" s="1"/>
  <c r="AB34" i="87"/>
  <c r="AC34" i="87" s="1"/>
  <c r="G35" i="87"/>
  <c r="L35" i="87" s="1"/>
  <c r="AB35" i="87"/>
  <c r="AC35" i="87" s="1"/>
  <c r="G36" i="87"/>
  <c r="L36" i="87" s="1"/>
  <c r="AB36" i="87"/>
  <c r="AC36" i="87" s="1"/>
  <c r="D37" i="87"/>
  <c r="E37" i="87"/>
  <c r="G37" i="87"/>
  <c r="X37" i="87"/>
  <c r="X39" i="87"/>
  <c r="K40" i="87"/>
  <c r="X40" i="87"/>
  <c r="AB40" i="87"/>
  <c r="G47" i="87"/>
  <c r="X47" i="87"/>
  <c r="Z47" i="87"/>
  <c r="G48" i="87"/>
  <c r="X48" i="87"/>
  <c r="Z48" i="87"/>
  <c r="C49" i="87"/>
  <c r="G49" i="87"/>
  <c r="K49" i="87"/>
  <c r="X49" i="87"/>
  <c r="Z49" i="87"/>
  <c r="AA53" i="87"/>
  <c r="G56" i="87"/>
  <c r="K57" i="87" s="1"/>
  <c r="K69" i="87" s="1"/>
  <c r="L69" i="87" s="1"/>
  <c r="J56" i="87"/>
  <c r="AA56" i="87"/>
  <c r="X60" i="87"/>
  <c r="X61" i="87"/>
  <c r="G65" i="87"/>
  <c r="X64" i="87" s="1"/>
  <c r="Y58" i="87" s="1"/>
  <c r="X65" i="87"/>
  <c r="Y66" i="87"/>
  <c r="Y68" i="87"/>
  <c r="Y69" i="87"/>
  <c r="Y70" i="87"/>
  <c r="Y71" i="87"/>
  <c r="AB74" i="87"/>
  <c r="G75" i="87"/>
  <c r="I75" i="87" s="1"/>
  <c r="AB75" i="87"/>
  <c r="G76" i="87"/>
  <c r="I76" i="87" s="1"/>
  <c r="Y76" i="87"/>
  <c r="V77" i="87"/>
  <c r="Y77" i="87"/>
  <c r="V78" i="87"/>
  <c r="V79" i="87"/>
  <c r="K84" i="87"/>
  <c r="M86" i="87"/>
  <c r="B135" i="87"/>
  <c r="B136" i="87"/>
  <c r="V2" i="86"/>
  <c r="B3" i="86"/>
  <c r="V4" i="86"/>
  <c r="X7" i="86"/>
  <c r="AB7" i="86"/>
  <c r="G10" i="86"/>
  <c r="K10" i="86" s="1"/>
  <c r="G11" i="86"/>
  <c r="I11" i="86"/>
  <c r="K11" i="86"/>
  <c r="L11" i="86" s="1"/>
  <c r="G12" i="86"/>
  <c r="K12" i="86" s="1"/>
  <c r="G13" i="86"/>
  <c r="I13" i="86"/>
  <c r="K13" i="86"/>
  <c r="L13" i="86" s="1"/>
  <c r="G14" i="86"/>
  <c r="K14" i="86" s="1"/>
  <c r="L14" i="86" s="1"/>
  <c r="G15" i="86"/>
  <c r="I15" i="86"/>
  <c r="K15" i="86"/>
  <c r="L15" i="86" s="1"/>
  <c r="G16" i="86"/>
  <c r="K16" i="86" s="1"/>
  <c r="L16" i="86" s="1"/>
  <c r="G17" i="86"/>
  <c r="I17" i="86"/>
  <c r="K17" i="86"/>
  <c r="L17" i="86" s="1"/>
  <c r="G18" i="86"/>
  <c r="I18" i="86"/>
  <c r="K18" i="86" s="1"/>
  <c r="L18" i="86" s="1"/>
  <c r="G19" i="86"/>
  <c r="K19" i="86" s="1"/>
  <c r="L19" i="86" s="1"/>
  <c r="G20" i="86"/>
  <c r="I20" i="86"/>
  <c r="K20" i="86"/>
  <c r="L20" i="86" s="1"/>
  <c r="G21" i="86"/>
  <c r="I21" i="86"/>
  <c r="K21" i="86" s="1"/>
  <c r="L21" i="86" s="1"/>
  <c r="G22" i="86"/>
  <c r="K22" i="86" s="1"/>
  <c r="L22" i="86" s="1"/>
  <c r="G23" i="86"/>
  <c r="K23" i="86" s="1"/>
  <c r="L23" i="86" s="1"/>
  <c r="I23" i="86"/>
  <c r="G24" i="86"/>
  <c r="I24" i="86"/>
  <c r="K24" i="86" s="1"/>
  <c r="L24" i="86" s="1"/>
  <c r="G25" i="86"/>
  <c r="K25" i="86" s="1"/>
  <c r="L25" i="86" s="1"/>
  <c r="D26" i="86"/>
  <c r="E26" i="86"/>
  <c r="G28" i="86"/>
  <c r="L28" i="86" s="1"/>
  <c r="AB28" i="86"/>
  <c r="AC28" i="86" s="1"/>
  <c r="G29" i="86"/>
  <c r="L29" i="86" s="1"/>
  <c r="AB29" i="86"/>
  <c r="AC29" i="86" s="1"/>
  <c r="G30" i="86"/>
  <c r="L30" i="86" s="1"/>
  <c r="AB30" i="86"/>
  <c r="AC30" i="86" s="1"/>
  <c r="G31" i="86"/>
  <c r="L31" i="86" s="1"/>
  <c r="AB31" i="86"/>
  <c r="AC31" i="86" s="1"/>
  <c r="G32" i="86"/>
  <c r="L32" i="86" s="1"/>
  <c r="AB32" i="86"/>
  <c r="AC32" i="86" s="1"/>
  <c r="G33" i="86"/>
  <c r="L33" i="86" s="1"/>
  <c r="AB33" i="86"/>
  <c r="AC33" i="86" s="1"/>
  <c r="G34" i="86"/>
  <c r="L34" i="86" s="1"/>
  <c r="AB34" i="86"/>
  <c r="AC34" i="86" s="1"/>
  <c r="G35" i="86"/>
  <c r="L35" i="86" s="1"/>
  <c r="AB35" i="86"/>
  <c r="AC35" i="86" s="1"/>
  <c r="G36" i="86"/>
  <c r="L36" i="86" s="1"/>
  <c r="AB36" i="86"/>
  <c r="AC36" i="86" s="1"/>
  <c r="D37" i="86"/>
  <c r="E37" i="86"/>
  <c r="G37" i="86"/>
  <c r="X37" i="86"/>
  <c r="X39" i="86"/>
  <c r="K40" i="86"/>
  <c r="X40" i="86"/>
  <c r="AB40" i="86"/>
  <c r="G47" i="86"/>
  <c r="X47" i="86"/>
  <c r="Z47" i="86"/>
  <c r="G48" i="86"/>
  <c r="X48" i="86"/>
  <c r="Z48" i="86"/>
  <c r="C49" i="86"/>
  <c r="G49" i="86"/>
  <c r="K49" i="86"/>
  <c r="X49" i="86"/>
  <c r="Z49" i="86"/>
  <c r="AA53" i="86"/>
  <c r="J56" i="86"/>
  <c r="AA56" i="86"/>
  <c r="X60" i="86"/>
  <c r="X61" i="86"/>
  <c r="Y58" i="86" s="1"/>
  <c r="G65" i="86"/>
  <c r="X64" i="86" s="1"/>
  <c r="X65" i="86"/>
  <c r="Y66" i="86"/>
  <c r="Y68" i="86"/>
  <c r="Y69" i="86"/>
  <c r="Y70" i="86"/>
  <c r="Y71" i="86"/>
  <c r="AB74" i="86"/>
  <c r="G75" i="86"/>
  <c r="I75" i="86"/>
  <c r="Z74" i="86" s="1"/>
  <c r="AC74" i="86" s="1"/>
  <c r="AB75" i="86"/>
  <c r="G76" i="86"/>
  <c r="I76" i="86"/>
  <c r="Z75" i="86" s="1"/>
  <c r="AC75" i="86" s="1"/>
  <c r="Y76" i="86"/>
  <c r="V77" i="86"/>
  <c r="Y77" i="86"/>
  <c r="V78" i="86"/>
  <c r="V79" i="86"/>
  <c r="M86" i="86"/>
  <c r="B135" i="86"/>
  <c r="B136" i="86"/>
  <c r="X21" i="107" l="1"/>
  <c r="AB21" i="107" s="1"/>
  <c r="AC21" i="107" s="1"/>
  <c r="X17" i="107"/>
  <c r="AB17" i="107" s="1"/>
  <c r="AC17" i="107" s="1"/>
  <c r="X15" i="107"/>
  <c r="AB15" i="107" s="1"/>
  <c r="AC15" i="107" s="1"/>
  <c r="G26" i="106"/>
  <c r="G26" i="104"/>
  <c r="L40" i="104" s="1"/>
  <c r="G26" i="102"/>
  <c r="G26" i="103"/>
  <c r="K84" i="102"/>
  <c r="X12" i="102" s="1"/>
  <c r="AB12" i="102" s="1"/>
  <c r="G26" i="101"/>
  <c r="G37" i="100"/>
  <c r="G26" i="100"/>
  <c r="L40" i="100" s="1"/>
  <c r="G26" i="99"/>
  <c r="G26" i="98"/>
  <c r="L40" i="98" s="1"/>
  <c r="G56" i="97"/>
  <c r="K57" i="97" s="1"/>
  <c r="K69" i="97" s="1"/>
  <c r="L69" i="97" s="1"/>
  <c r="K84" i="96"/>
  <c r="X12" i="96" s="1"/>
  <c r="AB12" i="96" s="1"/>
  <c r="G56" i="96"/>
  <c r="K57" i="96" s="1"/>
  <c r="K69" i="96" s="1"/>
  <c r="L69" i="96" s="1"/>
  <c r="K84" i="95"/>
  <c r="X10" i="95" s="1"/>
  <c r="G56" i="95"/>
  <c r="K57" i="95" s="1"/>
  <c r="K69" i="95" s="1"/>
  <c r="L69" i="95" s="1"/>
  <c r="G26" i="92"/>
  <c r="L40" i="92" s="1"/>
  <c r="G26" i="91"/>
  <c r="G37" i="90"/>
  <c r="C48" i="89"/>
  <c r="K48" i="89" s="1"/>
  <c r="C47" i="89"/>
  <c r="K47" i="89" s="1"/>
  <c r="G26" i="86"/>
  <c r="K84" i="97"/>
  <c r="X10" i="97" s="1"/>
  <c r="K24" i="96"/>
  <c r="K72" i="96"/>
  <c r="L72" i="96" s="1"/>
  <c r="C47" i="96"/>
  <c r="K47" i="96" s="1"/>
  <c r="K72" i="94"/>
  <c r="L72" i="94" s="1"/>
  <c r="G26" i="93"/>
  <c r="L40" i="93" s="1"/>
  <c r="C47" i="93"/>
  <c r="K47" i="93" s="1"/>
  <c r="C47" i="92"/>
  <c r="K47" i="92" s="1"/>
  <c r="K84" i="90"/>
  <c r="X13" i="90" s="1"/>
  <c r="AB13" i="90" s="1"/>
  <c r="AC13" i="90" s="1"/>
  <c r="G56" i="90"/>
  <c r="K57" i="90" s="1"/>
  <c r="K69" i="90" s="1"/>
  <c r="L69" i="90" s="1"/>
  <c r="X23" i="107"/>
  <c r="AB23" i="107" s="1"/>
  <c r="AC23" i="107" s="1"/>
  <c r="X24" i="107"/>
  <c r="AB24" i="107" s="1"/>
  <c r="AC24" i="107" s="1"/>
  <c r="X18" i="107"/>
  <c r="AB18" i="107" s="1"/>
  <c r="AC18" i="107" s="1"/>
  <c r="X13" i="107"/>
  <c r="AB13" i="107" s="1"/>
  <c r="AC13" i="107" s="1"/>
  <c r="K72" i="107"/>
  <c r="L72" i="107" s="1"/>
  <c r="X11" i="107"/>
  <c r="AB11" i="107" s="1"/>
  <c r="AC11" i="107" s="1"/>
  <c r="K72" i="87"/>
  <c r="L72" i="87" s="1"/>
  <c r="X20" i="107"/>
  <c r="AB20" i="107" s="1"/>
  <c r="AC20" i="107" s="1"/>
  <c r="X25" i="107"/>
  <c r="AB25" i="107" s="1"/>
  <c r="AC25" i="107" s="1"/>
  <c r="X22" i="107"/>
  <c r="AB22" i="107" s="1"/>
  <c r="AC22" i="107" s="1"/>
  <c r="X19" i="107"/>
  <c r="AB19" i="107" s="1"/>
  <c r="AC19" i="107" s="1"/>
  <c r="X16" i="107"/>
  <c r="AB16" i="107" s="1"/>
  <c r="AC16" i="107" s="1"/>
  <c r="X14" i="107"/>
  <c r="AB14" i="107" s="1"/>
  <c r="AC14" i="107" s="1"/>
  <c r="X12" i="107"/>
  <c r="AB12" i="107" s="1"/>
  <c r="C50" i="107"/>
  <c r="K47" i="107"/>
  <c r="K59" i="107"/>
  <c r="L59" i="107" s="1"/>
  <c r="K67" i="107"/>
  <c r="L67" i="107" s="1"/>
  <c r="K70" i="107"/>
  <c r="L70" i="107" s="1"/>
  <c r="K71" i="107"/>
  <c r="L71" i="107" s="1"/>
  <c r="K77" i="107"/>
  <c r="L77" i="107" s="1"/>
  <c r="K78" i="107"/>
  <c r="L78" i="107" s="1"/>
  <c r="L50" i="107"/>
  <c r="AC12" i="107"/>
  <c r="AB10" i="107"/>
  <c r="Z74" i="106"/>
  <c r="AC74" i="106" s="1"/>
  <c r="L37" i="106"/>
  <c r="C48" i="106"/>
  <c r="K48" i="106" s="1"/>
  <c r="L12" i="106"/>
  <c r="K26" i="106"/>
  <c r="G53" i="106" s="1"/>
  <c r="K54" i="106" s="1"/>
  <c r="L10" i="106"/>
  <c r="L26" i="106" s="1"/>
  <c r="C47" i="106"/>
  <c r="AC37" i="106"/>
  <c r="M15" i="106"/>
  <c r="M13" i="106"/>
  <c r="M11" i="106"/>
  <c r="Z75" i="105"/>
  <c r="AC75" i="105" s="1"/>
  <c r="K23" i="105"/>
  <c r="L23" i="105" s="1"/>
  <c r="I24" i="105"/>
  <c r="K24" i="105" s="1"/>
  <c r="L24" i="105" s="1"/>
  <c r="K20" i="105"/>
  <c r="L20" i="105" s="1"/>
  <c r="I21" i="105"/>
  <c r="K21" i="105" s="1"/>
  <c r="L21" i="105" s="1"/>
  <c r="K17" i="105"/>
  <c r="I18" i="105"/>
  <c r="K18" i="105" s="1"/>
  <c r="Z74" i="105"/>
  <c r="AC74" i="105" s="1"/>
  <c r="G26" i="105"/>
  <c r="L40" i="105" s="1"/>
  <c r="L14" i="105"/>
  <c r="X49" i="105"/>
  <c r="C47" i="105"/>
  <c r="Z75" i="104"/>
  <c r="L76" i="104"/>
  <c r="Z74" i="104"/>
  <c r="L75" i="104"/>
  <c r="AC75" i="104"/>
  <c r="AC74" i="104"/>
  <c r="L37" i="104"/>
  <c r="L14" i="104"/>
  <c r="C49" i="104"/>
  <c r="K49" i="104" s="1"/>
  <c r="C48" i="104"/>
  <c r="K48" i="104" s="1"/>
  <c r="L12" i="104"/>
  <c r="K26" i="104"/>
  <c r="G53" i="104" s="1"/>
  <c r="K54" i="104" s="1"/>
  <c r="L10" i="104"/>
  <c r="L26" i="104" s="1"/>
  <c r="C47" i="104"/>
  <c r="AC37" i="104"/>
  <c r="M15" i="104"/>
  <c r="M13" i="104"/>
  <c r="M11" i="104"/>
  <c r="Z75" i="103"/>
  <c r="AC75" i="103" s="1"/>
  <c r="L76" i="103"/>
  <c r="Z74" i="103"/>
  <c r="AC74" i="103" s="1"/>
  <c r="L75" i="103"/>
  <c r="L14" i="103"/>
  <c r="C49" i="103"/>
  <c r="K49" i="103" s="1"/>
  <c r="C48" i="103"/>
  <c r="K48" i="103" s="1"/>
  <c r="L12" i="103"/>
  <c r="K26" i="103"/>
  <c r="G53" i="103" s="1"/>
  <c r="K54" i="103" s="1"/>
  <c r="L10" i="103"/>
  <c r="C47" i="103"/>
  <c r="L37" i="103"/>
  <c r="AC37" i="103"/>
  <c r="M15" i="103"/>
  <c r="M13" i="103"/>
  <c r="M11" i="103"/>
  <c r="L76" i="102"/>
  <c r="Z75" i="102"/>
  <c r="L75" i="102"/>
  <c r="Z74" i="102"/>
  <c r="AC75" i="102"/>
  <c r="AC74" i="102"/>
  <c r="L37" i="102"/>
  <c r="L14" i="102"/>
  <c r="C49" i="102"/>
  <c r="K49" i="102" s="1"/>
  <c r="C48" i="102"/>
  <c r="K48" i="102" s="1"/>
  <c r="L12" i="102"/>
  <c r="K26" i="102"/>
  <c r="G53" i="102" s="1"/>
  <c r="K54" i="102" s="1"/>
  <c r="L10" i="102"/>
  <c r="L26" i="102" s="1"/>
  <c r="C47" i="102"/>
  <c r="X21" i="102"/>
  <c r="AB21" i="102" s="1"/>
  <c r="AC21" i="102" s="1"/>
  <c r="AC37" i="102"/>
  <c r="M15" i="102"/>
  <c r="M13" i="102"/>
  <c r="M11" i="102"/>
  <c r="Z75" i="101"/>
  <c r="L76" i="101"/>
  <c r="Z74" i="101"/>
  <c r="L75" i="101"/>
  <c r="AC75" i="101"/>
  <c r="AC74" i="101"/>
  <c r="L37" i="101"/>
  <c r="C48" i="101"/>
  <c r="K48" i="101" s="1"/>
  <c r="L12" i="101"/>
  <c r="K26" i="101"/>
  <c r="G53" i="101" s="1"/>
  <c r="K54" i="101" s="1"/>
  <c r="L10" i="101"/>
  <c r="L26" i="101" s="1"/>
  <c r="C47" i="101"/>
  <c r="AC37" i="101"/>
  <c r="M15" i="101"/>
  <c r="M13" i="101"/>
  <c r="M11" i="101"/>
  <c r="Z75" i="100"/>
  <c r="L76" i="100"/>
  <c r="Z74" i="100"/>
  <c r="L75" i="100"/>
  <c r="AC75" i="100"/>
  <c r="AC74" i="100"/>
  <c r="L37" i="100"/>
  <c r="L14" i="100"/>
  <c r="C49" i="100"/>
  <c r="K49" i="100" s="1"/>
  <c r="C48" i="100"/>
  <c r="K48" i="100" s="1"/>
  <c r="L12" i="100"/>
  <c r="K26" i="100"/>
  <c r="G53" i="100" s="1"/>
  <c r="K54" i="100" s="1"/>
  <c r="L10" i="100"/>
  <c r="C47" i="100"/>
  <c r="AC37" i="100"/>
  <c r="M15" i="100"/>
  <c r="M13" i="100"/>
  <c r="M11" i="100"/>
  <c r="Z75" i="99"/>
  <c r="L76" i="99"/>
  <c r="Z74" i="99"/>
  <c r="L75" i="99"/>
  <c r="AC75" i="99"/>
  <c r="AC74" i="99"/>
  <c r="L37" i="99"/>
  <c r="L14" i="99"/>
  <c r="C49" i="99"/>
  <c r="K49" i="99" s="1"/>
  <c r="C48" i="99"/>
  <c r="K48" i="99" s="1"/>
  <c r="L12" i="99"/>
  <c r="K26" i="99"/>
  <c r="G53" i="99" s="1"/>
  <c r="K54" i="99" s="1"/>
  <c r="L10" i="99"/>
  <c r="L26" i="99" s="1"/>
  <c r="C47" i="99"/>
  <c r="AC37" i="99"/>
  <c r="M15" i="99"/>
  <c r="M13" i="99"/>
  <c r="M11" i="99"/>
  <c r="AC74" i="98"/>
  <c r="L76" i="98"/>
  <c r="Z75" i="98"/>
  <c r="AC75" i="98" s="1"/>
  <c r="L75" i="98"/>
  <c r="Z74" i="98"/>
  <c r="L37" i="98"/>
  <c r="L14" i="98"/>
  <c r="C49" i="98"/>
  <c r="K49" i="98" s="1"/>
  <c r="C48" i="98"/>
  <c r="K48" i="98" s="1"/>
  <c r="L12" i="98"/>
  <c r="L26" i="98" s="1"/>
  <c r="AC37" i="98"/>
  <c r="L11" i="98"/>
  <c r="K26" i="98"/>
  <c r="G53" i="98" s="1"/>
  <c r="K54" i="98" s="1"/>
  <c r="C47" i="98"/>
  <c r="M15" i="98"/>
  <c r="M13" i="98"/>
  <c r="M11" i="98"/>
  <c r="L76" i="97"/>
  <c r="Z75" i="97"/>
  <c r="L75" i="97"/>
  <c r="Z74" i="97"/>
  <c r="AC74" i="97" s="1"/>
  <c r="AC75" i="97"/>
  <c r="L37" i="97"/>
  <c r="C48" i="97"/>
  <c r="K48" i="97" s="1"/>
  <c r="L12" i="97"/>
  <c r="K26" i="97"/>
  <c r="G53" i="97" s="1"/>
  <c r="K54" i="97" s="1"/>
  <c r="L10" i="97"/>
  <c r="L26" i="97" s="1"/>
  <c r="L44" i="97" s="1"/>
  <c r="C47" i="97"/>
  <c r="X11" i="97"/>
  <c r="AB11" i="97" s="1"/>
  <c r="AC11" i="97" s="1"/>
  <c r="X15" i="97"/>
  <c r="AB15" i="97" s="1"/>
  <c r="AC15" i="97" s="1"/>
  <c r="X21" i="97"/>
  <c r="AB21" i="97" s="1"/>
  <c r="AC21" i="97" s="1"/>
  <c r="AC37" i="97"/>
  <c r="M15" i="97"/>
  <c r="M13" i="97"/>
  <c r="M11" i="97"/>
  <c r="Z75" i="96"/>
  <c r="L76" i="96"/>
  <c r="Z74" i="96"/>
  <c r="L75" i="96"/>
  <c r="AC75" i="96"/>
  <c r="AC74" i="96"/>
  <c r="L37" i="96"/>
  <c r="C48" i="96"/>
  <c r="K48" i="96" s="1"/>
  <c r="L12" i="96"/>
  <c r="K26" i="96"/>
  <c r="G53" i="96" s="1"/>
  <c r="K54" i="96" s="1"/>
  <c r="L10" i="96"/>
  <c r="AC37" i="96"/>
  <c r="M15" i="96"/>
  <c r="M13" i="96"/>
  <c r="M11" i="96"/>
  <c r="Z75" i="95"/>
  <c r="L76" i="95"/>
  <c r="Z74" i="95"/>
  <c r="L75" i="95"/>
  <c r="AC75" i="95"/>
  <c r="AC74" i="95"/>
  <c r="X11" i="95"/>
  <c r="AB11" i="95" s="1"/>
  <c r="AC11" i="95" s="1"/>
  <c r="L37" i="95"/>
  <c r="C48" i="95"/>
  <c r="K48" i="95" s="1"/>
  <c r="L12" i="95"/>
  <c r="K26" i="95"/>
  <c r="G53" i="95" s="1"/>
  <c r="K54" i="95" s="1"/>
  <c r="L10" i="95"/>
  <c r="C47" i="95"/>
  <c r="AC37" i="95"/>
  <c r="M15" i="95"/>
  <c r="M13" i="95"/>
  <c r="M11" i="95"/>
  <c r="Z75" i="94"/>
  <c r="L76" i="94"/>
  <c r="Z74" i="94"/>
  <c r="L75" i="94"/>
  <c r="AC75" i="94"/>
  <c r="AC74" i="94"/>
  <c r="X10" i="94"/>
  <c r="X11" i="94"/>
  <c r="AB11" i="94" s="1"/>
  <c r="AC11" i="94" s="1"/>
  <c r="X12" i="94"/>
  <c r="AB12" i="94" s="1"/>
  <c r="X13" i="94"/>
  <c r="AB13" i="94" s="1"/>
  <c r="AC13" i="94" s="1"/>
  <c r="X14" i="94"/>
  <c r="AB14" i="94" s="1"/>
  <c r="X15" i="94"/>
  <c r="AB15" i="94" s="1"/>
  <c r="AC15" i="94" s="1"/>
  <c r="X16" i="94"/>
  <c r="AB16" i="94" s="1"/>
  <c r="AC16" i="94" s="1"/>
  <c r="X18" i="94"/>
  <c r="AB18" i="94" s="1"/>
  <c r="AC18" i="94" s="1"/>
  <c r="X19" i="94"/>
  <c r="AB19" i="94" s="1"/>
  <c r="AC19" i="94" s="1"/>
  <c r="X21" i="94"/>
  <c r="AB21" i="94" s="1"/>
  <c r="AC21" i="94" s="1"/>
  <c r="X22" i="94"/>
  <c r="AB22" i="94" s="1"/>
  <c r="AC22" i="94" s="1"/>
  <c r="X24" i="94"/>
  <c r="AB24" i="94" s="1"/>
  <c r="AC24" i="94" s="1"/>
  <c r="X25" i="94"/>
  <c r="AB25" i="94" s="1"/>
  <c r="AC25" i="94" s="1"/>
  <c r="X17" i="94"/>
  <c r="AB17" i="94" s="1"/>
  <c r="AC17" i="94" s="1"/>
  <c r="X20" i="94"/>
  <c r="AB20" i="94" s="1"/>
  <c r="AC20" i="94" s="1"/>
  <c r="X23" i="94"/>
  <c r="AB23" i="94" s="1"/>
  <c r="AC23" i="94" s="1"/>
  <c r="L37" i="94"/>
  <c r="L14" i="94"/>
  <c r="C49" i="94"/>
  <c r="K49" i="94" s="1"/>
  <c r="C48" i="94"/>
  <c r="K48" i="94" s="1"/>
  <c r="L12" i="94"/>
  <c r="K26" i="94"/>
  <c r="G53" i="94" s="1"/>
  <c r="K54" i="94" s="1"/>
  <c r="L10" i="94"/>
  <c r="L26" i="94" s="1"/>
  <c r="L44" i="94" s="1"/>
  <c r="C47" i="94"/>
  <c r="AC37" i="94"/>
  <c r="M15" i="94"/>
  <c r="M13" i="94"/>
  <c r="M11" i="94"/>
  <c r="Z75" i="93"/>
  <c r="L76" i="93"/>
  <c r="Z74" i="93"/>
  <c r="L75" i="93"/>
  <c r="AC75" i="93"/>
  <c r="AC74" i="93"/>
  <c r="L37" i="93"/>
  <c r="C48" i="93"/>
  <c r="K48" i="93" s="1"/>
  <c r="L50" i="93" s="1"/>
  <c r="L12" i="93"/>
  <c r="K26" i="93"/>
  <c r="G53" i="93" s="1"/>
  <c r="K54" i="93" s="1"/>
  <c r="L10" i="93"/>
  <c r="AC37" i="93"/>
  <c r="M15" i="93"/>
  <c r="M13" i="93"/>
  <c r="M11" i="93"/>
  <c r="L76" i="92"/>
  <c r="L75" i="92"/>
  <c r="L37" i="92"/>
  <c r="C48" i="92"/>
  <c r="K48" i="92" s="1"/>
  <c r="L50" i="92" s="1"/>
  <c r="L12" i="92"/>
  <c r="K26" i="92"/>
  <c r="G53" i="92" s="1"/>
  <c r="K54" i="92" s="1"/>
  <c r="L10" i="92"/>
  <c r="AC37" i="92"/>
  <c r="M15" i="92"/>
  <c r="M13" i="92"/>
  <c r="M11" i="92"/>
  <c r="Z75" i="91"/>
  <c r="L76" i="91"/>
  <c r="Z74" i="91"/>
  <c r="L75" i="91"/>
  <c r="AC75" i="91"/>
  <c r="AC74" i="91"/>
  <c r="L37" i="91"/>
  <c r="C48" i="91"/>
  <c r="K48" i="91" s="1"/>
  <c r="L12" i="91"/>
  <c r="K26" i="91"/>
  <c r="G53" i="91" s="1"/>
  <c r="K54" i="91" s="1"/>
  <c r="L10" i="91"/>
  <c r="C47" i="91"/>
  <c r="AC37" i="91"/>
  <c r="M15" i="91"/>
  <c r="M13" i="91"/>
  <c r="M11" i="91"/>
  <c r="L76" i="90"/>
  <c r="Z75" i="90"/>
  <c r="L75" i="90"/>
  <c r="Z74" i="90"/>
  <c r="AC75" i="90"/>
  <c r="AC74" i="90"/>
  <c r="L37" i="90"/>
  <c r="L14" i="90"/>
  <c r="C49" i="90"/>
  <c r="K49" i="90" s="1"/>
  <c r="C48" i="90"/>
  <c r="K48" i="90" s="1"/>
  <c r="L12" i="90"/>
  <c r="K26" i="90"/>
  <c r="G53" i="90" s="1"/>
  <c r="K54" i="90" s="1"/>
  <c r="L10" i="90"/>
  <c r="L26" i="90" s="1"/>
  <c r="C47" i="90"/>
  <c r="X10" i="90"/>
  <c r="X14" i="90"/>
  <c r="AB14" i="90" s="1"/>
  <c r="X19" i="90"/>
  <c r="AB19" i="90" s="1"/>
  <c r="AC19" i="90" s="1"/>
  <c r="X25" i="90"/>
  <c r="AB25" i="90" s="1"/>
  <c r="AC25" i="90" s="1"/>
  <c r="AC37" i="90"/>
  <c r="M15" i="90"/>
  <c r="M13" i="90"/>
  <c r="M11" i="90"/>
  <c r="Z75" i="89"/>
  <c r="AC75" i="89" s="1"/>
  <c r="Z74" i="89"/>
  <c r="AC74" i="89" s="1"/>
  <c r="L37" i="89"/>
  <c r="M15" i="89"/>
  <c r="M13" i="89"/>
  <c r="M11" i="89"/>
  <c r="K26" i="89"/>
  <c r="G53" i="89" s="1"/>
  <c r="K54" i="89" s="1"/>
  <c r="AC37" i="89"/>
  <c r="G26" i="89"/>
  <c r="L12" i="89"/>
  <c r="L10" i="89"/>
  <c r="L76" i="87"/>
  <c r="Z75" i="87"/>
  <c r="L75" i="87"/>
  <c r="Z74" i="87"/>
  <c r="AC75" i="87"/>
  <c r="AC74" i="87"/>
  <c r="L37" i="87"/>
  <c r="C48" i="87"/>
  <c r="K48" i="87" s="1"/>
  <c r="L12" i="87"/>
  <c r="K26" i="87"/>
  <c r="G53" i="87" s="1"/>
  <c r="K54" i="87" s="1"/>
  <c r="L10" i="87"/>
  <c r="L26" i="87" s="1"/>
  <c r="L44" i="87" s="1"/>
  <c r="C47" i="87"/>
  <c r="X10" i="87"/>
  <c r="X11" i="87"/>
  <c r="AB11" i="87" s="1"/>
  <c r="AC11" i="87" s="1"/>
  <c r="X12" i="87"/>
  <c r="AB12" i="87" s="1"/>
  <c r="X13" i="87"/>
  <c r="AB13" i="87" s="1"/>
  <c r="AC13" i="87" s="1"/>
  <c r="X14" i="87"/>
  <c r="AB14" i="87" s="1"/>
  <c r="X15" i="87"/>
  <c r="AB15" i="87" s="1"/>
  <c r="AC15" i="87" s="1"/>
  <c r="X16" i="87"/>
  <c r="AB16" i="87" s="1"/>
  <c r="AC16" i="87" s="1"/>
  <c r="X18" i="87"/>
  <c r="AB18" i="87" s="1"/>
  <c r="AC18" i="87" s="1"/>
  <c r="X19" i="87"/>
  <c r="AB19" i="87" s="1"/>
  <c r="AC19" i="87" s="1"/>
  <c r="X21" i="87"/>
  <c r="AB21" i="87" s="1"/>
  <c r="AC21" i="87" s="1"/>
  <c r="X22" i="87"/>
  <c r="AB22" i="87" s="1"/>
  <c r="AC22" i="87" s="1"/>
  <c r="X24" i="87"/>
  <c r="AB24" i="87" s="1"/>
  <c r="AC24" i="87" s="1"/>
  <c r="X25" i="87"/>
  <c r="AB25" i="87" s="1"/>
  <c r="AC25" i="87" s="1"/>
  <c r="X17" i="87"/>
  <c r="AB17" i="87" s="1"/>
  <c r="AC17" i="87" s="1"/>
  <c r="X20" i="87"/>
  <c r="AB20" i="87" s="1"/>
  <c r="AC20" i="87" s="1"/>
  <c r="X23" i="87"/>
  <c r="AB23" i="87" s="1"/>
  <c r="AC23" i="87" s="1"/>
  <c r="AC37" i="87"/>
  <c r="M15" i="87"/>
  <c r="M13" i="87"/>
  <c r="M11" i="87"/>
  <c r="L76" i="86"/>
  <c r="L75" i="86"/>
  <c r="L37" i="86"/>
  <c r="C48" i="86"/>
  <c r="K48" i="86" s="1"/>
  <c r="L12" i="86"/>
  <c r="K26" i="86"/>
  <c r="G53" i="86" s="1"/>
  <c r="K54" i="86" s="1"/>
  <c r="L10" i="86"/>
  <c r="L26" i="86" s="1"/>
  <c r="C47" i="86"/>
  <c r="AC37" i="86"/>
  <c r="M15" i="86"/>
  <c r="M13" i="86"/>
  <c r="M11" i="86"/>
  <c r="L82" i="107" l="1"/>
  <c r="L40" i="106"/>
  <c r="L44" i="106" s="1"/>
  <c r="K84" i="106"/>
  <c r="G56" i="106"/>
  <c r="K57" i="106" s="1"/>
  <c r="G56" i="104"/>
  <c r="K57" i="104" s="1"/>
  <c r="K72" i="104" s="1"/>
  <c r="L72" i="104" s="1"/>
  <c r="L44" i="104"/>
  <c r="K84" i="104"/>
  <c r="X12" i="104" s="1"/>
  <c r="AB12" i="104" s="1"/>
  <c r="AC12" i="104" s="1"/>
  <c r="X17" i="102"/>
  <c r="AB17" i="102" s="1"/>
  <c r="AC17" i="102" s="1"/>
  <c r="X11" i="102"/>
  <c r="AB11" i="102" s="1"/>
  <c r="AC11" i="102" s="1"/>
  <c r="L40" i="102"/>
  <c r="L44" i="102" s="1"/>
  <c r="G56" i="102"/>
  <c r="K57" i="102" s="1"/>
  <c r="X24" i="102"/>
  <c r="AB24" i="102" s="1"/>
  <c r="AC24" i="102" s="1"/>
  <c r="X23" i="102"/>
  <c r="AB23" i="102" s="1"/>
  <c r="AC23" i="102" s="1"/>
  <c r="X15" i="102"/>
  <c r="AB15" i="102" s="1"/>
  <c r="AC15" i="102" s="1"/>
  <c r="L40" i="103"/>
  <c r="G56" i="103"/>
  <c r="K57" i="103" s="1"/>
  <c r="K84" i="103"/>
  <c r="X25" i="102"/>
  <c r="AB25" i="102" s="1"/>
  <c r="AC25" i="102" s="1"/>
  <c r="X19" i="102"/>
  <c r="AB19" i="102" s="1"/>
  <c r="AC19" i="102" s="1"/>
  <c r="X14" i="102"/>
  <c r="AB14" i="102" s="1"/>
  <c r="X10" i="102"/>
  <c r="AB10" i="102" s="1"/>
  <c r="X18" i="102"/>
  <c r="AB18" i="102" s="1"/>
  <c r="AC18" i="102" s="1"/>
  <c r="X13" i="102"/>
  <c r="AB13" i="102" s="1"/>
  <c r="AC13" i="102" s="1"/>
  <c r="X20" i="102"/>
  <c r="AB20" i="102" s="1"/>
  <c r="AC20" i="102" s="1"/>
  <c r="X22" i="102"/>
  <c r="AB22" i="102" s="1"/>
  <c r="AC22" i="102" s="1"/>
  <c r="X16" i="102"/>
  <c r="AB16" i="102" s="1"/>
  <c r="AC16" i="102" s="1"/>
  <c r="L40" i="101"/>
  <c r="L44" i="101" s="1"/>
  <c r="K84" i="101"/>
  <c r="G56" i="101"/>
  <c r="K57" i="101" s="1"/>
  <c r="L26" i="100"/>
  <c r="L44" i="100" s="1"/>
  <c r="K84" i="100"/>
  <c r="X10" i="100" s="1"/>
  <c r="AB10" i="100" s="1"/>
  <c r="G56" i="100"/>
  <c r="K57" i="100" s="1"/>
  <c r="L44" i="99"/>
  <c r="L40" i="99"/>
  <c r="K84" i="99"/>
  <c r="G56" i="99"/>
  <c r="K57" i="99" s="1"/>
  <c r="L44" i="98"/>
  <c r="G56" i="98"/>
  <c r="K57" i="98" s="1"/>
  <c r="K84" i="98"/>
  <c r="X17" i="97"/>
  <c r="AB17" i="97" s="1"/>
  <c r="AC17" i="97" s="1"/>
  <c r="K72" i="97"/>
  <c r="L72" i="97" s="1"/>
  <c r="X23" i="97"/>
  <c r="AB23" i="97" s="1"/>
  <c r="AC23" i="97" s="1"/>
  <c r="X24" i="97"/>
  <c r="AB24" i="97" s="1"/>
  <c r="AC24" i="97" s="1"/>
  <c r="X18" i="97"/>
  <c r="AB18" i="97" s="1"/>
  <c r="AC18" i="97" s="1"/>
  <c r="X13" i="97"/>
  <c r="AB13" i="97" s="1"/>
  <c r="AC13" i="97" s="1"/>
  <c r="X20" i="97"/>
  <c r="AB20" i="97" s="1"/>
  <c r="AC20" i="97" s="1"/>
  <c r="X22" i="97"/>
  <c r="AB22" i="97" s="1"/>
  <c r="AC22" i="97" s="1"/>
  <c r="X16" i="97"/>
  <c r="AB16" i="97" s="1"/>
  <c r="AC16" i="97" s="1"/>
  <c r="X12" i="97"/>
  <c r="AB12" i="97" s="1"/>
  <c r="AC12" i="97" s="1"/>
  <c r="X25" i="97"/>
  <c r="AB25" i="97" s="1"/>
  <c r="AC25" i="97" s="1"/>
  <c r="X19" i="97"/>
  <c r="AB19" i="97" s="1"/>
  <c r="AC19" i="97" s="1"/>
  <c r="X14" i="97"/>
  <c r="AB14" i="97" s="1"/>
  <c r="AC14" i="97" s="1"/>
  <c r="X15" i="96"/>
  <c r="AB15" i="96" s="1"/>
  <c r="AC15" i="96" s="1"/>
  <c r="X11" i="96"/>
  <c r="AB11" i="96" s="1"/>
  <c r="AC11" i="96" s="1"/>
  <c r="X17" i="96"/>
  <c r="AB17" i="96" s="1"/>
  <c r="AC17" i="96" s="1"/>
  <c r="X21" i="96"/>
  <c r="AB21" i="96" s="1"/>
  <c r="AC21" i="96" s="1"/>
  <c r="X25" i="96"/>
  <c r="AB25" i="96" s="1"/>
  <c r="AC25" i="96" s="1"/>
  <c r="X19" i="96"/>
  <c r="AB19" i="96" s="1"/>
  <c r="AC19" i="96" s="1"/>
  <c r="X14" i="96"/>
  <c r="AB14" i="96" s="1"/>
  <c r="AC14" i="96" s="1"/>
  <c r="X10" i="96"/>
  <c r="AB10" i="96" s="1"/>
  <c r="X23" i="96"/>
  <c r="AB23" i="96" s="1"/>
  <c r="AC23" i="96" s="1"/>
  <c r="X24" i="96"/>
  <c r="AB24" i="96" s="1"/>
  <c r="AC24" i="96" s="1"/>
  <c r="X18" i="96"/>
  <c r="AB18" i="96" s="1"/>
  <c r="AC18" i="96" s="1"/>
  <c r="X13" i="96"/>
  <c r="AB13" i="96" s="1"/>
  <c r="AC13" i="96" s="1"/>
  <c r="X20" i="96"/>
  <c r="AB20" i="96" s="1"/>
  <c r="AC20" i="96" s="1"/>
  <c r="X22" i="96"/>
  <c r="AB22" i="96" s="1"/>
  <c r="AC22" i="96" s="1"/>
  <c r="X16" i="96"/>
  <c r="AB16" i="96" s="1"/>
  <c r="AC16" i="96" s="1"/>
  <c r="X24" i="95"/>
  <c r="AB24" i="95" s="1"/>
  <c r="AC24" i="95" s="1"/>
  <c r="X21" i="95"/>
  <c r="AB21" i="95" s="1"/>
  <c r="AC21" i="95" s="1"/>
  <c r="L26" i="95"/>
  <c r="L44" i="95" s="1"/>
  <c r="X18" i="95"/>
  <c r="AB18" i="95" s="1"/>
  <c r="AC18" i="95" s="1"/>
  <c r="X23" i="95"/>
  <c r="AB23" i="95" s="1"/>
  <c r="AC23" i="95" s="1"/>
  <c r="X13" i="95"/>
  <c r="AB13" i="95" s="1"/>
  <c r="AC13" i="95" s="1"/>
  <c r="K72" i="95"/>
  <c r="L72" i="95" s="1"/>
  <c r="X17" i="95"/>
  <c r="AB17" i="95" s="1"/>
  <c r="AC17" i="95" s="1"/>
  <c r="X15" i="95"/>
  <c r="AB15" i="95" s="1"/>
  <c r="AC15" i="95" s="1"/>
  <c r="X20" i="95"/>
  <c r="AB20" i="95" s="1"/>
  <c r="AC20" i="95" s="1"/>
  <c r="X22" i="95"/>
  <c r="AB22" i="95" s="1"/>
  <c r="AC22" i="95" s="1"/>
  <c r="X16" i="95"/>
  <c r="AB16" i="95" s="1"/>
  <c r="AC16" i="95" s="1"/>
  <c r="X12" i="95"/>
  <c r="AB12" i="95" s="1"/>
  <c r="X25" i="95"/>
  <c r="AB25" i="95" s="1"/>
  <c r="AC25" i="95" s="1"/>
  <c r="X19" i="95"/>
  <c r="AB19" i="95" s="1"/>
  <c r="AC19" i="95" s="1"/>
  <c r="X14" i="95"/>
  <c r="AB14" i="95" s="1"/>
  <c r="AC14" i="95" s="1"/>
  <c r="L26" i="93"/>
  <c r="L44" i="93" s="1"/>
  <c r="C50" i="93"/>
  <c r="G56" i="93"/>
  <c r="K57" i="93" s="1"/>
  <c r="K69" i="93" s="1"/>
  <c r="L69" i="93" s="1"/>
  <c r="C50" i="92"/>
  <c r="K84" i="92"/>
  <c r="X17" i="92" s="1"/>
  <c r="AB17" i="92" s="1"/>
  <c r="AC17" i="92" s="1"/>
  <c r="L26" i="92"/>
  <c r="L44" i="92" s="1"/>
  <c r="X21" i="92"/>
  <c r="AB21" i="92" s="1"/>
  <c r="AC21" i="92" s="1"/>
  <c r="X15" i="92"/>
  <c r="AB15" i="92" s="1"/>
  <c r="AC15" i="92" s="1"/>
  <c r="X11" i="92"/>
  <c r="AB11" i="92" s="1"/>
  <c r="AC11" i="92" s="1"/>
  <c r="X24" i="92"/>
  <c r="AB24" i="92" s="1"/>
  <c r="AC24" i="92" s="1"/>
  <c r="X18" i="92"/>
  <c r="AB18" i="92" s="1"/>
  <c r="AC18" i="92" s="1"/>
  <c r="G56" i="92"/>
  <c r="K57" i="92" s="1"/>
  <c r="K69" i="92" s="1"/>
  <c r="L69" i="92" s="1"/>
  <c r="L26" i="91"/>
  <c r="L44" i="91" s="1"/>
  <c r="L40" i="91"/>
  <c r="K84" i="91"/>
  <c r="G56" i="91"/>
  <c r="K57" i="91" s="1"/>
  <c r="L44" i="90"/>
  <c r="X22" i="90"/>
  <c r="AB22" i="90" s="1"/>
  <c r="AC22" i="90" s="1"/>
  <c r="X12" i="90"/>
  <c r="AB12" i="90" s="1"/>
  <c r="X20" i="90"/>
  <c r="AB20" i="90" s="1"/>
  <c r="AC20" i="90" s="1"/>
  <c r="X16" i="90"/>
  <c r="AB16" i="90" s="1"/>
  <c r="AC16" i="90" s="1"/>
  <c r="X17" i="90"/>
  <c r="AB17" i="90" s="1"/>
  <c r="AC17" i="90" s="1"/>
  <c r="X21" i="90"/>
  <c r="AB21" i="90" s="1"/>
  <c r="AC21" i="90" s="1"/>
  <c r="X15" i="90"/>
  <c r="AB15" i="90" s="1"/>
  <c r="AC15" i="90" s="1"/>
  <c r="X11" i="90"/>
  <c r="AB11" i="90" s="1"/>
  <c r="AC11" i="90" s="1"/>
  <c r="X23" i="90"/>
  <c r="AB23" i="90" s="1"/>
  <c r="AC23" i="90" s="1"/>
  <c r="X24" i="90"/>
  <c r="AB24" i="90" s="1"/>
  <c r="AC24" i="90" s="1"/>
  <c r="X18" i="90"/>
  <c r="AB18" i="90" s="1"/>
  <c r="AC18" i="90" s="1"/>
  <c r="L50" i="89"/>
  <c r="C50" i="89"/>
  <c r="W49" i="107"/>
  <c r="AB49" i="107" s="1"/>
  <c r="W48" i="107"/>
  <c r="AB48" i="107" s="1"/>
  <c r="X26" i="107"/>
  <c r="X56" i="107" s="1"/>
  <c r="AB57" i="107" s="1"/>
  <c r="L44" i="86"/>
  <c r="L40" i="86"/>
  <c r="G56" i="86"/>
  <c r="K57" i="86" s="1"/>
  <c r="K84" i="86"/>
  <c r="L24" i="96"/>
  <c r="L26" i="96" s="1"/>
  <c r="L44" i="96" s="1"/>
  <c r="C49" i="96"/>
  <c r="K84" i="93"/>
  <c r="X23" i="93" s="1"/>
  <c r="AB23" i="93" s="1"/>
  <c r="AC23" i="93" s="1"/>
  <c r="K72" i="92"/>
  <c r="L72" i="92" s="1"/>
  <c r="K72" i="90"/>
  <c r="L72" i="90" s="1"/>
  <c r="K86" i="107"/>
  <c r="AC10" i="107"/>
  <c r="AC26" i="107" s="1"/>
  <c r="W47" i="107"/>
  <c r="AB26" i="107"/>
  <c r="X53" i="107" s="1"/>
  <c r="AB54" i="107" s="1"/>
  <c r="C50" i="106"/>
  <c r="K47" i="106"/>
  <c r="K59" i="106"/>
  <c r="L59" i="106" s="1"/>
  <c r="K67" i="106"/>
  <c r="L67" i="106" s="1"/>
  <c r="K71" i="106"/>
  <c r="L71" i="106" s="1"/>
  <c r="K70" i="106"/>
  <c r="L70" i="106" s="1"/>
  <c r="K77" i="106"/>
  <c r="L77" i="106" s="1"/>
  <c r="K78" i="106"/>
  <c r="L78" i="106" s="1"/>
  <c r="L50" i="106"/>
  <c r="L18" i="105"/>
  <c r="C49" i="105"/>
  <c r="K49" i="105" s="1"/>
  <c r="K47" i="105"/>
  <c r="G56" i="105"/>
  <c r="K57" i="105" s="1"/>
  <c r="K84" i="105"/>
  <c r="L17" i="105"/>
  <c r="L26" i="105" s="1"/>
  <c r="L44" i="105" s="1"/>
  <c r="K26" i="105"/>
  <c r="G53" i="105" s="1"/>
  <c r="K54" i="105" s="1"/>
  <c r="C48" i="105"/>
  <c r="K48" i="105" s="1"/>
  <c r="C50" i="104"/>
  <c r="K47" i="104"/>
  <c r="L50" i="104" s="1"/>
  <c r="K59" i="104"/>
  <c r="L59" i="104" s="1"/>
  <c r="K67" i="104"/>
  <c r="L67" i="104" s="1"/>
  <c r="K70" i="104"/>
  <c r="L70" i="104" s="1"/>
  <c r="K71" i="104"/>
  <c r="L71" i="104" s="1"/>
  <c r="K77" i="104"/>
  <c r="L77" i="104" s="1"/>
  <c r="K78" i="104"/>
  <c r="L78" i="104" s="1"/>
  <c r="C50" i="103"/>
  <c r="K47" i="103"/>
  <c r="L50" i="103" s="1"/>
  <c r="K59" i="103"/>
  <c r="L59" i="103" s="1"/>
  <c r="K67" i="103"/>
  <c r="L67" i="103" s="1"/>
  <c r="K70" i="103"/>
  <c r="L70" i="103" s="1"/>
  <c r="K71" i="103"/>
  <c r="L71" i="103" s="1"/>
  <c r="K77" i="103"/>
  <c r="L77" i="103" s="1"/>
  <c r="K78" i="103"/>
  <c r="L78" i="103" s="1"/>
  <c r="L26" i="103"/>
  <c r="C50" i="102"/>
  <c r="K47" i="102"/>
  <c r="L50" i="102" s="1"/>
  <c r="K59" i="102"/>
  <c r="L59" i="102" s="1"/>
  <c r="K67" i="102"/>
  <c r="L67" i="102" s="1"/>
  <c r="K71" i="102"/>
  <c r="L71" i="102" s="1"/>
  <c r="K77" i="102"/>
  <c r="L77" i="102" s="1"/>
  <c r="K78" i="102"/>
  <c r="L78" i="102" s="1"/>
  <c r="K70" i="102"/>
  <c r="L70" i="102" s="1"/>
  <c r="AC14" i="102"/>
  <c r="AC12" i="102"/>
  <c r="C50" i="101"/>
  <c r="K47" i="101"/>
  <c r="L50" i="101" s="1"/>
  <c r="K59" i="101"/>
  <c r="L59" i="101" s="1"/>
  <c r="K67" i="101"/>
  <c r="L67" i="101" s="1"/>
  <c r="K70" i="101"/>
  <c r="L70" i="101" s="1"/>
  <c r="K71" i="101"/>
  <c r="L71" i="101" s="1"/>
  <c r="K77" i="101"/>
  <c r="L77" i="101" s="1"/>
  <c r="K78" i="101"/>
  <c r="L78" i="101" s="1"/>
  <c r="C50" i="100"/>
  <c r="K47" i="100"/>
  <c r="L50" i="100" s="1"/>
  <c r="K59" i="100"/>
  <c r="L59" i="100" s="1"/>
  <c r="K67" i="100"/>
  <c r="L67" i="100" s="1"/>
  <c r="K70" i="100"/>
  <c r="L70" i="100" s="1"/>
  <c r="K71" i="100"/>
  <c r="L71" i="100" s="1"/>
  <c r="K77" i="100"/>
  <c r="L77" i="100" s="1"/>
  <c r="K78" i="100"/>
  <c r="L78" i="100" s="1"/>
  <c r="C50" i="99"/>
  <c r="K47" i="99"/>
  <c r="L50" i="99" s="1"/>
  <c r="K59" i="99"/>
  <c r="L59" i="99" s="1"/>
  <c r="K67" i="99"/>
  <c r="L67" i="99" s="1"/>
  <c r="K70" i="99"/>
  <c r="L70" i="99" s="1"/>
  <c r="K71" i="99"/>
  <c r="L71" i="99" s="1"/>
  <c r="K77" i="99"/>
  <c r="L77" i="99" s="1"/>
  <c r="K78" i="99"/>
  <c r="L78" i="99" s="1"/>
  <c r="C50" i="98"/>
  <c r="K47" i="98"/>
  <c r="L50" i="98" s="1"/>
  <c r="K59" i="98"/>
  <c r="L59" i="98" s="1"/>
  <c r="K67" i="98"/>
  <c r="L67" i="98" s="1"/>
  <c r="K70" i="98"/>
  <c r="L70" i="98" s="1"/>
  <c r="K71" i="98"/>
  <c r="L71" i="98" s="1"/>
  <c r="K77" i="98"/>
  <c r="L77" i="98" s="1"/>
  <c r="K78" i="98"/>
  <c r="L78" i="98" s="1"/>
  <c r="C50" i="97"/>
  <c r="K47" i="97"/>
  <c r="K59" i="97"/>
  <c r="L59" i="97" s="1"/>
  <c r="K67" i="97"/>
  <c r="L67" i="97" s="1"/>
  <c r="K71" i="97"/>
  <c r="L71" i="97" s="1"/>
  <c r="K77" i="97"/>
  <c r="L77" i="97" s="1"/>
  <c r="K78" i="97"/>
  <c r="L78" i="97" s="1"/>
  <c r="K70" i="97"/>
  <c r="L70" i="97" s="1"/>
  <c r="L50" i="97"/>
  <c r="AB10" i="97"/>
  <c r="K59" i="96"/>
  <c r="L59" i="96" s="1"/>
  <c r="K67" i="96"/>
  <c r="L67" i="96" s="1"/>
  <c r="K70" i="96"/>
  <c r="L70" i="96" s="1"/>
  <c r="K71" i="96"/>
  <c r="L71" i="96" s="1"/>
  <c r="K77" i="96"/>
  <c r="L77" i="96" s="1"/>
  <c r="K78" i="96"/>
  <c r="L78" i="96" s="1"/>
  <c r="AC12" i="96"/>
  <c r="C50" i="95"/>
  <c r="K47" i="95"/>
  <c r="L50" i="95" s="1"/>
  <c r="K59" i="95"/>
  <c r="L59" i="95" s="1"/>
  <c r="K67" i="95"/>
  <c r="L67" i="95" s="1"/>
  <c r="K70" i="95"/>
  <c r="L70" i="95" s="1"/>
  <c r="K71" i="95"/>
  <c r="L71" i="95" s="1"/>
  <c r="K77" i="95"/>
  <c r="L77" i="95" s="1"/>
  <c r="K78" i="95"/>
  <c r="L78" i="95" s="1"/>
  <c r="AC12" i="95"/>
  <c r="AB10" i="95"/>
  <c r="C50" i="94"/>
  <c r="K47" i="94"/>
  <c r="K59" i="94"/>
  <c r="L59" i="94" s="1"/>
  <c r="K67" i="94"/>
  <c r="L67" i="94" s="1"/>
  <c r="K70" i="94"/>
  <c r="L70" i="94" s="1"/>
  <c r="K71" i="94"/>
  <c r="L71" i="94" s="1"/>
  <c r="K77" i="94"/>
  <c r="L77" i="94" s="1"/>
  <c r="K78" i="94"/>
  <c r="L78" i="94" s="1"/>
  <c r="AC14" i="94"/>
  <c r="W49" i="94"/>
  <c r="AB49" i="94" s="1"/>
  <c r="AC12" i="94"/>
  <c r="W48" i="94"/>
  <c r="AB48" i="94" s="1"/>
  <c r="X26" i="94"/>
  <c r="AB10" i="94"/>
  <c r="L50" i="94"/>
  <c r="L82" i="94" s="1"/>
  <c r="K59" i="93"/>
  <c r="L59" i="93" s="1"/>
  <c r="K67" i="93"/>
  <c r="L67" i="93" s="1"/>
  <c r="K70" i="93"/>
  <c r="L70" i="93" s="1"/>
  <c r="K71" i="93"/>
  <c r="L71" i="93" s="1"/>
  <c r="K77" i="93"/>
  <c r="L77" i="93" s="1"/>
  <c r="K78" i="93"/>
  <c r="L78" i="93" s="1"/>
  <c r="K59" i="92"/>
  <c r="L59" i="92" s="1"/>
  <c r="K67" i="92"/>
  <c r="L67" i="92" s="1"/>
  <c r="K70" i="92"/>
  <c r="L70" i="92" s="1"/>
  <c r="K71" i="92"/>
  <c r="L71" i="92" s="1"/>
  <c r="K77" i="92"/>
  <c r="L77" i="92" s="1"/>
  <c r="K78" i="92"/>
  <c r="L78" i="92" s="1"/>
  <c r="C50" i="91"/>
  <c r="K47" i="91"/>
  <c r="K59" i="91"/>
  <c r="L59" i="91" s="1"/>
  <c r="K67" i="91"/>
  <c r="L67" i="91" s="1"/>
  <c r="K70" i="91"/>
  <c r="L70" i="91" s="1"/>
  <c r="K71" i="91"/>
  <c r="L71" i="91" s="1"/>
  <c r="K77" i="91"/>
  <c r="L77" i="91" s="1"/>
  <c r="K78" i="91"/>
  <c r="L78" i="91" s="1"/>
  <c r="L50" i="91"/>
  <c r="C50" i="90"/>
  <c r="K47" i="90"/>
  <c r="L50" i="90" s="1"/>
  <c r="K59" i="90"/>
  <c r="L59" i="90" s="1"/>
  <c r="K67" i="90"/>
  <c r="L67" i="90" s="1"/>
  <c r="K71" i="90"/>
  <c r="L71" i="90" s="1"/>
  <c r="K77" i="90"/>
  <c r="L77" i="90" s="1"/>
  <c r="K78" i="90"/>
  <c r="L78" i="90" s="1"/>
  <c r="K70" i="90"/>
  <c r="L70" i="90" s="1"/>
  <c r="AC14" i="90"/>
  <c r="AC12" i="90"/>
  <c r="AB10" i="90"/>
  <c r="L26" i="89"/>
  <c r="G56" i="89"/>
  <c r="K57" i="89" s="1"/>
  <c r="K84" i="89"/>
  <c r="L40" i="89"/>
  <c r="K59" i="89"/>
  <c r="L59" i="89" s="1"/>
  <c r="K67" i="89"/>
  <c r="L67" i="89" s="1"/>
  <c r="K71" i="89"/>
  <c r="L71" i="89" s="1"/>
  <c r="K77" i="89"/>
  <c r="L77" i="89" s="1"/>
  <c r="K78" i="89"/>
  <c r="L78" i="89" s="1"/>
  <c r="K70" i="89"/>
  <c r="L70" i="89" s="1"/>
  <c r="C50" i="87"/>
  <c r="K47" i="87"/>
  <c r="K59" i="87"/>
  <c r="L59" i="87" s="1"/>
  <c r="K67" i="87"/>
  <c r="L67" i="87" s="1"/>
  <c r="K71" i="87"/>
  <c r="L71" i="87" s="1"/>
  <c r="K77" i="87"/>
  <c r="L77" i="87" s="1"/>
  <c r="K78" i="87"/>
  <c r="L78" i="87" s="1"/>
  <c r="K70" i="87"/>
  <c r="L70" i="87" s="1"/>
  <c r="L50" i="87"/>
  <c r="L82" i="87" s="1"/>
  <c r="AC14" i="87"/>
  <c r="W49" i="87"/>
  <c r="AB49" i="87" s="1"/>
  <c r="AC12" i="87"/>
  <c r="W48" i="87"/>
  <c r="AB48" i="87" s="1"/>
  <c r="X26" i="87"/>
  <c r="AB10" i="87"/>
  <c r="C50" i="86"/>
  <c r="K47" i="86"/>
  <c r="K59" i="86"/>
  <c r="L59" i="86" s="1"/>
  <c r="K67" i="86"/>
  <c r="L67" i="86" s="1"/>
  <c r="K70" i="86"/>
  <c r="L70" i="86" s="1"/>
  <c r="K71" i="86"/>
  <c r="L71" i="86" s="1"/>
  <c r="K77" i="86"/>
  <c r="L77" i="86" s="1"/>
  <c r="K78" i="86"/>
  <c r="L78" i="86" s="1"/>
  <c r="L50" i="86"/>
  <c r="E31" i="85"/>
  <c r="E28" i="85"/>
  <c r="E37" i="85" s="1"/>
  <c r="M28" i="85"/>
  <c r="M27" i="85"/>
  <c r="G28" i="85"/>
  <c r="M19" i="85"/>
  <c r="B136" i="85"/>
  <c r="B135" i="85"/>
  <c r="M86" i="85"/>
  <c r="V79" i="85"/>
  <c r="V78" i="85"/>
  <c r="Y77" i="85"/>
  <c r="V77" i="85"/>
  <c r="Y76" i="85"/>
  <c r="G76" i="85"/>
  <c r="I76" i="85" s="1"/>
  <c r="AB75" i="85"/>
  <c r="G75" i="85"/>
  <c r="I75" i="85" s="1"/>
  <c r="AB74" i="85"/>
  <c r="Y71" i="85"/>
  <c r="Y70" i="85"/>
  <c r="Y69" i="85"/>
  <c r="Y68" i="85"/>
  <c r="Y66" i="85"/>
  <c r="X65" i="85"/>
  <c r="G65" i="85"/>
  <c r="X64" i="85"/>
  <c r="Y58" i="85" s="1"/>
  <c r="X61" i="85"/>
  <c r="X60" i="85"/>
  <c r="J56" i="85"/>
  <c r="AA56" i="85" s="1"/>
  <c r="AA53" i="85"/>
  <c r="Z49" i="85"/>
  <c r="X49" i="85"/>
  <c r="G49" i="85"/>
  <c r="Z48" i="85"/>
  <c r="X48" i="85"/>
  <c r="G48" i="85"/>
  <c r="Z47" i="85"/>
  <c r="G47" i="85"/>
  <c r="X40" i="85"/>
  <c r="K40" i="85"/>
  <c r="X39" i="85"/>
  <c r="AB40" i="85" s="1"/>
  <c r="X37" i="85"/>
  <c r="D37" i="85"/>
  <c r="AB36" i="85"/>
  <c r="AC36" i="85" s="1"/>
  <c r="G36" i="85"/>
  <c r="L36" i="85" s="1"/>
  <c r="AB35" i="85"/>
  <c r="AC35" i="85" s="1"/>
  <c r="G35" i="85"/>
  <c r="L35" i="85" s="1"/>
  <c r="AB34" i="85"/>
  <c r="AC34" i="85" s="1"/>
  <c r="G34" i="85"/>
  <c r="L34" i="85" s="1"/>
  <c r="AB33" i="85"/>
  <c r="AC33" i="85" s="1"/>
  <c r="G33" i="85"/>
  <c r="L33" i="85" s="1"/>
  <c r="AB32" i="85"/>
  <c r="AC32" i="85" s="1"/>
  <c r="G32" i="85"/>
  <c r="L32" i="85" s="1"/>
  <c r="AB31" i="85"/>
  <c r="AC31" i="85" s="1"/>
  <c r="G31" i="85"/>
  <c r="L31" i="85" s="1"/>
  <c r="AC30" i="85"/>
  <c r="AB30" i="85"/>
  <c r="G30" i="85"/>
  <c r="L30" i="85" s="1"/>
  <c r="AC29" i="85"/>
  <c r="AB29" i="85"/>
  <c r="G29" i="85"/>
  <c r="L29" i="85" s="1"/>
  <c r="AC28" i="85"/>
  <c r="AB28" i="85"/>
  <c r="E26" i="85"/>
  <c r="D26" i="85"/>
  <c r="L25" i="85"/>
  <c r="K25" i="85"/>
  <c r="G25" i="85"/>
  <c r="I24" i="85"/>
  <c r="K24" i="85" s="1"/>
  <c r="L24" i="85" s="1"/>
  <c r="G24" i="85"/>
  <c r="I23" i="85"/>
  <c r="G23" i="85"/>
  <c r="K23" i="85" s="1"/>
  <c r="L23" i="85" s="1"/>
  <c r="L22" i="85"/>
  <c r="K22" i="85"/>
  <c r="G22" i="85"/>
  <c r="I21" i="85"/>
  <c r="K21" i="85" s="1"/>
  <c r="L21" i="85" s="1"/>
  <c r="G21" i="85"/>
  <c r="I20" i="85"/>
  <c r="G20" i="85"/>
  <c r="K20" i="85" s="1"/>
  <c r="L20" i="85" s="1"/>
  <c r="L19" i="85"/>
  <c r="K19" i="85"/>
  <c r="G19" i="85"/>
  <c r="I18" i="85"/>
  <c r="K18" i="85" s="1"/>
  <c r="L18" i="85" s="1"/>
  <c r="G18" i="85"/>
  <c r="I17" i="85"/>
  <c r="G17" i="85"/>
  <c r="K17" i="85" s="1"/>
  <c r="L17" i="85" s="1"/>
  <c r="L16" i="85"/>
  <c r="K16" i="85"/>
  <c r="G16" i="85"/>
  <c r="K15" i="85"/>
  <c r="L15" i="85" s="1"/>
  <c r="I15" i="85"/>
  <c r="G15" i="85"/>
  <c r="M15" i="85" s="1"/>
  <c r="G14" i="85"/>
  <c r="K14" i="85" s="1"/>
  <c r="I13" i="85"/>
  <c r="G13" i="85"/>
  <c r="K13" i="85" s="1"/>
  <c r="G12" i="85"/>
  <c r="K12" i="85" s="1"/>
  <c r="L12" i="85" s="1"/>
  <c r="I11" i="85"/>
  <c r="G11" i="85"/>
  <c r="K11" i="85" s="1"/>
  <c r="L11" i="85" s="1"/>
  <c r="G10" i="85"/>
  <c r="AB7" i="85"/>
  <c r="X47" i="85" s="1"/>
  <c r="X7" i="85"/>
  <c r="V4" i="85"/>
  <c r="B3" i="85"/>
  <c r="V2" i="85"/>
  <c r="K72" i="106" l="1"/>
  <c r="L72" i="106" s="1"/>
  <c r="K69" i="106"/>
  <c r="L69" i="106" s="1"/>
  <c r="L82" i="106" s="1"/>
  <c r="X12" i="106"/>
  <c r="AB12" i="106" s="1"/>
  <c r="X16" i="106"/>
  <c r="AB16" i="106" s="1"/>
  <c r="AC16" i="106" s="1"/>
  <c r="X22" i="106"/>
  <c r="AB22" i="106" s="1"/>
  <c r="AC22" i="106" s="1"/>
  <c r="X20" i="106"/>
  <c r="AB20" i="106" s="1"/>
  <c r="AC20" i="106" s="1"/>
  <c r="X19" i="106"/>
  <c r="AB19" i="106" s="1"/>
  <c r="AC19" i="106" s="1"/>
  <c r="X11" i="106"/>
  <c r="AB11" i="106" s="1"/>
  <c r="AC11" i="106" s="1"/>
  <c r="X15" i="106"/>
  <c r="AB15" i="106" s="1"/>
  <c r="AC15" i="106" s="1"/>
  <c r="X21" i="106"/>
  <c r="AB21" i="106" s="1"/>
  <c r="AC21" i="106" s="1"/>
  <c r="X13" i="106"/>
  <c r="AB13" i="106" s="1"/>
  <c r="AC13" i="106" s="1"/>
  <c r="X18" i="106"/>
  <c r="AB18" i="106" s="1"/>
  <c r="AC18" i="106" s="1"/>
  <c r="X24" i="106"/>
  <c r="AB24" i="106" s="1"/>
  <c r="AC24" i="106" s="1"/>
  <c r="X23" i="106"/>
  <c r="AB23" i="106" s="1"/>
  <c r="AC23" i="106" s="1"/>
  <c r="X10" i="106"/>
  <c r="X14" i="106"/>
  <c r="AB14" i="106" s="1"/>
  <c r="X25" i="106"/>
  <c r="AB25" i="106" s="1"/>
  <c r="AC25" i="106" s="1"/>
  <c r="X17" i="106"/>
  <c r="AB17" i="106" s="1"/>
  <c r="AC17" i="106" s="1"/>
  <c r="K69" i="104"/>
  <c r="L69" i="104" s="1"/>
  <c r="L82" i="104" s="1"/>
  <c r="K86" i="104" s="1"/>
  <c r="L86" i="104" s="1"/>
  <c r="L87" i="104" s="1"/>
  <c r="X13" i="104"/>
  <c r="AB13" i="104" s="1"/>
  <c r="AC13" i="104" s="1"/>
  <c r="X10" i="104"/>
  <c r="AB10" i="104" s="1"/>
  <c r="AC10" i="104" s="1"/>
  <c r="X11" i="104"/>
  <c r="AB11" i="104" s="1"/>
  <c r="AC11" i="104" s="1"/>
  <c r="X22" i="104"/>
  <c r="AB22" i="104" s="1"/>
  <c r="AC22" i="104" s="1"/>
  <c r="X24" i="104"/>
  <c r="AB24" i="104" s="1"/>
  <c r="AC24" i="104" s="1"/>
  <c r="X19" i="104"/>
  <c r="AB19" i="104" s="1"/>
  <c r="AC19" i="104" s="1"/>
  <c r="X21" i="104"/>
  <c r="AB21" i="104" s="1"/>
  <c r="AC21" i="104" s="1"/>
  <c r="X20" i="104"/>
  <c r="AB20" i="104" s="1"/>
  <c r="AC20" i="104" s="1"/>
  <c r="X23" i="104"/>
  <c r="AB23" i="104" s="1"/>
  <c r="AC23" i="104" s="1"/>
  <c r="X25" i="104"/>
  <c r="AB25" i="104" s="1"/>
  <c r="AC25" i="104" s="1"/>
  <c r="X17" i="104"/>
  <c r="AB17" i="104" s="1"/>
  <c r="AC17" i="104" s="1"/>
  <c r="X16" i="104"/>
  <c r="AB16" i="104" s="1"/>
  <c r="AC16" i="104" s="1"/>
  <c r="X18" i="104"/>
  <c r="AB18" i="104" s="1"/>
  <c r="AC18" i="104" s="1"/>
  <c r="X14" i="104"/>
  <c r="AB14" i="104" s="1"/>
  <c r="X15" i="104"/>
  <c r="AB15" i="104" s="1"/>
  <c r="AC15" i="104" s="1"/>
  <c r="K69" i="102"/>
  <c r="L69" i="102" s="1"/>
  <c r="K72" i="102"/>
  <c r="L72" i="102" s="1"/>
  <c r="W49" i="102"/>
  <c r="AB49" i="102" s="1"/>
  <c r="L44" i="103"/>
  <c r="X10" i="103"/>
  <c r="X14" i="103"/>
  <c r="AB14" i="103" s="1"/>
  <c r="X19" i="103"/>
  <c r="AB19" i="103" s="1"/>
  <c r="AC19" i="103" s="1"/>
  <c r="X25" i="103"/>
  <c r="AB25" i="103" s="1"/>
  <c r="AC25" i="103" s="1"/>
  <c r="X11" i="103"/>
  <c r="AB11" i="103" s="1"/>
  <c r="AC11" i="103" s="1"/>
  <c r="X15" i="103"/>
  <c r="AB15" i="103" s="1"/>
  <c r="AC15" i="103" s="1"/>
  <c r="X21" i="103"/>
  <c r="AB21" i="103" s="1"/>
  <c r="AC21" i="103" s="1"/>
  <c r="X17" i="103"/>
  <c r="AB17" i="103" s="1"/>
  <c r="AC17" i="103" s="1"/>
  <c r="X12" i="103"/>
  <c r="AB12" i="103" s="1"/>
  <c r="X16" i="103"/>
  <c r="AB16" i="103" s="1"/>
  <c r="AC16" i="103" s="1"/>
  <c r="X22" i="103"/>
  <c r="AB22" i="103" s="1"/>
  <c r="AC22" i="103" s="1"/>
  <c r="X20" i="103"/>
  <c r="AB20" i="103" s="1"/>
  <c r="AC20" i="103" s="1"/>
  <c r="X13" i="103"/>
  <c r="AB13" i="103" s="1"/>
  <c r="AC13" i="103" s="1"/>
  <c r="X18" i="103"/>
  <c r="AB18" i="103" s="1"/>
  <c r="AC18" i="103" s="1"/>
  <c r="X24" i="103"/>
  <c r="AB24" i="103" s="1"/>
  <c r="AC24" i="103" s="1"/>
  <c r="X23" i="103"/>
  <c r="AB23" i="103" s="1"/>
  <c r="AC23" i="103" s="1"/>
  <c r="K72" i="103"/>
  <c r="L72" i="103" s="1"/>
  <c r="K69" i="103"/>
  <c r="L69" i="103" s="1"/>
  <c r="X26" i="102"/>
  <c r="X56" i="102" s="1"/>
  <c r="AB57" i="102" s="1"/>
  <c r="W48" i="102"/>
  <c r="AB48" i="102" s="1"/>
  <c r="K69" i="101"/>
  <c r="L69" i="101" s="1"/>
  <c r="K72" i="101"/>
  <c r="L72" i="101" s="1"/>
  <c r="X10" i="101"/>
  <c r="X14" i="101"/>
  <c r="AB14" i="101" s="1"/>
  <c r="X19" i="101"/>
  <c r="AB19" i="101" s="1"/>
  <c r="AC19" i="101" s="1"/>
  <c r="X25" i="101"/>
  <c r="AB25" i="101" s="1"/>
  <c r="AC25" i="101" s="1"/>
  <c r="X11" i="101"/>
  <c r="AB11" i="101" s="1"/>
  <c r="AC11" i="101" s="1"/>
  <c r="X15" i="101"/>
  <c r="AB15" i="101" s="1"/>
  <c r="AC15" i="101" s="1"/>
  <c r="X21" i="101"/>
  <c r="AB21" i="101" s="1"/>
  <c r="AC21" i="101" s="1"/>
  <c r="X17" i="101"/>
  <c r="AB17" i="101" s="1"/>
  <c r="AC17" i="101" s="1"/>
  <c r="X12" i="101"/>
  <c r="AB12" i="101" s="1"/>
  <c r="X16" i="101"/>
  <c r="AB16" i="101" s="1"/>
  <c r="AC16" i="101" s="1"/>
  <c r="X22" i="101"/>
  <c r="AB22" i="101" s="1"/>
  <c r="AC22" i="101" s="1"/>
  <c r="X20" i="101"/>
  <c r="AB20" i="101" s="1"/>
  <c r="AC20" i="101" s="1"/>
  <c r="X13" i="101"/>
  <c r="AB13" i="101" s="1"/>
  <c r="AC13" i="101" s="1"/>
  <c r="X18" i="101"/>
  <c r="AB18" i="101" s="1"/>
  <c r="AC18" i="101" s="1"/>
  <c r="X24" i="101"/>
  <c r="AB24" i="101" s="1"/>
  <c r="AC24" i="101" s="1"/>
  <c r="X23" i="101"/>
  <c r="AB23" i="101" s="1"/>
  <c r="AC23" i="101" s="1"/>
  <c r="X12" i="100"/>
  <c r="AB12" i="100" s="1"/>
  <c r="AC12" i="100" s="1"/>
  <c r="X13" i="100"/>
  <c r="AB13" i="100" s="1"/>
  <c r="AC13" i="100" s="1"/>
  <c r="X19" i="100"/>
  <c r="AB19" i="100" s="1"/>
  <c r="AC19" i="100" s="1"/>
  <c r="X21" i="100"/>
  <c r="AB21" i="100" s="1"/>
  <c r="AC21" i="100" s="1"/>
  <c r="X22" i="100"/>
  <c r="AB22" i="100" s="1"/>
  <c r="AC22" i="100" s="1"/>
  <c r="X24" i="100"/>
  <c r="AB24" i="100" s="1"/>
  <c r="AC24" i="100" s="1"/>
  <c r="X17" i="100"/>
  <c r="AB17" i="100" s="1"/>
  <c r="AC17" i="100" s="1"/>
  <c r="X20" i="100"/>
  <c r="AB20" i="100" s="1"/>
  <c r="AC20" i="100" s="1"/>
  <c r="X23" i="100"/>
  <c r="AB23" i="100" s="1"/>
  <c r="AC23" i="100" s="1"/>
  <c r="X25" i="100"/>
  <c r="AB25" i="100" s="1"/>
  <c r="AC25" i="100" s="1"/>
  <c r="X15" i="100"/>
  <c r="AB15" i="100" s="1"/>
  <c r="AC15" i="100" s="1"/>
  <c r="X16" i="100"/>
  <c r="AB16" i="100" s="1"/>
  <c r="AC16" i="100" s="1"/>
  <c r="X18" i="100"/>
  <c r="AB18" i="100" s="1"/>
  <c r="AC18" i="100" s="1"/>
  <c r="X11" i="100"/>
  <c r="AB11" i="100" s="1"/>
  <c r="AC11" i="100" s="1"/>
  <c r="X14" i="100"/>
  <c r="AB14" i="100" s="1"/>
  <c r="AC14" i="100" s="1"/>
  <c r="K69" i="100"/>
  <c r="L69" i="100" s="1"/>
  <c r="K72" i="100"/>
  <c r="L72" i="100" s="1"/>
  <c r="L82" i="100" s="1"/>
  <c r="K86" i="100" s="1"/>
  <c r="L86" i="100" s="1"/>
  <c r="L87" i="100" s="1"/>
  <c r="L90" i="100" s="1"/>
  <c r="L92" i="100" s="1"/>
  <c r="K69" i="99"/>
  <c r="L69" i="99" s="1"/>
  <c r="L82" i="99" s="1"/>
  <c r="K86" i="99" s="1"/>
  <c r="K72" i="99"/>
  <c r="L72" i="99" s="1"/>
  <c r="X13" i="99"/>
  <c r="AB13" i="99" s="1"/>
  <c r="AC13" i="99" s="1"/>
  <c r="X18" i="99"/>
  <c r="AB18" i="99" s="1"/>
  <c r="AC18" i="99" s="1"/>
  <c r="X24" i="99"/>
  <c r="AB24" i="99" s="1"/>
  <c r="AC24" i="99" s="1"/>
  <c r="X23" i="99"/>
  <c r="AB23" i="99" s="1"/>
  <c r="AC23" i="99" s="1"/>
  <c r="X10" i="99"/>
  <c r="X14" i="99"/>
  <c r="AB14" i="99" s="1"/>
  <c r="X19" i="99"/>
  <c r="AB19" i="99" s="1"/>
  <c r="AC19" i="99" s="1"/>
  <c r="X25" i="99"/>
  <c r="AB25" i="99" s="1"/>
  <c r="AC25" i="99" s="1"/>
  <c r="X16" i="99"/>
  <c r="AB16" i="99" s="1"/>
  <c r="AC16" i="99" s="1"/>
  <c r="X20" i="99"/>
  <c r="AB20" i="99" s="1"/>
  <c r="AC20" i="99" s="1"/>
  <c r="X11" i="99"/>
  <c r="AB11" i="99" s="1"/>
  <c r="AC11" i="99" s="1"/>
  <c r="X15" i="99"/>
  <c r="AB15" i="99" s="1"/>
  <c r="AC15" i="99" s="1"/>
  <c r="X21" i="99"/>
  <c r="AB21" i="99" s="1"/>
  <c r="AC21" i="99" s="1"/>
  <c r="X17" i="99"/>
  <c r="AB17" i="99" s="1"/>
  <c r="AC17" i="99" s="1"/>
  <c r="X12" i="99"/>
  <c r="AB12" i="99" s="1"/>
  <c r="X22" i="99"/>
  <c r="AB22" i="99" s="1"/>
  <c r="AC22" i="99" s="1"/>
  <c r="K69" i="98"/>
  <c r="L69" i="98" s="1"/>
  <c r="L82" i="98" s="1"/>
  <c r="K86" i="98" s="1"/>
  <c r="K72" i="98"/>
  <c r="L72" i="98" s="1"/>
  <c r="X13" i="98"/>
  <c r="AB13" i="98" s="1"/>
  <c r="AC13" i="98" s="1"/>
  <c r="X18" i="98"/>
  <c r="AB18" i="98" s="1"/>
  <c r="AC18" i="98" s="1"/>
  <c r="X24" i="98"/>
  <c r="AB24" i="98" s="1"/>
  <c r="AC24" i="98" s="1"/>
  <c r="X23" i="98"/>
  <c r="AB23" i="98" s="1"/>
  <c r="AC23" i="98" s="1"/>
  <c r="X10" i="98"/>
  <c r="X11" i="98"/>
  <c r="AB11" i="98" s="1"/>
  <c r="AC11" i="98" s="1"/>
  <c r="X15" i="98"/>
  <c r="AB15" i="98" s="1"/>
  <c r="AC15" i="98" s="1"/>
  <c r="X21" i="98"/>
  <c r="AB21" i="98" s="1"/>
  <c r="AC21" i="98" s="1"/>
  <c r="X17" i="98"/>
  <c r="AB17" i="98" s="1"/>
  <c r="AC17" i="98" s="1"/>
  <c r="X12" i="98"/>
  <c r="AB12" i="98" s="1"/>
  <c r="X16" i="98"/>
  <c r="AB16" i="98" s="1"/>
  <c r="AC16" i="98" s="1"/>
  <c r="X22" i="98"/>
  <c r="AB22" i="98" s="1"/>
  <c r="AC22" i="98" s="1"/>
  <c r="X20" i="98"/>
  <c r="AB20" i="98" s="1"/>
  <c r="AC20" i="98" s="1"/>
  <c r="X14" i="98"/>
  <c r="AB14" i="98" s="1"/>
  <c r="X19" i="98"/>
  <c r="AB19" i="98" s="1"/>
  <c r="AC19" i="98" s="1"/>
  <c r="X25" i="98"/>
  <c r="AB25" i="98" s="1"/>
  <c r="AC25" i="98" s="1"/>
  <c r="W48" i="97"/>
  <c r="AB48" i="97" s="1"/>
  <c r="W49" i="97"/>
  <c r="AB49" i="97" s="1"/>
  <c r="L82" i="97"/>
  <c r="K86" i="97" s="1"/>
  <c r="X26" i="97"/>
  <c r="X56" i="97" s="1"/>
  <c r="AB57" i="97" s="1"/>
  <c r="W48" i="96"/>
  <c r="AB48" i="96" s="1"/>
  <c r="W49" i="96"/>
  <c r="AB49" i="96" s="1"/>
  <c r="X26" i="96"/>
  <c r="X56" i="96" s="1"/>
  <c r="AB57" i="96" s="1"/>
  <c r="W49" i="95"/>
  <c r="AB49" i="95" s="1"/>
  <c r="X26" i="95"/>
  <c r="W48" i="95"/>
  <c r="AB48" i="95" s="1"/>
  <c r="L82" i="95"/>
  <c r="K72" i="93"/>
  <c r="L72" i="93" s="1"/>
  <c r="L82" i="93" s="1"/>
  <c r="K86" i="93" s="1"/>
  <c r="X15" i="93"/>
  <c r="AB15" i="93" s="1"/>
  <c r="AC15" i="93" s="1"/>
  <c r="X17" i="93"/>
  <c r="AB17" i="93" s="1"/>
  <c r="AC17" i="93" s="1"/>
  <c r="X21" i="93"/>
  <c r="AB21" i="93" s="1"/>
  <c r="AC21" i="93" s="1"/>
  <c r="X23" i="92"/>
  <c r="AB23" i="92" s="1"/>
  <c r="AC23" i="92" s="1"/>
  <c r="X13" i="92"/>
  <c r="AB13" i="92" s="1"/>
  <c r="AC13" i="92" s="1"/>
  <c r="X10" i="92"/>
  <c r="AB10" i="92" s="1"/>
  <c r="W47" i="92" s="1"/>
  <c r="X19" i="92"/>
  <c r="AB19" i="92" s="1"/>
  <c r="AC19" i="92" s="1"/>
  <c r="X12" i="92"/>
  <c r="AB12" i="92" s="1"/>
  <c r="X22" i="92"/>
  <c r="AB22" i="92" s="1"/>
  <c r="AC22" i="92" s="1"/>
  <c r="X16" i="92"/>
  <c r="AB16" i="92" s="1"/>
  <c r="AC16" i="92" s="1"/>
  <c r="X14" i="92"/>
  <c r="AB14" i="92" s="1"/>
  <c r="X25" i="92"/>
  <c r="AB25" i="92" s="1"/>
  <c r="AC25" i="92" s="1"/>
  <c r="X20" i="92"/>
  <c r="AB20" i="92" s="1"/>
  <c r="AC20" i="92" s="1"/>
  <c r="M13" i="85"/>
  <c r="K69" i="91"/>
  <c r="L69" i="91" s="1"/>
  <c r="K72" i="91"/>
  <c r="L72" i="91" s="1"/>
  <c r="X11" i="91"/>
  <c r="AB11" i="91" s="1"/>
  <c r="AC11" i="91" s="1"/>
  <c r="X15" i="91"/>
  <c r="AB15" i="91" s="1"/>
  <c r="AC15" i="91" s="1"/>
  <c r="X21" i="91"/>
  <c r="AB21" i="91" s="1"/>
  <c r="AC21" i="91" s="1"/>
  <c r="X17" i="91"/>
  <c r="AB17" i="91" s="1"/>
  <c r="AC17" i="91" s="1"/>
  <c r="X12" i="91"/>
  <c r="AB12" i="91" s="1"/>
  <c r="X16" i="91"/>
  <c r="AB16" i="91" s="1"/>
  <c r="AC16" i="91" s="1"/>
  <c r="X22" i="91"/>
  <c r="AB22" i="91" s="1"/>
  <c r="AC22" i="91" s="1"/>
  <c r="X20" i="91"/>
  <c r="AB20" i="91" s="1"/>
  <c r="AC20" i="91" s="1"/>
  <c r="X13" i="91"/>
  <c r="AB13" i="91" s="1"/>
  <c r="AC13" i="91" s="1"/>
  <c r="X18" i="91"/>
  <c r="AB18" i="91" s="1"/>
  <c r="AC18" i="91" s="1"/>
  <c r="X24" i="91"/>
  <c r="AB24" i="91" s="1"/>
  <c r="AC24" i="91" s="1"/>
  <c r="X23" i="91"/>
  <c r="AB23" i="91" s="1"/>
  <c r="AC23" i="91" s="1"/>
  <c r="X10" i="91"/>
  <c r="X14" i="91"/>
  <c r="AB14" i="91" s="1"/>
  <c r="X19" i="91"/>
  <c r="AB19" i="91" s="1"/>
  <c r="AC19" i="91" s="1"/>
  <c r="X25" i="91"/>
  <c r="AB25" i="91" s="1"/>
  <c r="AC25" i="91" s="1"/>
  <c r="L82" i="90"/>
  <c r="K86" i="90" s="1"/>
  <c r="X26" i="90"/>
  <c r="X56" i="90" s="1"/>
  <c r="AB57" i="90" s="1"/>
  <c r="W49" i="90"/>
  <c r="AB49" i="90" s="1"/>
  <c r="W48" i="90"/>
  <c r="AB48" i="90" s="1"/>
  <c r="AC40" i="107"/>
  <c r="AC44" i="107" s="1"/>
  <c r="K69" i="86"/>
  <c r="L69" i="86" s="1"/>
  <c r="L82" i="86" s="1"/>
  <c r="K86" i="86" s="1"/>
  <c r="K72" i="86"/>
  <c r="L72" i="86" s="1"/>
  <c r="X11" i="86"/>
  <c r="AB11" i="86" s="1"/>
  <c r="AC11" i="86" s="1"/>
  <c r="X15" i="86"/>
  <c r="AB15" i="86" s="1"/>
  <c r="AC15" i="86" s="1"/>
  <c r="X21" i="86"/>
  <c r="AB21" i="86" s="1"/>
  <c r="AC21" i="86" s="1"/>
  <c r="X17" i="86"/>
  <c r="AB17" i="86" s="1"/>
  <c r="AC17" i="86" s="1"/>
  <c r="X16" i="86"/>
  <c r="AB16" i="86" s="1"/>
  <c r="AC16" i="86" s="1"/>
  <c r="X13" i="86"/>
  <c r="AB13" i="86" s="1"/>
  <c r="AC13" i="86" s="1"/>
  <c r="X18" i="86"/>
  <c r="AB18" i="86" s="1"/>
  <c r="AC18" i="86" s="1"/>
  <c r="X24" i="86"/>
  <c r="AB24" i="86" s="1"/>
  <c r="AC24" i="86" s="1"/>
  <c r="X23" i="86"/>
  <c r="AB23" i="86" s="1"/>
  <c r="AC23" i="86" s="1"/>
  <c r="X10" i="86"/>
  <c r="X14" i="86"/>
  <c r="AB14" i="86" s="1"/>
  <c r="X19" i="86"/>
  <c r="AB19" i="86" s="1"/>
  <c r="AC19" i="86" s="1"/>
  <c r="X25" i="86"/>
  <c r="AB25" i="86" s="1"/>
  <c r="AC25" i="86" s="1"/>
  <c r="X12" i="86"/>
  <c r="AB12" i="86" s="1"/>
  <c r="X22" i="86"/>
  <c r="AB22" i="86" s="1"/>
  <c r="AC22" i="86" s="1"/>
  <c r="X20" i="86"/>
  <c r="AB20" i="86" s="1"/>
  <c r="AC20" i="86" s="1"/>
  <c r="K49" i="96"/>
  <c r="L50" i="96" s="1"/>
  <c r="L82" i="96" s="1"/>
  <c r="K86" i="96" s="1"/>
  <c r="L86" i="96" s="1"/>
  <c r="L87" i="96" s="1"/>
  <c r="C50" i="96"/>
  <c r="X13" i="93"/>
  <c r="AB13" i="93" s="1"/>
  <c r="AC13" i="93" s="1"/>
  <c r="X18" i="93"/>
  <c r="AB18" i="93" s="1"/>
  <c r="AC18" i="93" s="1"/>
  <c r="X24" i="93"/>
  <c r="AB24" i="93" s="1"/>
  <c r="AC24" i="93" s="1"/>
  <c r="X11" i="93"/>
  <c r="AB11" i="93" s="1"/>
  <c r="AC11" i="93" s="1"/>
  <c r="X12" i="93"/>
  <c r="AB12" i="93" s="1"/>
  <c r="X16" i="93"/>
  <c r="AB16" i="93" s="1"/>
  <c r="AC16" i="93" s="1"/>
  <c r="X22" i="93"/>
  <c r="AB22" i="93" s="1"/>
  <c r="AC22" i="93" s="1"/>
  <c r="X20" i="93"/>
  <c r="AB20" i="93" s="1"/>
  <c r="AC20" i="93" s="1"/>
  <c r="X10" i="93"/>
  <c r="AB10" i="93" s="1"/>
  <c r="AC10" i="93" s="1"/>
  <c r="X14" i="93"/>
  <c r="AB14" i="93" s="1"/>
  <c r="X19" i="93"/>
  <c r="AB19" i="93" s="1"/>
  <c r="AC19" i="93" s="1"/>
  <c r="X25" i="93"/>
  <c r="AB25" i="93" s="1"/>
  <c r="AC25" i="93" s="1"/>
  <c r="L82" i="92"/>
  <c r="W50" i="107"/>
  <c r="AB47" i="107"/>
  <c r="AC50" i="107" s="1"/>
  <c r="L86" i="107"/>
  <c r="L87" i="107" s="1"/>
  <c r="AB71" i="107"/>
  <c r="AC71" i="107" s="1"/>
  <c r="AB68" i="107"/>
  <c r="AC68" i="107" s="1"/>
  <c r="AB58" i="107"/>
  <c r="AC58" i="107" s="1"/>
  <c r="AB66" i="107"/>
  <c r="AC66" i="107" s="1"/>
  <c r="AB69" i="107"/>
  <c r="AC69" i="107" s="1"/>
  <c r="AB70" i="107"/>
  <c r="AC70" i="107" s="1"/>
  <c r="AB76" i="107"/>
  <c r="AC76" i="107" s="1"/>
  <c r="AB77" i="107"/>
  <c r="AC77" i="107" s="1"/>
  <c r="X10" i="105"/>
  <c r="X11" i="105"/>
  <c r="AB11" i="105" s="1"/>
  <c r="AC11" i="105" s="1"/>
  <c r="X12" i="105"/>
  <c r="AB12" i="105" s="1"/>
  <c r="X17" i="105"/>
  <c r="AB17" i="105" s="1"/>
  <c r="AC17" i="105" s="1"/>
  <c r="X20" i="105"/>
  <c r="AB20" i="105" s="1"/>
  <c r="AC20" i="105" s="1"/>
  <c r="X23" i="105"/>
  <c r="AB23" i="105" s="1"/>
  <c r="AC23" i="105" s="1"/>
  <c r="X15" i="105"/>
  <c r="AB15" i="105" s="1"/>
  <c r="AC15" i="105" s="1"/>
  <c r="X16" i="105"/>
  <c r="AB16" i="105" s="1"/>
  <c r="AC16" i="105" s="1"/>
  <c r="X18" i="105"/>
  <c r="AB18" i="105" s="1"/>
  <c r="AC18" i="105" s="1"/>
  <c r="X19" i="105"/>
  <c r="AB19" i="105" s="1"/>
  <c r="AC19" i="105" s="1"/>
  <c r="X21" i="105"/>
  <c r="AB21" i="105" s="1"/>
  <c r="AC21" i="105" s="1"/>
  <c r="X22" i="105"/>
  <c r="AB22" i="105" s="1"/>
  <c r="AC22" i="105" s="1"/>
  <c r="X24" i="105"/>
  <c r="AB24" i="105" s="1"/>
  <c r="AC24" i="105" s="1"/>
  <c r="X25" i="105"/>
  <c r="AB25" i="105" s="1"/>
  <c r="AC25" i="105" s="1"/>
  <c r="X13" i="105"/>
  <c r="AB13" i="105" s="1"/>
  <c r="AC13" i="105" s="1"/>
  <c r="X14" i="105"/>
  <c r="AB14" i="105" s="1"/>
  <c r="C50" i="105"/>
  <c r="L50" i="105"/>
  <c r="K71" i="105"/>
  <c r="L71" i="105" s="1"/>
  <c r="K77" i="105"/>
  <c r="L77" i="105" s="1"/>
  <c r="K78" i="105"/>
  <c r="L78" i="105" s="1"/>
  <c r="K59" i="105"/>
  <c r="L59" i="105" s="1"/>
  <c r="K67" i="105"/>
  <c r="L67" i="105" s="1"/>
  <c r="K70" i="105"/>
  <c r="L70" i="105" s="1"/>
  <c r="K69" i="105"/>
  <c r="L69" i="105" s="1"/>
  <c r="K72" i="105"/>
  <c r="L72" i="105" s="1"/>
  <c r="AC10" i="102"/>
  <c r="AC26" i="102" s="1"/>
  <c r="W47" i="102"/>
  <c r="AB26" i="102"/>
  <c r="X53" i="102" s="1"/>
  <c r="AB54" i="102" s="1"/>
  <c r="AC10" i="100"/>
  <c r="AC10" i="97"/>
  <c r="AC26" i="97" s="1"/>
  <c r="W47" i="97"/>
  <c r="AB26" i="97"/>
  <c r="X53" i="97" s="1"/>
  <c r="AB54" i="97" s="1"/>
  <c r="AC10" i="96"/>
  <c r="AC26" i="96" s="1"/>
  <c r="W47" i="96"/>
  <c r="AB26" i="96"/>
  <c r="X53" i="96" s="1"/>
  <c r="AB54" i="96" s="1"/>
  <c r="K86" i="95"/>
  <c r="L86" i="95" s="1"/>
  <c r="L87" i="95" s="1"/>
  <c r="AC10" i="95"/>
  <c r="AC26" i="95" s="1"/>
  <c r="W47" i="95"/>
  <c r="AB26" i="95"/>
  <c r="X53" i="95" s="1"/>
  <c r="AB54" i="95" s="1"/>
  <c r="X56" i="95"/>
  <c r="AB57" i="95" s="1"/>
  <c r="AC40" i="95"/>
  <c r="K86" i="94"/>
  <c r="AC10" i="94"/>
  <c r="AC26" i="94" s="1"/>
  <c r="W47" i="94"/>
  <c r="AB26" i="94"/>
  <c r="X53" i="94" s="1"/>
  <c r="AB54" i="94" s="1"/>
  <c r="X56" i="94"/>
  <c r="AB57" i="94" s="1"/>
  <c r="AC40" i="94"/>
  <c r="AC10" i="92"/>
  <c r="K86" i="92"/>
  <c r="L86" i="92" s="1"/>
  <c r="L87" i="92" s="1"/>
  <c r="AC10" i="90"/>
  <c r="AC26" i="90" s="1"/>
  <c r="W47" i="90"/>
  <c r="AB26" i="90"/>
  <c r="X53" i="90" s="1"/>
  <c r="AB54" i="90" s="1"/>
  <c r="K69" i="89"/>
  <c r="L69" i="89" s="1"/>
  <c r="K72" i="89"/>
  <c r="L72" i="89" s="1"/>
  <c r="X10" i="89"/>
  <c r="X11" i="89"/>
  <c r="AB11" i="89" s="1"/>
  <c r="AC11" i="89" s="1"/>
  <c r="X12" i="89"/>
  <c r="AB12" i="89" s="1"/>
  <c r="X13" i="89"/>
  <c r="AB13" i="89" s="1"/>
  <c r="AC13" i="89" s="1"/>
  <c r="X14" i="89"/>
  <c r="AB14" i="89" s="1"/>
  <c r="X15" i="89"/>
  <c r="AB15" i="89" s="1"/>
  <c r="AC15" i="89" s="1"/>
  <c r="X16" i="89"/>
  <c r="AB16" i="89" s="1"/>
  <c r="AC16" i="89" s="1"/>
  <c r="X18" i="89"/>
  <c r="AB18" i="89" s="1"/>
  <c r="AC18" i="89" s="1"/>
  <c r="X19" i="89"/>
  <c r="AB19" i="89" s="1"/>
  <c r="AC19" i="89" s="1"/>
  <c r="X21" i="89"/>
  <c r="AB21" i="89" s="1"/>
  <c r="AC21" i="89" s="1"/>
  <c r="X22" i="89"/>
  <c r="AB22" i="89" s="1"/>
  <c r="AC22" i="89" s="1"/>
  <c r="X24" i="89"/>
  <c r="AB24" i="89" s="1"/>
  <c r="AC24" i="89" s="1"/>
  <c r="X25" i="89"/>
  <c r="AB25" i="89" s="1"/>
  <c r="AC25" i="89" s="1"/>
  <c r="X17" i="89"/>
  <c r="AB17" i="89" s="1"/>
  <c r="AC17" i="89" s="1"/>
  <c r="X20" i="89"/>
  <c r="AB20" i="89" s="1"/>
  <c r="AC20" i="89" s="1"/>
  <c r="X23" i="89"/>
  <c r="AB23" i="89" s="1"/>
  <c r="AC23" i="89" s="1"/>
  <c r="L44" i="89"/>
  <c r="L82" i="89" s="1"/>
  <c r="K86" i="87"/>
  <c r="X56" i="87"/>
  <c r="AB57" i="87" s="1"/>
  <c r="AC40" i="87"/>
  <c r="AC10" i="87"/>
  <c r="AC26" i="87" s="1"/>
  <c r="AC44" i="87" s="1"/>
  <c r="W47" i="87"/>
  <c r="AB26" i="87"/>
  <c r="X53" i="87" s="1"/>
  <c r="AB54" i="87" s="1"/>
  <c r="G37" i="85"/>
  <c r="M11" i="85"/>
  <c r="L75" i="85"/>
  <c r="Z74" i="85"/>
  <c r="L13" i="85"/>
  <c r="C48" i="85"/>
  <c r="K48" i="85" s="1"/>
  <c r="AC37" i="85"/>
  <c r="Z75" i="85"/>
  <c r="AC75" i="85" s="1"/>
  <c r="L76" i="85"/>
  <c r="K10" i="85"/>
  <c r="G26" i="85"/>
  <c r="L14" i="85"/>
  <c r="C49" i="85"/>
  <c r="K49" i="85" s="1"/>
  <c r="AC74" i="85"/>
  <c r="L28" i="85"/>
  <c r="L37" i="85" s="1"/>
  <c r="B136" i="84"/>
  <c r="B135" i="84"/>
  <c r="M86" i="84"/>
  <c r="V79" i="84"/>
  <c r="V78" i="84"/>
  <c r="Y77" i="84"/>
  <c r="V77" i="84"/>
  <c r="Y76" i="84"/>
  <c r="G76" i="84"/>
  <c r="I76" i="84" s="1"/>
  <c r="L76" i="84" s="1"/>
  <c r="AB75" i="84"/>
  <c r="AC75" i="84" s="1"/>
  <c r="I75" i="84"/>
  <c r="L75" i="84" s="1"/>
  <c r="G75" i="84"/>
  <c r="AB74" i="84"/>
  <c r="Z74" i="84"/>
  <c r="AC74" i="84" s="1"/>
  <c r="Y71" i="84"/>
  <c r="Y70" i="84"/>
  <c r="Y69" i="84"/>
  <c r="Y68" i="84"/>
  <c r="Y66" i="84"/>
  <c r="X65" i="84"/>
  <c r="G65" i="84"/>
  <c r="X64" i="84"/>
  <c r="Y58" i="84" s="1"/>
  <c r="X61" i="84"/>
  <c r="X60" i="84"/>
  <c r="J56" i="84"/>
  <c r="AA56" i="84" s="1"/>
  <c r="AA53" i="84"/>
  <c r="Z49" i="84"/>
  <c r="G49" i="84"/>
  <c r="Z48" i="84"/>
  <c r="G48" i="84"/>
  <c r="Z47" i="84"/>
  <c r="G47" i="84"/>
  <c r="X40" i="84"/>
  <c r="K40" i="84"/>
  <c r="X39" i="84"/>
  <c r="AB40" i="84" s="1"/>
  <c r="X37" i="84"/>
  <c r="E37" i="84"/>
  <c r="D37" i="84"/>
  <c r="AC36" i="84"/>
  <c r="AB36" i="84"/>
  <c r="L36" i="84"/>
  <c r="G36" i="84"/>
  <c r="AC35" i="84"/>
  <c r="AB35" i="84"/>
  <c r="L35" i="84"/>
  <c r="G35" i="84"/>
  <c r="AC34" i="84"/>
  <c r="AB34" i="84"/>
  <c r="L34" i="84"/>
  <c r="G34" i="84"/>
  <c r="AC33" i="84"/>
  <c r="AB33" i="84"/>
  <c r="L33" i="84"/>
  <c r="G33" i="84"/>
  <c r="AC32" i="84"/>
  <c r="AB32" i="84"/>
  <c r="L32" i="84"/>
  <c r="G32" i="84"/>
  <c r="AC31" i="84"/>
  <c r="AB31" i="84"/>
  <c r="L31" i="84"/>
  <c r="G31" i="84"/>
  <c r="AC30" i="84"/>
  <c r="AB30" i="84"/>
  <c r="L30" i="84"/>
  <c r="G30" i="84"/>
  <c r="AC29" i="84"/>
  <c r="AB29" i="84"/>
  <c r="L29" i="84"/>
  <c r="G29" i="84"/>
  <c r="AC28" i="84"/>
  <c r="AC37" i="84" s="1"/>
  <c r="AB28" i="84"/>
  <c r="L28" i="84"/>
  <c r="L37" i="84" s="1"/>
  <c r="G28" i="84"/>
  <c r="G37" i="84" s="1"/>
  <c r="E26" i="84"/>
  <c r="D26" i="84"/>
  <c r="K25" i="84"/>
  <c r="L25" i="84" s="1"/>
  <c r="G25" i="84"/>
  <c r="G24" i="84"/>
  <c r="K24" i="84" s="1"/>
  <c r="L24" i="84" s="1"/>
  <c r="I23" i="84"/>
  <c r="I24" i="84" s="1"/>
  <c r="G23" i="84"/>
  <c r="K23" i="84" s="1"/>
  <c r="L23" i="84" s="1"/>
  <c r="K22" i="84"/>
  <c r="L22" i="84" s="1"/>
  <c r="G22" i="84"/>
  <c r="G21" i="84"/>
  <c r="I20" i="84"/>
  <c r="I21" i="84" s="1"/>
  <c r="G20" i="84"/>
  <c r="K20" i="84" s="1"/>
  <c r="L20" i="84" s="1"/>
  <c r="K19" i="84"/>
  <c r="L19" i="84" s="1"/>
  <c r="G19" i="84"/>
  <c r="G18" i="84"/>
  <c r="I17" i="84"/>
  <c r="I18" i="84" s="1"/>
  <c r="K18" i="84" s="1"/>
  <c r="L18" i="84" s="1"/>
  <c r="G17" i="84"/>
  <c r="K16" i="84"/>
  <c r="L16" i="84" s="1"/>
  <c r="G16" i="84"/>
  <c r="I15" i="84"/>
  <c r="G15" i="84"/>
  <c r="M15" i="84" s="1"/>
  <c r="K14" i="84"/>
  <c r="G14" i="84"/>
  <c r="I13" i="84"/>
  <c r="G13" i="84"/>
  <c r="M13" i="84" s="1"/>
  <c r="K12" i="84"/>
  <c r="G12" i="84"/>
  <c r="I11" i="84"/>
  <c r="G11" i="84"/>
  <c r="M11" i="84" s="1"/>
  <c r="K10" i="84"/>
  <c r="G10" i="84"/>
  <c r="G26" i="84" s="1"/>
  <c r="AB7" i="84"/>
  <c r="X7" i="84"/>
  <c r="V4" i="84"/>
  <c r="B3" i="84"/>
  <c r="V2" i="84"/>
  <c r="L90" i="104" l="1"/>
  <c r="L92" i="104" s="1"/>
  <c r="L90" i="96"/>
  <c r="L92" i="96" s="1"/>
  <c r="L90" i="95"/>
  <c r="L92" i="95" s="1"/>
  <c r="L90" i="92"/>
  <c r="L92" i="92" s="1"/>
  <c r="L90" i="107"/>
  <c r="L92" i="107" s="1"/>
  <c r="AB10" i="106"/>
  <c r="X26" i="106"/>
  <c r="W48" i="106"/>
  <c r="AB48" i="106" s="1"/>
  <c r="AC12" i="106"/>
  <c r="W49" i="106"/>
  <c r="AB49" i="106" s="1"/>
  <c r="AC14" i="106"/>
  <c r="AB26" i="104"/>
  <c r="X53" i="104" s="1"/>
  <c r="AB54" i="104" s="1"/>
  <c r="AB66" i="104" s="1"/>
  <c r="AC66" i="104" s="1"/>
  <c r="W48" i="104"/>
  <c r="AB48" i="104" s="1"/>
  <c r="W47" i="104"/>
  <c r="AB47" i="104" s="1"/>
  <c r="AC14" i="104"/>
  <c r="AC26" i="104" s="1"/>
  <c r="W49" i="104"/>
  <c r="AB49" i="104" s="1"/>
  <c r="X26" i="104"/>
  <c r="L82" i="102"/>
  <c r="K86" i="102" s="1"/>
  <c r="L82" i="103"/>
  <c r="K86" i="103" s="1"/>
  <c r="L86" i="103" s="1"/>
  <c r="L87" i="103" s="1"/>
  <c r="AC14" i="103"/>
  <c r="W49" i="103"/>
  <c r="AB49" i="103" s="1"/>
  <c r="AC12" i="103"/>
  <c r="W48" i="103"/>
  <c r="AB48" i="103" s="1"/>
  <c r="X26" i="103"/>
  <c r="AB10" i="103"/>
  <c r="AC40" i="102"/>
  <c r="AC44" i="102" s="1"/>
  <c r="L82" i="101"/>
  <c r="K86" i="101" s="1"/>
  <c r="L86" i="101" s="1"/>
  <c r="L87" i="101" s="1"/>
  <c r="AC14" i="101"/>
  <c r="W49" i="101"/>
  <c r="AB49" i="101" s="1"/>
  <c r="W48" i="101"/>
  <c r="AB48" i="101" s="1"/>
  <c r="AC12" i="101"/>
  <c r="X26" i="101"/>
  <c r="AB10" i="101"/>
  <c r="W49" i="100"/>
  <c r="AB49" i="100" s="1"/>
  <c r="AC26" i="100"/>
  <c r="AB26" i="100"/>
  <c r="X53" i="100" s="1"/>
  <c r="AB54" i="100" s="1"/>
  <c r="AB69" i="100" s="1"/>
  <c r="AC69" i="100" s="1"/>
  <c r="W48" i="100"/>
  <c r="AB48" i="100" s="1"/>
  <c r="W47" i="100"/>
  <c r="W50" i="100" s="1"/>
  <c r="X26" i="100"/>
  <c r="AC40" i="100" s="1"/>
  <c r="X56" i="100"/>
  <c r="AB57" i="100" s="1"/>
  <c r="AB71" i="100" s="1"/>
  <c r="AC71" i="100" s="1"/>
  <c r="AC12" i="99"/>
  <c r="W48" i="99"/>
  <c r="AB48" i="99" s="1"/>
  <c r="AC14" i="99"/>
  <c r="W49" i="99"/>
  <c r="AB49" i="99" s="1"/>
  <c r="X26" i="99"/>
  <c r="AB10" i="99"/>
  <c r="W49" i="98"/>
  <c r="AB49" i="98" s="1"/>
  <c r="AC14" i="98"/>
  <c r="AC12" i="98"/>
  <c r="W48" i="98"/>
  <c r="AB48" i="98" s="1"/>
  <c r="AB10" i="98"/>
  <c r="X26" i="98"/>
  <c r="AC40" i="97"/>
  <c r="AC44" i="97" s="1"/>
  <c r="AC40" i="96"/>
  <c r="AC44" i="96" s="1"/>
  <c r="AB26" i="93"/>
  <c r="X53" i="93" s="1"/>
  <c r="AB54" i="93" s="1"/>
  <c r="AB70" i="93" s="1"/>
  <c r="AC70" i="93" s="1"/>
  <c r="W47" i="93"/>
  <c r="X26" i="93"/>
  <c r="AC26" i="92"/>
  <c r="AC12" i="92"/>
  <c r="W48" i="92"/>
  <c r="AB48" i="92" s="1"/>
  <c r="AC14" i="92"/>
  <c r="W49" i="92"/>
  <c r="AB49" i="92" s="1"/>
  <c r="AB26" i="92"/>
  <c r="X53" i="92" s="1"/>
  <c r="AB54" i="92" s="1"/>
  <c r="X26" i="92"/>
  <c r="X56" i="92" s="1"/>
  <c r="AB57" i="92" s="1"/>
  <c r="AB68" i="92" s="1"/>
  <c r="AC68" i="92" s="1"/>
  <c r="L82" i="91"/>
  <c r="K86" i="91" s="1"/>
  <c r="L86" i="91" s="1"/>
  <c r="L87" i="91" s="1"/>
  <c r="L90" i="91" s="1"/>
  <c r="L92" i="91" s="1"/>
  <c r="AC14" i="91"/>
  <c r="W49" i="91"/>
  <c r="AB49" i="91" s="1"/>
  <c r="X26" i="91"/>
  <c r="AB10" i="91"/>
  <c r="AC12" i="91"/>
  <c r="W48" i="91"/>
  <c r="AB48" i="91" s="1"/>
  <c r="AC40" i="90"/>
  <c r="AC44" i="90" s="1"/>
  <c r="AC12" i="86"/>
  <c r="W48" i="86"/>
  <c r="AB48" i="86" s="1"/>
  <c r="X26" i="86"/>
  <c r="AB10" i="86"/>
  <c r="AC14" i="86"/>
  <c r="W49" i="86"/>
  <c r="AB49" i="86" s="1"/>
  <c r="L82" i="105"/>
  <c r="K86" i="105" s="1"/>
  <c r="L86" i="105" s="1"/>
  <c r="L87" i="105" s="1"/>
  <c r="L90" i="105" s="1"/>
  <c r="L92" i="105" s="1"/>
  <c r="W49" i="93"/>
  <c r="AB49" i="93" s="1"/>
  <c r="AC14" i="93"/>
  <c r="W48" i="93"/>
  <c r="AB48" i="93" s="1"/>
  <c r="AC12" i="93"/>
  <c r="AC81" i="107"/>
  <c r="L84" i="107" s="1"/>
  <c r="L94" i="107"/>
  <c r="AC14" i="105"/>
  <c r="W49" i="105"/>
  <c r="AB49" i="105" s="1"/>
  <c r="AC12" i="105"/>
  <c r="W48" i="105"/>
  <c r="AB48" i="105" s="1"/>
  <c r="AB10" i="105"/>
  <c r="X26" i="105"/>
  <c r="W50" i="102"/>
  <c r="AB47" i="102"/>
  <c r="AC50" i="102" s="1"/>
  <c r="AB68" i="102"/>
  <c r="AC68" i="102" s="1"/>
  <c r="AB71" i="102"/>
  <c r="AC71" i="102" s="1"/>
  <c r="AB58" i="102"/>
  <c r="AC58" i="102" s="1"/>
  <c r="AB66" i="102"/>
  <c r="AC66" i="102" s="1"/>
  <c r="AB70" i="102"/>
  <c r="AC70" i="102" s="1"/>
  <c r="AB76" i="102"/>
  <c r="AC76" i="102" s="1"/>
  <c r="AB77" i="102"/>
  <c r="AC77" i="102" s="1"/>
  <c r="AB69" i="102"/>
  <c r="AC69" i="102" s="1"/>
  <c r="L86" i="102"/>
  <c r="L87" i="102" s="1"/>
  <c r="AB66" i="100"/>
  <c r="AC66" i="100" s="1"/>
  <c r="AB77" i="100"/>
  <c r="AC77" i="100" s="1"/>
  <c r="AC44" i="100"/>
  <c r="L86" i="99"/>
  <c r="L87" i="99" s="1"/>
  <c r="L90" i="99" s="1"/>
  <c r="L92" i="99" s="1"/>
  <c r="L86" i="98"/>
  <c r="L87" i="98" s="1"/>
  <c r="L90" i="98" s="1"/>
  <c r="L92" i="98" s="1"/>
  <c r="W50" i="97"/>
  <c r="AB47" i="97"/>
  <c r="AC50" i="97" s="1"/>
  <c r="AB58" i="97"/>
  <c r="AC58" i="97" s="1"/>
  <c r="AB66" i="97"/>
  <c r="AC66" i="97" s="1"/>
  <c r="AB70" i="97"/>
  <c r="AC70" i="97" s="1"/>
  <c r="AB76" i="97"/>
  <c r="AC76" i="97" s="1"/>
  <c r="AB77" i="97"/>
  <c r="AC77" i="97" s="1"/>
  <c r="AB69" i="97"/>
  <c r="AC69" i="97" s="1"/>
  <c r="AB68" i="97"/>
  <c r="AC68" i="97" s="1"/>
  <c r="AB71" i="97"/>
  <c r="AC71" i="97" s="1"/>
  <c r="L86" i="97"/>
  <c r="L87" i="97" s="1"/>
  <c r="W50" i="96"/>
  <c r="AB47" i="96"/>
  <c r="AC50" i="96" s="1"/>
  <c r="AB58" i="96"/>
  <c r="AC58" i="96" s="1"/>
  <c r="AB66" i="96"/>
  <c r="AC66" i="96" s="1"/>
  <c r="AB69" i="96"/>
  <c r="AC69" i="96" s="1"/>
  <c r="AB70" i="96"/>
  <c r="AC70" i="96" s="1"/>
  <c r="AB76" i="96"/>
  <c r="AC76" i="96" s="1"/>
  <c r="AB77" i="96"/>
  <c r="AC77" i="96" s="1"/>
  <c r="AB71" i="96"/>
  <c r="AC71" i="96" s="1"/>
  <c r="AB68" i="96"/>
  <c r="AC68" i="96" s="1"/>
  <c r="W50" i="95"/>
  <c r="AB47" i="95"/>
  <c r="AC50" i="95" s="1"/>
  <c r="AB71" i="95"/>
  <c r="AC71" i="95" s="1"/>
  <c r="AB68" i="95"/>
  <c r="AC68" i="95" s="1"/>
  <c r="AB58" i="95"/>
  <c r="AC58" i="95" s="1"/>
  <c r="AB66" i="95"/>
  <c r="AC66" i="95" s="1"/>
  <c r="AB69" i="95"/>
  <c r="AC69" i="95" s="1"/>
  <c r="AB70" i="95"/>
  <c r="AC70" i="95" s="1"/>
  <c r="AB76" i="95"/>
  <c r="AC76" i="95" s="1"/>
  <c r="AB77" i="95"/>
  <c r="AC77" i="95" s="1"/>
  <c r="AC44" i="95"/>
  <c r="W50" i="94"/>
  <c r="AB47" i="94"/>
  <c r="AC50" i="94" s="1"/>
  <c r="L86" i="94"/>
  <c r="L87" i="94" s="1"/>
  <c r="L90" i="94" s="1"/>
  <c r="L92" i="94" s="1"/>
  <c r="AB71" i="94"/>
  <c r="AC71" i="94" s="1"/>
  <c r="AB68" i="94"/>
  <c r="AC68" i="94" s="1"/>
  <c r="AB58" i="94"/>
  <c r="AC58" i="94" s="1"/>
  <c r="AB66" i="94"/>
  <c r="AC66" i="94" s="1"/>
  <c r="AB69" i="94"/>
  <c r="AC69" i="94" s="1"/>
  <c r="AB70" i="94"/>
  <c r="AC70" i="94" s="1"/>
  <c r="AB76" i="94"/>
  <c r="AC76" i="94" s="1"/>
  <c r="AB77" i="94"/>
  <c r="AC77" i="94" s="1"/>
  <c r="AC44" i="94"/>
  <c r="L86" i="93"/>
  <c r="L87" i="93" s="1"/>
  <c r="L90" i="93" s="1"/>
  <c r="L92" i="93" s="1"/>
  <c r="W50" i="93"/>
  <c r="AB47" i="93"/>
  <c r="AC50" i="93" s="1"/>
  <c r="W50" i="92"/>
  <c r="AB47" i="92"/>
  <c r="AB71" i="92"/>
  <c r="AC71" i="92" s="1"/>
  <c r="AB58" i="92"/>
  <c r="AC58" i="92" s="1"/>
  <c r="AB66" i="92"/>
  <c r="AC66" i="92" s="1"/>
  <c r="AB69" i="92"/>
  <c r="AC69" i="92" s="1"/>
  <c r="AB70" i="92"/>
  <c r="AC70" i="92" s="1"/>
  <c r="AB76" i="92"/>
  <c r="AC76" i="92" s="1"/>
  <c r="AB77" i="92"/>
  <c r="AC77" i="92" s="1"/>
  <c r="W50" i="90"/>
  <c r="AB47" i="90"/>
  <c r="AC50" i="90" s="1"/>
  <c r="AB68" i="90"/>
  <c r="AC68" i="90" s="1"/>
  <c r="AB71" i="90"/>
  <c r="AC71" i="90" s="1"/>
  <c r="AB58" i="90"/>
  <c r="AC58" i="90" s="1"/>
  <c r="AB66" i="90"/>
  <c r="AC66" i="90" s="1"/>
  <c r="AB70" i="90"/>
  <c r="AC70" i="90" s="1"/>
  <c r="AB76" i="90"/>
  <c r="AC76" i="90" s="1"/>
  <c r="AB77" i="90"/>
  <c r="AC77" i="90" s="1"/>
  <c r="AB69" i="90"/>
  <c r="AC69" i="90" s="1"/>
  <c r="L86" i="90"/>
  <c r="L87" i="90" s="1"/>
  <c r="L90" i="90" s="1"/>
  <c r="L92" i="90" s="1"/>
  <c r="K86" i="89"/>
  <c r="AC14" i="89"/>
  <c r="W49" i="89"/>
  <c r="AB49" i="89" s="1"/>
  <c r="AC12" i="89"/>
  <c r="W48" i="89"/>
  <c r="AB48" i="89" s="1"/>
  <c r="X26" i="89"/>
  <c r="AB10" i="89"/>
  <c r="W50" i="87"/>
  <c r="AB47" i="87"/>
  <c r="AC50" i="87" s="1"/>
  <c r="AB58" i="87"/>
  <c r="AC58" i="87" s="1"/>
  <c r="AB66" i="87"/>
  <c r="AC66" i="87" s="1"/>
  <c r="AB70" i="87"/>
  <c r="AC70" i="87" s="1"/>
  <c r="AB76" i="87"/>
  <c r="AC76" i="87" s="1"/>
  <c r="AB77" i="87"/>
  <c r="AC77" i="87" s="1"/>
  <c r="AB69" i="87"/>
  <c r="AC69" i="87" s="1"/>
  <c r="AB68" i="87"/>
  <c r="AC68" i="87" s="1"/>
  <c r="AB71" i="87"/>
  <c r="AC71" i="87" s="1"/>
  <c r="AC81" i="87" s="1"/>
  <c r="L84" i="87" s="1"/>
  <c r="L86" i="87"/>
  <c r="L87" i="87" s="1"/>
  <c r="L90" i="87" s="1"/>
  <c r="L92" i="87" s="1"/>
  <c r="L86" i="86"/>
  <c r="L87" i="86" s="1"/>
  <c r="L90" i="86" s="1"/>
  <c r="L92" i="86" s="1"/>
  <c r="K26" i="85"/>
  <c r="G53" i="85" s="1"/>
  <c r="K54" i="85" s="1"/>
  <c r="C47" i="85"/>
  <c r="L10" i="85"/>
  <c r="L26" i="85" s="1"/>
  <c r="G56" i="85"/>
  <c r="K57" i="85" s="1"/>
  <c r="L40" i="85"/>
  <c r="K84" i="85"/>
  <c r="X49" i="84"/>
  <c r="X47" i="84"/>
  <c r="X48" i="84"/>
  <c r="L12" i="84"/>
  <c r="G56" i="84"/>
  <c r="K57" i="84" s="1"/>
  <c r="K84" i="84"/>
  <c r="L10" i="84"/>
  <c r="K11" i="84"/>
  <c r="L11" i="84" s="1"/>
  <c r="L14" i="84"/>
  <c r="K17" i="84"/>
  <c r="L17" i="84" s="1"/>
  <c r="K21" i="84"/>
  <c r="L21" i="84" s="1"/>
  <c r="L40" i="84"/>
  <c r="K13" i="84"/>
  <c r="L13" i="84" s="1"/>
  <c r="K15" i="84"/>
  <c r="L15" i="84" s="1"/>
  <c r="B136" i="83"/>
  <c r="B135" i="83"/>
  <c r="M86" i="83"/>
  <c r="V79" i="83"/>
  <c r="V78" i="83"/>
  <c r="Y77" i="83"/>
  <c r="V77" i="83"/>
  <c r="Y76" i="83"/>
  <c r="G76" i="83"/>
  <c r="I76" i="83" s="1"/>
  <c r="L76" i="83" s="1"/>
  <c r="AB75" i="83"/>
  <c r="AC75" i="83" s="1"/>
  <c r="I75" i="83"/>
  <c r="L75" i="83" s="1"/>
  <c r="G75" i="83"/>
  <c r="AB74" i="83"/>
  <c r="Z74" i="83"/>
  <c r="AC74" i="83" s="1"/>
  <c r="Y71" i="83"/>
  <c r="Y70" i="83"/>
  <c r="Y69" i="83"/>
  <c r="Y68" i="83"/>
  <c r="Y66" i="83"/>
  <c r="X65" i="83"/>
  <c r="G65" i="83"/>
  <c r="X64" i="83"/>
  <c r="X61" i="83"/>
  <c r="X60" i="83"/>
  <c r="Y58" i="83"/>
  <c r="J56" i="83"/>
  <c r="AA56" i="83" s="1"/>
  <c r="AA53" i="83"/>
  <c r="Z49" i="83"/>
  <c r="G49" i="83"/>
  <c r="Z48" i="83"/>
  <c r="G48" i="83"/>
  <c r="Z47" i="83"/>
  <c r="G47" i="83"/>
  <c r="X40" i="83"/>
  <c r="K40" i="83"/>
  <c r="X39" i="83"/>
  <c r="AB40" i="83" s="1"/>
  <c r="X37" i="83"/>
  <c r="E37" i="83"/>
  <c r="D37" i="83"/>
  <c r="AC36" i="83"/>
  <c r="AB36" i="83"/>
  <c r="L36" i="83"/>
  <c r="G36" i="83"/>
  <c r="AC35" i="83"/>
  <c r="AB35" i="83"/>
  <c r="L35" i="83"/>
  <c r="G35" i="83"/>
  <c r="AC34" i="83"/>
  <c r="AB34" i="83"/>
  <c r="L34" i="83"/>
  <c r="G34" i="83"/>
  <c r="AC33" i="83"/>
  <c r="AB33" i="83"/>
  <c r="L33" i="83"/>
  <c r="G33" i="83"/>
  <c r="AC32" i="83"/>
  <c r="AB32" i="83"/>
  <c r="L32" i="83"/>
  <c r="G32" i="83"/>
  <c r="AC31" i="83"/>
  <c r="AB31" i="83"/>
  <c r="G31" i="83"/>
  <c r="L31" i="83" s="1"/>
  <c r="AC30" i="83"/>
  <c r="AB30" i="83"/>
  <c r="L30" i="83"/>
  <c r="G30" i="83"/>
  <c r="AC29" i="83"/>
  <c r="AB29" i="83"/>
  <c r="L29" i="83"/>
  <c r="G29" i="83"/>
  <c r="AC28" i="83"/>
  <c r="AC37" i="83" s="1"/>
  <c r="AB28" i="83"/>
  <c r="G28" i="83"/>
  <c r="G37" i="83" s="1"/>
  <c r="E26" i="83"/>
  <c r="D26" i="83"/>
  <c r="K25" i="83"/>
  <c r="L25" i="83" s="1"/>
  <c r="G25" i="83"/>
  <c r="G24" i="83"/>
  <c r="I23" i="83"/>
  <c r="I24" i="83" s="1"/>
  <c r="G23" i="83"/>
  <c r="K23" i="83" s="1"/>
  <c r="L23" i="83" s="1"/>
  <c r="G22" i="83"/>
  <c r="K22" i="83" s="1"/>
  <c r="L22" i="83" s="1"/>
  <c r="G21" i="83"/>
  <c r="K21" i="83" s="1"/>
  <c r="L21" i="83" s="1"/>
  <c r="I20" i="83"/>
  <c r="I21" i="83" s="1"/>
  <c r="G20" i="83"/>
  <c r="K20" i="83" s="1"/>
  <c r="L20" i="83" s="1"/>
  <c r="G19" i="83"/>
  <c r="K19" i="83" s="1"/>
  <c r="L19" i="83" s="1"/>
  <c r="G18" i="83"/>
  <c r="K18" i="83" s="1"/>
  <c r="L18" i="83" s="1"/>
  <c r="I17" i="83"/>
  <c r="I18" i="83" s="1"/>
  <c r="G17" i="83"/>
  <c r="K17" i="83" s="1"/>
  <c r="L17" i="83" s="1"/>
  <c r="G16" i="83"/>
  <c r="K16" i="83" s="1"/>
  <c r="L16" i="83" s="1"/>
  <c r="I15" i="83"/>
  <c r="G15" i="83"/>
  <c r="M15" i="83" s="1"/>
  <c r="G14" i="83"/>
  <c r="K14" i="83" s="1"/>
  <c r="I13" i="83"/>
  <c r="G13" i="83"/>
  <c r="M13" i="83" s="1"/>
  <c r="G12" i="83"/>
  <c r="K12" i="83" s="1"/>
  <c r="I11" i="83"/>
  <c r="G11" i="83"/>
  <c r="M11" i="83" s="1"/>
  <c r="G10" i="83"/>
  <c r="K10" i="83" s="1"/>
  <c r="AB7" i="83"/>
  <c r="X7" i="83"/>
  <c r="V4" i="83"/>
  <c r="B3" i="83"/>
  <c r="V2" i="83"/>
  <c r="B136" i="82"/>
  <c r="B135" i="82"/>
  <c r="M86" i="82"/>
  <c r="V79" i="82"/>
  <c r="V78" i="82"/>
  <c r="Y77" i="82"/>
  <c r="V77" i="82"/>
  <c r="Y76" i="82"/>
  <c r="I76" i="82"/>
  <c r="L76" i="82" s="1"/>
  <c r="G76" i="82"/>
  <c r="AC75" i="82"/>
  <c r="AB75" i="82"/>
  <c r="L75" i="82"/>
  <c r="G75" i="82"/>
  <c r="I75" i="82" s="1"/>
  <c r="Z74" i="82" s="1"/>
  <c r="AB74" i="82"/>
  <c r="AC74" i="82" s="1"/>
  <c r="Y71" i="82"/>
  <c r="Y70" i="82"/>
  <c r="Y69" i="82"/>
  <c r="Y68" i="82"/>
  <c r="Y66" i="82"/>
  <c r="X65" i="82"/>
  <c r="G65" i="82"/>
  <c r="X64" i="82" s="1"/>
  <c r="X61" i="82"/>
  <c r="X60" i="82"/>
  <c r="Y58" i="82"/>
  <c r="J56" i="82"/>
  <c r="AA56" i="82" s="1"/>
  <c r="AA53" i="82"/>
  <c r="Z49" i="82"/>
  <c r="X49" i="82"/>
  <c r="G49" i="82"/>
  <c r="Z48" i="82"/>
  <c r="G48" i="82"/>
  <c r="Z47" i="82"/>
  <c r="G47" i="82"/>
  <c r="X40" i="82"/>
  <c r="K40" i="82"/>
  <c r="X39" i="82"/>
  <c r="AB40" i="82" s="1"/>
  <c r="X37" i="82"/>
  <c r="E37" i="82"/>
  <c r="D37" i="82"/>
  <c r="AB36" i="82"/>
  <c r="AC36" i="82" s="1"/>
  <c r="G36" i="82"/>
  <c r="L36" i="82" s="1"/>
  <c r="AB35" i="82"/>
  <c r="AC35" i="82" s="1"/>
  <c r="G35" i="82"/>
  <c r="L35" i="82" s="1"/>
  <c r="AB34" i="82"/>
  <c r="AC34" i="82" s="1"/>
  <c r="G34" i="82"/>
  <c r="L34" i="82" s="1"/>
  <c r="AB33" i="82"/>
  <c r="AC33" i="82" s="1"/>
  <c r="G33" i="82"/>
  <c r="L33" i="82" s="1"/>
  <c r="AB32" i="82"/>
  <c r="AC32" i="82" s="1"/>
  <c r="G32" i="82"/>
  <c r="L32" i="82" s="1"/>
  <c r="AB31" i="82"/>
  <c r="AC31" i="82" s="1"/>
  <c r="G31" i="82"/>
  <c r="L31" i="82" s="1"/>
  <c r="AB30" i="82"/>
  <c r="AC30" i="82" s="1"/>
  <c r="G30" i="82"/>
  <c r="L30" i="82" s="1"/>
  <c r="AB29" i="82"/>
  <c r="AC29" i="82" s="1"/>
  <c r="G29" i="82"/>
  <c r="L29" i="82" s="1"/>
  <c r="AB28" i="82"/>
  <c r="AC28" i="82" s="1"/>
  <c r="AC37" i="82" s="1"/>
  <c r="G28" i="82"/>
  <c r="L28" i="82" s="1"/>
  <c r="L37" i="82" s="1"/>
  <c r="E26" i="82"/>
  <c r="D26" i="82"/>
  <c r="G25" i="82"/>
  <c r="K25" i="82" s="1"/>
  <c r="L25" i="82" s="1"/>
  <c r="I24" i="82"/>
  <c r="G24" i="82"/>
  <c r="K24" i="82" s="1"/>
  <c r="L24" i="82" s="1"/>
  <c r="I23" i="82"/>
  <c r="G23" i="82"/>
  <c r="K23" i="82" s="1"/>
  <c r="L23" i="82" s="1"/>
  <c r="G22" i="82"/>
  <c r="K22" i="82" s="1"/>
  <c r="L22" i="82" s="1"/>
  <c r="I21" i="82"/>
  <c r="G21" i="82"/>
  <c r="K21" i="82" s="1"/>
  <c r="L21" i="82" s="1"/>
  <c r="I20" i="82"/>
  <c r="G20" i="82"/>
  <c r="K20" i="82" s="1"/>
  <c r="L20" i="82" s="1"/>
  <c r="G19" i="82"/>
  <c r="K19" i="82" s="1"/>
  <c r="L19" i="82" s="1"/>
  <c r="G18" i="82"/>
  <c r="I17" i="82"/>
  <c r="I18" i="82" s="1"/>
  <c r="G17" i="82"/>
  <c r="K17" i="82" s="1"/>
  <c r="L17" i="82" s="1"/>
  <c r="G16" i="82"/>
  <c r="K16" i="82" s="1"/>
  <c r="L16" i="82" s="1"/>
  <c r="I15" i="82"/>
  <c r="G15" i="82"/>
  <c r="M15" i="82" s="1"/>
  <c r="G14" i="82"/>
  <c r="K14" i="82" s="1"/>
  <c r="I13" i="82"/>
  <c r="G13" i="82"/>
  <c r="M13" i="82" s="1"/>
  <c r="G12" i="82"/>
  <c r="K12" i="82" s="1"/>
  <c r="I11" i="82"/>
  <c r="G11" i="82"/>
  <c r="M11" i="82" s="1"/>
  <c r="G10" i="82"/>
  <c r="AB7" i="82"/>
  <c r="X48" i="82" s="1"/>
  <c r="X7" i="82"/>
  <c r="V4" i="82"/>
  <c r="B3" i="82"/>
  <c r="V2" i="82"/>
  <c r="L90" i="103" l="1"/>
  <c r="L92" i="103" s="1"/>
  <c r="L90" i="102"/>
  <c r="L92" i="102" s="1"/>
  <c r="L90" i="101"/>
  <c r="L92" i="101" s="1"/>
  <c r="L90" i="97"/>
  <c r="L92" i="97" s="1"/>
  <c r="L28" i="83"/>
  <c r="L37" i="83" s="1"/>
  <c r="X56" i="106"/>
  <c r="AB57" i="106" s="1"/>
  <c r="AC40" i="106"/>
  <c r="W47" i="106"/>
  <c r="AB26" i="106"/>
  <c r="X53" i="106" s="1"/>
  <c r="AB54" i="106" s="1"/>
  <c r="AC10" i="106"/>
  <c r="AC26" i="106" s="1"/>
  <c r="AC44" i="106" s="1"/>
  <c r="AC50" i="104"/>
  <c r="AB76" i="104"/>
  <c r="AC76" i="104" s="1"/>
  <c r="AB58" i="104"/>
  <c r="AC58" i="104" s="1"/>
  <c r="AB70" i="104"/>
  <c r="AC70" i="104" s="1"/>
  <c r="AB69" i="104"/>
  <c r="AC69" i="104" s="1"/>
  <c r="AB77" i="104"/>
  <c r="AC77" i="104" s="1"/>
  <c r="X56" i="104"/>
  <c r="AB57" i="104" s="1"/>
  <c r="AC40" i="104"/>
  <c r="AC44" i="104" s="1"/>
  <c r="W50" i="104"/>
  <c r="L94" i="103"/>
  <c r="AC10" i="103"/>
  <c r="AC26" i="103" s="1"/>
  <c r="W47" i="103"/>
  <c r="AB26" i="103"/>
  <c r="X53" i="103" s="1"/>
  <c r="AB54" i="103" s="1"/>
  <c r="X56" i="103"/>
  <c r="AB57" i="103" s="1"/>
  <c r="AC40" i="103"/>
  <c r="AC81" i="102"/>
  <c r="L84" i="102" s="1"/>
  <c r="AC40" i="101"/>
  <c r="X56" i="101"/>
  <c r="AB57" i="101" s="1"/>
  <c r="AB26" i="101"/>
  <c r="X53" i="101" s="1"/>
  <c r="AB54" i="101" s="1"/>
  <c r="AC10" i="101"/>
  <c r="AC26" i="101" s="1"/>
  <c r="W47" i="101"/>
  <c r="AB70" i="100"/>
  <c r="AC70" i="100" s="1"/>
  <c r="AB47" i="100"/>
  <c r="AB76" i="100"/>
  <c r="AC76" i="100" s="1"/>
  <c r="AB58" i="100"/>
  <c r="AC58" i="100" s="1"/>
  <c r="AC50" i="100"/>
  <c r="AB68" i="100"/>
  <c r="AC68" i="100" s="1"/>
  <c r="AC40" i="99"/>
  <c r="X56" i="99"/>
  <c r="AB57" i="99" s="1"/>
  <c r="AC10" i="99"/>
  <c r="AC26" i="99" s="1"/>
  <c r="AC44" i="99" s="1"/>
  <c r="W47" i="99"/>
  <c r="AB26" i="99"/>
  <c r="X53" i="99" s="1"/>
  <c r="AB54" i="99" s="1"/>
  <c r="AC10" i="98"/>
  <c r="AC26" i="98" s="1"/>
  <c r="W47" i="98"/>
  <c r="AB26" i="98"/>
  <c r="X53" i="98" s="1"/>
  <c r="AB54" i="98" s="1"/>
  <c r="X56" i="98"/>
  <c r="AB57" i="98" s="1"/>
  <c r="AC40" i="98"/>
  <c r="AC81" i="95"/>
  <c r="L84" i="95" s="1"/>
  <c r="AB58" i="93"/>
  <c r="AC58" i="93" s="1"/>
  <c r="AC26" i="93"/>
  <c r="AB76" i="93"/>
  <c r="AC76" i="93" s="1"/>
  <c r="AB69" i="93"/>
  <c r="AC69" i="93" s="1"/>
  <c r="AB77" i="93"/>
  <c r="AC77" i="93" s="1"/>
  <c r="AB66" i="93"/>
  <c r="AC66" i="93" s="1"/>
  <c r="X56" i="93"/>
  <c r="AB57" i="93" s="1"/>
  <c r="AC40" i="93"/>
  <c r="AC50" i="92"/>
  <c r="AC40" i="92"/>
  <c r="AC44" i="92" s="1"/>
  <c r="L44" i="85"/>
  <c r="W47" i="91"/>
  <c r="AB26" i="91"/>
  <c r="X53" i="91" s="1"/>
  <c r="AB54" i="91" s="1"/>
  <c r="AC10" i="91"/>
  <c r="AC26" i="91" s="1"/>
  <c r="X56" i="91"/>
  <c r="AB57" i="91" s="1"/>
  <c r="AC40" i="91"/>
  <c r="AC81" i="90"/>
  <c r="L84" i="90" s="1"/>
  <c r="AC10" i="86"/>
  <c r="AC26" i="86" s="1"/>
  <c r="AB26" i="86"/>
  <c r="X53" i="86" s="1"/>
  <c r="AB54" i="86" s="1"/>
  <c r="W47" i="86"/>
  <c r="X56" i="86"/>
  <c r="AB57" i="86" s="1"/>
  <c r="AC40" i="86"/>
  <c r="L94" i="102"/>
  <c r="L94" i="99"/>
  <c r="AC81" i="97"/>
  <c r="L84" i="97" s="1"/>
  <c r="X56" i="105"/>
  <c r="AB57" i="105" s="1"/>
  <c r="AC40" i="105"/>
  <c r="AC10" i="105"/>
  <c r="AC26" i="105" s="1"/>
  <c r="AC44" i="105" s="1"/>
  <c r="AB26" i="105"/>
  <c r="X53" i="105" s="1"/>
  <c r="AB54" i="105" s="1"/>
  <c r="W47" i="105"/>
  <c r="L94" i="98"/>
  <c r="L94" i="97"/>
  <c r="AC81" i="96"/>
  <c r="L84" i="96" s="1"/>
  <c r="AC81" i="94"/>
  <c r="L84" i="94" s="1"/>
  <c r="L94" i="94"/>
  <c r="L94" i="93"/>
  <c r="AC81" i="92"/>
  <c r="L84" i="92" s="1"/>
  <c r="L94" i="90"/>
  <c r="AC10" i="89"/>
  <c r="AC26" i="89" s="1"/>
  <c r="W47" i="89"/>
  <c r="AB26" i="89"/>
  <c r="X53" i="89" s="1"/>
  <c r="AB54" i="89" s="1"/>
  <c r="L86" i="89"/>
  <c r="L87" i="89" s="1"/>
  <c r="L90" i="89" s="1"/>
  <c r="L92" i="89" s="1"/>
  <c r="X56" i="89"/>
  <c r="AB57" i="89" s="1"/>
  <c r="AC40" i="89"/>
  <c r="L94" i="87"/>
  <c r="L94" i="86"/>
  <c r="X24" i="85"/>
  <c r="AB24" i="85" s="1"/>
  <c r="AC24" i="85" s="1"/>
  <c r="X21" i="85"/>
  <c r="AB21" i="85" s="1"/>
  <c r="AC21" i="85" s="1"/>
  <c r="X18" i="85"/>
  <c r="AB18" i="85" s="1"/>
  <c r="AC18" i="85" s="1"/>
  <c r="X15" i="85"/>
  <c r="AB15" i="85" s="1"/>
  <c r="AC15" i="85" s="1"/>
  <c r="X14" i="85"/>
  <c r="AB14" i="85" s="1"/>
  <c r="X11" i="85"/>
  <c r="AB11" i="85" s="1"/>
  <c r="AC11" i="85" s="1"/>
  <c r="X10" i="85"/>
  <c r="X25" i="85"/>
  <c r="AB25" i="85" s="1"/>
  <c r="AC25" i="85" s="1"/>
  <c r="X22" i="85"/>
  <c r="AB22" i="85" s="1"/>
  <c r="AC22" i="85" s="1"/>
  <c r="X16" i="85"/>
  <c r="AB16" i="85" s="1"/>
  <c r="AC16" i="85" s="1"/>
  <c r="X23" i="85"/>
  <c r="AB23" i="85" s="1"/>
  <c r="AC23" i="85" s="1"/>
  <c r="X19" i="85"/>
  <c r="AB19" i="85" s="1"/>
  <c r="AC19" i="85" s="1"/>
  <c r="X13" i="85"/>
  <c r="AB13" i="85" s="1"/>
  <c r="AC13" i="85" s="1"/>
  <c r="X12" i="85"/>
  <c r="AB12" i="85" s="1"/>
  <c r="X17" i="85"/>
  <c r="AB17" i="85" s="1"/>
  <c r="AC17" i="85" s="1"/>
  <c r="X20" i="85"/>
  <c r="AB20" i="85" s="1"/>
  <c r="AC20" i="85" s="1"/>
  <c r="C50" i="85"/>
  <c r="K47" i="85"/>
  <c r="L50" i="85" s="1"/>
  <c r="K72" i="85"/>
  <c r="L72" i="85" s="1"/>
  <c r="K69" i="85"/>
  <c r="L69" i="85" s="1"/>
  <c r="K67" i="85"/>
  <c r="L67" i="85" s="1"/>
  <c r="K59" i="85"/>
  <c r="L59" i="85" s="1"/>
  <c r="K78" i="85"/>
  <c r="L78" i="85" s="1"/>
  <c r="K71" i="85"/>
  <c r="L71" i="85" s="1"/>
  <c r="K70" i="85"/>
  <c r="L70" i="85" s="1"/>
  <c r="K77" i="85"/>
  <c r="L77" i="85" s="1"/>
  <c r="G26" i="82"/>
  <c r="G56" i="82" s="1"/>
  <c r="K57" i="82" s="1"/>
  <c r="X23" i="84"/>
  <c r="AB23" i="84" s="1"/>
  <c r="AC23" i="84" s="1"/>
  <c r="X20" i="84"/>
  <c r="AB20" i="84" s="1"/>
  <c r="AC20" i="84" s="1"/>
  <c r="X17" i="84"/>
  <c r="AB17" i="84" s="1"/>
  <c r="AC17" i="84" s="1"/>
  <c r="X25" i="84"/>
  <c r="AB25" i="84" s="1"/>
  <c r="AC25" i="84" s="1"/>
  <c r="X24" i="84"/>
  <c r="AB24" i="84" s="1"/>
  <c r="AC24" i="84" s="1"/>
  <c r="X22" i="84"/>
  <c r="AB22" i="84" s="1"/>
  <c r="AC22" i="84" s="1"/>
  <c r="X21" i="84"/>
  <c r="AB21" i="84" s="1"/>
  <c r="AC21" i="84" s="1"/>
  <c r="X19" i="84"/>
  <c r="AB19" i="84" s="1"/>
  <c r="AC19" i="84" s="1"/>
  <c r="X18" i="84"/>
  <c r="AB18" i="84" s="1"/>
  <c r="AC18" i="84" s="1"/>
  <c r="X16" i="84"/>
  <c r="AB16" i="84" s="1"/>
  <c r="AC16" i="84" s="1"/>
  <c r="X15" i="84"/>
  <c r="AB15" i="84" s="1"/>
  <c r="AC15" i="84" s="1"/>
  <c r="X12" i="84"/>
  <c r="AB12" i="84" s="1"/>
  <c r="X14" i="84"/>
  <c r="AB14" i="84" s="1"/>
  <c r="X13" i="84"/>
  <c r="AB13" i="84" s="1"/>
  <c r="AC13" i="84" s="1"/>
  <c r="X11" i="84"/>
  <c r="AB11" i="84" s="1"/>
  <c r="AC11" i="84" s="1"/>
  <c r="X10" i="84"/>
  <c r="C48" i="84"/>
  <c r="K48" i="84" s="1"/>
  <c r="K26" i="84"/>
  <c r="G53" i="84" s="1"/>
  <c r="K54" i="84" s="1"/>
  <c r="C49" i="84"/>
  <c r="K49" i="84" s="1"/>
  <c r="L26" i="84"/>
  <c r="L44" i="84" s="1"/>
  <c r="K69" i="84"/>
  <c r="L69" i="84" s="1"/>
  <c r="K72" i="84"/>
  <c r="L72" i="84" s="1"/>
  <c r="C47" i="84"/>
  <c r="G26" i="83"/>
  <c r="L40" i="83" s="1"/>
  <c r="X49" i="83"/>
  <c r="X47" i="83"/>
  <c r="X48" i="83"/>
  <c r="L14" i="83"/>
  <c r="L10" i="83"/>
  <c r="K11" i="83"/>
  <c r="L11" i="83" s="1"/>
  <c r="L12" i="83"/>
  <c r="K24" i="83"/>
  <c r="L24" i="83" s="1"/>
  <c r="K13" i="83"/>
  <c r="L13" i="83" s="1"/>
  <c r="K15" i="83"/>
  <c r="L15" i="83" s="1"/>
  <c r="L12" i="82"/>
  <c r="K84" i="82"/>
  <c r="L14" i="82"/>
  <c r="K11" i="82"/>
  <c r="L11" i="82" s="1"/>
  <c r="K13" i="82"/>
  <c r="L13" i="82" s="1"/>
  <c r="K15" i="82"/>
  <c r="L15" i="82" s="1"/>
  <c r="K18" i="82"/>
  <c r="L18" i="82" s="1"/>
  <c r="G37" i="82"/>
  <c r="K10" i="82"/>
  <c r="X47" i="82"/>
  <c r="B136" i="81"/>
  <c r="B135" i="81"/>
  <c r="M86" i="81"/>
  <c r="V79" i="81"/>
  <c r="V78" i="81"/>
  <c r="Y77" i="81"/>
  <c r="V77" i="81"/>
  <c r="Y76" i="81"/>
  <c r="I76" i="81"/>
  <c r="L76" i="81" s="1"/>
  <c r="G76" i="81"/>
  <c r="AB75" i="81"/>
  <c r="Z75" i="81"/>
  <c r="AC75" i="81" s="1"/>
  <c r="I75" i="81"/>
  <c r="L75" i="81" s="1"/>
  <c r="G75" i="81"/>
  <c r="AB74" i="81"/>
  <c r="Z74" i="81"/>
  <c r="AC74" i="81" s="1"/>
  <c r="Y71" i="81"/>
  <c r="Y70" i="81"/>
  <c r="Y69" i="81"/>
  <c r="Y68" i="81"/>
  <c r="Y66" i="81"/>
  <c r="X65" i="81"/>
  <c r="Y58" i="81" s="1"/>
  <c r="G65" i="81"/>
  <c r="X64" i="81"/>
  <c r="X61" i="81"/>
  <c r="X60" i="81"/>
  <c r="J56" i="81"/>
  <c r="AA56" i="81" s="1"/>
  <c r="AA53" i="81"/>
  <c r="Z49" i="81"/>
  <c r="G49" i="81"/>
  <c r="Z48" i="81"/>
  <c r="G48" i="81"/>
  <c r="Z47" i="81"/>
  <c r="G47" i="81"/>
  <c r="X40" i="81"/>
  <c r="K40" i="81"/>
  <c r="X39" i="81"/>
  <c r="AB40" i="81" s="1"/>
  <c r="X37" i="81"/>
  <c r="E37" i="81"/>
  <c r="D37" i="81"/>
  <c r="AC36" i="81"/>
  <c r="AB36" i="81"/>
  <c r="L36" i="81"/>
  <c r="G36" i="81"/>
  <c r="AC35" i="81"/>
  <c r="AB35" i="81"/>
  <c r="L35" i="81"/>
  <c r="G35" i="81"/>
  <c r="AC34" i="81"/>
  <c r="AB34" i="81"/>
  <c r="L34" i="81"/>
  <c r="G34" i="81"/>
  <c r="AC33" i="81"/>
  <c r="AB33" i="81"/>
  <c r="L33" i="81"/>
  <c r="G33" i="81"/>
  <c r="AC32" i="81"/>
  <c r="AB32" i="81"/>
  <c r="L32" i="81"/>
  <c r="G32" i="81"/>
  <c r="AC31" i="81"/>
  <c r="AB31" i="81"/>
  <c r="L31" i="81"/>
  <c r="G31" i="81"/>
  <c r="AC30" i="81"/>
  <c r="AB30" i="81"/>
  <c r="L30" i="81"/>
  <c r="G30" i="81"/>
  <c r="AC29" i="81"/>
  <c r="AB29" i="81"/>
  <c r="L29" i="81"/>
  <c r="G29" i="81"/>
  <c r="AC28" i="81"/>
  <c r="AC37" i="81" s="1"/>
  <c r="AB28" i="81"/>
  <c r="L28" i="81"/>
  <c r="L37" i="81" s="1"/>
  <c r="G28" i="81"/>
  <c r="G37" i="81" s="1"/>
  <c r="E26" i="81"/>
  <c r="D26" i="81"/>
  <c r="K25" i="81"/>
  <c r="L25" i="81" s="1"/>
  <c r="G25" i="81"/>
  <c r="G24" i="81"/>
  <c r="I23" i="81"/>
  <c r="I24" i="81" s="1"/>
  <c r="K24" i="81" s="1"/>
  <c r="L24" i="81" s="1"/>
  <c r="G23" i="81"/>
  <c r="K22" i="81"/>
  <c r="L22" i="81" s="1"/>
  <c r="G22" i="81"/>
  <c r="G21" i="81"/>
  <c r="I20" i="81"/>
  <c r="I21" i="81" s="1"/>
  <c r="K21" i="81" s="1"/>
  <c r="L21" i="81" s="1"/>
  <c r="G20" i="81"/>
  <c r="K19" i="81"/>
  <c r="L19" i="81" s="1"/>
  <c r="G19" i="81"/>
  <c r="G18" i="81"/>
  <c r="I17" i="81"/>
  <c r="I18" i="81" s="1"/>
  <c r="K18" i="81" s="1"/>
  <c r="L18" i="81" s="1"/>
  <c r="G17" i="81"/>
  <c r="K16" i="81"/>
  <c r="L16" i="81" s="1"/>
  <c r="G16" i="81"/>
  <c r="I15" i="81"/>
  <c r="G15" i="81"/>
  <c r="M15" i="81" s="1"/>
  <c r="K14" i="81"/>
  <c r="G14" i="81"/>
  <c r="I13" i="81"/>
  <c r="G13" i="81"/>
  <c r="M13" i="81" s="1"/>
  <c r="K12" i="81"/>
  <c r="G12" i="81"/>
  <c r="I11" i="81"/>
  <c r="G11" i="81"/>
  <c r="M11" i="81" s="1"/>
  <c r="G10" i="81"/>
  <c r="G26" i="81" s="1"/>
  <c r="AB7" i="81"/>
  <c r="X7" i="81"/>
  <c r="V4" i="81"/>
  <c r="B3" i="81"/>
  <c r="V2" i="81"/>
  <c r="W50" i="106" l="1"/>
  <c r="AB47" i="106"/>
  <c r="AC50" i="106" s="1"/>
  <c r="AB58" i="106"/>
  <c r="AC58" i="106" s="1"/>
  <c r="AB76" i="106"/>
  <c r="AC76" i="106" s="1"/>
  <c r="AB70" i="106"/>
  <c r="AC70" i="106" s="1"/>
  <c r="AB69" i="106"/>
  <c r="AC69" i="106" s="1"/>
  <c r="AB66" i="106"/>
  <c r="AC66" i="106" s="1"/>
  <c r="AB77" i="106"/>
  <c r="AC77" i="106" s="1"/>
  <c r="AB68" i="106"/>
  <c r="AC68" i="106" s="1"/>
  <c r="AB71" i="106"/>
  <c r="AC71" i="106" s="1"/>
  <c r="AB71" i="104"/>
  <c r="AC71" i="104" s="1"/>
  <c r="AB68" i="104"/>
  <c r="AC68" i="104" s="1"/>
  <c r="AB71" i="103"/>
  <c r="AC71" i="103" s="1"/>
  <c r="AB68" i="103"/>
  <c r="AC68" i="103" s="1"/>
  <c r="AB58" i="103"/>
  <c r="AC58" i="103" s="1"/>
  <c r="AB76" i="103"/>
  <c r="AC76" i="103" s="1"/>
  <c r="AB66" i="103"/>
  <c r="AC66" i="103" s="1"/>
  <c r="AB77" i="103"/>
  <c r="AC77" i="103" s="1"/>
  <c r="AB69" i="103"/>
  <c r="AC69" i="103" s="1"/>
  <c r="AB70" i="103"/>
  <c r="AC70" i="103" s="1"/>
  <c r="W50" i="103"/>
  <c r="AB47" i="103"/>
  <c r="AC50" i="103" s="1"/>
  <c r="AC44" i="103"/>
  <c r="AC44" i="101"/>
  <c r="AB66" i="101"/>
  <c r="AC66" i="101" s="1"/>
  <c r="AB77" i="101"/>
  <c r="AC77" i="101" s="1"/>
  <c r="AB69" i="101"/>
  <c r="AC69" i="101" s="1"/>
  <c r="AB70" i="101"/>
  <c r="AC70" i="101" s="1"/>
  <c r="AB58" i="101"/>
  <c r="AC58" i="101" s="1"/>
  <c r="AB76" i="101"/>
  <c r="AC76" i="101" s="1"/>
  <c r="AB71" i="101"/>
  <c r="AC71" i="101" s="1"/>
  <c r="AB68" i="101"/>
  <c r="AC68" i="101" s="1"/>
  <c r="AB47" i="101"/>
  <c r="AC50" i="101" s="1"/>
  <c r="W50" i="101"/>
  <c r="AC81" i="100"/>
  <c r="L84" i="100" s="1"/>
  <c r="W50" i="99"/>
  <c r="AB47" i="99"/>
  <c r="AC50" i="99" s="1"/>
  <c r="AB68" i="99"/>
  <c r="AC68" i="99" s="1"/>
  <c r="AB71" i="99"/>
  <c r="AC71" i="99" s="1"/>
  <c r="AB70" i="99"/>
  <c r="AC70" i="99" s="1"/>
  <c r="AB58" i="99"/>
  <c r="AC58" i="99" s="1"/>
  <c r="AB76" i="99"/>
  <c r="AC76" i="99" s="1"/>
  <c r="AB66" i="99"/>
  <c r="AC66" i="99" s="1"/>
  <c r="AB77" i="99"/>
  <c r="AC77" i="99" s="1"/>
  <c r="AB69" i="99"/>
  <c r="AC69" i="99" s="1"/>
  <c r="AC44" i="98"/>
  <c r="AC81" i="98" s="1"/>
  <c r="L84" i="98" s="1"/>
  <c r="AB68" i="98"/>
  <c r="AC68" i="98" s="1"/>
  <c r="AB71" i="98"/>
  <c r="AC71" i="98" s="1"/>
  <c r="AB66" i="98"/>
  <c r="AC66" i="98" s="1"/>
  <c r="AB77" i="98"/>
  <c r="AC77" i="98" s="1"/>
  <c r="AB69" i="98"/>
  <c r="AC69" i="98" s="1"/>
  <c r="AB70" i="98"/>
  <c r="AC70" i="98" s="1"/>
  <c r="AB58" i="98"/>
  <c r="AC58" i="98" s="1"/>
  <c r="AB76" i="98"/>
  <c r="AC76" i="98" s="1"/>
  <c r="AB47" i="98"/>
  <c r="AC50" i="98" s="1"/>
  <c r="W50" i="98"/>
  <c r="AC44" i="93"/>
  <c r="AB68" i="93"/>
  <c r="AC68" i="93" s="1"/>
  <c r="AB71" i="93"/>
  <c r="AC71" i="93" s="1"/>
  <c r="AC44" i="91"/>
  <c r="AB47" i="91"/>
  <c r="AC50" i="91" s="1"/>
  <c r="W50" i="91"/>
  <c r="AB71" i="91"/>
  <c r="AC71" i="91" s="1"/>
  <c r="AB68" i="91"/>
  <c r="AC68" i="91" s="1"/>
  <c r="AB66" i="91"/>
  <c r="AC66" i="91" s="1"/>
  <c r="AB77" i="91"/>
  <c r="AC77" i="91" s="1"/>
  <c r="AB69" i="91"/>
  <c r="AC69" i="91" s="1"/>
  <c r="AB70" i="91"/>
  <c r="AC70" i="91" s="1"/>
  <c r="AB58" i="91"/>
  <c r="AC58" i="91" s="1"/>
  <c r="AB76" i="91"/>
  <c r="AC76" i="91" s="1"/>
  <c r="AC44" i="86"/>
  <c r="AB71" i="86"/>
  <c r="AC71" i="86" s="1"/>
  <c r="AB68" i="86"/>
  <c r="AC68" i="86" s="1"/>
  <c r="AB47" i="86"/>
  <c r="AC50" i="86" s="1"/>
  <c r="W50" i="86"/>
  <c r="AB69" i="86"/>
  <c r="AC69" i="86" s="1"/>
  <c r="AB58" i="86"/>
  <c r="AC58" i="86" s="1"/>
  <c r="AB76" i="86"/>
  <c r="AC76" i="86" s="1"/>
  <c r="AB66" i="86"/>
  <c r="AC66" i="86" s="1"/>
  <c r="AB77" i="86"/>
  <c r="AC77" i="86" s="1"/>
  <c r="AB70" i="86"/>
  <c r="AC70" i="86" s="1"/>
  <c r="L40" i="82"/>
  <c r="AB47" i="105"/>
  <c r="AC50" i="105" s="1"/>
  <c r="W50" i="105"/>
  <c r="AB70" i="105"/>
  <c r="AC70" i="105" s="1"/>
  <c r="AB76" i="105"/>
  <c r="AC76" i="105" s="1"/>
  <c r="AB77" i="105"/>
  <c r="AC77" i="105" s="1"/>
  <c r="AB58" i="105"/>
  <c r="AC58" i="105" s="1"/>
  <c r="AB66" i="105"/>
  <c r="AC66" i="105" s="1"/>
  <c r="AB69" i="105"/>
  <c r="AC69" i="105" s="1"/>
  <c r="AB68" i="105"/>
  <c r="AC68" i="105" s="1"/>
  <c r="AB71" i="105"/>
  <c r="AC71" i="105" s="1"/>
  <c r="C48" i="83"/>
  <c r="K48" i="83" s="1"/>
  <c r="W50" i="89"/>
  <c r="AB47" i="89"/>
  <c r="AC50" i="89" s="1"/>
  <c r="AB68" i="89"/>
  <c r="AC68" i="89" s="1"/>
  <c r="AB71" i="89"/>
  <c r="AC71" i="89" s="1"/>
  <c r="L94" i="89"/>
  <c r="AB58" i="89"/>
  <c r="AC58" i="89" s="1"/>
  <c r="AB66" i="89"/>
  <c r="AC66" i="89" s="1"/>
  <c r="AB70" i="89"/>
  <c r="AC70" i="89" s="1"/>
  <c r="AB76" i="89"/>
  <c r="AC76" i="89" s="1"/>
  <c r="AB77" i="89"/>
  <c r="AC77" i="89" s="1"/>
  <c r="AB69" i="89"/>
  <c r="AC69" i="89" s="1"/>
  <c r="AC44" i="89"/>
  <c r="L82" i="85"/>
  <c r="K86" i="85" s="1"/>
  <c r="AC12" i="85"/>
  <c r="W48" i="85"/>
  <c r="AB48" i="85" s="1"/>
  <c r="X26" i="85"/>
  <c r="AB10" i="85"/>
  <c r="W49" i="85"/>
  <c r="AB49" i="85" s="1"/>
  <c r="AC14" i="85"/>
  <c r="K47" i="84"/>
  <c r="C50" i="84"/>
  <c r="L50" i="84"/>
  <c r="W49" i="84"/>
  <c r="AB49" i="84" s="1"/>
  <c r="AC14" i="84"/>
  <c r="K71" i="84"/>
  <c r="L71" i="84" s="1"/>
  <c r="K78" i="84"/>
  <c r="L78" i="84" s="1"/>
  <c r="K77" i="84"/>
  <c r="L77" i="84" s="1"/>
  <c r="K70" i="84"/>
  <c r="L70" i="84" s="1"/>
  <c r="K67" i="84"/>
  <c r="L67" i="84" s="1"/>
  <c r="K59" i="84"/>
  <c r="L59" i="84" s="1"/>
  <c r="X26" i="84"/>
  <c r="AB10" i="84"/>
  <c r="W48" i="84"/>
  <c r="AB48" i="84" s="1"/>
  <c r="AC12" i="84"/>
  <c r="K84" i="83"/>
  <c r="X20" i="83" s="1"/>
  <c r="AB20" i="83" s="1"/>
  <c r="AC20" i="83" s="1"/>
  <c r="G56" i="83"/>
  <c r="K57" i="83" s="1"/>
  <c r="K72" i="83" s="1"/>
  <c r="L72" i="83" s="1"/>
  <c r="L26" i="83"/>
  <c r="L44" i="83" s="1"/>
  <c r="K26" i="83"/>
  <c r="G53" i="83" s="1"/>
  <c r="K54" i="83" s="1"/>
  <c r="X23" i="83"/>
  <c r="AB23" i="83" s="1"/>
  <c r="AC23" i="83" s="1"/>
  <c r="X17" i="83"/>
  <c r="AB17" i="83" s="1"/>
  <c r="AC17" i="83" s="1"/>
  <c r="X25" i="83"/>
  <c r="AB25" i="83" s="1"/>
  <c r="AC25" i="83" s="1"/>
  <c r="X24" i="83"/>
  <c r="AB24" i="83" s="1"/>
  <c r="AC24" i="83" s="1"/>
  <c r="X22" i="83"/>
  <c r="AB22" i="83" s="1"/>
  <c r="AC22" i="83" s="1"/>
  <c r="X21" i="83"/>
  <c r="AB21" i="83" s="1"/>
  <c r="AC21" i="83" s="1"/>
  <c r="X14" i="83"/>
  <c r="AB14" i="83" s="1"/>
  <c r="X13" i="83"/>
  <c r="AB13" i="83" s="1"/>
  <c r="AC13" i="83" s="1"/>
  <c r="X19" i="83"/>
  <c r="AB19" i="83" s="1"/>
  <c r="AC19" i="83" s="1"/>
  <c r="X18" i="83"/>
  <c r="AB18" i="83" s="1"/>
  <c r="AC18" i="83" s="1"/>
  <c r="X16" i="83"/>
  <c r="AB16" i="83" s="1"/>
  <c r="AC16" i="83" s="1"/>
  <c r="X15" i="83"/>
  <c r="AB15" i="83" s="1"/>
  <c r="AC15" i="83" s="1"/>
  <c r="X12" i="83"/>
  <c r="AB12" i="83" s="1"/>
  <c r="X11" i="83"/>
  <c r="AB11" i="83" s="1"/>
  <c r="AC11" i="83" s="1"/>
  <c r="X10" i="83"/>
  <c r="C49" i="83"/>
  <c r="K49" i="83" s="1"/>
  <c r="C47" i="83"/>
  <c r="K26" i="82"/>
  <c r="G53" i="82" s="1"/>
  <c r="K54" i="82" s="1"/>
  <c r="C47" i="82"/>
  <c r="L10" i="82"/>
  <c r="L26" i="82" s="1"/>
  <c r="L44" i="82" s="1"/>
  <c r="C49" i="82"/>
  <c r="K49" i="82" s="1"/>
  <c r="K72" i="82"/>
  <c r="L72" i="82" s="1"/>
  <c r="K69" i="82"/>
  <c r="L69" i="82" s="1"/>
  <c r="X25" i="82"/>
  <c r="AB25" i="82" s="1"/>
  <c r="AC25" i="82" s="1"/>
  <c r="X24" i="82"/>
  <c r="AB24" i="82" s="1"/>
  <c r="AC24" i="82" s="1"/>
  <c r="X22" i="82"/>
  <c r="AB22" i="82" s="1"/>
  <c r="AC22" i="82" s="1"/>
  <c r="X21" i="82"/>
  <c r="AB21" i="82" s="1"/>
  <c r="AC21" i="82" s="1"/>
  <c r="X19" i="82"/>
  <c r="AB19" i="82" s="1"/>
  <c r="AC19" i="82" s="1"/>
  <c r="X18" i="82"/>
  <c r="AB18" i="82" s="1"/>
  <c r="AC18" i="82" s="1"/>
  <c r="X16" i="82"/>
  <c r="AB16" i="82" s="1"/>
  <c r="AC16" i="82" s="1"/>
  <c r="X15" i="82"/>
  <c r="AB15" i="82" s="1"/>
  <c r="AC15" i="82" s="1"/>
  <c r="X14" i="82"/>
  <c r="AB14" i="82" s="1"/>
  <c r="X13" i="82"/>
  <c r="AB13" i="82" s="1"/>
  <c r="AC13" i="82" s="1"/>
  <c r="X12" i="82"/>
  <c r="AB12" i="82" s="1"/>
  <c r="X11" i="82"/>
  <c r="AB11" i="82" s="1"/>
  <c r="AC11" i="82" s="1"/>
  <c r="X10" i="82"/>
  <c r="X23" i="82"/>
  <c r="AB23" i="82" s="1"/>
  <c r="AC23" i="82" s="1"/>
  <c r="X20" i="82"/>
  <c r="AB20" i="82" s="1"/>
  <c r="AC20" i="82" s="1"/>
  <c r="X17" i="82"/>
  <c r="AB17" i="82" s="1"/>
  <c r="AC17" i="82" s="1"/>
  <c r="C48" i="82"/>
  <c r="K48" i="82" s="1"/>
  <c r="G56" i="81"/>
  <c r="K57" i="81" s="1"/>
  <c r="K84" i="81"/>
  <c r="K11" i="81"/>
  <c r="L11" i="81" s="1"/>
  <c r="L12" i="81"/>
  <c r="X49" i="81"/>
  <c r="X47" i="81"/>
  <c r="X48" i="81"/>
  <c r="K10" i="81"/>
  <c r="L14" i="81"/>
  <c r="K17" i="81"/>
  <c r="L17" i="81" s="1"/>
  <c r="K20" i="81"/>
  <c r="L20" i="81" s="1"/>
  <c r="K23" i="81"/>
  <c r="L23" i="81" s="1"/>
  <c r="L40" i="81"/>
  <c r="K13" i="81"/>
  <c r="L13" i="81" s="1"/>
  <c r="K15" i="81"/>
  <c r="L15" i="81" s="1"/>
  <c r="G34" i="30"/>
  <c r="M86" i="35"/>
  <c r="AC81" i="106" l="1"/>
  <c r="L84" i="106" s="1"/>
  <c r="K86" i="106" s="1"/>
  <c r="L86" i="106" s="1"/>
  <c r="L87" i="106" s="1"/>
  <c r="L90" i="106" s="1"/>
  <c r="L92" i="106" s="1"/>
  <c r="AC81" i="104"/>
  <c r="L84" i="104" s="1"/>
  <c r="AC81" i="103"/>
  <c r="L84" i="103" s="1"/>
  <c r="AC81" i="101"/>
  <c r="L84" i="101" s="1"/>
  <c r="AC81" i="99"/>
  <c r="L84" i="99" s="1"/>
  <c r="AC81" i="93"/>
  <c r="L84" i="93" s="1"/>
  <c r="K69" i="83"/>
  <c r="L69" i="83" s="1"/>
  <c r="AC81" i="91"/>
  <c r="L84" i="91" s="1"/>
  <c r="AC81" i="89"/>
  <c r="L84" i="89" s="1"/>
  <c r="AC81" i="86"/>
  <c r="L84" i="86" s="1"/>
  <c r="AC81" i="105"/>
  <c r="L84" i="105" s="1"/>
  <c r="AB26" i="85"/>
  <c r="X53" i="85" s="1"/>
  <c r="AB54" i="85" s="1"/>
  <c r="W47" i="85"/>
  <c r="AC10" i="85"/>
  <c r="AC26" i="85" s="1"/>
  <c r="L86" i="85"/>
  <c r="L87" i="85" s="1"/>
  <c r="L90" i="85" s="1"/>
  <c r="L92" i="85" s="1"/>
  <c r="X56" i="85"/>
  <c r="AB57" i="85" s="1"/>
  <c r="AC40" i="85"/>
  <c r="L82" i="84"/>
  <c r="AB26" i="84"/>
  <c r="X53" i="84" s="1"/>
  <c r="AB54" i="84" s="1"/>
  <c r="W47" i="84"/>
  <c r="AC10" i="84"/>
  <c r="AC26" i="84" s="1"/>
  <c r="X56" i="84"/>
  <c r="AB57" i="84" s="1"/>
  <c r="AC40" i="84"/>
  <c r="K71" i="83"/>
  <c r="L71" i="83" s="1"/>
  <c r="K78" i="83"/>
  <c r="L78" i="83" s="1"/>
  <c r="K77" i="83"/>
  <c r="L77" i="83" s="1"/>
  <c r="K70" i="83"/>
  <c r="L70" i="83" s="1"/>
  <c r="K67" i="83"/>
  <c r="L67" i="83" s="1"/>
  <c r="K59" i="83"/>
  <c r="L59" i="83" s="1"/>
  <c r="K47" i="83"/>
  <c r="L50" i="83" s="1"/>
  <c r="C50" i="83"/>
  <c r="X26" i="83"/>
  <c r="AB10" i="83"/>
  <c r="W48" i="83"/>
  <c r="AB48" i="83" s="1"/>
  <c r="AC12" i="83"/>
  <c r="W49" i="83"/>
  <c r="AB49" i="83" s="1"/>
  <c r="AC14" i="83"/>
  <c r="X26" i="82"/>
  <c r="AB10" i="82"/>
  <c r="W48" i="82"/>
  <c r="AB48" i="82" s="1"/>
  <c r="AC12" i="82"/>
  <c r="W49" i="82"/>
  <c r="AB49" i="82" s="1"/>
  <c r="AC14" i="82"/>
  <c r="C50" i="82"/>
  <c r="K47" i="82"/>
  <c r="L50" i="82" s="1"/>
  <c r="K78" i="82"/>
  <c r="L78" i="82" s="1"/>
  <c r="K77" i="82"/>
  <c r="L77" i="82" s="1"/>
  <c r="K70" i="82"/>
  <c r="L70" i="82" s="1"/>
  <c r="K67" i="82"/>
  <c r="L67" i="82" s="1"/>
  <c r="K59" i="82"/>
  <c r="L59" i="82" s="1"/>
  <c r="K71" i="82"/>
  <c r="L71" i="82" s="1"/>
  <c r="C47" i="81"/>
  <c r="K26" i="81"/>
  <c r="G53" i="81" s="1"/>
  <c r="K54" i="81" s="1"/>
  <c r="L10" i="81"/>
  <c r="L26" i="81" s="1"/>
  <c r="L44" i="81" s="1"/>
  <c r="C48" i="81"/>
  <c r="K48" i="81" s="1"/>
  <c r="K69" i="81"/>
  <c r="L69" i="81" s="1"/>
  <c r="K72" i="81"/>
  <c r="L72" i="81" s="1"/>
  <c r="C49" i="81"/>
  <c r="K49" i="81" s="1"/>
  <c r="X23" i="81"/>
  <c r="AB23" i="81" s="1"/>
  <c r="AC23" i="81" s="1"/>
  <c r="X20" i="81"/>
  <c r="AB20" i="81" s="1"/>
  <c r="AC20" i="81" s="1"/>
  <c r="X17" i="81"/>
  <c r="AB17" i="81" s="1"/>
  <c r="AC17" i="81" s="1"/>
  <c r="X25" i="81"/>
  <c r="AB25" i="81" s="1"/>
  <c r="AC25" i="81" s="1"/>
  <c r="X24" i="81"/>
  <c r="AB24" i="81" s="1"/>
  <c r="AC24" i="81" s="1"/>
  <c r="X22" i="81"/>
  <c r="AB22" i="81" s="1"/>
  <c r="AC22" i="81" s="1"/>
  <c r="X21" i="81"/>
  <c r="AB21" i="81" s="1"/>
  <c r="AC21" i="81" s="1"/>
  <c r="X19" i="81"/>
  <c r="AB19" i="81" s="1"/>
  <c r="AC19" i="81" s="1"/>
  <c r="X18" i="81"/>
  <c r="AB18" i="81" s="1"/>
  <c r="AC18" i="81" s="1"/>
  <c r="X16" i="81"/>
  <c r="AB16" i="81" s="1"/>
  <c r="AC16" i="81" s="1"/>
  <c r="X15" i="81"/>
  <c r="AB15" i="81" s="1"/>
  <c r="AC15" i="81" s="1"/>
  <c r="X12" i="81"/>
  <c r="AB12" i="81" s="1"/>
  <c r="X11" i="81"/>
  <c r="AB11" i="81" s="1"/>
  <c r="AC11" i="81" s="1"/>
  <c r="X10" i="81"/>
  <c r="X14" i="81"/>
  <c r="AB14" i="81" s="1"/>
  <c r="X13" i="81"/>
  <c r="AB13" i="81" s="1"/>
  <c r="AC13" i="81" s="1"/>
  <c r="L89" i="73"/>
  <c r="L89" i="70"/>
  <c r="L89" i="69"/>
  <c r="L89" i="68"/>
  <c r="L89" i="67"/>
  <c r="L89" i="66"/>
  <c r="L89" i="65"/>
  <c r="L89" i="64"/>
  <c r="L89" i="63"/>
  <c r="L89" i="62"/>
  <c r="L89" i="60"/>
  <c r="L89" i="78"/>
  <c r="L89" i="77"/>
  <c r="L89" i="58"/>
  <c r="L89" i="57"/>
  <c r="L89" i="56"/>
  <c r="L89" i="52"/>
  <c r="L89" i="51"/>
  <c r="L89" i="50"/>
  <c r="L89" i="49"/>
  <c r="L89" i="48"/>
  <c r="L89" i="47"/>
  <c r="L89" i="46"/>
  <c r="L89" i="45"/>
  <c r="L89" i="44"/>
  <c r="L89" i="43"/>
  <c r="L89" i="42"/>
  <c r="L89" i="41"/>
  <c r="L89" i="40"/>
  <c r="L89" i="38"/>
  <c r="L89" i="37"/>
  <c r="L89" i="36"/>
  <c r="L89" i="29"/>
  <c r="L89" i="28"/>
  <c r="L89" i="35"/>
  <c r="L89" i="34"/>
  <c r="L89" i="33"/>
  <c r="L89" i="32"/>
  <c r="L94" i="106" l="1"/>
  <c r="L94" i="85"/>
  <c r="AC44" i="85"/>
  <c r="W50" i="85"/>
  <c r="AB47" i="85"/>
  <c r="AC50" i="85" s="1"/>
  <c r="AB68" i="85"/>
  <c r="AC68" i="85" s="1"/>
  <c r="AB71" i="85"/>
  <c r="AC71" i="85" s="1"/>
  <c r="AB69" i="85"/>
  <c r="AC69" i="85" s="1"/>
  <c r="AB58" i="85"/>
  <c r="AC58" i="85" s="1"/>
  <c r="AB66" i="85"/>
  <c r="AC66" i="85" s="1"/>
  <c r="AB76" i="85"/>
  <c r="AC76" i="85" s="1"/>
  <c r="AB77" i="85"/>
  <c r="AC77" i="85" s="1"/>
  <c r="AB70" i="85"/>
  <c r="AC70" i="85" s="1"/>
  <c r="AC44" i="84"/>
  <c r="AB68" i="84"/>
  <c r="AC68" i="84" s="1"/>
  <c r="AB71" i="84"/>
  <c r="AC71" i="84" s="1"/>
  <c r="AB70" i="84"/>
  <c r="AC70" i="84" s="1"/>
  <c r="AB77" i="84"/>
  <c r="AC77" i="84" s="1"/>
  <c r="AB76" i="84"/>
  <c r="AC76" i="84" s="1"/>
  <c r="AB69" i="84"/>
  <c r="AC69" i="84" s="1"/>
  <c r="AB66" i="84"/>
  <c r="AC66" i="84" s="1"/>
  <c r="AB58" i="84"/>
  <c r="AC58" i="84" s="1"/>
  <c r="AB47" i="84"/>
  <c r="AC50" i="84" s="1"/>
  <c r="AC81" i="84" s="1"/>
  <c r="L84" i="84" s="1"/>
  <c r="K86" i="84" s="1"/>
  <c r="W50" i="84"/>
  <c r="L82" i="83"/>
  <c r="X56" i="83"/>
  <c r="AB57" i="83" s="1"/>
  <c r="AC40" i="83"/>
  <c r="AB26" i="83"/>
  <c r="X53" i="83" s="1"/>
  <c r="AB54" i="83" s="1"/>
  <c r="W47" i="83"/>
  <c r="AC10" i="83"/>
  <c r="AC26" i="83" s="1"/>
  <c r="L82" i="82"/>
  <c r="W47" i="82"/>
  <c r="AB26" i="82"/>
  <c r="X53" i="82" s="1"/>
  <c r="AB54" i="82" s="1"/>
  <c r="AC10" i="82"/>
  <c r="AC26" i="82" s="1"/>
  <c r="X56" i="82"/>
  <c r="AB57" i="82" s="1"/>
  <c r="AC40" i="82"/>
  <c r="X26" i="81"/>
  <c r="AB10" i="81"/>
  <c r="W48" i="81"/>
  <c r="AB48" i="81" s="1"/>
  <c r="AC12" i="81"/>
  <c r="K77" i="81"/>
  <c r="L77" i="81" s="1"/>
  <c r="K71" i="81"/>
  <c r="L71" i="81" s="1"/>
  <c r="K78" i="81"/>
  <c r="L78" i="81" s="1"/>
  <c r="K70" i="81"/>
  <c r="L70" i="81" s="1"/>
  <c r="K67" i="81"/>
  <c r="L67" i="81" s="1"/>
  <c r="K59" i="81"/>
  <c r="L59" i="81" s="1"/>
  <c r="W49" i="81"/>
  <c r="AB49" i="81" s="1"/>
  <c r="AC14" i="81"/>
  <c r="K47" i="81"/>
  <c r="L50" i="81" s="1"/>
  <c r="L82" i="81" s="1"/>
  <c r="C50" i="81"/>
  <c r="L89" i="31"/>
  <c r="L89" i="30"/>
  <c r="L89" i="27"/>
  <c r="L89" i="26"/>
  <c r="L89" i="25"/>
  <c r="C111" i="76"/>
  <c r="C113" i="76"/>
  <c r="C114" i="76"/>
  <c r="C115" i="76"/>
  <c r="C116" i="76"/>
  <c r="C117" i="76"/>
  <c r="C118" i="76"/>
  <c r="C119" i="76"/>
  <c r="C109" i="76"/>
  <c r="C106" i="76"/>
  <c r="C104" i="76"/>
  <c r="C102" i="76"/>
  <c r="C100" i="76"/>
  <c r="C99" i="76"/>
  <c r="C97" i="76"/>
  <c r="C95" i="76"/>
  <c r="C92" i="76"/>
  <c r="C90" i="76"/>
  <c r="C88" i="76"/>
  <c r="C86" i="76"/>
  <c r="C84" i="76"/>
  <c r="C82" i="76"/>
  <c r="C80" i="76"/>
  <c r="C77" i="76"/>
  <c r="C74" i="76"/>
  <c r="C72" i="76"/>
  <c r="C66" i="76"/>
  <c r="C64" i="76"/>
  <c r="C61" i="76"/>
  <c r="C56" i="76"/>
  <c r="C54" i="76"/>
  <c r="C51" i="76"/>
  <c r="C49" i="76"/>
  <c r="C47" i="76"/>
  <c r="C44" i="76"/>
  <c r="C41" i="76"/>
  <c r="C39" i="76"/>
  <c r="C37" i="76"/>
  <c r="C34" i="76"/>
  <c r="C28" i="76"/>
  <c r="C26" i="76"/>
  <c r="C23" i="76"/>
  <c r="C21" i="76"/>
  <c r="C8" i="76"/>
  <c r="C10" i="76" s="1"/>
  <c r="C6" i="76"/>
  <c r="C16" i="76" s="1"/>
  <c r="AC81" i="85" l="1"/>
  <c r="L84" i="85" s="1"/>
  <c r="L86" i="84"/>
  <c r="L87" i="84" s="1"/>
  <c r="L90" i="84" s="1"/>
  <c r="L92" i="84" s="1"/>
  <c r="AC44" i="83"/>
  <c r="AB47" i="83"/>
  <c r="AC50" i="83" s="1"/>
  <c r="W50" i="83"/>
  <c r="AB70" i="83"/>
  <c r="AC70" i="83" s="1"/>
  <c r="AB77" i="83"/>
  <c r="AC77" i="83" s="1"/>
  <c r="AB76" i="83"/>
  <c r="AC76" i="83" s="1"/>
  <c r="AB69" i="83"/>
  <c r="AC69" i="83" s="1"/>
  <c r="AB66" i="83"/>
  <c r="AC66" i="83" s="1"/>
  <c r="AB58" i="83"/>
  <c r="AC58" i="83" s="1"/>
  <c r="AB68" i="83"/>
  <c r="AC68" i="83" s="1"/>
  <c r="AB71" i="83"/>
  <c r="AC71" i="83" s="1"/>
  <c r="AB71" i="82"/>
  <c r="AC71" i="82" s="1"/>
  <c r="AB68" i="82"/>
  <c r="AC68" i="82" s="1"/>
  <c r="AC44" i="82"/>
  <c r="W50" i="82"/>
  <c r="AB47" i="82"/>
  <c r="AC50" i="82" s="1"/>
  <c r="AB77" i="82"/>
  <c r="AC77" i="82" s="1"/>
  <c r="AB76" i="82"/>
  <c r="AC76" i="82" s="1"/>
  <c r="AB69" i="82"/>
  <c r="AC69" i="82" s="1"/>
  <c r="AB66" i="82"/>
  <c r="AC66" i="82" s="1"/>
  <c r="AB58" i="82"/>
  <c r="AC58" i="82" s="1"/>
  <c r="AB70" i="82"/>
  <c r="AC70" i="82" s="1"/>
  <c r="K86" i="81"/>
  <c r="AB26" i="81"/>
  <c r="X53" i="81" s="1"/>
  <c r="AB54" i="81" s="1"/>
  <c r="W47" i="81"/>
  <c r="AC10" i="81"/>
  <c r="AC26" i="81" s="1"/>
  <c r="X56" i="81"/>
  <c r="AB57" i="81" s="1"/>
  <c r="AC40" i="81"/>
  <c r="L77" i="66"/>
  <c r="AC44" i="81" l="1"/>
  <c r="L94" i="84"/>
  <c r="AC81" i="83"/>
  <c r="L84" i="83" s="1"/>
  <c r="K86" i="83" s="1"/>
  <c r="L86" i="83" s="1"/>
  <c r="L87" i="83" s="1"/>
  <c r="AC81" i="82"/>
  <c r="L84" i="82" s="1"/>
  <c r="K86" i="82" s="1"/>
  <c r="AB68" i="81"/>
  <c r="AC68" i="81" s="1"/>
  <c r="AB71" i="81"/>
  <c r="AC71" i="81" s="1"/>
  <c r="AB47" i="81"/>
  <c r="AC50" i="81" s="1"/>
  <c r="W50" i="81"/>
  <c r="L86" i="81"/>
  <c r="AB76" i="81"/>
  <c r="AC76" i="81" s="1"/>
  <c r="AB70" i="81"/>
  <c r="AC70" i="81" s="1"/>
  <c r="AB77" i="81"/>
  <c r="AC77" i="81" s="1"/>
  <c r="AB69" i="81"/>
  <c r="AC69" i="81" s="1"/>
  <c r="AB66" i="81"/>
  <c r="AC66" i="81" s="1"/>
  <c r="AB58" i="81"/>
  <c r="AC58" i="81" s="1"/>
  <c r="AC81" i="81" s="1"/>
  <c r="L84" i="81" s="1"/>
  <c r="G36" i="73"/>
  <c r="G35" i="73"/>
  <c r="G34" i="73"/>
  <c r="G33" i="73"/>
  <c r="G32" i="73"/>
  <c r="G31" i="73"/>
  <c r="G30" i="73"/>
  <c r="G29" i="73"/>
  <c r="G28" i="73"/>
  <c r="G25" i="73"/>
  <c r="G24" i="73"/>
  <c r="G23" i="73"/>
  <c r="G22" i="73"/>
  <c r="G21" i="73"/>
  <c r="G20" i="73"/>
  <c r="G19" i="73"/>
  <c r="G18" i="73"/>
  <c r="G17" i="73"/>
  <c r="G16" i="73"/>
  <c r="G15" i="73"/>
  <c r="G14" i="73"/>
  <c r="G13" i="73"/>
  <c r="G12" i="73"/>
  <c r="G11" i="73"/>
  <c r="G10" i="73"/>
  <c r="G36" i="70"/>
  <c r="G35" i="70"/>
  <c r="G34" i="70"/>
  <c r="G33" i="70"/>
  <c r="G32" i="70"/>
  <c r="G31" i="70"/>
  <c r="G30" i="70"/>
  <c r="G29" i="70"/>
  <c r="G28" i="70"/>
  <c r="G25" i="70"/>
  <c r="G24" i="70"/>
  <c r="G23" i="70"/>
  <c r="G22" i="70"/>
  <c r="G21" i="70"/>
  <c r="G20" i="70"/>
  <c r="G19" i="70"/>
  <c r="G18" i="70"/>
  <c r="G17" i="70"/>
  <c r="G16" i="70"/>
  <c r="G15" i="70"/>
  <c r="G14" i="70"/>
  <c r="G13" i="70"/>
  <c r="G12" i="70"/>
  <c r="G11" i="70"/>
  <c r="G10" i="70"/>
  <c r="G36" i="69"/>
  <c r="G35" i="69"/>
  <c r="G34" i="69"/>
  <c r="G33" i="69"/>
  <c r="G32" i="69"/>
  <c r="G31" i="69"/>
  <c r="G30" i="69"/>
  <c r="G29" i="69"/>
  <c r="G28" i="69"/>
  <c r="G25" i="69"/>
  <c r="G24" i="69"/>
  <c r="G23" i="69"/>
  <c r="G22" i="69"/>
  <c r="G21" i="69"/>
  <c r="G20" i="69"/>
  <c r="G19" i="69"/>
  <c r="G18" i="69"/>
  <c r="G17" i="69"/>
  <c r="G16" i="69"/>
  <c r="G15" i="69"/>
  <c r="G14" i="69"/>
  <c r="G13" i="69"/>
  <c r="G12" i="69"/>
  <c r="G11" i="69"/>
  <c r="G10" i="69"/>
  <c r="G36" i="68"/>
  <c r="G35" i="68"/>
  <c r="G34" i="68"/>
  <c r="G33" i="68"/>
  <c r="G32" i="68"/>
  <c r="G31" i="68"/>
  <c r="G30" i="68"/>
  <c r="G29" i="68"/>
  <c r="G28" i="68"/>
  <c r="G25" i="68"/>
  <c r="G24" i="68"/>
  <c r="G23" i="68"/>
  <c r="G22" i="68"/>
  <c r="G21" i="68"/>
  <c r="G20" i="68"/>
  <c r="G19" i="68"/>
  <c r="G18" i="68"/>
  <c r="G17" i="68"/>
  <c r="G16" i="68"/>
  <c r="G15" i="68"/>
  <c r="G14" i="68"/>
  <c r="G13" i="68"/>
  <c r="G12" i="68"/>
  <c r="G11" i="68"/>
  <c r="G10" i="68"/>
  <c r="G36" i="67"/>
  <c r="G35" i="67"/>
  <c r="G34" i="67"/>
  <c r="G33" i="67"/>
  <c r="G32" i="67"/>
  <c r="G31" i="67"/>
  <c r="G30" i="67"/>
  <c r="G29" i="67"/>
  <c r="G28" i="67"/>
  <c r="G25" i="67"/>
  <c r="G24" i="67"/>
  <c r="G23" i="67"/>
  <c r="G22" i="67"/>
  <c r="G21" i="67"/>
  <c r="G20" i="67"/>
  <c r="G19" i="67"/>
  <c r="G18" i="67"/>
  <c r="G17" i="67"/>
  <c r="G16" i="67"/>
  <c r="G15" i="67"/>
  <c r="G14" i="67"/>
  <c r="G13" i="67"/>
  <c r="G12" i="67"/>
  <c r="G11" i="67"/>
  <c r="G10" i="67"/>
  <c r="G36" i="66"/>
  <c r="G35" i="66"/>
  <c r="G34" i="66"/>
  <c r="G33" i="66"/>
  <c r="G32" i="66"/>
  <c r="G31" i="66"/>
  <c r="G30" i="66"/>
  <c r="G29" i="66"/>
  <c r="G28" i="66"/>
  <c r="G25" i="66"/>
  <c r="G24" i="66"/>
  <c r="G23" i="66"/>
  <c r="G22" i="66"/>
  <c r="G21" i="66"/>
  <c r="G20" i="66"/>
  <c r="G19" i="66"/>
  <c r="G18" i="66"/>
  <c r="G17" i="66"/>
  <c r="G16" i="66"/>
  <c r="G15" i="66"/>
  <c r="G14" i="66"/>
  <c r="G13" i="66"/>
  <c r="G12" i="66"/>
  <c r="G11" i="66"/>
  <c r="G10" i="66"/>
  <c r="G36" i="65"/>
  <c r="G35" i="65"/>
  <c r="G34" i="65"/>
  <c r="G33" i="65"/>
  <c r="G32" i="65"/>
  <c r="G31" i="65"/>
  <c r="G30" i="65"/>
  <c r="G29" i="65"/>
  <c r="G28" i="65"/>
  <c r="G25" i="65"/>
  <c r="G24" i="65"/>
  <c r="G23" i="65"/>
  <c r="G22" i="65"/>
  <c r="G21" i="65"/>
  <c r="G20" i="65"/>
  <c r="G19" i="65"/>
  <c r="G18" i="65"/>
  <c r="G17" i="65"/>
  <c r="G16" i="65"/>
  <c r="G15" i="65"/>
  <c r="G14" i="65"/>
  <c r="G13" i="65"/>
  <c r="G12" i="65"/>
  <c r="G11" i="65"/>
  <c r="G10" i="65"/>
  <c r="G36" i="64"/>
  <c r="G35" i="64"/>
  <c r="G34" i="64"/>
  <c r="G33" i="64"/>
  <c r="G32" i="64"/>
  <c r="G31" i="64"/>
  <c r="G30" i="64"/>
  <c r="G29" i="64"/>
  <c r="G28" i="64"/>
  <c r="G25" i="64"/>
  <c r="G24" i="64"/>
  <c r="G23" i="64"/>
  <c r="G22" i="64"/>
  <c r="G21" i="64"/>
  <c r="G20" i="64"/>
  <c r="G19" i="64"/>
  <c r="G18" i="64"/>
  <c r="G17" i="64"/>
  <c r="G16" i="64"/>
  <c r="G15" i="64"/>
  <c r="G14" i="64"/>
  <c r="G13" i="64"/>
  <c r="G12" i="64"/>
  <c r="G11" i="64"/>
  <c r="G10" i="64"/>
  <c r="G36" i="63"/>
  <c r="G35" i="63"/>
  <c r="G34" i="63"/>
  <c r="G33" i="63"/>
  <c r="G32" i="63"/>
  <c r="G31" i="63"/>
  <c r="G30" i="63"/>
  <c r="G29" i="63"/>
  <c r="G28" i="63"/>
  <c r="G25" i="63"/>
  <c r="G24" i="63"/>
  <c r="G23" i="63"/>
  <c r="G22" i="63"/>
  <c r="G21" i="63"/>
  <c r="G20" i="63"/>
  <c r="G19" i="63"/>
  <c r="G18" i="63"/>
  <c r="G17" i="63"/>
  <c r="G16" i="63"/>
  <c r="G15" i="63"/>
  <c r="G14" i="63"/>
  <c r="G13" i="63"/>
  <c r="G12" i="63"/>
  <c r="G11" i="63"/>
  <c r="G10" i="63"/>
  <c r="G36" i="62"/>
  <c r="G35" i="62"/>
  <c r="G34" i="62"/>
  <c r="G33" i="62"/>
  <c r="G32" i="62"/>
  <c r="G31" i="62"/>
  <c r="G30" i="62"/>
  <c r="G29" i="62"/>
  <c r="G28" i="62"/>
  <c r="G25" i="62"/>
  <c r="G24" i="62"/>
  <c r="G23" i="62"/>
  <c r="G22" i="62"/>
  <c r="G21" i="62"/>
  <c r="G20" i="62"/>
  <c r="G19" i="62"/>
  <c r="G18" i="62"/>
  <c r="G17" i="62"/>
  <c r="G16" i="62"/>
  <c r="G15" i="62"/>
  <c r="G14" i="62"/>
  <c r="G13" i="62"/>
  <c r="G12" i="62"/>
  <c r="G11" i="62"/>
  <c r="G10" i="62"/>
  <c r="G36" i="60"/>
  <c r="G35" i="60"/>
  <c r="G34" i="60"/>
  <c r="G33" i="60"/>
  <c r="G32" i="60"/>
  <c r="G31" i="60"/>
  <c r="G30" i="60"/>
  <c r="G29" i="60"/>
  <c r="G28" i="60"/>
  <c r="G25" i="60"/>
  <c r="G24" i="60"/>
  <c r="G23" i="60"/>
  <c r="G22" i="60"/>
  <c r="G21" i="60"/>
  <c r="G20" i="60"/>
  <c r="G19" i="60"/>
  <c r="G18" i="60"/>
  <c r="G17" i="60"/>
  <c r="G16" i="60"/>
  <c r="G15" i="60"/>
  <c r="G14" i="60"/>
  <c r="G13" i="60"/>
  <c r="G12" i="60"/>
  <c r="G11" i="60"/>
  <c r="G10" i="60"/>
  <c r="G36" i="78"/>
  <c r="G35" i="78"/>
  <c r="G34" i="78"/>
  <c r="G33" i="78"/>
  <c r="G32" i="78"/>
  <c r="G31" i="78"/>
  <c r="G30" i="78"/>
  <c r="G29" i="78"/>
  <c r="G28" i="78"/>
  <c r="G25" i="78"/>
  <c r="G24" i="78"/>
  <c r="G23" i="78"/>
  <c r="G22" i="78"/>
  <c r="G21" i="78"/>
  <c r="G20" i="78"/>
  <c r="G19" i="78"/>
  <c r="G18" i="78"/>
  <c r="G17" i="78"/>
  <c r="G16" i="78"/>
  <c r="G15" i="78"/>
  <c r="G14" i="78"/>
  <c r="G13" i="78"/>
  <c r="G12" i="78"/>
  <c r="G11" i="78"/>
  <c r="G10" i="78"/>
  <c r="G36" i="77"/>
  <c r="G35" i="77"/>
  <c r="G34" i="77"/>
  <c r="G33" i="77"/>
  <c r="G32" i="77"/>
  <c r="G31" i="77"/>
  <c r="G30" i="77"/>
  <c r="G29" i="77"/>
  <c r="G28" i="77"/>
  <c r="G25" i="77"/>
  <c r="G24" i="77"/>
  <c r="G23" i="77"/>
  <c r="G22" i="77"/>
  <c r="G21" i="77"/>
  <c r="G20" i="77"/>
  <c r="G19" i="77"/>
  <c r="G18" i="77"/>
  <c r="G17" i="77"/>
  <c r="G16" i="77"/>
  <c r="G15" i="77"/>
  <c r="G14" i="77"/>
  <c r="G13" i="77"/>
  <c r="G12" i="77"/>
  <c r="G11" i="77"/>
  <c r="G10" i="77"/>
  <c r="G36" i="58"/>
  <c r="G35" i="58"/>
  <c r="G34" i="58"/>
  <c r="G33" i="58"/>
  <c r="G32" i="58"/>
  <c r="G31" i="58"/>
  <c r="G30" i="58"/>
  <c r="G29" i="58"/>
  <c r="G28" i="58"/>
  <c r="G25" i="58"/>
  <c r="G24" i="58"/>
  <c r="G23" i="58"/>
  <c r="G22" i="58"/>
  <c r="G21" i="58"/>
  <c r="G20" i="58"/>
  <c r="G19" i="58"/>
  <c r="G18" i="58"/>
  <c r="G17" i="58"/>
  <c r="G16" i="58"/>
  <c r="G15" i="58"/>
  <c r="G14" i="58"/>
  <c r="G13" i="58"/>
  <c r="G12" i="58"/>
  <c r="G11" i="58"/>
  <c r="G10" i="58"/>
  <c r="G36" i="57"/>
  <c r="G35" i="57"/>
  <c r="G34" i="57"/>
  <c r="G33" i="57"/>
  <c r="G32" i="57"/>
  <c r="G31" i="57"/>
  <c r="G30" i="57"/>
  <c r="G29" i="57"/>
  <c r="G28" i="57"/>
  <c r="G25" i="57"/>
  <c r="G24" i="57"/>
  <c r="G23" i="57"/>
  <c r="G22" i="57"/>
  <c r="G21" i="57"/>
  <c r="G20" i="57"/>
  <c r="G19" i="57"/>
  <c r="G18" i="57"/>
  <c r="G17" i="57"/>
  <c r="G16" i="57"/>
  <c r="G15" i="57"/>
  <c r="G14" i="57"/>
  <c r="G13" i="57"/>
  <c r="G12" i="57"/>
  <c r="G11" i="57"/>
  <c r="G10" i="57"/>
  <c r="G36" i="56"/>
  <c r="G35" i="56"/>
  <c r="G34" i="56"/>
  <c r="G33" i="56"/>
  <c r="G32" i="56"/>
  <c r="G31" i="56"/>
  <c r="G30" i="56"/>
  <c r="G29" i="56"/>
  <c r="G28" i="56"/>
  <c r="G25" i="56"/>
  <c r="G24" i="56"/>
  <c r="G23" i="56"/>
  <c r="G22" i="56"/>
  <c r="G21" i="56"/>
  <c r="G20" i="56"/>
  <c r="G19" i="56"/>
  <c r="G18" i="56"/>
  <c r="G17" i="56"/>
  <c r="G16" i="56"/>
  <c r="G15" i="56"/>
  <c r="G14" i="56"/>
  <c r="G13" i="56"/>
  <c r="G12" i="56"/>
  <c r="G11" i="56"/>
  <c r="G10" i="56"/>
  <c r="G36" i="54"/>
  <c r="G35" i="54"/>
  <c r="G34" i="54"/>
  <c r="G33" i="54"/>
  <c r="G32" i="54"/>
  <c r="G31" i="54"/>
  <c r="G30" i="54"/>
  <c r="G29" i="54"/>
  <c r="G28" i="54"/>
  <c r="G25" i="54"/>
  <c r="G24" i="54"/>
  <c r="G23" i="54"/>
  <c r="G22" i="54"/>
  <c r="G21" i="54"/>
  <c r="G20" i="54"/>
  <c r="G19" i="54"/>
  <c r="G18" i="54"/>
  <c r="G17" i="54"/>
  <c r="G16" i="54"/>
  <c r="G15" i="54"/>
  <c r="G14" i="54"/>
  <c r="G13" i="54"/>
  <c r="G12" i="54"/>
  <c r="G11" i="54"/>
  <c r="G10" i="54"/>
  <c r="G36" i="53"/>
  <c r="G35" i="53"/>
  <c r="G34" i="53"/>
  <c r="G33" i="53"/>
  <c r="G32" i="53"/>
  <c r="G31" i="53"/>
  <c r="G30" i="53"/>
  <c r="G29" i="53"/>
  <c r="G28" i="53"/>
  <c r="G25" i="53"/>
  <c r="G24" i="53"/>
  <c r="G23" i="53"/>
  <c r="G22" i="53"/>
  <c r="G21" i="53"/>
  <c r="G20" i="53"/>
  <c r="G19" i="53"/>
  <c r="G18" i="53"/>
  <c r="G17" i="53"/>
  <c r="G16" i="53"/>
  <c r="G15" i="53"/>
  <c r="G14" i="53"/>
  <c r="G13" i="53"/>
  <c r="G12" i="53"/>
  <c r="G11" i="53"/>
  <c r="G10" i="53"/>
  <c r="G36" i="52"/>
  <c r="G35" i="52"/>
  <c r="G34" i="52"/>
  <c r="G33" i="52"/>
  <c r="G32" i="52"/>
  <c r="G31" i="52"/>
  <c r="G30" i="52"/>
  <c r="G29" i="52"/>
  <c r="G28" i="52"/>
  <c r="G25" i="52"/>
  <c r="G24" i="52"/>
  <c r="G23" i="52"/>
  <c r="G22" i="52"/>
  <c r="G21" i="52"/>
  <c r="G20" i="52"/>
  <c r="G19" i="52"/>
  <c r="G18" i="52"/>
  <c r="G17" i="52"/>
  <c r="G16" i="52"/>
  <c r="G15" i="52"/>
  <c r="G14" i="52"/>
  <c r="G13" i="52"/>
  <c r="G12" i="52"/>
  <c r="G11" i="52"/>
  <c r="G10" i="52"/>
  <c r="G36" i="51"/>
  <c r="G35" i="51"/>
  <c r="G34" i="51"/>
  <c r="G33" i="51"/>
  <c r="G32" i="51"/>
  <c r="G31" i="51"/>
  <c r="G30" i="51"/>
  <c r="G29" i="51"/>
  <c r="G28" i="51"/>
  <c r="G25" i="51"/>
  <c r="G24" i="51"/>
  <c r="G23" i="51"/>
  <c r="G22" i="51"/>
  <c r="G21" i="51"/>
  <c r="G20" i="51"/>
  <c r="G19" i="51"/>
  <c r="G18" i="51"/>
  <c r="G17" i="51"/>
  <c r="G16" i="51"/>
  <c r="G15" i="51"/>
  <c r="G14" i="51"/>
  <c r="G13" i="51"/>
  <c r="G12" i="51"/>
  <c r="G11" i="51"/>
  <c r="G10" i="51"/>
  <c r="G36" i="50"/>
  <c r="G35" i="50"/>
  <c r="G34" i="50"/>
  <c r="G33" i="50"/>
  <c r="G32" i="50"/>
  <c r="G31" i="50"/>
  <c r="G30" i="50"/>
  <c r="G29" i="50"/>
  <c r="G28" i="50"/>
  <c r="G25" i="50"/>
  <c r="G24" i="50"/>
  <c r="G23" i="50"/>
  <c r="G22" i="50"/>
  <c r="G21" i="50"/>
  <c r="G20" i="50"/>
  <c r="G19" i="50"/>
  <c r="G18" i="50"/>
  <c r="G17" i="50"/>
  <c r="G16" i="50"/>
  <c r="G15" i="50"/>
  <c r="G14" i="50"/>
  <c r="G13" i="50"/>
  <c r="G12" i="50"/>
  <c r="G11" i="50"/>
  <c r="G10" i="50"/>
  <c r="G36" i="49"/>
  <c r="G35" i="49"/>
  <c r="G34" i="49"/>
  <c r="G33" i="49"/>
  <c r="G32" i="49"/>
  <c r="G31" i="49"/>
  <c r="G30" i="49"/>
  <c r="G29" i="49"/>
  <c r="G28" i="49"/>
  <c r="G25" i="49"/>
  <c r="G24" i="49"/>
  <c r="G23" i="49"/>
  <c r="G22" i="49"/>
  <c r="G21" i="49"/>
  <c r="G20" i="49"/>
  <c r="G19" i="49"/>
  <c r="G18" i="49"/>
  <c r="G17" i="49"/>
  <c r="G16" i="49"/>
  <c r="G15" i="49"/>
  <c r="G14" i="49"/>
  <c r="G13" i="49"/>
  <c r="G12" i="49"/>
  <c r="G11" i="49"/>
  <c r="G10" i="49"/>
  <c r="G36" i="48"/>
  <c r="G35" i="48"/>
  <c r="G34" i="48"/>
  <c r="G33" i="48"/>
  <c r="G32" i="48"/>
  <c r="G31" i="48"/>
  <c r="G30" i="48"/>
  <c r="G29" i="48"/>
  <c r="G28" i="48"/>
  <c r="G25" i="48"/>
  <c r="G24" i="48"/>
  <c r="G23" i="48"/>
  <c r="G22" i="48"/>
  <c r="G21" i="48"/>
  <c r="G20" i="48"/>
  <c r="G19" i="48"/>
  <c r="G18" i="48"/>
  <c r="G17" i="48"/>
  <c r="G16" i="48"/>
  <c r="G15" i="48"/>
  <c r="G14" i="48"/>
  <c r="G13" i="48"/>
  <c r="G12" i="48"/>
  <c r="G11" i="48"/>
  <c r="G10" i="48"/>
  <c r="G36" i="47"/>
  <c r="G35" i="47"/>
  <c r="G34" i="47"/>
  <c r="G33" i="47"/>
  <c r="G32" i="47"/>
  <c r="G31" i="47"/>
  <c r="G30" i="47"/>
  <c r="G29" i="47"/>
  <c r="G28" i="47"/>
  <c r="G25" i="47"/>
  <c r="G24" i="47"/>
  <c r="G23" i="47"/>
  <c r="G22" i="47"/>
  <c r="G21" i="47"/>
  <c r="G20" i="47"/>
  <c r="G19" i="47"/>
  <c r="G18" i="47"/>
  <c r="G17" i="47"/>
  <c r="G16" i="47"/>
  <c r="G15" i="47"/>
  <c r="G14" i="47"/>
  <c r="G13" i="47"/>
  <c r="G12" i="47"/>
  <c r="G11" i="47"/>
  <c r="G10" i="47"/>
  <c r="G36" i="46"/>
  <c r="G35" i="46"/>
  <c r="G34" i="46"/>
  <c r="G33" i="46"/>
  <c r="G32" i="46"/>
  <c r="G31" i="46"/>
  <c r="G30" i="46"/>
  <c r="G29" i="46"/>
  <c r="G28" i="46"/>
  <c r="G25" i="46"/>
  <c r="G24" i="46"/>
  <c r="G23" i="46"/>
  <c r="G22" i="46"/>
  <c r="G21" i="46"/>
  <c r="G20" i="46"/>
  <c r="G19" i="46"/>
  <c r="G18" i="46"/>
  <c r="G17" i="46"/>
  <c r="G16" i="46"/>
  <c r="G15" i="46"/>
  <c r="G14" i="46"/>
  <c r="G13" i="46"/>
  <c r="G12" i="46"/>
  <c r="G11" i="46"/>
  <c r="G10" i="46"/>
  <c r="G36" i="45"/>
  <c r="G35" i="45"/>
  <c r="G34" i="45"/>
  <c r="G33" i="45"/>
  <c r="G32" i="45"/>
  <c r="G31" i="45"/>
  <c r="G30" i="45"/>
  <c r="G29" i="45"/>
  <c r="G28" i="45"/>
  <c r="G25" i="45"/>
  <c r="G24" i="45"/>
  <c r="G23" i="45"/>
  <c r="G22" i="45"/>
  <c r="G21" i="45"/>
  <c r="G20" i="45"/>
  <c r="G19" i="45"/>
  <c r="G18" i="45"/>
  <c r="G17" i="45"/>
  <c r="G16" i="45"/>
  <c r="G15" i="45"/>
  <c r="G14" i="45"/>
  <c r="G13" i="45"/>
  <c r="G12" i="45"/>
  <c r="G11" i="45"/>
  <c r="G10" i="45"/>
  <c r="G36" i="44"/>
  <c r="G35" i="44"/>
  <c r="G34" i="44"/>
  <c r="G33" i="44"/>
  <c r="G32" i="44"/>
  <c r="G31" i="44"/>
  <c r="G30" i="44"/>
  <c r="G29" i="44"/>
  <c r="G28" i="44"/>
  <c r="G25" i="44"/>
  <c r="G24" i="44"/>
  <c r="G23" i="44"/>
  <c r="G22" i="44"/>
  <c r="G21" i="44"/>
  <c r="G20" i="44"/>
  <c r="G19" i="44"/>
  <c r="G18" i="44"/>
  <c r="G17" i="44"/>
  <c r="G16" i="44"/>
  <c r="G15" i="44"/>
  <c r="G14" i="44"/>
  <c r="G13" i="44"/>
  <c r="G12" i="44"/>
  <c r="G11" i="44"/>
  <c r="G10" i="44"/>
  <c r="L90" i="83" l="1"/>
  <c r="L92" i="83" s="1"/>
  <c r="L87" i="81"/>
  <c r="L90" i="81" s="1"/>
  <c r="L92" i="81" s="1"/>
  <c r="L94" i="83"/>
  <c r="L86" i="82"/>
  <c r="L87" i="82" s="1"/>
  <c r="L90" i="82" s="1"/>
  <c r="L92" i="82" s="1"/>
  <c r="G36" i="43"/>
  <c r="G35" i="43"/>
  <c r="G34" i="43"/>
  <c r="G33" i="43"/>
  <c r="G32" i="43"/>
  <c r="G31" i="43"/>
  <c r="G30" i="43"/>
  <c r="G29" i="43"/>
  <c r="G28" i="43"/>
  <c r="G25" i="43"/>
  <c r="G24" i="43"/>
  <c r="G23" i="43"/>
  <c r="G22" i="43"/>
  <c r="G21" i="43"/>
  <c r="G20" i="43"/>
  <c r="G19" i="43"/>
  <c r="G18" i="43"/>
  <c r="G17" i="43"/>
  <c r="G16" i="43"/>
  <c r="G15" i="43"/>
  <c r="G14" i="43"/>
  <c r="G13" i="43"/>
  <c r="G12" i="43"/>
  <c r="G11" i="43"/>
  <c r="G10" i="43"/>
  <c r="G36" i="42"/>
  <c r="G35" i="42"/>
  <c r="G34" i="42"/>
  <c r="G33" i="42"/>
  <c r="G32" i="42"/>
  <c r="G31" i="42"/>
  <c r="G30" i="42"/>
  <c r="G29" i="42"/>
  <c r="G28" i="42"/>
  <c r="G25" i="42"/>
  <c r="G24" i="42"/>
  <c r="G23" i="42"/>
  <c r="G22" i="42"/>
  <c r="G21" i="42"/>
  <c r="G20" i="42"/>
  <c r="G19" i="42"/>
  <c r="G18" i="42"/>
  <c r="G17" i="42"/>
  <c r="G16" i="42"/>
  <c r="G15" i="42"/>
  <c r="G14" i="42"/>
  <c r="G13" i="42"/>
  <c r="G12" i="42"/>
  <c r="G11" i="42"/>
  <c r="G10" i="42"/>
  <c r="G36" i="41"/>
  <c r="G35" i="41"/>
  <c r="G34" i="41"/>
  <c r="G33" i="41"/>
  <c r="G32" i="41"/>
  <c r="G31" i="41"/>
  <c r="G30" i="41"/>
  <c r="G29" i="41"/>
  <c r="G28" i="41"/>
  <c r="G25" i="41"/>
  <c r="G24" i="41"/>
  <c r="G23" i="41"/>
  <c r="G22" i="41"/>
  <c r="G21" i="41"/>
  <c r="G20" i="41"/>
  <c r="G19" i="41"/>
  <c r="G18" i="41"/>
  <c r="G17" i="41"/>
  <c r="G16" i="41"/>
  <c r="G15" i="41"/>
  <c r="G14" i="41"/>
  <c r="G13" i="41"/>
  <c r="G12" i="41"/>
  <c r="G11" i="41"/>
  <c r="G10" i="41"/>
  <c r="G36" i="40"/>
  <c r="G35" i="40"/>
  <c r="G34" i="40"/>
  <c r="G33" i="40"/>
  <c r="G32" i="40"/>
  <c r="G31" i="40"/>
  <c r="G30" i="40"/>
  <c r="G29" i="40"/>
  <c r="G28" i="40"/>
  <c r="G25" i="40"/>
  <c r="G24" i="40"/>
  <c r="G23" i="40"/>
  <c r="G22" i="40"/>
  <c r="G21" i="40"/>
  <c r="G20" i="40"/>
  <c r="G19" i="40"/>
  <c r="G18" i="40"/>
  <c r="G17" i="40"/>
  <c r="G16" i="40"/>
  <c r="G15" i="40"/>
  <c r="G14" i="40"/>
  <c r="G13" i="40"/>
  <c r="G12" i="40"/>
  <c r="G11" i="40"/>
  <c r="G10" i="40"/>
  <c r="G36" i="39"/>
  <c r="G35" i="39"/>
  <c r="G34" i="39"/>
  <c r="G33" i="39"/>
  <c r="G32" i="39"/>
  <c r="G31" i="39"/>
  <c r="G30" i="39"/>
  <c r="G29" i="39"/>
  <c r="G28" i="39"/>
  <c r="G25" i="39"/>
  <c r="G24" i="39"/>
  <c r="G23" i="39"/>
  <c r="G22" i="39"/>
  <c r="G21" i="39"/>
  <c r="G20" i="39"/>
  <c r="G19" i="39"/>
  <c r="G18" i="39"/>
  <c r="G17" i="39"/>
  <c r="G16" i="39"/>
  <c r="G15" i="39"/>
  <c r="G14" i="39"/>
  <c r="G13" i="39"/>
  <c r="G12" i="39"/>
  <c r="G11" i="39"/>
  <c r="G10" i="39"/>
  <c r="G36" i="38"/>
  <c r="G35" i="38"/>
  <c r="G34" i="38"/>
  <c r="G33" i="38"/>
  <c r="G32" i="38"/>
  <c r="G31" i="38"/>
  <c r="G30" i="38"/>
  <c r="G29" i="38"/>
  <c r="G28" i="38"/>
  <c r="G25" i="38"/>
  <c r="G24" i="38"/>
  <c r="G23" i="38"/>
  <c r="G22" i="38"/>
  <c r="G21" i="38"/>
  <c r="G20" i="38"/>
  <c r="G19" i="38"/>
  <c r="G18" i="38"/>
  <c r="G17" i="38"/>
  <c r="G16" i="38"/>
  <c r="G15" i="38"/>
  <c r="G14" i="38"/>
  <c r="G13" i="38"/>
  <c r="G12" i="38"/>
  <c r="G11" i="38"/>
  <c r="G10" i="38"/>
  <c r="G36" i="37"/>
  <c r="G35" i="37"/>
  <c r="G34" i="37"/>
  <c r="G33" i="37"/>
  <c r="G32" i="37"/>
  <c r="G31" i="37"/>
  <c r="G30" i="37"/>
  <c r="G29" i="37"/>
  <c r="G28" i="37"/>
  <c r="G25" i="37"/>
  <c r="G24" i="37"/>
  <c r="G23" i="37"/>
  <c r="G22" i="37"/>
  <c r="G21" i="37"/>
  <c r="G20" i="37"/>
  <c r="G19" i="37"/>
  <c r="G18" i="37"/>
  <c r="G17" i="37"/>
  <c r="G16" i="37"/>
  <c r="G15" i="37"/>
  <c r="G14" i="37"/>
  <c r="G13" i="37"/>
  <c r="G12" i="37"/>
  <c r="G10" i="37"/>
  <c r="G11" i="37"/>
  <c r="G36" i="36"/>
  <c r="G35" i="36"/>
  <c r="G34" i="36"/>
  <c r="G33" i="36"/>
  <c r="G32" i="36"/>
  <c r="G31" i="36"/>
  <c r="G30" i="36"/>
  <c r="G29" i="36"/>
  <c r="G28" i="36"/>
  <c r="G25" i="36"/>
  <c r="G24" i="36"/>
  <c r="G23" i="36"/>
  <c r="G22" i="36"/>
  <c r="G21" i="36"/>
  <c r="G20" i="36"/>
  <c r="G19" i="36"/>
  <c r="G18" i="36"/>
  <c r="G17" i="36"/>
  <c r="G16" i="36"/>
  <c r="G15" i="36"/>
  <c r="G14" i="36"/>
  <c r="G13" i="36"/>
  <c r="G12" i="36"/>
  <c r="G11" i="36"/>
  <c r="G10" i="36"/>
  <c r="G36" i="35"/>
  <c r="G35" i="35"/>
  <c r="G34" i="35"/>
  <c r="G33" i="35"/>
  <c r="G32" i="35"/>
  <c r="G31" i="35"/>
  <c r="G30" i="35"/>
  <c r="G29" i="35"/>
  <c r="G28" i="35"/>
  <c r="G25" i="35"/>
  <c r="G24" i="35"/>
  <c r="G23" i="35"/>
  <c r="G22" i="35"/>
  <c r="G21" i="35"/>
  <c r="G20" i="35"/>
  <c r="G19" i="35"/>
  <c r="G18" i="35"/>
  <c r="G17" i="35"/>
  <c r="G16" i="35"/>
  <c r="G15" i="35"/>
  <c r="G14" i="35"/>
  <c r="G13" i="35"/>
  <c r="G12" i="35"/>
  <c r="G11" i="35"/>
  <c r="G10" i="35"/>
  <c r="G36" i="34"/>
  <c r="G35" i="34"/>
  <c r="G34" i="34"/>
  <c r="G33" i="34"/>
  <c r="G32" i="34"/>
  <c r="G31" i="34"/>
  <c r="G30" i="34"/>
  <c r="G29" i="34"/>
  <c r="G28" i="34"/>
  <c r="G25" i="34"/>
  <c r="G24" i="34"/>
  <c r="G23" i="34"/>
  <c r="G22" i="34"/>
  <c r="G21" i="34"/>
  <c r="G20" i="34"/>
  <c r="G19" i="34"/>
  <c r="G18" i="34"/>
  <c r="G17" i="34"/>
  <c r="G16" i="34"/>
  <c r="G15" i="34"/>
  <c r="G14" i="34"/>
  <c r="G13" i="34"/>
  <c r="G12" i="34"/>
  <c r="G11" i="34"/>
  <c r="G10" i="34"/>
  <c r="G36" i="33"/>
  <c r="G35" i="33"/>
  <c r="G34" i="33"/>
  <c r="G33" i="33"/>
  <c r="G32" i="33"/>
  <c r="G31" i="33"/>
  <c r="G30" i="33"/>
  <c r="G29" i="33"/>
  <c r="G28" i="33"/>
  <c r="G25" i="33"/>
  <c r="G24" i="33"/>
  <c r="G23" i="33"/>
  <c r="G22" i="33"/>
  <c r="G21" i="33"/>
  <c r="G20" i="33"/>
  <c r="G19" i="33"/>
  <c r="G18" i="33"/>
  <c r="G17" i="33"/>
  <c r="G16" i="33"/>
  <c r="G15" i="33"/>
  <c r="G14" i="33"/>
  <c r="G13" i="33"/>
  <c r="G12" i="33"/>
  <c r="G11" i="33"/>
  <c r="G10" i="33"/>
  <c r="G36" i="32"/>
  <c r="G35" i="32"/>
  <c r="G34" i="32"/>
  <c r="G33" i="32"/>
  <c r="G32" i="32"/>
  <c r="G31" i="32"/>
  <c r="G30" i="32"/>
  <c r="G29" i="32"/>
  <c r="G28" i="32"/>
  <c r="G25" i="32"/>
  <c r="G24" i="32"/>
  <c r="G23" i="32"/>
  <c r="G22" i="32"/>
  <c r="G21" i="32"/>
  <c r="G20" i="32"/>
  <c r="G19" i="32"/>
  <c r="G18" i="32"/>
  <c r="G17" i="32"/>
  <c r="G16" i="32"/>
  <c r="G15" i="32"/>
  <c r="G14" i="32"/>
  <c r="G13" i="32"/>
  <c r="G12" i="32"/>
  <c r="G11" i="32"/>
  <c r="G10" i="32"/>
  <c r="G36" i="31"/>
  <c r="G35" i="31"/>
  <c r="G34" i="31"/>
  <c r="G33" i="31"/>
  <c r="G32" i="31"/>
  <c r="G31" i="31"/>
  <c r="G30" i="31"/>
  <c r="G29" i="31"/>
  <c r="G28" i="31"/>
  <c r="G25" i="31"/>
  <c r="G24" i="31"/>
  <c r="G23" i="31"/>
  <c r="G22" i="31"/>
  <c r="G21" i="31"/>
  <c r="G20" i="31"/>
  <c r="G19" i="31"/>
  <c r="G18" i="31"/>
  <c r="G17" i="31"/>
  <c r="G16" i="31"/>
  <c r="G15" i="31"/>
  <c r="G14" i="31"/>
  <c r="G13" i="31"/>
  <c r="G12" i="31"/>
  <c r="G11" i="31"/>
  <c r="G10" i="31"/>
  <c r="G36" i="30"/>
  <c r="G35" i="30"/>
  <c r="G33" i="30"/>
  <c r="G32" i="30"/>
  <c r="G31" i="30"/>
  <c r="G30" i="30"/>
  <c r="G29" i="30"/>
  <c r="G28" i="30"/>
  <c r="G25" i="30"/>
  <c r="G24" i="30"/>
  <c r="G23" i="30"/>
  <c r="G22" i="30"/>
  <c r="G21" i="30"/>
  <c r="G20" i="30"/>
  <c r="G19" i="30"/>
  <c r="G18" i="30"/>
  <c r="G17" i="30"/>
  <c r="G16" i="30"/>
  <c r="G15" i="30"/>
  <c r="G14" i="30"/>
  <c r="G13" i="30"/>
  <c r="G12" i="30"/>
  <c r="G11" i="30"/>
  <c r="G10" i="30"/>
  <c r="G36" i="29"/>
  <c r="G35" i="29"/>
  <c r="G34" i="29"/>
  <c r="G33" i="29"/>
  <c r="G32" i="29"/>
  <c r="G31" i="29"/>
  <c r="G30" i="29"/>
  <c r="G29" i="29"/>
  <c r="G28" i="29"/>
  <c r="G25" i="29"/>
  <c r="G24" i="29"/>
  <c r="G23" i="29"/>
  <c r="G22" i="29"/>
  <c r="G21" i="29"/>
  <c r="G20" i="29"/>
  <c r="G19" i="29"/>
  <c r="G18" i="29"/>
  <c r="G17" i="29"/>
  <c r="G16" i="29"/>
  <c r="G15" i="29"/>
  <c r="G14" i="29"/>
  <c r="G13" i="29"/>
  <c r="G12" i="29"/>
  <c r="G11" i="29"/>
  <c r="G10" i="29"/>
  <c r="G36" i="28"/>
  <c r="G35" i="28"/>
  <c r="G34" i="28"/>
  <c r="G33" i="28"/>
  <c r="G32" i="28"/>
  <c r="G31" i="28"/>
  <c r="G30" i="28"/>
  <c r="G29" i="28"/>
  <c r="G28" i="28"/>
  <c r="G25" i="28"/>
  <c r="G24" i="28"/>
  <c r="G23" i="28"/>
  <c r="G22" i="28"/>
  <c r="G21" i="28"/>
  <c r="G20" i="28"/>
  <c r="G19" i="28"/>
  <c r="G18" i="28"/>
  <c r="G17" i="28"/>
  <c r="G16" i="28"/>
  <c r="G15" i="28"/>
  <c r="G14" i="28"/>
  <c r="G13" i="28"/>
  <c r="G12" i="28"/>
  <c r="G11" i="28"/>
  <c r="G10" i="28"/>
  <c r="G36" i="27"/>
  <c r="G35" i="27"/>
  <c r="G34" i="27"/>
  <c r="G33" i="27"/>
  <c r="G32" i="27"/>
  <c r="G31" i="27"/>
  <c r="G30" i="27"/>
  <c r="G29" i="27"/>
  <c r="G28" i="27"/>
  <c r="G25" i="27"/>
  <c r="G24" i="27"/>
  <c r="G23" i="27"/>
  <c r="G22" i="27"/>
  <c r="G21" i="27"/>
  <c r="G20" i="27"/>
  <c r="G19" i="27"/>
  <c r="G18" i="27"/>
  <c r="G17" i="27"/>
  <c r="G16" i="27"/>
  <c r="G15" i="27"/>
  <c r="G14" i="27"/>
  <c r="G13" i="27"/>
  <c r="G12" i="27"/>
  <c r="G11" i="27"/>
  <c r="G10" i="27"/>
  <c r="G36" i="26"/>
  <c r="G35" i="26"/>
  <c r="G34" i="26"/>
  <c r="G33" i="26"/>
  <c r="G32" i="26"/>
  <c r="G31" i="26"/>
  <c r="G30" i="26"/>
  <c r="G29" i="26"/>
  <c r="G28" i="26"/>
  <c r="G25" i="26"/>
  <c r="G24" i="26"/>
  <c r="G23" i="26"/>
  <c r="G22" i="26"/>
  <c r="G21" i="26"/>
  <c r="G20" i="26"/>
  <c r="G19" i="26"/>
  <c r="G18" i="26"/>
  <c r="G17" i="26"/>
  <c r="G16" i="26"/>
  <c r="G15" i="26"/>
  <c r="G14" i="26"/>
  <c r="G13" i="26"/>
  <c r="G12" i="26"/>
  <c r="G11" i="26"/>
  <c r="G10" i="26"/>
  <c r="G36" i="25"/>
  <c r="G35" i="25"/>
  <c r="G34" i="25"/>
  <c r="G33" i="25"/>
  <c r="G32" i="25"/>
  <c r="G31" i="25"/>
  <c r="G30" i="25"/>
  <c r="G29" i="25"/>
  <c r="G28" i="25"/>
  <c r="G25" i="25"/>
  <c r="G24" i="25"/>
  <c r="G23" i="25"/>
  <c r="G22" i="25"/>
  <c r="G21" i="25"/>
  <c r="G20" i="25"/>
  <c r="G19" i="25"/>
  <c r="G18" i="25"/>
  <c r="G17" i="25"/>
  <c r="G16" i="25"/>
  <c r="G15" i="25"/>
  <c r="G14" i="25"/>
  <c r="G13" i="25"/>
  <c r="G12" i="25"/>
  <c r="G11" i="25"/>
  <c r="G10" i="25"/>
  <c r="L94" i="82" l="1"/>
  <c r="C17" i="79"/>
  <c r="C19" i="79" s="1"/>
  <c r="C20" i="79" l="1"/>
  <c r="C21" i="79" s="1"/>
  <c r="C25" i="79" l="1"/>
  <c r="C27" i="79" s="1"/>
  <c r="C23" i="79"/>
  <c r="C28" i="79" l="1"/>
  <c r="C29" i="79" s="1"/>
  <c r="C32" i="79" s="1"/>
  <c r="B136" i="78" l="1"/>
  <c r="B135" i="78"/>
  <c r="M86" i="78"/>
  <c r="V79" i="78"/>
  <c r="V78" i="78"/>
  <c r="Y77" i="78"/>
  <c r="V77" i="78"/>
  <c r="Y76" i="78"/>
  <c r="G76" i="78"/>
  <c r="I76" i="78" s="1"/>
  <c r="AB75" i="78"/>
  <c r="G75" i="78"/>
  <c r="I75" i="78" s="1"/>
  <c r="AB74" i="78"/>
  <c r="Y71" i="78"/>
  <c r="Y70" i="78"/>
  <c r="Y69" i="78"/>
  <c r="Y68" i="78"/>
  <c r="Y66" i="78"/>
  <c r="X65" i="78"/>
  <c r="G65" i="78"/>
  <c r="X64" i="78" s="1"/>
  <c r="Y58" i="78" s="1"/>
  <c r="X61" i="78"/>
  <c r="X60" i="78"/>
  <c r="J56" i="78"/>
  <c r="AA56" i="78" s="1"/>
  <c r="AA53" i="78"/>
  <c r="Z49" i="78"/>
  <c r="G49" i="78"/>
  <c r="Z48" i="78"/>
  <c r="G48" i="78"/>
  <c r="Z47" i="78"/>
  <c r="G47" i="78"/>
  <c r="X40" i="78"/>
  <c r="K40" i="78"/>
  <c r="X39" i="78"/>
  <c r="AB40" i="78" s="1"/>
  <c r="X37" i="78"/>
  <c r="E37" i="78"/>
  <c r="D37" i="78"/>
  <c r="AC36" i="78"/>
  <c r="AB36" i="78"/>
  <c r="L36" i="78"/>
  <c r="AC35" i="78"/>
  <c r="AB35" i="78"/>
  <c r="L35" i="78"/>
  <c r="AC34" i="78"/>
  <c r="AB34" i="78"/>
  <c r="L34" i="78"/>
  <c r="AC33" i="78"/>
  <c r="AB33" i="78"/>
  <c r="L33" i="78"/>
  <c r="AC32" i="78"/>
  <c r="AB32" i="78"/>
  <c r="L32" i="78"/>
  <c r="AC31" i="78"/>
  <c r="AB31" i="78"/>
  <c r="L31" i="78"/>
  <c r="AC30" i="78"/>
  <c r="AB30" i="78"/>
  <c r="L30" i="78"/>
  <c r="AC29" i="78"/>
  <c r="AB29" i="78"/>
  <c r="L29" i="78"/>
  <c r="AC28" i="78"/>
  <c r="AC37" i="78" s="1"/>
  <c r="AB28" i="78"/>
  <c r="E26" i="78"/>
  <c r="D26" i="78"/>
  <c r="K25" i="78"/>
  <c r="L25" i="78" s="1"/>
  <c r="I23" i="78"/>
  <c r="I24" i="78" s="1"/>
  <c r="K23" i="78"/>
  <c r="L23" i="78" s="1"/>
  <c r="K22" i="78"/>
  <c r="L22" i="78" s="1"/>
  <c r="K21" i="78"/>
  <c r="L21" i="78" s="1"/>
  <c r="I20" i="78"/>
  <c r="I21" i="78" s="1"/>
  <c r="K20" i="78"/>
  <c r="L20" i="78" s="1"/>
  <c r="K19" i="78"/>
  <c r="L19" i="78" s="1"/>
  <c r="I17" i="78"/>
  <c r="I18" i="78" s="1"/>
  <c r="K17" i="78"/>
  <c r="L17" i="78" s="1"/>
  <c r="K16" i="78"/>
  <c r="L16" i="78" s="1"/>
  <c r="I15" i="78"/>
  <c r="M15" i="78"/>
  <c r="K14" i="78"/>
  <c r="I13" i="78"/>
  <c r="M13" i="78"/>
  <c r="K12" i="78"/>
  <c r="I11" i="78"/>
  <c r="K10" i="78"/>
  <c r="L10" i="78" s="1"/>
  <c r="AB7" i="78"/>
  <c r="X7" i="78"/>
  <c r="V4" i="78"/>
  <c r="B3" i="78"/>
  <c r="V2" i="78"/>
  <c r="B136" i="77"/>
  <c r="B135" i="77"/>
  <c r="M86" i="77"/>
  <c r="V79" i="77"/>
  <c r="V78" i="77"/>
  <c r="Y77" i="77"/>
  <c r="V77" i="77"/>
  <c r="Y76" i="77"/>
  <c r="G76" i="77"/>
  <c r="I76" i="77" s="1"/>
  <c r="AB75" i="77"/>
  <c r="G75" i="77"/>
  <c r="I75" i="77" s="1"/>
  <c r="AB74" i="77"/>
  <c r="Y71" i="77"/>
  <c r="Y70" i="77"/>
  <c r="Y69" i="77"/>
  <c r="Y68" i="77"/>
  <c r="Y66" i="77"/>
  <c r="X65" i="77"/>
  <c r="G65" i="77"/>
  <c r="X64" i="77" s="1"/>
  <c r="Y58" i="77" s="1"/>
  <c r="X61" i="77"/>
  <c r="X60" i="77"/>
  <c r="J56" i="77"/>
  <c r="AA56" i="77" s="1"/>
  <c r="AA53" i="77"/>
  <c r="Z49" i="77"/>
  <c r="G49" i="77"/>
  <c r="Z48" i="77"/>
  <c r="G48" i="77"/>
  <c r="Z47" i="77"/>
  <c r="G47" i="77"/>
  <c r="X40" i="77"/>
  <c r="K40" i="77"/>
  <c r="X39" i="77"/>
  <c r="AB40" i="77" s="1"/>
  <c r="X37" i="77"/>
  <c r="E37" i="77"/>
  <c r="D37" i="77"/>
  <c r="AB36" i="77"/>
  <c r="AC36" i="77" s="1"/>
  <c r="L36" i="77"/>
  <c r="AB35" i="77"/>
  <c r="AC35" i="77" s="1"/>
  <c r="L35" i="77"/>
  <c r="AB34" i="77"/>
  <c r="AC34" i="77" s="1"/>
  <c r="L34" i="77"/>
  <c r="AB33" i="77"/>
  <c r="AC33" i="77" s="1"/>
  <c r="L33" i="77"/>
  <c r="AB32" i="77"/>
  <c r="AC32" i="77" s="1"/>
  <c r="L32" i="77"/>
  <c r="AB31" i="77"/>
  <c r="AC31" i="77" s="1"/>
  <c r="L31" i="77"/>
  <c r="AB30" i="77"/>
  <c r="AC30" i="77" s="1"/>
  <c r="L30" i="77"/>
  <c r="AB29" i="77"/>
  <c r="AC29" i="77" s="1"/>
  <c r="L29" i="77"/>
  <c r="AB28" i="77"/>
  <c r="AC28" i="77" s="1"/>
  <c r="AC37" i="77" s="1"/>
  <c r="E26" i="77"/>
  <c r="D26" i="77"/>
  <c r="K25" i="77"/>
  <c r="L25" i="77" s="1"/>
  <c r="I24" i="77"/>
  <c r="K24" i="77"/>
  <c r="L24" i="77" s="1"/>
  <c r="I23" i="77"/>
  <c r="K23" i="77"/>
  <c r="L23" i="77" s="1"/>
  <c r="K22" i="77"/>
  <c r="L22" i="77" s="1"/>
  <c r="I21" i="77"/>
  <c r="K21" i="77"/>
  <c r="L21" i="77" s="1"/>
  <c r="I20" i="77"/>
  <c r="K20" i="77"/>
  <c r="L20" i="77" s="1"/>
  <c r="K19" i="77"/>
  <c r="L19" i="77" s="1"/>
  <c r="I18" i="77"/>
  <c r="K18" i="77"/>
  <c r="L18" i="77" s="1"/>
  <c r="I17" i="77"/>
  <c r="K17" i="77"/>
  <c r="L17" i="77" s="1"/>
  <c r="K16" i="77"/>
  <c r="L16" i="77" s="1"/>
  <c r="I15" i="77"/>
  <c r="M15" i="77"/>
  <c r="K14" i="77"/>
  <c r="I13" i="77"/>
  <c r="K12" i="77"/>
  <c r="I11" i="77"/>
  <c r="AB7" i="77"/>
  <c r="X7" i="77"/>
  <c r="V4" i="77"/>
  <c r="B3" i="77"/>
  <c r="V2" i="77"/>
  <c r="G37" i="78" l="1"/>
  <c r="L28" i="78"/>
  <c r="L37" i="78" s="1"/>
  <c r="M13" i="77"/>
  <c r="M11" i="77"/>
  <c r="G26" i="78"/>
  <c r="K84" i="78" s="1"/>
  <c r="M11" i="78"/>
  <c r="K11" i="78"/>
  <c r="L11" i="78" s="1"/>
  <c r="L12" i="78"/>
  <c r="K18" i="78"/>
  <c r="L18" i="78" s="1"/>
  <c r="K24" i="78"/>
  <c r="L24" i="78" s="1"/>
  <c r="X49" i="78"/>
  <c r="X47" i="78"/>
  <c r="X48" i="78"/>
  <c r="C47" i="78"/>
  <c r="L14" i="78"/>
  <c r="L40" i="78"/>
  <c r="L75" i="78"/>
  <c r="Z74" i="78"/>
  <c r="AC74" i="78" s="1"/>
  <c r="L76" i="78"/>
  <c r="Z75" i="78"/>
  <c r="AC75" i="78" s="1"/>
  <c r="K13" i="78"/>
  <c r="L13" i="78" s="1"/>
  <c r="K15" i="78"/>
  <c r="L15" i="78" s="1"/>
  <c r="G26" i="77"/>
  <c r="K84" i="77" s="1"/>
  <c r="L14" i="77"/>
  <c r="L12" i="77"/>
  <c r="X49" i="77"/>
  <c r="X47" i="77"/>
  <c r="X48" i="77"/>
  <c r="K10" i="77"/>
  <c r="K11" i="77"/>
  <c r="L11" i="77" s="1"/>
  <c r="K13" i="77"/>
  <c r="L13" i="77" s="1"/>
  <c r="K15" i="77"/>
  <c r="L15" i="77" s="1"/>
  <c r="G37" i="77"/>
  <c r="L28" i="77"/>
  <c r="L37" i="77" s="1"/>
  <c r="L75" i="77"/>
  <c r="Z74" i="77"/>
  <c r="AC74" i="77" s="1"/>
  <c r="L76" i="77"/>
  <c r="Z75" i="77"/>
  <c r="AC75" i="77" s="1"/>
  <c r="L92" i="55"/>
  <c r="G56" i="78" l="1"/>
  <c r="K57" i="78" s="1"/>
  <c r="K69" i="78" s="1"/>
  <c r="L69" i="78" s="1"/>
  <c r="G56" i="77"/>
  <c r="K57" i="77" s="1"/>
  <c r="K69" i="77" s="1"/>
  <c r="L69" i="77" s="1"/>
  <c r="L26" i="78"/>
  <c r="L44" i="78" s="1"/>
  <c r="C49" i="78"/>
  <c r="K49" i="78" s="1"/>
  <c r="K47" i="78"/>
  <c r="C48" i="78"/>
  <c r="K48" i="78" s="1"/>
  <c r="X23" i="78"/>
  <c r="AB23" i="78" s="1"/>
  <c r="AC23" i="78" s="1"/>
  <c r="X20" i="78"/>
  <c r="AB20" i="78" s="1"/>
  <c r="AC20" i="78" s="1"/>
  <c r="X17" i="78"/>
  <c r="AB17" i="78" s="1"/>
  <c r="AC17" i="78" s="1"/>
  <c r="X25" i="78"/>
  <c r="AB25" i="78" s="1"/>
  <c r="AC25" i="78" s="1"/>
  <c r="X24" i="78"/>
  <c r="AB24" i="78" s="1"/>
  <c r="AC24" i="78" s="1"/>
  <c r="X22" i="78"/>
  <c r="AB22" i="78" s="1"/>
  <c r="AC22" i="78" s="1"/>
  <c r="X21" i="78"/>
  <c r="AB21" i="78" s="1"/>
  <c r="AC21" i="78" s="1"/>
  <c r="X19" i="78"/>
  <c r="AB19" i="78" s="1"/>
  <c r="AC19" i="78" s="1"/>
  <c r="X18" i="78"/>
  <c r="AB18" i="78" s="1"/>
  <c r="AC18" i="78" s="1"/>
  <c r="X16" i="78"/>
  <c r="AB16" i="78" s="1"/>
  <c r="AC16" i="78" s="1"/>
  <c r="X15" i="78"/>
  <c r="AB15" i="78" s="1"/>
  <c r="AC15" i="78" s="1"/>
  <c r="X12" i="78"/>
  <c r="AB12" i="78" s="1"/>
  <c r="X11" i="78"/>
  <c r="AB11" i="78" s="1"/>
  <c r="AC11" i="78" s="1"/>
  <c r="X10" i="78"/>
  <c r="X14" i="78"/>
  <c r="AB14" i="78" s="1"/>
  <c r="X13" i="78"/>
  <c r="AB13" i="78" s="1"/>
  <c r="AC13" i="78" s="1"/>
  <c r="K26" i="78"/>
  <c r="G53" i="78" s="1"/>
  <c r="K54" i="78" s="1"/>
  <c r="K72" i="78"/>
  <c r="L72" i="78" s="1"/>
  <c r="L40" i="77"/>
  <c r="C47" i="77"/>
  <c r="K26" i="77"/>
  <c r="G53" i="77" s="1"/>
  <c r="K54" i="77" s="1"/>
  <c r="L10" i="77"/>
  <c r="L26" i="77" s="1"/>
  <c r="C48" i="77"/>
  <c r="K48" i="77" s="1"/>
  <c r="C49" i="77"/>
  <c r="K49" i="77" s="1"/>
  <c r="X25" i="77"/>
  <c r="AB25" i="77" s="1"/>
  <c r="AC25" i="77" s="1"/>
  <c r="X24" i="77"/>
  <c r="AB24" i="77" s="1"/>
  <c r="AC24" i="77" s="1"/>
  <c r="X22" i="77"/>
  <c r="AB22" i="77" s="1"/>
  <c r="AC22" i="77" s="1"/>
  <c r="X21" i="77"/>
  <c r="AB21" i="77" s="1"/>
  <c r="AC21" i="77" s="1"/>
  <c r="X19" i="77"/>
  <c r="AB19" i="77" s="1"/>
  <c r="AC19" i="77" s="1"/>
  <c r="X23" i="77"/>
  <c r="AB23" i="77" s="1"/>
  <c r="AC23" i="77" s="1"/>
  <c r="X20" i="77"/>
  <c r="AB20" i="77" s="1"/>
  <c r="AC20" i="77" s="1"/>
  <c r="X17" i="77"/>
  <c r="AB17" i="77" s="1"/>
  <c r="AC17" i="77" s="1"/>
  <c r="X18" i="77"/>
  <c r="AB18" i="77" s="1"/>
  <c r="AC18" i="77" s="1"/>
  <c r="X16" i="77"/>
  <c r="AB16" i="77" s="1"/>
  <c r="AC16" i="77" s="1"/>
  <c r="X15" i="77"/>
  <c r="AB15" i="77" s="1"/>
  <c r="AC15" i="77" s="1"/>
  <c r="X14" i="77"/>
  <c r="AB14" i="77" s="1"/>
  <c r="X13" i="77"/>
  <c r="AB13" i="77" s="1"/>
  <c r="AC13" i="77" s="1"/>
  <c r="X12" i="77"/>
  <c r="AB12" i="77" s="1"/>
  <c r="X11" i="77"/>
  <c r="AB11" i="77" s="1"/>
  <c r="AC11" i="77" s="1"/>
  <c r="X10" i="77"/>
  <c r="K10" i="25"/>
  <c r="B136" i="73"/>
  <c r="B135" i="73"/>
  <c r="M86" i="73"/>
  <c r="V79" i="73"/>
  <c r="V78" i="73"/>
  <c r="Y77" i="73"/>
  <c r="V77" i="73"/>
  <c r="Y76" i="73"/>
  <c r="G76" i="73"/>
  <c r="I76" i="73" s="1"/>
  <c r="Z75" i="73" s="1"/>
  <c r="AB75" i="73"/>
  <c r="G75" i="73"/>
  <c r="I75" i="73" s="1"/>
  <c r="Z74" i="73" s="1"/>
  <c r="AB74" i="73"/>
  <c r="Y71" i="73"/>
  <c r="Y70" i="73"/>
  <c r="Y69" i="73"/>
  <c r="Y68" i="73"/>
  <c r="Y66" i="73"/>
  <c r="X65" i="73"/>
  <c r="G65" i="73"/>
  <c r="X64" i="73" s="1"/>
  <c r="X61" i="73"/>
  <c r="X60" i="73"/>
  <c r="Y58" i="73"/>
  <c r="J56" i="73"/>
  <c r="AA56" i="73" s="1"/>
  <c r="AA53" i="73"/>
  <c r="Z49" i="73"/>
  <c r="G49" i="73"/>
  <c r="Z48" i="73"/>
  <c r="G48" i="73"/>
  <c r="Z47" i="73"/>
  <c r="G47" i="73"/>
  <c r="X40" i="73"/>
  <c r="K40" i="73"/>
  <c r="X39" i="73"/>
  <c r="AB40" i="73" s="1"/>
  <c r="X37" i="73"/>
  <c r="E37" i="73"/>
  <c r="D37" i="73"/>
  <c r="AB36" i="73"/>
  <c r="AC36" i="73" s="1"/>
  <c r="L36" i="73"/>
  <c r="AB35" i="73"/>
  <c r="AC35" i="73" s="1"/>
  <c r="L35" i="73"/>
  <c r="AB34" i="73"/>
  <c r="AC34" i="73" s="1"/>
  <c r="L34" i="73"/>
  <c r="AB33" i="73"/>
  <c r="AC33" i="73" s="1"/>
  <c r="L33" i="73"/>
  <c r="AB32" i="73"/>
  <c r="AC32" i="73" s="1"/>
  <c r="L32" i="73"/>
  <c r="AB31" i="73"/>
  <c r="AC31" i="73" s="1"/>
  <c r="L31" i="73"/>
  <c r="AB30" i="73"/>
  <c r="AC30" i="73" s="1"/>
  <c r="L30" i="73"/>
  <c r="AB29" i="73"/>
  <c r="AC29" i="73" s="1"/>
  <c r="L29" i="73"/>
  <c r="AB28" i="73"/>
  <c r="AC28" i="73" s="1"/>
  <c r="AC37" i="73" s="1"/>
  <c r="L28" i="73"/>
  <c r="E26" i="73"/>
  <c r="D26" i="73"/>
  <c r="K25" i="73"/>
  <c r="L25" i="73" s="1"/>
  <c r="I24" i="73"/>
  <c r="I23" i="73"/>
  <c r="K23" i="73"/>
  <c r="L23" i="73" s="1"/>
  <c r="K22" i="73"/>
  <c r="L22" i="73" s="1"/>
  <c r="I21" i="73"/>
  <c r="I20" i="73"/>
  <c r="K20" i="73"/>
  <c r="L20" i="73" s="1"/>
  <c r="K19" i="73"/>
  <c r="L19" i="73" s="1"/>
  <c r="I17" i="73"/>
  <c r="I18" i="73" s="1"/>
  <c r="K17" i="73"/>
  <c r="L17" i="73" s="1"/>
  <c r="K16" i="73"/>
  <c r="L16" i="73" s="1"/>
  <c r="I15" i="73"/>
  <c r="M15" i="73"/>
  <c r="K14" i="73"/>
  <c r="L14" i="73" s="1"/>
  <c r="I13" i="73"/>
  <c r="K12" i="73"/>
  <c r="I11" i="73"/>
  <c r="M11" i="73"/>
  <c r="K10" i="73"/>
  <c r="AB7" i="73"/>
  <c r="X48" i="73" s="1"/>
  <c r="X7" i="73"/>
  <c r="V4" i="73"/>
  <c r="B3" i="73"/>
  <c r="V2" i="73"/>
  <c r="AC74" i="73" l="1"/>
  <c r="L75" i="73"/>
  <c r="K72" i="77"/>
  <c r="L72" i="77" s="1"/>
  <c r="C50" i="78"/>
  <c r="X26" i="78"/>
  <c r="AB10" i="78"/>
  <c r="W48" i="78"/>
  <c r="AB48" i="78" s="1"/>
  <c r="AC12" i="78"/>
  <c r="L50" i="78"/>
  <c r="K78" i="78"/>
  <c r="L78" i="78" s="1"/>
  <c r="K77" i="78"/>
  <c r="L77" i="78" s="1"/>
  <c r="K71" i="78"/>
  <c r="L71" i="78" s="1"/>
  <c r="K70" i="78"/>
  <c r="L70" i="78" s="1"/>
  <c r="K67" i="78"/>
  <c r="L67" i="78" s="1"/>
  <c r="K59" i="78"/>
  <c r="L59" i="78" s="1"/>
  <c r="W49" i="78"/>
  <c r="AB49" i="78" s="1"/>
  <c r="AC14" i="78"/>
  <c r="L44" i="77"/>
  <c r="X26" i="77"/>
  <c r="AB10" i="77"/>
  <c r="W48" i="77"/>
  <c r="AB48" i="77" s="1"/>
  <c r="AC12" i="77"/>
  <c r="W49" i="77"/>
  <c r="AB49" i="77" s="1"/>
  <c r="AC14" i="77"/>
  <c r="K78" i="77"/>
  <c r="L78" i="77" s="1"/>
  <c r="K77" i="77"/>
  <c r="L77" i="77" s="1"/>
  <c r="K71" i="77"/>
  <c r="L71" i="77" s="1"/>
  <c r="K70" i="77"/>
  <c r="L70" i="77" s="1"/>
  <c r="K67" i="77"/>
  <c r="L67" i="77" s="1"/>
  <c r="K59" i="77"/>
  <c r="L59" i="77" s="1"/>
  <c r="K47" i="77"/>
  <c r="L50" i="77" s="1"/>
  <c r="C50" i="77"/>
  <c r="L37" i="73"/>
  <c r="M13" i="73"/>
  <c r="G26" i="73"/>
  <c r="G56" i="73" s="1"/>
  <c r="K57" i="73" s="1"/>
  <c r="K18" i="73"/>
  <c r="L18" i="73" s="1"/>
  <c r="X47" i="73"/>
  <c r="AC75" i="73"/>
  <c r="L76" i="73"/>
  <c r="L10" i="73"/>
  <c r="K11" i="73"/>
  <c r="L11" i="73" s="1"/>
  <c r="L12" i="73"/>
  <c r="K13" i="73"/>
  <c r="L13" i="73" s="1"/>
  <c r="K15" i="73"/>
  <c r="L15" i="73" s="1"/>
  <c r="K21" i="73"/>
  <c r="L21" i="73" s="1"/>
  <c r="K24" i="73"/>
  <c r="L24" i="73" s="1"/>
  <c r="G37" i="73"/>
  <c r="C47" i="73"/>
  <c r="X49" i="73"/>
  <c r="AB26" i="78" l="1"/>
  <c r="X53" i="78" s="1"/>
  <c r="AB54" i="78" s="1"/>
  <c r="W47" i="78"/>
  <c r="AC10" i="78"/>
  <c r="AC26" i="78" s="1"/>
  <c r="L82" i="78"/>
  <c r="X56" i="78"/>
  <c r="AB57" i="78" s="1"/>
  <c r="AC40" i="78"/>
  <c r="L82" i="77"/>
  <c r="K86" i="77" s="1"/>
  <c r="W47" i="77"/>
  <c r="AB26" i="77"/>
  <c r="X53" i="77" s="1"/>
  <c r="AB54" i="77" s="1"/>
  <c r="AC10" i="77"/>
  <c r="AC26" i="77" s="1"/>
  <c r="X56" i="77"/>
  <c r="AB57" i="77" s="1"/>
  <c r="AC40" i="77"/>
  <c r="L40" i="73"/>
  <c r="K84" i="73"/>
  <c r="X24" i="73" s="1"/>
  <c r="AB24" i="73" s="1"/>
  <c r="AC24" i="73" s="1"/>
  <c r="K47" i="73"/>
  <c r="C49" i="73"/>
  <c r="K49" i="73" s="1"/>
  <c r="C48" i="73"/>
  <c r="K48" i="73" s="1"/>
  <c r="L26" i="73"/>
  <c r="L44" i="73" s="1"/>
  <c r="K26" i="73"/>
  <c r="G53" i="73" s="1"/>
  <c r="K54" i="73" s="1"/>
  <c r="K72" i="73"/>
  <c r="L72" i="73" s="1"/>
  <c r="K69" i="73"/>
  <c r="L69" i="73" s="1"/>
  <c r="X25" i="73" l="1"/>
  <c r="AB25" i="73" s="1"/>
  <c r="AC25" i="73" s="1"/>
  <c r="X11" i="73"/>
  <c r="AB11" i="73" s="1"/>
  <c r="AC11" i="73" s="1"/>
  <c r="X13" i="73"/>
  <c r="AB13" i="73" s="1"/>
  <c r="AC13" i="73" s="1"/>
  <c r="AB68" i="78"/>
  <c r="AC68" i="78" s="1"/>
  <c r="AB71" i="78"/>
  <c r="AC71" i="78" s="1"/>
  <c r="AC44" i="78"/>
  <c r="AB77" i="78"/>
  <c r="AC77" i="78" s="1"/>
  <c r="AB76" i="78"/>
  <c r="AC76" i="78" s="1"/>
  <c r="AB70" i="78"/>
  <c r="AC70" i="78" s="1"/>
  <c r="AB69" i="78"/>
  <c r="AC69" i="78" s="1"/>
  <c r="AB66" i="78"/>
  <c r="AC66" i="78" s="1"/>
  <c r="AB58" i="78"/>
  <c r="AC58" i="78" s="1"/>
  <c r="AB47" i="78"/>
  <c r="AC50" i="78" s="1"/>
  <c r="W50" i="78"/>
  <c r="AB77" i="77"/>
  <c r="AC77" i="77" s="1"/>
  <c r="AB76" i="77"/>
  <c r="AC76" i="77" s="1"/>
  <c r="AB70" i="77"/>
  <c r="AC70" i="77" s="1"/>
  <c r="AB69" i="77"/>
  <c r="AC69" i="77" s="1"/>
  <c r="AB66" i="77"/>
  <c r="AC66" i="77" s="1"/>
  <c r="AB58" i="77"/>
  <c r="AC58" i="77" s="1"/>
  <c r="L86" i="77"/>
  <c r="L87" i="77" s="1"/>
  <c r="L90" i="77" s="1"/>
  <c r="L92" i="77" s="1"/>
  <c r="AB68" i="77"/>
  <c r="AC68" i="77" s="1"/>
  <c r="AB71" i="77"/>
  <c r="AC71" i="77" s="1"/>
  <c r="AC44" i="77"/>
  <c r="AB47" i="77"/>
  <c r="AC50" i="77" s="1"/>
  <c r="W50" i="77"/>
  <c r="X18" i="73"/>
  <c r="AB18" i="73" s="1"/>
  <c r="AC18" i="73" s="1"/>
  <c r="X10" i="73"/>
  <c r="X12" i="73"/>
  <c r="AB12" i="73" s="1"/>
  <c r="X14" i="73"/>
  <c r="AB14" i="73" s="1"/>
  <c r="X19" i="73"/>
  <c r="AB19" i="73" s="1"/>
  <c r="AC19" i="73" s="1"/>
  <c r="X15" i="73"/>
  <c r="AB15" i="73" s="1"/>
  <c r="AC15" i="73" s="1"/>
  <c r="X20" i="73"/>
  <c r="AB20" i="73" s="1"/>
  <c r="AC20" i="73" s="1"/>
  <c r="X22" i="73"/>
  <c r="AB22" i="73" s="1"/>
  <c r="AC22" i="73" s="1"/>
  <c r="X16" i="73"/>
  <c r="AB16" i="73" s="1"/>
  <c r="AC16" i="73" s="1"/>
  <c r="X17" i="73"/>
  <c r="AB17" i="73" s="1"/>
  <c r="AC17" i="73" s="1"/>
  <c r="X23" i="73"/>
  <c r="AB23" i="73" s="1"/>
  <c r="AC23" i="73" s="1"/>
  <c r="X21" i="73"/>
  <c r="AB21" i="73" s="1"/>
  <c r="AC21" i="73" s="1"/>
  <c r="L50" i="73"/>
  <c r="K70" i="73"/>
  <c r="L70" i="73" s="1"/>
  <c r="K67" i="73"/>
  <c r="L67" i="73" s="1"/>
  <c r="K59" i="73"/>
  <c r="L59" i="73" s="1"/>
  <c r="K78" i="73"/>
  <c r="L78" i="73" s="1"/>
  <c r="K77" i="73"/>
  <c r="L77" i="73" s="1"/>
  <c r="K71" i="73"/>
  <c r="L71" i="73" s="1"/>
  <c r="X26" i="73"/>
  <c r="AB10" i="73"/>
  <c r="W48" i="73"/>
  <c r="AB48" i="73" s="1"/>
  <c r="AC12" i="73"/>
  <c r="W49" i="73"/>
  <c r="AB49" i="73" s="1"/>
  <c r="AC14" i="73"/>
  <c r="C50" i="73"/>
  <c r="AC81" i="78" l="1"/>
  <c r="L84" i="78" s="1"/>
  <c r="K86" i="78" s="1"/>
  <c r="L86" i="78" s="1"/>
  <c r="L87" i="78" s="1"/>
  <c r="L90" i="78" s="1"/>
  <c r="L92" i="78" s="1"/>
  <c r="AC81" i="77"/>
  <c r="L84" i="77" s="1"/>
  <c r="L94" i="77"/>
  <c r="L82" i="73"/>
  <c r="X56" i="73"/>
  <c r="AB57" i="73" s="1"/>
  <c r="AC40" i="73"/>
  <c r="W47" i="73"/>
  <c r="AB26" i="73"/>
  <c r="X53" i="73" s="1"/>
  <c r="AB54" i="73" s="1"/>
  <c r="AC10" i="73"/>
  <c r="AC26" i="73" s="1"/>
  <c r="L94" i="78" l="1"/>
  <c r="AC44" i="73"/>
  <c r="AB69" i="73"/>
  <c r="AC69" i="73" s="1"/>
  <c r="AB66" i="73"/>
  <c r="AC66" i="73" s="1"/>
  <c r="AB58" i="73"/>
  <c r="AC58" i="73" s="1"/>
  <c r="AB77" i="73"/>
  <c r="AC77" i="73" s="1"/>
  <c r="AB76" i="73"/>
  <c r="AC76" i="73" s="1"/>
  <c r="AB70" i="73"/>
  <c r="AC70" i="73" s="1"/>
  <c r="W50" i="73"/>
  <c r="AB47" i="73"/>
  <c r="AC50" i="73" s="1"/>
  <c r="AC81" i="73" s="1"/>
  <c r="L84" i="73" s="1"/>
  <c r="K86" i="73" s="1"/>
  <c r="AB71" i="73"/>
  <c r="AC71" i="73" s="1"/>
  <c r="AB68" i="73"/>
  <c r="AC68" i="73" s="1"/>
  <c r="L86" i="73" l="1"/>
  <c r="L87" i="73" s="1"/>
  <c r="L90" i="73" s="1"/>
  <c r="L92" i="73" s="1"/>
  <c r="L94" i="73" l="1"/>
  <c r="B136" i="70" l="1"/>
  <c r="B135" i="70"/>
  <c r="M86" i="70"/>
  <c r="V79" i="70"/>
  <c r="V78" i="70"/>
  <c r="Y77" i="70"/>
  <c r="V77" i="70"/>
  <c r="Y76" i="70"/>
  <c r="G76" i="70"/>
  <c r="I76" i="70" s="1"/>
  <c r="AB75" i="70"/>
  <c r="G75" i="70"/>
  <c r="I75" i="70" s="1"/>
  <c r="AB74" i="70"/>
  <c r="Y71" i="70"/>
  <c r="Y70" i="70"/>
  <c r="Y69" i="70"/>
  <c r="Y68" i="70"/>
  <c r="Y66" i="70"/>
  <c r="X65" i="70"/>
  <c r="G65" i="70"/>
  <c r="X64" i="70"/>
  <c r="Y58" i="70" s="1"/>
  <c r="X61" i="70"/>
  <c r="X60" i="70"/>
  <c r="J56" i="70"/>
  <c r="AA56" i="70" s="1"/>
  <c r="AA53" i="70"/>
  <c r="Z49" i="70"/>
  <c r="X49" i="70"/>
  <c r="G49" i="70"/>
  <c r="Z48" i="70"/>
  <c r="X48" i="70"/>
  <c r="G48" i="70"/>
  <c r="Z47" i="70"/>
  <c r="G47" i="70"/>
  <c r="X40" i="70"/>
  <c r="K40" i="70"/>
  <c r="X39" i="70"/>
  <c r="AB40" i="70" s="1"/>
  <c r="AC37" i="70"/>
  <c r="X37" i="70"/>
  <c r="E37" i="70"/>
  <c r="D37" i="70"/>
  <c r="AC36" i="70"/>
  <c r="AB36" i="70"/>
  <c r="L36" i="70"/>
  <c r="AC35" i="70"/>
  <c r="AB35" i="70"/>
  <c r="L35" i="70"/>
  <c r="AC34" i="70"/>
  <c r="AB34" i="70"/>
  <c r="L34" i="70"/>
  <c r="AC33" i="70"/>
  <c r="AB33" i="70"/>
  <c r="L33" i="70"/>
  <c r="AC32" i="70"/>
  <c r="AB32" i="70"/>
  <c r="L32" i="70"/>
  <c r="AC31" i="70"/>
  <c r="AB31" i="70"/>
  <c r="L31" i="70"/>
  <c r="AC30" i="70"/>
  <c r="AB30" i="70"/>
  <c r="L30" i="70"/>
  <c r="AC29" i="70"/>
  <c r="AB29" i="70"/>
  <c r="L29" i="70"/>
  <c r="AC28" i="70"/>
  <c r="AB28" i="70"/>
  <c r="E26" i="70"/>
  <c r="D26" i="70"/>
  <c r="K25" i="70"/>
  <c r="L25" i="70" s="1"/>
  <c r="I24" i="70"/>
  <c r="K24" i="70" s="1"/>
  <c r="L24" i="70" s="1"/>
  <c r="I23" i="70"/>
  <c r="K23" i="70"/>
  <c r="L23" i="70" s="1"/>
  <c r="K22" i="70"/>
  <c r="L22" i="70" s="1"/>
  <c r="I21" i="70"/>
  <c r="I20" i="70"/>
  <c r="K20" i="70"/>
  <c r="L20" i="70" s="1"/>
  <c r="K19" i="70"/>
  <c r="L19" i="70" s="1"/>
  <c r="I18" i="70"/>
  <c r="K18" i="70" s="1"/>
  <c r="L18" i="70" s="1"/>
  <c r="I17" i="70"/>
  <c r="K17" i="70"/>
  <c r="L17" i="70" s="1"/>
  <c r="K16" i="70"/>
  <c r="L16" i="70" s="1"/>
  <c r="K15" i="70"/>
  <c r="L15" i="70" s="1"/>
  <c r="I15" i="70"/>
  <c r="K14" i="70"/>
  <c r="L14" i="70" s="1"/>
  <c r="I13" i="70"/>
  <c r="K13" i="70"/>
  <c r="K12" i="70"/>
  <c r="L12" i="70" s="1"/>
  <c r="I11" i="70"/>
  <c r="K11" i="70"/>
  <c r="L11" i="70" s="1"/>
  <c r="AB7" i="70"/>
  <c r="X47" i="70" s="1"/>
  <c r="X7" i="70"/>
  <c r="V4" i="70"/>
  <c r="B3" i="70"/>
  <c r="V2" i="70"/>
  <c r="K21" i="70" l="1"/>
  <c r="L21" i="70" s="1"/>
  <c r="K10" i="70"/>
  <c r="G26" i="70"/>
  <c r="L13" i="70"/>
  <c r="C48" i="70"/>
  <c r="K48" i="70" s="1"/>
  <c r="M15" i="70"/>
  <c r="AC75" i="70"/>
  <c r="L76" i="70"/>
  <c r="L75" i="70"/>
  <c r="Z74" i="70"/>
  <c r="AC74" i="70" s="1"/>
  <c r="M11" i="70"/>
  <c r="M13" i="70"/>
  <c r="L28" i="70"/>
  <c r="L37" i="70" s="1"/>
  <c r="G37" i="70"/>
  <c r="C49" i="70"/>
  <c r="K49" i="70" s="1"/>
  <c r="K26" i="70" l="1"/>
  <c r="G53" i="70" s="1"/>
  <c r="K54" i="70" s="1"/>
  <c r="C47" i="70"/>
  <c r="L10" i="70"/>
  <c r="L26" i="70" s="1"/>
  <c r="G56" i="70"/>
  <c r="K57" i="70" s="1"/>
  <c r="K84" i="70"/>
  <c r="L40" i="70"/>
  <c r="K67" i="70" l="1"/>
  <c r="L67" i="70" s="1"/>
  <c r="K77" i="70"/>
  <c r="L77" i="70" s="1"/>
  <c r="K78" i="70"/>
  <c r="L78" i="70" s="1"/>
  <c r="K71" i="70"/>
  <c r="L71" i="70" s="1"/>
  <c r="K70" i="70"/>
  <c r="L70" i="70" s="1"/>
  <c r="K59" i="70"/>
  <c r="L59" i="70" s="1"/>
  <c r="L44" i="70"/>
  <c r="X24" i="70"/>
  <c r="AB24" i="70" s="1"/>
  <c r="AC24" i="70" s="1"/>
  <c r="X21" i="70"/>
  <c r="AB21" i="70" s="1"/>
  <c r="AC21" i="70" s="1"/>
  <c r="X18" i="70"/>
  <c r="AB18" i="70" s="1"/>
  <c r="AC18" i="70" s="1"/>
  <c r="X15" i="70"/>
  <c r="AB15" i="70" s="1"/>
  <c r="AC15" i="70" s="1"/>
  <c r="X14" i="70"/>
  <c r="AB14" i="70" s="1"/>
  <c r="X11" i="70"/>
  <c r="AB11" i="70" s="1"/>
  <c r="AC11" i="70" s="1"/>
  <c r="X10" i="70"/>
  <c r="X22" i="70"/>
  <c r="AB22" i="70" s="1"/>
  <c r="AC22" i="70" s="1"/>
  <c r="X19" i="70"/>
  <c r="AB19" i="70" s="1"/>
  <c r="AC19" i="70" s="1"/>
  <c r="X25" i="70"/>
  <c r="AB25" i="70" s="1"/>
  <c r="AC25" i="70" s="1"/>
  <c r="X16" i="70"/>
  <c r="AB16" i="70" s="1"/>
  <c r="AC16" i="70" s="1"/>
  <c r="X13" i="70"/>
  <c r="AB13" i="70" s="1"/>
  <c r="AC13" i="70" s="1"/>
  <c r="X12" i="70"/>
  <c r="AB12" i="70" s="1"/>
  <c r="X17" i="70"/>
  <c r="AB17" i="70" s="1"/>
  <c r="AC17" i="70" s="1"/>
  <c r="X23" i="70"/>
  <c r="AB23" i="70" s="1"/>
  <c r="AC23" i="70" s="1"/>
  <c r="X20" i="70"/>
  <c r="AB20" i="70" s="1"/>
  <c r="AC20" i="70" s="1"/>
  <c r="K72" i="70"/>
  <c r="L72" i="70" s="1"/>
  <c r="K69" i="70"/>
  <c r="L69" i="70" s="1"/>
  <c r="C50" i="70"/>
  <c r="K47" i="70"/>
  <c r="L50" i="70" s="1"/>
  <c r="AC12" i="70" l="1"/>
  <c r="W48" i="70"/>
  <c r="AB48" i="70" s="1"/>
  <c r="L82" i="70"/>
  <c r="W49" i="70"/>
  <c r="AB49" i="70" s="1"/>
  <c r="AC14" i="70"/>
  <c r="X26" i="70"/>
  <c r="AB10" i="70"/>
  <c r="W47" i="70" l="1"/>
  <c r="AB26" i="70"/>
  <c r="X53" i="70" s="1"/>
  <c r="AB54" i="70" s="1"/>
  <c r="AC10" i="70"/>
  <c r="AC26" i="70" s="1"/>
  <c r="X56" i="70"/>
  <c r="AB57" i="70" s="1"/>
  <c r="AC40" i="70"/>
  <c r="AC44" i="70" l="1"/>
  <c r="W50" i="70"/>
  <c r="AB47" i="70"/>
  <c r="AC50" i="70" s="1"/>
  <c r="AB69" i="70"/>
  <c r="AC69" i="70" s="1"/>
  <c r="AB58" i="70"/>
  <c r="AC58" i="70" s="1"/>
  <c r="AB77" i="70"/>
  <c r="AC77" i="70" s="1"/>
  <c r="AB76" i="70"/>
  <c r="AC76" i="70" s="1"/>
  <c r="AB66" i="70"/>
  <c r="AC66" i="70" s="1"/>
  <c r="AB70" i="70"/>
  <c r="AC70" i="70" s="1"/>
  <c r="AB68" i="70"/>
  <c r="AC68" i="70" s="1"/>
  <c r="AB71" i="70"/>
  <c r="AC71" i="70" s="1"/>
  <c r="AC81" i="70" l="1"/>
  <c r="L84" i="70" s="1"/>
  <c r="K86" i="70" s="1"/>
  <c r="L86" i="70"/>
  <c r="L87" i="70" s="1"/>
  <c r="L90" i="70" s="1"/>
  <c r="L92" i="70" s="1"/>
  <c r="L94" i="70" l="1"/>
  <c r="B136" i="69"/>
  <c r="B135" i="69"/>
  <c r="M86" i="69"/>
  <c r="V79" i="69"/>
  <c r="V78" i="69"/>
  <c r="Y77" i="69"/>
  <c r="V77" i="69"/>
  <c r="Y76" i="69"/>
  <c r="G76" i="69"/>
  <c r="I76" i="69" s="1"/>
  <c r="AB75" i="69"/>
  <c r="G75" i="69"/>
  <c r="I75" i="69" s="1"/>
  <c r="L75" i="69" s="1"/>
  <c r="AB74" i="69"/>
  <c r="Y71" i="69"/>
  <c r="Y70" i="69"/>
  <c r="Y69" i="69"/>
  <c r="Y68" i="69"/>
  <c r="Y66" i="69"/>
  <c r="X65" i="69"/>
  <c r="G65" i="69"/>
  <c r="X64" i="69"/>
  <c r="Y58" i="69" s="1"/>
  <c r="X61" i="69"/>
  <c r="X60" i="69"/>
  <c r="J56" i="69"/>
  <c r="AA56" i="69" s="1"/>
  <c r="AA53" i="69"/>
  <c r="Z49" i="69"/>
  <c r="G49" i="69"/>
  <c r="Z48" i="69"/>
  <c r="X48" i="69"/>
  <c r="G48" i="69"/>
  <c r="Z47" i="69"/>
  <c r="X47" i="69"/>
  <c r="G47" i="69"/>
  <c r="X40" i="69"/>
  <c r="K40" i="69"/>
  <c r="X39" i="69"/>
  <c r="AB40" i="69" s="1"/>
  <c r="X37" i="69"/>
  <c r="E37" i="69"/>
  <c r="D37" i="69"/>
  <c r="AB36" i="69"/>
  <c r="AC36" i="69" s="1"/>
  <c r="L36" i="69"/>
  <c r="AB35" i="69"/>
  <c r="AC35" i="69" s="1"/>
  <c r="L35" i="69"/>
  <c r="AB34" i="69"/>
  <c r="AC34" i="69" s="1"/>
  <c r="L34" i="69"/>
  <c r="AB33" i="69"/>
  <c r="AC33" i="69" s="1"/>
  <c r="L33" i="69"/>
  <c r="AB32" i="69"/>
  <c r="AC32" i="69" s="1"/>
  <c r="L32" i="69"/>
  <c r="AB31" i="69"/>
  <c r="AC31" i="69" s="1"/>
  <c r="L31" i="69"/>
  <c r="AB30" i="69"/>
  <c r="AC30" i="69" s="1"/>
  <c r="L30" i="69"/>
  <c r="AB29" i="69"/>
  <c r="AC29" i="69" s="1"/>
  <c r="AC37" i="69" s="1"/>
  <c r="L29" i="69"/>
  <c r="AB28" i="69"/>
  <c r="AC28" i="69" s="1"/>
  <c r="L28" i="69"/>
  <c r="E26" i="69"/>
  <c r="D26" i="69"/>
  <c r="K25" i="69"/>
  <c r="L25" i="69" s="1"/>
  <c r="I23" i="69"/>
  <c r="K22" i="69"/>
  <c r="L22" i="69" s="1"/>
  <c r="I20" i="69"/>
  <c r="K19" i="69"/>
  <c r="L19" i="69" s="1"/>
  <c r="I17" i="69"/>
  <c r="K16" i="69"/>
  <c r="L16" i="69" s="1"/>
  <c r="I15" i="69"/>
  <c r="K15" i="69"/>
  <c r="L15" i="69" s="1"/>
  <c r="K14" i="69"/>
  <c r="I13" i="69"/>
  <c r="M13" i="69"/>
  <c r="K12" i="69"/>
  <c r="L12" i="69" s="1"/>
  <c r="I11" i="69"/>
  <c r="K10" i="69"/>
  <c r="AB7" i="69"/>
  <c r="X49" i="69" s="1"/>
  <c r="X7" i="69"/>
  <c r="V4" i="69"/>
  <c r="B3" i="69"/>
  <c r="V2" i="69"/>
  <c r="G37" i="69" l="1"/>
  <c r="K13" i="69"/>
  <c r="L13" i="69" s="1"/>
  <c r="L76" i="69"/>
  <c r="Z75" i="69"/>
  <c r="AC75" i="69" s="1"/>
  <c r="L10" i="69"/>
  <c r="L37" i="69"/>
  <c r="I18" i="69"/>
  <c r="K18" i="69" s="1"/>
  <c r="L18" i="69" s="1"/>
  <c r="K17" i="69"/>
  <c r="I21" i="69"/>
  <c r="K21" i="69" s="1"/>
  <c r="L21" i="69" s="1"/>
  <c r="K20" i="69"/>
  <c r="L20" i="69" s="1"/>
  <c r="I24" i="69"/>
  <c r="K24" i="69" s="1"/>
  <c r="L24" i="69" s="1"/>
  <c r="K23" i="69"/>
  <c r="L23" i="69" s="1"/>
  <c r="Z74" i="69"/>
  <c r="C49" i="69"/>
  <c r="K49" i="69" s="1"/>
  <c r="L14" i="69"/>
  <c r="K11" i="69"/>
  <c r="L11" i="69" s="1"/>
  <c r="G26" i="69"/>
  <c r="M11" i="69"/>
  <c r="AC74" i="69"/>
  <c r="M15" i="69"/>
  <c r="L17" i="69" l="1"/>
  <c r="L26" i="69" s="1"/>
  <c r="C48" i="69"/>
  <c r="K48" i="69" s="1"/>
  <c r="K84" i="69"/>
  <c r="G56" i="69"/>
  <c r="K57" i="69" s="1"/>
  <c r="L40" i="69"/>
  <c r="C47" i="69"/>
  <c r="K26" i="69"/>
  <c r="G53" i="69" s="1"/>
  <c r="K54" i="69" s="1"/>
  <c r="L44" i="69" l="1"/>
  <c r="K47" i="69"/>
  <c r="L50" i="69" s="1"/>
  <c r="C50" i="69"/>
  <c r="X23" i="69"/>
  <c r="AB23" i="69" s="1"/>
  <c r="AC23" i="69" s="1"/>
  <c r="X20" i="69"/>
  <c r="AB20" i="69" s="1"/>
  <c r="AC20" i="69" s="1"/>
  <c r="X17" i="69"/>
  <c r="AB17" i="69" s="1"/>
  <c r="AC17" i="69" s="1"/>
  <c r="X24" i="69"/>
  <c r="AB24" i="69" s="1"/>
  <c r="AC24" i="69" s="1"/>
  <c r="X21" i="69"/>
  <c r="AB21" i="69" s="1"/>
  <c r="AC21" i="69" s="1"/>
  <c r="X18" i="69"/>
  <c r="AB18" i="69" s="1"/>
  <c r="AC18" i="69" s="1"/>
  <c r="X15" i="69"/>
  <c r="AB15" i="69" s="1"/>
  <c r="AC15" i="69" s="1"/>
  <c r="X14" i="69"/>
  <c r="AB14" i="69" s="1"/>
  <c r="X11" i="69"/>
  <c r="AB11" i="69" s="1"/>
  <c r="AC11" i="69" s="1"/>
  <c r="X10" i="69"/>
  <c r="X13" i="69"/>
  <c r="AB13" i="69" s="1"/>
  <c r="AC13" i="69" s="1"/>
  <c r="X25" i="69"/>
  <c r="AB25" i="69" s="1"/>
  <c r="AC25" i="69" s="1"/>
  <c r="X22" i="69"/>
  <c r="AB22" i="69" s="1"/>
  <c r="AC22" i="69" s="1"/>
  <c r="X16" i="69"/>
  <c r="AB16" i="69" s="1"/>
  <c r="AC16" i="69" s="1"/>
  <c r="X12" i="69"/>
  <c r="AB12" i="69" s="1"/>
  <c r="X19" i="69"/>
  <c r="AB19" i="69" s="1"/>
  <c r="AC19" i="69" s="1"/>
  <c r="K77" i="69"/>
  <c r="K67" i="69"/>
  <c r="L67" i="69" s="1"/>
  <c r="K78" i="69"/>
  <c r="L78" i="69" s="1"/>
  <c r="K71" i="69"/>
  <c r="L71" i="69" s="1"/>
  <c r="K59" i="69"/>
  <c r="L59" i="69" s="1"/>
  <c r="K70" i="69"/>
  <c r="L70" i="69" s="1"/>
  <c r="K69" i="69"/>
  <c r="L69" i="69" s="1"/>
  <c r="K72" i="69"/>
  <c r="L72" i="69" s="1"/>
  <c r="L82" i="69" l="1"/>
  <c r="K86" i="69" s="1"/>
  <c r="W49" i="69"/>
  <c r="AB49" i="69" s="1"/>
  <c r="AC14" i="69"/>
  <c r="W48" i="69"/>
  <c r="AB48" i="69" s="1"/>
  <c r="AC12" i="69"/>
  <c r="AB10" i="69"/>
  <c r="X26" i="69"/>
  <c r="X56" i="69" l="1"/>
  <c r="AB57" i="69" s="1"/>
  <c r="AC40" i="69"/>
  <c r="AB26" i="69"/>
  <c r="X53" i="69" s="1"/>
  <c r="AB54" i="69" s="1"/>
  <c r="AC10" i="69"/>
  <c r="AC26" i="69" s="1"/>
  <c r="W47" i="69"/>
  <c r="L86" i="69"/>
  <c r="L87" i="69" s="1"/>
  <c r="L90" i="69" s="1"/>
  <c r="L92" i="69" s="1"/>
  <c r="L94" i="69" l="1"/>
  <c r="AB47" i="69"/>
  <c r="AC50" i="69" s="1"/>
  <c r="W50" i="69"/>
  <c r="AB68" i="69"/>
  <c r="AC68" i="69" s="1"/>
  <c r="AB71" i="69"/>
  <c r="AC71" i="69" s="1"/>
  <c r="AB77" i="69"/>
  <c r="AC77" i="69" s="1"/>
  <c r="AB70" i="69"/>
  <c r="AC70" i="69" s="1"/>
  <c r="AB69" i="69"/>
  <c r="AC69" i="69" s="1"/>
  <c r="AB58" i="69"/>
  <c r="AC58" i="69" s="1"/>
  <c r="AB76" i="69"/>
  <c r="AC76" i="69" s="1"/>
  <c r="AB66" i="69"/>
  <c r="AC66" i="69" s="1"/>
  <c r="AC44" i="69"/>
  <c r="AC81" i="69" l="1"/>
  <c r="L84" i="69" s="1"/>
  <c r="B136" i="68" l="1"/>
  <c r="B135" i="68"/>
  <c r="M86" i="68"/>
  <c r="V79" i="68"/>
  <c r="V78" i="68"/>
  <c r="Y77" i="68"/>
  <c r="V77" i="68"/>
  <c r="Y76" i="68"/>
  <c r="G76" i="68"/>
  <c r="I76" i="68" s="1"/>
  <c r="AB75" i="68"/>
  <c r="G75" i="68"/>
  <c r="I75" i="68" s="1"/>
  <c r="AB74" i="68"/>
  <c r="Y71" i="68"/>
  <c r="Y70" i="68"/>
  <c r="Y69" i="68"/>
  <c r="Y68" i="68"/>
  <c r="Y66" i="68"/>
  <c r="X65" i="68"/>
  <c r="G65" i="68"/>
  <c r="X64" i="68"/>
  <c r="X61" i="68"/>
  <c r="X60" i="68"/>
  <c r="J56" i="68"/>
  <c r="AA56" i="68" s="1"/>
  <c r="AA53" i="68"/>
  <c r="Z49" i="68"/>
  <c r="X49" i="68"/>
  <c r="G49" i="68"/>
  <c r="Z48" i="68"/>
  <c r="X48" i="68"/>
  <c r="G48" i="68"/>
  <c r="Z47" i="68"/>
  <c r="G47" i="68"/>
  <c r="X40" i="68"/>
  <c r="K40" i="68"/>
  <c r="X39" i="68"/>
  <c r="AB40" i="68" s="1"/>
  <c r="AC37" i="68"/>
  <c r="X37" i="68"/>
  <c r="E37" i="68"/>
  <c r="D37" i="68"/>
  <c r="AC36" i="68"/>
  <c r="AB36" i="68"/>
  <c r="L36" i="68"/>
  <c r="AC35" i="68"/>
  <c r="AB35" i="68"/>
  <c r="L35" i="68"/>
  <c r="AC34" i="68"/>
  <c r="AB34" i="68"/>
  <c r="L34" i="68"/>
  <c r="AC33" i="68"/>
  <c r="AB33" i="68"/>
  <c r="L33" i="68"/>
  <c r="AC32" i="68"/>
  <c r="AB32" i="68"/>
  <c r="L32" i="68"/>
  <c r="AC31" i="68"/>
  <c r="AB31" i="68"/>
  <c r="L31" i="68"/>
  <c r="AC30" i="68"/>
  <c r="AB30" i="68"/>
  <c r="L30" i="68"/>
  <c r="AC29" i="68"/>
  <c r="AB29" i="68"/>
  <c r="L29" i="68"/>
  <c r="AC28" i="68"/>
  <c r="AB28" i="68"/>
  <c r="E26" i="68"/>
  <c r="D26" i="68"/>
  <c r="K25" i="68"/>
  <c r="L25" i="68" s="1"/>
  <c r="I24" i="68"/>
  <c r="K24" i="68" s="1"/>
  <c r="L24" i="68" s="1"/>
  <c r="I23" i="68"/>
  <c r="K23" i="68"/>
  <c r="L23" i="68" s="1"/>
  <c r="K22" i="68"/>
  <c r="L22" i="68" s="1"/>
  <c r="I21" i="68"/>
  <c r="K21" i="68" s="1"/>
  <c r="L21" i="68" s="1"/>
  <c r="I20" i="68"/>
  <c r="K20" i="68"/>
  <c r="L20" i="68" s="1"/>
  <c r="K19" i="68"/>
  <c r="L19" i="68" s="1"/>
  <c r="I18" i="68"/>
  <c r="K18" i="68" s="1"/>
  <c r="L18" i="68" s="1"/>
  <c r="I17" i="68"/>
  <c r="K17" i="68"/>
  <c r="L17" i="68" s="1"/>
  <c r="K16" i="68"/>
  <c r="L16" i="68" s="1"/>
  <c r="I15" i="68"/>
  <c r="K14" i="68"/>
  <c r="L14" i="68" s="1"/>
  <c r="I13" i="68"/>
  <c r="K13" i="68"/>
  <c r="K12" i="68"/>
  <c r="L12" i="68" s="1"/>
  <c r="K11" i="68"/>
  <c r="L11" i="68" s="1"/>
  <c r="I11" i="68"/>
  <c r="M11" i="68"/>
  <c r="AB7" i="68"/>
  <c r="X47" i="68" s="1"/>
  <c r="X7" i="68"/>
  <c r="V4" i="68"/>
  <c r="B3" i="68"/>
  <c r="V2" i="68"/>
  <c r="M15" i="68" l="1"/>
  <c r="K15" i="68"/>
  <c r="L15" i="68" s="1"/>
  <c r="L28" i="68"/>
  <c r="L37" i="68" s="1"/>
  <c r="G37" i="68"/>
  <c r="G26" i="68"/>
  <c r="K10" i="68"/>
  <c r="Y58" i="68"/>
  <c r="M13" i="68"/>
  <c r="Z75" i="68"/>
  <c r="AC75" i="68" s="1"/>
  <c r="L76" i="68"/>
  <c r="L13" i="68"/>
  <c r="C48" i="68"/>
  <c r="K48" i="68" s="1"/>
  <c r="L75" i="68"/>
  <c r="Z74" i="68"/>
  <c r="AC74" i="68" s="1"/>
  <c r="C49" i="68" l="1"/>
  <c r="K49" i="68" s="1"/>
  <c r="K26" i="68"/>
  <c r="G53" i="68" s="1"/>
  <c r="K54" i="68" s="1"/>
  <c r="C47" i="68"/>
  <c r="L10" i="68"/>
  <c r="L26" i="68" s="1"/>
  <c r="K84" i="68"/>
  <c r="G56" i="68"/>
  <c r="K57" i="68" s="1"/>
  <c r="L40" i="68"/>
  <c r="K67" i="68" l="1"/>
  <c r="L67" i="68" s="1"/>
  <c r="K70" i="68"/>
  <c r="L70" i="68" s="1"/>
  <c r="K77" i="68"/>
  <c r="L77" i="68" s="1"/>
  <c r="K78" i="68"/>
  <c r="L78" i="68" s="1"/>
  <c r="K71" i="68"/>
  <c r="L71" i="68" s="1"/>
  <c r="K59" i="68"/>
  <c r="L59" i="68" s="1"/>
  <c r="L44" i="68"/>
  <c r="K72" i="68"/>
  <c r="L72" i="68" s="1"/>
  <c r="K69" i="68"/>
  <c r="L69" i="68" s="1"/>
  <c r="X24" i="68"/>
  <c r="AB24" i="68" s="1"/>
  <c r="AC24" i="68" s="1"/>
  <c r="X21" i="68"/>
  <c r="AB21" i="68" s="1"/>
  <c r="AC21" i="68" s="1"/>
  <c r="X18" i="68"/>
  <c r="AB18" i="68" s="1"/>
  <c r="AC18" i="68" s="1"/>
  <c r="X15" i="68"/>
  <c r="AB15" i="68" s="1"/>
  <c r="AC15" i="68" s="1"/>
  <c r="X14" i="68"/>
  <c r="AB14" i="68" s="1"/>
  <c r="X11" i="68"/>
  <c r="AB11" i="68" s="1"/>
  <c r="AC11" i="68" s="1"/>
  <c r="X10" i="68"/>
  <c r="X19" i="68"/>
  <c r="AB19" i="68" s="1"/>
  <c r="AC19" i="68" s="1"/>
  <c r="X13" i="68"/>
  <c r="AB13" i="68" s="1"/>
  <c r="AC13" i="68" s="1"/>
  <c r="X12" i="68"/>
  <c r="AB12" i="68" s="1"/>
  <c r="X25" i="68"/>
  <c r="AB25" i="68" s="1"/>
  <c r="AC25" i="68" s="1"/>
  <c r="X22" i="68"/>
  <c r="AB22" i="68" s="1"/>
  <c r="AC22" i="68" s="1"/>
  <c r="X16" i="68"/>
  <c r="AB16" i="68" s="1"/>
  <c r="AC16" i="68" s="1"/>
  <c r="X23" i="68"/>
  <c r="AB23" i="68" s="1"/>
  <c r="AC23" i="68" s="1"/>
  <c r="X17" i="68"/>
  <c r="AB17" i="68" s="1"/>
  <c r="AC17" i="68" s="1"/>
  <c r="X20" i="68"/>
  <c r="AB20" i="68" s="1"/>
  <c r="AC20" i="68" s="1"/>
  <c r="C50" i="68"/>
  <c r="K47" i="68"/>
  <c r="L50" i="68" s="1"/>
  <c r="AC12" i="68" l="1"/>
  <c r="W48" i="68"/>
  <c r="AB48" i="68" s="1"/>
  <c r="W49" i="68"/>
  <c r="AB49" i="68" s="1"/>
  <c r="AC14" i="68"/>
  <c r="X26" i="68"/>
  <c r="AB10" i="68"/>
  <c r="L82" i="68"/>
  <c r="X56" i="68" l="1"/>
  <c r="AB57" i="68" s="1"/>
  <c r="AC40" i="68"/>
  <c r="K86" i="68"/>
  <c r="AC10" i="68"/>
  <c r="AC26" i="68" s="1"/>
  <c r="AB26" i="68"/>
  <c r="X53" i="68" s="1"/>
  <c r="AB54" i="68" s="1"/>
  <c r="W47" i="68"/>
  <c r="W50" i="68" l="1"/>
  <c r="AB47" i="68"/>
  <c r="AC50" i="68" s="1"/>
  <c r="AC44" i="68"/>
  <c r="AB68" i="68"/>
  <c r="AC68" i="68" s="1"/>
  <c r="AB71" i="68"/>
  <c r="AC71" i="68" s="1"/>
  <c r="AB69" i="68"/>
  <c r="AC69" i="68" s="1"/>
  <c r="AB58" i="68"/>
  <c r="AC58" i="68" s="1"/>
  <c r="AB70" i="68"/>
  <c r="AC70" i="68" s="1"/>
  <c r="AB76" i="68"/>
  <c r="AC76" i="68" s="1"/>
  <c r="AB66" i="68"/>
  <c r="AC66" i="68" s="1"/>
  <c r="AB77" i="68"/>
  <c r="AC77" i="68" s="1"/>
  <c r="L86" i="68"/>
  <c r="L87" i="68" s="1"/>
  <c r="L90" i="68" s="1"/>
  <c r="L92" i="68" s="1"/>
  <c r="L94" i="68" l="1"/>
  <c r="AC81" i="68"/>
  <c r="L84" i="68" s="1"/>
  <c r="B136" i="67" l="1"/>
  <c r="B135" i="67"/>
  <c r="M86" i="67"/>
  <c r="V79" i="67"/>
  <c r="V78" i="67"/>
  <c r="Y77" i="67"/>
  <c r="V77" i="67"/>
  <c r="Y76" i="67"/>
  <c r="G76" i="67"/>
  <c r="I76" i="67" s="1"/>
  <c r="AB75" i="67"/>
  <c r="G75" i="67"/>
  <c r="I75" i="67" s="1"/>
  <c r="Z74" i="67" s="1"/>
  <c r="AB74" i="67"/>
  <c r="Y71" i="67"/>
  <c r="Y70" i="67"/>
  <c r="Y69" i="67"/>
  <c r="Y68" i="67"/>
  <c r="Y66" i="67"/>
  <c r="X65" i="67"/>
  <c r="G65" i="67"/>
  <c r="X64" i="67"/>
  <c r="Y58" i="67" s="1"/>
  <c r="X61" i="67"/>
  <c r="X60" i="67"/>
  <c r="J56" i="67"/>
  <c r="AA56" i="67" s="1"/>
  <c r="AA53" i="67"/>
  <c r="Z49" i="67"/>
  <c r="G49" i="67"/>
  <c r="Z48" i="67"/>
  <c r="X48" i="67"/>
  <c r="G48" i="67"/>
  <c r="Z47" i="67"/>
  <c r="X47" i="67"/>
  <c r="G47" i="67"/>
  <c r="X40" i="67"/>
  <c r="K40" i="67"/>
  <c r="X39" i="67"/>
  <c r="AB40" i="67" s="1"/>
  <c r="X37" i="67"/>
  <c r="E37" i="67"/>
  <c r="D37" i="67"/>
  <c r="AB36" i="67"/>
  <c r="AC36" i="67" s="1"/>
  <c r="L36" i="67"/>
  <c r="AB35" i="67"/>
  <c r="AC35" i="67" s="1"/>
  <c r="L35" i="67"/>
  <c r="AB34" i="67"/>
  <c r="AC34" i="67" s="1"/>
  <c r="L34" i="67"/>
  <c r="AB33" i="67"/>
  <c r="AC33" i="67" s="1"/>
  <c r="L33" i="67"/>
  <c r="AB32" i="67"/>
  <c r="AC32" i="67" s="1"/>
  <c r="L32" i="67"/>
  <c r="AB31" i="67"/>
  <c r="AC31" i="67" s="1"/>
  <c r="L31" i="67"/>
  <c r="AB30" i="67"/>
  <c r="AC30" i="67" s="1"/>
  <c r="L30" i="67"/>
  <c r="AB29" i="67"/>
  <c r="AC29" i="67" s="1"/>
  <c r="L29" i="67"/>
  <c r="AB28" i="67"/>
  <c r="AC28" i="67" s="1"/>
  <c r="AC37" i="67" s="1"/>
  <c r="L28" i="67"/>
  <c r="E26" i="67"/>
  <c r="D26" i="67"/>
  <c r="K25" i="67"/>
  <c r="L25" i="67" s="1"/>
  <c r="I23" i="67"/>
  <c r="K22" i="67"/>
  <c r="L22" i="67" s="1"/>
  <c r="I20" i="67"/>
  <c r="K19" i="67"/>
  <c r="L19" i="67" s="1"/>
  <c r="I17" i="67"/>
  <c r="K16" i="67"/>
  <c r="L16" i="67" s="1"/>
  <c r="I15" i="67"/>
  <c r="K15" i="67"/>
  <c r="L15" i="67" s="1"/>
  <c r="K14" i="67"/>
  <c r="I13" i="67"/>
  <c r="M13" i="67"/>
  <c r="K12" i="67"/>
  <c r="L12" i="67" s="1"/>
  <c r="I11" i="67"/>
  <c r="K11" i="67"/>
  <c r="L11" i="67" s="1"/>
  <c r="K10" i="67"/>
  <c r="AB7" i="67"/>
  <c r="X49" i="67" s="1"/>
  <c r="X7" i="67"/>
  <c r="V4" i="67"/>
  <c r="B3" i="67"/>
  <c r="V2" i="67"/>
  <c r="AC74" i="67" l="1"/>
  <c r="G37" i="67"/>
  <c r="K13" i="67"/>
  <c r="L13" i="67" s="1"/>
  <c r="C47" i="67"/>
  <c r="L10" i="67"/>
  <c r="L14" i="67"/>
  <c r="L37" i="67"/>
  <c r="L76" i="67"/>
  <c r="Z75" i="67"/>
  <c r="AC75" i="67" s="1"/>
  <c r="I18" i="67"/>
  <c r="K18" i="67" s="1"/>
  <c r="L18" i="67" s="1"/>
  <c r="K17" i="67"/>
  <c r="I21" i="67"/>
  <c r="K21" i="67" s="1"/>
  <c r="L21" i="67" s="1"/>
  <c r="K20" i="67"/>
  <c r="L20" i="67" s="1"/>
  <c r="I24" i="67"/>
  <c r="K24" i="67" s="1"/>
  <c r="L24" i="67" s="1"/>
  <c r="K23" i="67"/>
  <c r="L23" i="67" s="1"/>
  <c r="G26" i="67"/>
  <c r="L75" i="67"/>
  <c r="M11" i="67"/>
  <c r="M15" i="67"/>
  <c r="C49" i="67" l="1"/>
  <c r="K49" i="67" s="1"/>
  <c r="K47" i="67"/>
  <c r="K84" i="67"/>
  <c r="G56" i="67"/>
  <c r="K57" i="67" s="1"/>
  <c r="L40" i="67"/>
  <c r="L17" i="67"/>
  <c r="L26" i="67" s="1"/>
  <c r="C48" i="67"/>
  <c r="K48" i="67" s="1"/>
  <c r="K26" i="67"/>
  <c r="G53" i="67" s="1"/>
  <c r="K54" i="67" s="1"/>
  <c r="L44" i="67" l="1"/>
  <c r="C50" i="67"/>
  <c r="K69" i="67"/>
  <c r="L69" i="67" s="1"/>
  <c r="K72" i="67"/>
  <c r="L72" i="67" s="1"/>
  <c r="K77" i="67"/>
  <c r="L77" i="67" s="1"/>
  <c r="K70" i="67"/>
  <c r="L70" i="67" s="1"/>
  <c r="K67" i="67"/>
  <c r="L67" i="67" s="1"/>
  <c r="K78" i="67"/>
  <c r="L78" i="67" s="1"/>
  <c r="K71" i="67"/>
  <c r="L71" i="67" s="1"/>
  <c r="K59" i="67"/>
  <c r="L59" i="67" s="1"/>
  <c r="X23" i="67"/>
  <c r="AB23" i="67" s="1"/>
  <c r="AC23" i="67" s="1"/>
  <c r="X20" i="67"/>
  <c r="AB20" i="67" s="1"/>
  <c r="AC20" i="67" s="1"/>
  <c r="X17" i="67"/>
  <c r="AB17" i="67" s="1"/>
  <c r="AC17" i="67" s="1"/>
  <c r="X24" i="67"/>
  <c r="AB24" i="67" s="1"/>
  <c r="AC24" i="67" s="1"/>
  <c r="X21" i="67"/>
  <c r="AB21" i="67" s="1"/>
  <c r="AC21" i="67" s="1"/>
  <c r="X18" i="67"/>
  <c r="AB18" i="67" s="1"/>
  <c r="AC18" i="67" s="1"/>
  <c r="X15" i="67"/>
  <c r="AB15" i="67" s="1"/>
  <c r="AC15" i="67" s="1"/>
  <c r="X14" i="67"/>
  <c r="AB14" i="67" s="1"/>
  <c r="X11" i="67"/>
  <c r="AB11" i="67" s="1"/>
  <c r="AC11" i="67" s="1"/>
  <c r="X10" i="67"/>
  <c r="X13" i="67"/>
  <c r="AB13" i="67" s="1"/>
  <c r="AC13" i="67" s="1"/>
  <c r="X22" i="67"/>
  <c r="AB22" i="67" s="1"/>
  <c r="AC22" i="67" s="1"/>
  <c r="X16" i="67"/>
  <c r="AB16" i="67" s="1"/>
  <c r="AC16" i="67" s="1"/>
  <c r="X25" i="67"/>
  <c r="AB25" i="67" s="1"/>
  <c r="AC25" i="67" s="1"/>
  <c r="X19" i="67"/>
  <c r="AB19" i="67" s="1"/>
  <c r="AC19" i="67" s="1"/>
  <c r="X12" i="67"/>
  <c r="AB12" i="67" s="1"/>
  <c r="L50" i="67"/>
  <c r="L82" i="67" l="1"/>
  <c r="K86" i="67" s="1"/>
  <c r="AB10" i="67"/>
  <c r="X26" i="67"/>
  <c r="W49" i="67"/>
  <c r="AB49" i="67" s="1"/>
  <c r="AC14" i="67"/>
  <c r="W48" i="67"/>
  <c r="AB48" i="67" s="1"/>
  <c r="AC12" i="67"/>
  <c r="L86" i="67" l="1"/>
  <c r="L87" i="67" s="1"/>
  <c r="L90" i="67" s="1"/>
  <c r="L92" i="67" s="1"/>
  <c r="X56" i="67"/>
  <c r="AB57" i="67" s="1"/>
  <c r="AC40" i="67"/>
  <c r="AB26" i="67"/>
  <c r="X53" i="67" s="1"/>
  <c r="AB54" i="67" s="1"/>
  <c r="AC10" i="67"/>
  <c r="AC26" i="67" s="1"/>
  <c r="W47" i="67"/>
  <c r="AB77" i="67" l="1"/>
  <c r="AC77" i="67" s="1"/>
  <c r="AB70" i="67"/>
  <c r="AC70" i="67" s="1"/>
  <c r="AB69" i="67"/>
  <c r="AC69" i="67" s="1"/>
  <c r="AB58" i="67"/>
  <c r="AC58" i="67" s="1"/>
  <c r="AB76" i="67"/>
  <c r="AC76" i="67" s="1"/>
  <c r="AB66" i="67"/>
  <c r="AC66" i="67" s="1"/>
  <c r="L94" i="67"/>
  <c r="AB47" i="67"/>
  <c r="AC50" i="67" s="1"/>
  <c r="W50" i="67"/>
  <c r="AB71" i="67"/>
  <c r="AC71" i="67" s="1"/>
  <c r="AB68" i="67"/>
  <c r="AC68" i="67" s="1"/>
  <c r="AC44" i="67"/>
  <c r="AC81" i="67" l="1"/>
  <c r="L84" i="67" s="1"/>
  <c r="B136" i="66" l="1"/>
  <c r="B135" i="66"/>
  <c r="M86" i="66"/>
  <c r="V79" i="66"/>
  <c r="V78" i="66"/>
  <c r="Y77" i="66"/>
  <c r="V77" i="66"/>
  <c r="Y76" i="66"/>
  <c r="G76" i="66"/>
  <c r="I76" i="66" s="1"/>
  <c r="AB75" i="66"/>
  <c r="G75" i="66"/>
  <c r="I75" i="66" s="1"/>
  <c r="AB74" i="66"/>
  <c r="Y71" i="66"/>
  <c r="Y70" i="66"/>
  <c r="Y69" i="66"/>
  <c r="Y68" i="66"/>
  <c r="Y66" i="66"/>
  <c r="X65" i="66"/>
  <c r="G65" i="66"/>
  <c r="X64" i="66"/>
  <c r="Y58" i="66" s="1"/>
  <c r="X61" i="66"/>
  <c r="X60" i="66"/>
  <c r="J56" i="66"/>
  <c r="AA56" i="66" s="1"/>
  <c r="AA53" i="66"/>
  <c r="Z49" i="66"/>
  <c r="X49" i="66"/>
  <c r="G49" i="66"/>
  <c r="Z48" i="66"/>
  <c r="X48" i="66"/>
  <c r="G48" i="66"/>
  <c r="Z47" i="66"/>
  <c r="G47" i="66"/>
  <c r="X40" i="66"/>
  <c r="K40" i="66"/>
  <c r="X39" i="66"/>
  <c r="AB40" i="66" s="1"/>
  <c r="AC37" i="66"/>
  <c r="X37" i="66"/>
  <c r="E37" i="66"/>
  <c r="D37" i="66"/>
  <c r="AC36" i="66"/>
  <c r="AB36" i="66"/>
  <c r="L36" i="66"/>
  <c r="AC35" i="66"/>
  <c r="AB35" i="66"/>
  <c r="L35" i="66"/>
  <c r="AC34" i="66"/>
  <c r="AB34" i="66"/>
  <c r="L34" i="66"/>
  <c r="AC33" i="66"/>
  <c r="AB33" i="66"/>
  <c r="L33" i="66"/>
  <c r="AC32" i="66"/>
  <c r="AB32" i="66"/>
  <c r="L32" i="66"/>
  <c r="AC31" i="66"/>
  <c r="AB31" i="66"/>
  <c r="L31" i="66"/>
  <c r="AC30" i="66"/>
  <c r="AB30" i="66"/>
  <c r="L30" i="66"/>
  <c r="AC29" i="66"/>
  <c r="AB29" i="66"/>
  <c r="L29" i="66"/>
  <c r="AC28" i="66"/>
  <c r="AB28" i="66"/>
  <c r="E26" i="66"/>
  <c r="D26" i="66"/>
  <c r="K25" i="66"/>
  <c r="L25" i="66" s="1"/>
  <c r="I24" i="66"/>
  <c r="K24" i="66" s="1"/>
  <c r="L24" i="66" s="1"/>
  <c r="I23" i="66"/>
  <c r="K23" i="66"/>
  <c r="L23" i="66" s="1"/>
  <c r="K22" i="66"/>
  <c r="L22" i="66" s="1"/>
  <c r="I21" i="66"/>
  <c r="K21" i="66" s="1"/>
  <c r="L21" i="66" s="1"/>
  <c r="I20" i="66"/>
  <c r="K20" i="66"/>
  <c r="L20" i="66" s="1"/>
  <c r="L19" i="66"/>
  <c r="K19" i="66"/>
  <c r="I18" i="66"/>
  <c r="K18" i="66" s="1"/>
  <c r="L18" i="66" s="1"/>
  <c r="I17" i="66"/>
  <c r="K17" i="66"/>
  <c r="L17" i="66" s="1"/>
  <c r="K16" i="66"/>
  <c r="L16" i="66" s="1"/>
  <c r="K15" i="66"/>
  <c r="L15" i="66" s="1"/>
  <c r="I15" i="66"/>
  <c r="M15" i="66"/>
  <c r="K14" i="66"/>
  <c r="I13" i="66"/>
  <c r="K13" i="66"/>
  <c r="K12" i="66"/>
  <c r="L12" i="66" s="1"/>
  <c r="I11" i="66"/>
  <c r="M11" i="66"/>
  <c r="AB7" i="66"/>
  <c r="X47" i="66" s="1"/>
  <c r="X7" i="66"/>
  <c r="V4" i="66"/>
  <c r="B3" i="66"/>
  <c r="V2" i="66"/>
  <c r="G37" i="66" l="1"/>
  <c r="K11" i="66"/>
  <c r="L11" i="66" s="1"/>
  <c r="L13" i="66"/>
  <c r="C48" i="66"/>
  <c r="K48" i="66" s="1"/>
  <c r="Z75" i="66"/>
  <c r="AC75" i="66" s="1"/>
  <c r="L76" i="66"/>
  <c r="M13" i="66"/>
  <c r="K10" i="66"/>
  <c r="G26" i="66"/>
  <c r="C49" i="66"/>
  <c r="K49" i="66" s="1"/>
  <c r="L14" i="66"/>
  <c r="Z74" i="66"/>
  <c r="AC74" i="66" s="1"/>
  <c r="L75" i="66"/>
  <c r="L28" i="66"/>
  <c r="L37" i="66" s="1"/>
  <c r="K84" i="66" l="1"/>
  <c r="G56" i="66"/>
  <c r="K57" i="66" s="1"/>
  <c r="L40" i="66"/>
  <c r="K26" i="66"/>
  <c r="G53" i="66" s="1"/>
  <c r="K54" i="66" s="1"/>
  <c r="C47" i="66"/>
  <c r="L10" i="66"/>
  <c r="L26" i="66" s="1"/>
  <c r="L44" i="66" s="1"/>
  <c r="C50" i="66" l="1"/>
  <c r="K47" i="66"/>
  <c r="L50" i="66" s="1"/>
  <c r="X24" i="66"/>
  <c r="AB24" i="66" s="1"/>
  <c r="AC24" i="66" s="1"/>
  <c r="X21" i="66"/>
  <c r="AB21" i="66" s="1"/>
  <c r="AC21" i="66" s="1"/>
  <c r="X18" i="66"/>
  <c r="AB18" i="66" s="1"/>
  <c r="AC18" i="66" s="1"/>
  <c r="X15" i="66"/>
  <c r="AB15" i="66" s="1"/>
  <c r="AC15" i="66" s="1"/>
  <c r="X14" i="66"/>
  <c r="AB14" i="66" s="1"/>
  <c r="X11" i="66"/>
  <c r="AB11" i="66" s="1"/>
  <c r="AC11" i="66" s="1"/>
  <c r="X10" i="66"/>
  <c r="X25" i="66"/>
  <c r="AB25" i="66" s="1"/>
  <c r="AC25" i="66" s="1"/>
  <c r="X16" i="66"/>
  <c r="AB16" i="66" s="1"/>
  <c r="AC16" i="66" s="1"/>
  <c r="X13" i="66"/>
  <c r="AB13" i="66" s="1"/>
  <c r="AC13" i="66" s="1"/>
  <c r="X12" i="66"/>
  <c r="AB12" i="66" s="1"/>
  <c r="X23" i="66"/>
  <c r="AB23" i="66" s="1"/>
  <c r="AC23" i="66" s="1"/>
  <c r="X22" i="66"/>
  <c r="AB22" i="66" s="1"/>
  <c r="AC22" i="66" s="1"/>
  <c r="X19" i="66"/>
  <c r="AB19" i="66" s="1"/>
  <c r="AC19" i="66" s="1"/>
  <c r="X20" i="66"/>
  <c r="AB20" i="66" s="1"/>
  <c r="AC20" i="66" s="1"/>
  <c r="X17" i="66"/>
  <c r="AB17" i="66" s="1"/>
  <c r="AC17" i="66" s="1"/>
  <c r="K72" i="66"/>
  <c r="L72" i="66" s="1"/>
  <c r="K69" i="66"/>
  <c r="L69" i="66" s="1"/>
  <c r="K67" i="66"/>
  <c r="L67" i="66" s="1"/>
  <c r="K70" i="66"/>
  <c r="L70" i="66" s="1"/>
  <c r="K78" i="66"/>
  <c r="L78" i="66" s="1"/>
  <c r="K71" i="66"/>
  <c r="L71" i="66" s="1"/>
  <c r="K59" i="66"/>
  <c r="L59" i="66" s="1"/>
  <c r="K77" i="66"/>
  <c r="L82" i="66" l="1"/>
  <c r="K86" i="66" s="1"/>
  <c r="W49" i="66"/>
  <c r="AB49" i="66" s="1"/>
  <c r="AC14" i="66"/>
  <c r="AC12" i="66"/>
  <c r="W48" i="66"/>
  <c r="AB48" i="66" s="1"/>
  <c r="X26" i="66"/>
  <c r="AB10" i="66"/>
  <c r="L86" i="66" l="1"/>
  <c r="L87" i="66" s="1"/>
  <c r="L90" i="66" s="1"/>
  <c r="L92" i="66" s="1"/>
  <c r="W47" i="66"/>
  <c r="AB26" i="66"/>
  <c r="X53" i="66" s="1"/>
  <c r="AB54" i="66" s="1"/>
  <c r="AC10" i="66"/>
  <c r="AC26" i="66" s="1"/>
  <c r="X56" i="66"/>
  <c r="AB57" i="66" s="1"/>
  <c r="AC40" i="66"/>
  <c r="L94" i="66" l="1"/>
  <c r="AB68" i="66"/>
  <c r="AC68" i="66" s="1"/>
  <c r="AB71" i="66"/>
  <c r="AC71" i="66" s="1"/>
  <c r="AC44" i="66"/>
  <c r="AB47" i="66"/>
  <c r="AC50" i="66" s="1"/>
  <c r="W50" i="66"/>
  <c r="AB69" i="66"/>
  <c r="AC69" i="66" s="1"/>
  <c r="AB58" i="66"/>
  <c r="AC58" i="66" s="1"/>
  <c r="AB66" i="66"/>
  <c r="AC66" i="66" s="1"/>
  <c r="AB77" i="66"/>
  <c r="AC77" i="66" s="1"/>
  <c r="AB70" i="66"/>
  <c r="AC70" i="66" s="1"/>
  <c r="AB76" i="66"/>
  <c r="AC76" i="66" s="1"/>
  <c r="AC81" i="66" l="1"/>
  <c r="L84" i="66" s="1"/>
  <c r="B136" i="65" l="1"/>
  <c r="B135" i="65"/>
  <c r="M86" i="65"/>
  <c r="V79" i="65"/>
  <c r="V78" i="65"/>
  <c r="Y77" i="65"/>
  <c r="V77" i="65"/>
  <c r="Y76" i="65"/>
  <c r="G76" i="65"/>
  <c r="I76" i="65" s="1"/>
  <c r="AB75" i="65"/>
  <c r="G75" i="65"/>
  <c r="I75" i="65" s="1"/>
  <c r="AB74" i="65"/>
  <c r="Y71" i="65"/>
  <c r="Y70" i="65"/>
  <c r="Y69" i="65"/>
  <c r="Y68" i="65"/>
  <c r="Y66" i="65"/>
  <c r="X65" i="65"/>
  <c r="G65" i="65"/>
  <c r="X64" i="65"/>
  <c r="Y58" i="65" s="1"/>
  <c r="X61" i="65"/>
  <c r="X60" i="65"/>
  <c r="J56" i="65"/>
  <c r="AA56" i="65" s="1"/>
  <c r="AA53" i="65"/>
  <c r="Z49" i="65"/>
  <c r="X49" i="65"/>
  <c r="G49" i="65"/>
  <c r="Z48" i="65"/>
  <c r="X48" i="65"/>
  <c r="G48" i="65"/>
  <c r="Z47" i="65"/>
  <c r="G47" i="65"/>
  <c r="X40" i="65"/>
  <c r="K40" i="65"/>
  <c r="X39" i="65"/>
  <c r="AB40" i="65" s="1"/>
  <c r="AC37" i="65"/>
  <c r="X37" i="65"/>
  <c r="E37" i="65"/>
  <c r="D37" i="65"/>
  <c r="AC36" i="65"/>
  <c r="AB36" i="65"/>
  <c r="L36" i="65"/>
  <c r="AC35" i="65"/>
  <c r="AB35" i="65"/>
  <c r="L35" i="65"/>
  <c r="AC34" i="65"/>
  <c r="AB34" i="65"/>
  <c r="L34" i="65"/>
  <c r="AC33" i="65"/>
  <c r="AB33" i="65"/>
  <c r="L33" i="65"/>
  <c r="AC32" i="65"/>
  <c r="AB32" i="65"/>
  <c r="L32" i="65"/>
  <c r="AC31" i="65"/>
  <c r="AB31" i="65"/>
  <c r="L31" i="65"/>
  <c r="AC30" i="65"/>
  <c r="AB30" i="65"/>
  <c r="L30" i="65"/>
  <c r="AC29" i="65"/>
  <c r="AB29" i="65"/>
  <c r="L29" i="65"/>
  <c r="AC28" i="65"/>
  <c r="AB28" i="65"/>
  <c r="E26" i="65"/>
  <c r="D26" i="65"/>
  <c r="K25" i="65"/>
  <c r="L25" i="65" s="1"/>
  <c r="I24" i="65"/>
  <c r="K24" i="65" s="1"/>
  <c r="L24" i="65" s="1"/>
  <c r="I23" i="65"/>
  <c r="K23" i="65"/>
  <c r="L23" i="65" s="1"/>
  <c r="K22" i="65"/>
  <c r="L22" i="65" s="1"/>
  <c r="I21" i="65"/>
  <c r="K21" i="65" s="1"/>
  <c r="L21" i="65" s="1"/>
  <c r="I20" i="65"/>
  <c r="K20" i="65"/>
  <c r="L20" i="65" s="1"/>
  <c r="K19" i="65"/>
  <c r="L19" i="65" s="1"/>
  <c r="I18" i="65"/>
  <c r="K18" i="65" s="1"/>
  <c r="L18" i="65" s="1"/>
  <c r="I17" i="65"/>
  <c r="K17" i="65"/>
  <c r="L17" i="65" s="1"/>
  <c r="K16" i="65"/>
  <c r="L16" i="65" s="1"/>
  <c r="K15" i="65"/>
  <c r="L15" i="65" s="1"/>
  <c r="I15" i="65"/>
  <c r="K14" i="65"/>
  <c r="I13" i="65"/>
  <c r="K13" i="65"/>
  <c r="K12" i="65"/>
  <c r="L12" i="65" s="1"/>
  <c r="I11" i="65"/>
  <c r="K11" i="65"/>
  <c r="L11" i="65" s="1"/>
  <c r="AB7" i="65"/>
  <c r="X47" i="65" s="1"/>
  <c r="X7" i="65"/>
  <c r="V4" i="65"/>
  <c r="B3" i="65"/>
  <c r="V2" i="65"/>
  <c r="M13" i="65" l="1"/>
  <c r="L75" i="65"/>
  <c r="Z74" i="65"/>
  <c r="L14" i="65"/>
  <c r="C49" i="65"/>
  <c r="K49" i="65" s="1"/>
  <c r="L13" i="65"/>
  <c r="C48" i="65"/>
  <c r="K48" i="65" s="1"/>
  <c r="Z75" i="65"/>
  <c r="AC75" i="65" s="1"/>
  <c r="L76" i="65"/>
  <c r="G37" i="65"/>
  <c r="L28" i="65"/>
  <c r="L37" i="65" s="1"/>
  <c r="G26" i="65"/>
  <c r="K10" i="65"/>
  <c r="M11" i="65"/>
  <c r="M15" i="65"/>
  <c r="AC74" i="65"/>
  <c r="K26" i="65" l="1"/>
  <c r="G53" i="65" s="1"/>
  <c r="K54" i="65" s="1"/>
  <c r="C47" i="65"/>
  <c r="L10" i="65"/>
  <c r="L26" i="65" s="1"/>
  <c r="G56" i="65"/>
  <c r="K57" i="65" s="1"/>
  <c r="K84" i="65"/>
  <c r="L40" i="65"/>
  <c r="K67" i="65" l="1"/>
  <c r="L67" i="65" s="1"/>
  <c r="K78" i="65"/>
  <c r="L78" i="65" s="1"/>
  <c r="K71" i="65"/>
  <c r="L71" i="65" s="1"/>
  <c r="K70" i="65"/>
  <c r="L70" i="65" s="1"/>
  <c r="K59" i="65"/>
  <c r="L59" i="65" s="1"/>
  <c r="K77" i="65"/>
  <c r="L77" i="65" s="1"/>
  <c r="L44" i="65"/>
  <c r="K72" i="65"/>
  <c r="L72" i="65" s="1"/>
  <c r="K69" i="65"/>
  <c r="L69" i="65" s="1"/>
  <c r="X24" i="65"/>
  <c r="AB24" i="65" s="1"/>
  <c r="AC24" i="65" s="1"/>
  <c r="X21" i="65"/>
  <c r="AB21" i="65" s="1"/>
  <c r="AC21" i="65" s="1"/>
  <c r="X18" i="65"/>
  <c r="AB18" i="65" s="1"/>
  <c r="AC18" i="65" s="1"/>
  <c r="X15" i="65"/>
  <c r="AB15" i="65" s="1"/>
  <c r="AC15" i="65" s="1"/>
  <c r="X14" i="65"/>
  <c r="AB14" i="65" s="1"/>
  <c r="X11" i="65"/>
  <c r="AB11" i="65" s="1"/>
  <c r="AC11" i="65" s="1"/>
  <c r="X10" i="65"/>
  <c r="X25" i="65"/>
  <c r="AB25" i="65" s="1"/>
  <c r="AC25" i="65" s="1"/>
  <c r="X19" i="65"/>
  <c r="AB19" i="65" s="1"/>
  <c r="AC19" i="65" s="1"/>
  <c r="X13" i="65"/>
  <c r="AB13" i="65" s="1"/>
  <c r="AC13" i="65" s="1"/>
  <c r="X12" i="65"/>
  <c r="AB12" i="65" s="1"/>
  <c r="X22" i="65"/>
  <c r="AB22" i="65" s="1"/>
  <c r="AC22" i="65" s="1"/>
  <c r="X16" i="65"/>
  <c r="AB16" i="65" s="1"/>
  <c r="AC16" i="65" s="1"/>
  <c r="X17" i="65"/>
  <c r="AB17" i="65" s="1"/>
  <c r="AC17" i="65" s="1"/>
  <c r="X23" i="65"/>
  <c r="AB23" i="65" s="1"/>
  <c r="AC23" i="65" s="1"/>
  <c r="X20" i="65"/>
  <c r="AB20" i="65" s="1"/>
  <c r="AC20" i="65" s="1"/>
  <c r="C50" i="65"/>
  <c r="K47" i="65"/>
  <c r="L50" i="65" s="1"/>
  <c r="AC12" i="65" l="1"/>
  <c r="W48" i="65"/>
  <c r="AB48" i="65" s="1"/>
  <c r="X26" i="65"/>
  <c r="AB10" i="65"/>
  <c r="W49" i="65"/>
  <c r="AB49" i="65" s="1"/>
  <c r="AC14" i="65"/>
  <c r="L82" i="65"/>
  <c r="AC10" i="65" l="1"/>
  <c r="AC26" i="65" s="1"/>
  <c r="AB26" i="65"/>
  <c r="X53" i="65" s="1"/>
  <c r="AB54" i="65" s="1"/>
  <c r="W47" i="65"/>
  <c r="K86" i="65"/>
  <c r="X56" i="65"/>
  <c r="AB57" i="65" s="1"/>
  <c r="AC40" i="65"/>
  <c r="W50" i="65" l="1"/>
  <c r="AB47" i="65"/>
  <c r="AC50" i="65" s="1"/>
  <c r="AB68" i="65"/>
  <c r="AC68" i="65" s="1"/>
  <c r="AB71" i="65"/>
  <c r="AC71" i="65" s="1"/>
  <c r="AB69" i="65"/>
  <c r="AC69" i="65" s="1"/>
  <c r="AB58" i="65"/>
  <c r="AC58" i="65" s="1"/>
  <c r="AB77" i="65"/>
  <c r="AC77" i="65" s="1"/>
  <c r="AB76" i="65"/>
  <c r="AC76" i="65" s="1"/>
  <c r="AB66" i="65"/>
  <c r="AC66" i="65" s="1"/>
  <c r="AB70" i="65"/>
  <c r="AC70" i="65" s="1"/>
  <c r="L86" i="65"/>
  <c r="L87" i="65" s="1"/>
  <c r="L90" i="65" s="1"/>
  <c r="L92" i="65" s="1"/>
  <c r="AC44" i="65"/>
  <c r="L94" i="65" l="1"/>
  <c r="AC81" i="65"/>
  <c r="L84" i="65" s="1"/>
  <c r="B136" i="64" l="1"/>
  <c r="B135" i="64"/>
  <c r="M86" i="64"/>
  <c r="V79" i="64"/>
  <c r="V78" i="64"/>
  <c r="Y77" i="64"/>
  <c r="V77" i="64"/>
  <c r="Y76" i="64"/>
  <c r="G76" i="64"/>
  <c r="I76" i="64" s="1"/>
  <c r="AB75" i="64"/>
  <c r="G75" i="64"/>
  <c r="I75" i="64" s="1"/>
  <c r="AB74" i="64"/>
  <c r="Y71" i="64"/>
  <c r="Y70" i="64"/>
  <c r="Y69" i="64"/>
  <c r="Y68" i="64"/>
  <c r="Y66" i="64"/>
  <c r="X65" i="64"/>
  <c r="G65" i="64"/>
  <c r="X64" i="64"/>
  <c r="X61" i="64"/>
  <c r="X60" i="64"/>
  <c r="J56" i="64"/>
  <c r="AA56" i="64" s="1"/>
  <c r="AA53" i="64"/>
  <c r="Z49" i="64"/>
  <c r="X49" i="64"/>
  <c r="G49" i="64"/>
  <c r="Z48" i="64"/>
  <c r="X48" i="64"/>
  <c r="G48" i="64"/>
  <c r="Z47" i="64"/>
  <c r="G47" i="64"/>
  <c r="X40" i="64"/>
  <c r="K40" i="64"/>
  <c r="X39" i="64"/>
  <c r="AB40" i="64" s="1"/>
  <c r="AC37" i="64"/>
  <c r="X37" i="64"/>
  <c r="E37" i="64"/>
  <c r="D37" i="64"/>
  <c r="AC36" i="64"/>
  <c r="AB36" i="64"/>
  <c r="L36" i="64"/>
  <c r="AC35" i="64"/>
  <c r="AB35" i="64"/>
  <c r="L35" i="64"/>
  <c r="AC34" i="64"/>
  <c r="AB34" i="64"/>
  <c r="L34" i="64"/>
  <c r="AC33" i="64"/>
  <c r="AB33" i="64"/>
  <c r="L33" i="64"/>
  <c r="AC32" i="64"/>
  <c r="AB32" i="64"/>
  <c r="L32" i="64"/>
  <c r="AC31" i="64"/>
  <c r="AB31" i="64"/>
  <c r="L31" i="64"/>
  <c r="AC30" i="64"/>
  <c r="AB30" i="64"/>
  <c r="L30" i="64"/>
  <c r="AC29" i="64"/>
  <c r="AB29" i="64"/>
  <c r="L29" i="64"/>
  <c r="AC28" i="64"/>
  <c r="AB28" i="64"/>
  <c r="E26" i="64"/>
  <c r="D26" i="64"/>
  <c r="K25" i="64"/>
  <c r="L25" i="64" s="1"/>
  <c r="I24" i="64"/>
  <c r="K24" i="64" s="1"/>
  <c r="L24" i="64" s="1"/>
  <c r="I23" i="64"/>
  <c r="K23" i="64"/>
  <c r="L23" i="64" s="1"/>
  <c r="K22" i="64"/>
  <c r="L22" i="64" s="1"/>
  <c r="I21" i="64"/>
  <c r="K21" i="64" s="1"/>
  <c r="L21" i="64" s="1"/>
  <c r="I20" i="64"/>
  <c r="K20" i="64"/>
  <c r="L20" i="64" s="1"/>
  <c r="K19" i="64"/>
  <c r="L19" i="64" s="1"/>
  <c r="I18" i="64"/>
  <c r="K18" i="64" s="1"/>
  <c r="L18" i="64" s="1"/>
  <c r="I17" i="64"/>
  <c r="K17" i="64"/>
  <c r="L17" i="64" s="1"/>
  <c r="K16" i="64"/>
  <c r="L16" i="64" s="1"/>
  <c r="K15" i="64"/>
  <c r="L15" i="64" s="1"/>
  <c r="I15" i="64"/>
  <c r="K14" i="64"/>
  <c r="L14" i="64" s="1"/>
  <c r="I13" i="64"/>
  <c r="K13" i="64"/>
  <c r="K12" i="64"/>
  <c r="L12" i="64" s="1"/>
  <c r="I11" i="64"/>
  <c r="K11" i="64"/>
  <c r="L11" i="64" s="1"/>
  <c r="AB7" i="64"/>
  <c r="X47" i="64" s="1"/>
  <c r="X7" i="64"/>
  <c r="V4" i="64"/>
  <c r="B3" i="64"/>
  <c r="V2" i="64"/>
  <c r="M13" i="64" l="1"/>
  <c r="G37" i="64"/>
  <c r="L28" i="64"/>
  <c r="L37" i="64" s="1"/>
  <c r="C49" i="64"/>
  <c r="K49" i="64" s="1"/>
  <c r="L75" i="64"/>
  <c r="Z74" i="64"/>
  <c r="K10" i="64"/>
  <c r="G26" i="64"/>
  <c r="L13" i="64"/>
  <c r="C48" i="64"/>
  <c r="K48" i="64" s="1"/>
  <c r="Z75" i="64"/>
  <c r="AC75" i="64" s="1"/>
  <c r="L76" i="64"/>
  <c r="Y58" i="64"/>
  <c r="M11" i="64"/>
  <c r="M15" i="64"/>
  <c r="AC74" i="64"/>
  <c r="K26" i="64" l="1"/>
  <c r="G53" i="64" s="1"/>
  <c r="K54" i="64" s="1"/>
  <c r="C47" i="64"/>
  <c r="L10" i="64"/>
  <c r="L26" i="64" s="1"/>
  <c r="K84" i="64"/>
  <c r="G56" i="64"/>
  <c r="K57" i="64" s="1"/>
  <c r="L40" i="64"/>
  <c r="L44" i="64" l="1"/>
  <c r="K72" i="64"/>
  <c r="L72" i="64" s="1"/>
  <c r="K69" i="64"/>
  <c r="L69" i="64" s="1"/>
  <c r="C50" i="64"/>
  <c r="K47" i="64"/>
  <c r="L50" i="64" s="1"/>
  <c r="X24" i="64"/>
  <c r="AB24" i="64" s="1"/>
  <c r="AC24" i="64" s="1"/>
  <c r="X21" i="64"/>
  <c r="AB21" i="64" s="1"/>
  <c r="AC21" i="64" s="1"/>
  <c r="X18" i="64"/>
  <c r="AB18" i="64" s="1"/>
  <c r="AC18" i="64" s="1"/>
  <c r="X15" i="64"/>
  <c r="AB15" i="64" s="1"/>
  <c r="AC15" i="64" s="1"/>
  <c r="X14" i="64"/>
  <c r="AB14" i="64" s="1"/>
  <c r="X11" i="64"/>
  <c r="AB11" i="64" s="1"/>
  <c r="AC11" i="64" s="1"/>
  <c r="X10" i="64"/>
  <c r="X22" i="64"/>
  <c r="AB22" i="64" s="1"/>
  <c r="AC22" i="64" s="1"/>
  <c r="X19" i="64"/>
  <c r="AB19" i="64" s="1"/>
  <c r="AC19" i="64" s="1"/>
  <c r="X16" i="64"/>
  <c r="AB16" i="64" s="1"/>
  <c r="AC16" i="64" s="1"/>
  <c r="X25" i="64"/>
  <c r="AB25" i="64" s="1"/>
  <c r="AC25" i="64" s="1"/>
  <c r="X13" i="64"/>
  <c r="AB13" i="64" s="1"/>
  <c r="AC13" i="64" s="1"/>
  <c r="X12" i="64"/>
  <c r="AB12" i="64" s="1"/>
  <c r="X17" i="64"/>
  <c r="AB17" i="64" s="1"/>
  <c r="AC17" i="64" s="1"/>
  <c r="X23" i="64"/>
  <c r="AB23" i="64" s="1"/>
  <c r="AC23" i="64" s="1"/>
  <c r="X20" i="64"/>
  <c r="AB20" i="64" s="1"/>
  <c r="AC20" i="64" s="1"/>
  <c r="K67" i="64"/>
  <c r="L67" i="64" s="1"/>
  <c r="K78" i="64"/>
  <c r="L78" i="64" s="1"/>
  <c r="K71" i="64"/>
  <c r="L71" i="64" s="1"/>
  <c r="K70" i="64"/>
  <c r="L70" i="64" s="1"/>
  <c r="K59" i="64"/>
  <c r="L59" i="64" s="1"/>
  <c r="K77" i="64"/>
  <c r="L77" i="64" s="1"/>
  <c r="AC12" i="64" l="1"/>
  <c r="W48" i="64"/>
  <c r="AB48" i="64" s="1"/>
  <c r="W49" i="64"/>
  <c r="AB49" i="64" s="1"/>
  <c r="AC14" i="64"/>
  <c r="X26" i="64"/>
  <c r="AB10" i="64"/>
  <c r="L82" i="64"/>
  <c r="AB26" i="64" l="1"/>
  <c r="X53" i="64" s="1"/>
  <c r="AB54" i="64" s="1"/>
  <c r="W47" i="64"/>
  <c r="AC10" i="64"/>
  <c r="AC26" i="64" s="1"/>
  <c r="K86" i="64"/>
  <c r="X56" i="64"/>
  <c r="AB57" i="64" s="1"/>
  <c r="AC40" i="64"/>
  <c r="AC44" i="64" l="1"/>
  <c r="W50" i="64"/>
  <c r="AB47" i="64"/>
  <c r="AC50" i="64" s="1"/>
  <c r="L86" i="64"/>
  <c r="L87" i="64" s="1"/>
  <c r="L90" i="64" s="1"/>
  <c r="L92" i="64" s="1"/>
  <c r="AB69" i="64"/>
  <c r="AC69" i="64" s="1"/>
  <c r="AB58" i="64"/>
  <c r="AC58" i="64" s="1"/>
  <c r="AB76" i="64"/>
  <c r="AC76" i="64" s="1"/>
  <c r="AB66" i="64"/>
  <c r="AC66" i="64" s="1"/>
  <c r="AB77" i="64"/>
  <c r="AC77" i="64" s="1"/>
  <c r="AB70" i="64"/>
  <c r="AC70" i="64" s="1"/>
  <c r="AB68" i="64"/>
  <c r="AC68" i="64" s="1"/>
  <c r="AB71" i="64"/>
  <c r="AC71" i="64" s="1"/>
  <c r="L94" i="64" l="1"/>
  <c r="AC81" i="64"/>
  <c r="L84" i="64" s="1"/>
  <c r="B136" i="63"/>
  <c r="B135" i="63"/>
  <c r="M86" i="63"/>
  <c r="V79" i="63"/>
  <c r="V78" i="63"/>
  <c r="Y77" i="63"/>
  <c r="V77" i="63"/>
  <c r="Y76" i="63"/>
  <c r="G76" i="63"/>
  <c r="I76" i="63" s="1"/>
  <c r="AB75" i="63"/>
  <c r="G75" i="63"/>
  <c r="I75" i="63" s="1"/>
  <c r="AB74" i="63"/>
  <c r="Y71" i="63"/>
  <c r="Y70" i="63"/>
  <c r="Y69" i="63"/>
  <c r="Y68" i="63"/>
  <c r="Y66" i="63"/>
  <c r="X65" i="63"/>
  <c r="G65" i="63"/>
  <c r="X64" i="63" s="1"/>
  <c r="Y58" i="63" s="1"/>
  <c r="X61" i="63"/>
  <c r="X60" i="63"/>
  <c r="J56" i="63"/>
  <c r="AA56" i="63" s="1"/>
  <c r="AA53" i="63"/>
  <c r="Z49" i="63"/>
  <c r="G49" i="63"/>
  <c r="Z48" i="63"/>
  <c r="G48" i="63"/>
  <c r="Z47" i="63"/>
  <c r="G47" i="63"/>
  <c r="X40" i="63"/>
  <c r="K40" i="63"/>
  <c r="X39" i="63"/>
  <c r="AB40" i="63" s="1"/>
  <c r="X37" i="63"/>
  <c r="E37" i="63"/>
  <c r="D37" i="63"/>
  <c r="AC36" i="63"/>
  <c r="AB36" i="63"/>
  <c r="L36" i="63"/>
  <c r="AC35" i="63"/>
  <c r="AB35" i="63"/>
  <c r="L35" i="63"/>
  <c r="AC34" i="63"/>
  <c r="AB34" i="63"/>
  <c r="L34" i="63"/>
  <c r="AC33" i="63"/>
  <c r="AB33" i="63"/>
  <c r="L33" i="63"/>
  <c r="AC32" i="63"/>
  <c r="AB32" i="63"/>
  <c r="L32" i="63"/>
  <c r="AC31" i="63"/>
  <c r="AB31" i="63"/>
  <c r="L31" i="63"/>
  <c r="AC30" i="63"/>
  <c r="AB30" i="63"/>
  <c r="L30" i="63"/>
  <c r="AC29" i="63"/>
  <c r="AB29" i="63"/>
  <c r="L29" i="63"/>
  <c r="AC28" i="63"/>
  <c r="AC37" i="63" s="1"/>
  <c r="AB28" i="63"/>
  <c r="E26" i="63"/>
  <c r="D26" i="63"/>
  <c r="K25" i="63"/>
  <c r="L25" i="63" s="1"/>
  <c r="I24" i="63"/>
  <c r="K24" i="63"/>
  <c r="L24" i="63" s="1"/>
  <c r="I23" i="63"/>
  <c r="K23" i="63"/>
  <c r="L23" i="63" s="1"/>
  <c r="K22" i="63"/>
  <c r="L22" i="63" s="1"/>
  <c r="I21" i="63"/>
  <c r="K21" i="63"/>
  <c r="L21" i="63" s="1"/>
  <c r="I20" i="63"/>
  <c r="K20" i="63"/>
  <c r="L20" i="63" s="1"/>
  <c r="K19" i="63"/>
  <c r="L19" i="63" s="1"/>
  <c r="I18" i="63"/>
  <c r="K18" i="63"/>
  <c r="L18" i="63" s="1"/>
  <c r="I17" i="63"/>
  <c r="K17" i="63"/>
  <c r="L17" i="63" s="1"/>
  <c r="K16" i="63"/>
  <c r="L16" i="63" s="1"/>
  <c r="I15" i="63"/>
  <c r="M15" i="63"/>
  <c r="K14" i="63"/>
  <c r="I13" i="63"/>
  <c r="M13" i="63"/>
  <c r="K12" i="63"/>
  <c r="L12" i="63" s="1"/>
  <c r="I11" i="63"/>
  <c r="K11" i="63" s="1"/>
  <c r="L11" i="63" s="1"/>
  <c r="M11" i="63"/>
  <c r="AB7" i="63"/>
  <c r="X49" i="63" s="1"/>
  <c r="X7" i="63"/>
  <c r="V4" i="63"/>
  <c r="B3" i="63"/>
  <c r="V2" i="63"/>
  <c r="G37" i="63" l="1"/>
  <c r="K15" i="63"/>
  <c r="L15" i="63" s="1"/>
  <c r="G26" i="63"/>
  <c r="K84" i="63" s="1"/>
  <c r="L76" i="63"/>
  <c r="Z75" i="63"/>
  <c r="AC75" i="63" s="1"/>
  <c r="C49" i="63"/>
  <c r="K49" i="63" s="1"/>
  <c r="L14" i="63"/>
  <c r="L75" i="63"/>
  <c r="Z74" i="63"/>
  <c r="AC74" i="63" s="1"/>
  <c r="K10" i="63"/>
  <c r="L28" i="63"/>
  <c r="L37" i="63" s="1"/>
  <c r="X48" i="63"/>
  <c r="K13" i="63"/>
  <c r="L13" i="63" s="1"/>
  <c r="X47" i="63"/>
  <c r="C48" i="63" l="1"/>
  <c r="K48" i="63" s="1"/>
  <c r="G56" i="63"/>
  <c r="K57" i="63" s="1"/>
  <c r="L40" i="63"/>
  <c r="K26" i="63"/>
  <c r="G53" i="63" s="1"/>
  <c r="K54" i="63" s="1"/>
  <c r="C47" i="63"/>
  <c r="L10" i="63"/>
  <c r="L26" i="63" s="1"/>
  <c r="L44" i="63" s="1"/>
  <c r="K69" i="63"/>
  <c r="L69" i="63" s="1"/>
  <c r="K72" i="63"/>
  <c r="L72" i="63" s="1"/>
  <c r="X23" i="63"/>
  <c r="AB23" i="63" s="1"/>
  <c r="AC23" i="63" s="1"/>
  <c r="X24" i="63"/>
  <c r="AB24" i="63" s="1"/>
  <c r="AC24" i="63" s="1"/>
  <c r="X21" i="63"/>
  <c r="AB21" i="63" s="1"/>
  <c r="AC21" i="63" s="1"/>
  <c r="X18" i="63"/>
  <c r="AB18" i="63" s="1"/>
  <c r="AC18" i="63" s="1"/>
  <c r="X15" i="63"/>
  <c r="AB15" i="63" s="1"/>
  <c r="AC15" i="63" s="1"/>
  <c r="X14" i="63"/>
  <c r="AB14" i="63" s="1"/>
  <c r="X11" i="63"/>
  <c r="AB11" i="63" s="1"/>
  <c r="AC11" i="63" s="1"/>
  <c r="X10" i="63"/>
  <c r="X20" i="63"/>
  <c r="AB20" i="63" s="1"/>
  <c r="AC20" i="63" s="1"/>
  <c r="X25" i="63"/>
  <c r="AB25" i="63" s="1"/>
  <c r="AC25" i="63" s="1"/>
  <c r="X22" i="63"/>
  <c r="AB22" i="63" s="1"/>
  <c r="AC22" i="63" s="1"/>
  <c r="X19" i="63"/>
  <c r="AB19" i="63" s="1"/>
  <c r="AC19" i="63" s="1"/>
  <c r="X16" i="63"/>
  <c r="AB16" i="63" s="1"/>
  <c r="AC16" i="63" s="1"/>
  <c r="X13" i="63"/>
  <c r="AB13" i="63" s="1"/>
  <c r="AC13" i="63" s="1"/>
  <c r="X12" i="63"/>
  <c r="AB12" i="63" s="1"/>
  <c r="X17" i="63"/>
  <c r="AB17" i="63" s="1"/>
  <c r="AC17" i="63" s="1"/>
  <c r="W49" i="63" l="1"/>
  <c r="AB49" i="63" s="1"/>
  <c r="AC14" i="63"/>
  <c r="K47" i="63"/>
  <c r="L50" i="63" s="1"/>
  <c r="C50" i="63"/>
  <c r="W48" i="63"/>
  <c r="AB48" i="63" s="1"/>
  <c r="AC12" i="63"/>
  <c r="AB10" i="63"/>
  <c r="X26" i="63"/>
  <c r="K77" i="63"/>
  <c r="L77" i="63" s="1"/>
  <c r="K67" i="63"/>
  <c r="L67" i="63" s="1"/>
  <c r="K78" i="63"/>
  <c r="L78" i="63" s="1"/>
  <c r="K71" i="63"/>
  <c r="L71" i="63" s="1"/>
  <c r="K70" i="63"/>
  <c r="L70" i="63" s="1"/>
  <c r="K59" i="63"/>
  <c r="L59" i="63" s="1"/>
  <c r="L82" i="63" l="1"/>
  <c r="K86" i="63" s="1"/>
  <c r="AB26" i="63"/>
  <c r="X53" i="63" s="1"/>
  <c r="AB54" i="63" s="1"/>
  <c r="W47" i="63"/>
  <c r="AC10" i="63"/>
  <c r="AC26" i="63" s="1"/>
  <c r="X56" i="63"/>
  <c r="AB57" i="63" s="1"/>
  <c r="AC40" i="63"/>
  <c r="AB47" i="63" l="1"/>
  <c r="AC50" i="63" s="1"/>
  <c r="W50" i="63"/>
  <c r="AB77" i="63"/>
  <c r="AC77" i="63" s="1"/>
  <c r="AB70" i="63"/>
  <c r="AC70" i="63" s="1"/>
  <c r="AB69" i="63"/>
  <c r="AC69" i="63" s="1"/>
  <c r="AB58" i="63"/>
  <c r="AC58" i="63" s="1"/>
  <c r="AB76" i="63"/>
  <c r="AC76" i="63" s="1"/>
  <c r="AB66" i="63"/>
  <c r="AC66" i="63" s="1"/>
  <c r="AB68" i="63"/>
  <c r="AC68" i="63" s="1"/>
  <c r="AB71" i="63"/>
  <c r="AC71" i="63" s="1"/>
  <c r="L86" i="63"/>
  <c r="L87" i="63" s="1"/>
  <c r="L90" i="63" s="1"/>
  <c r="L92" i="63" s="1"/>
  <c r="AC44" i="63"/>
  <c r="AC81" i="63" s="1"/>
  <c r="L84" i="63" s="1"/>
  <c r="L94" i="63" l="1"/>
  <c r="B136" i="62"/>
  <c r="B135" i="62"/>
  <c r="M86" i="62"/>
  <c r="V79" i="62"/>
  <c r="V78" i="62"/>
  <c r="Y77" i="62"/>
  <c r="V77" i="62"/>
  <c r="Y76" i="62"/>
  <c r="G76" i="62"/>
  <c r="I76" i="62" s="1"/>
  <c r="AB75" i="62"/>
  <c r="I75" i="62"/>
  <c r="L75" i="62" s="1"/>
  <c r="G75" i="62"/>
  <c r="AB74" i="62"/>
  <c r="AC74" i="62" s="1"/>
  <c r="Z74" i="62"/>
  <c r="Y71" i="62"/>
  <c r="Y70" i="62"/>
  <c r="Y69" i="62"/>
  <c r="Y68" i="62"/>
  <c r="Y66" i="62"/>
  <c r="X65" i="62"/>
  <c r="G65" i="62"/>
  <c r="X64" i="62"/>
  <c r="Y58" i="62" s="1"/>
  <c r="X61" i="62"/>
  <c r="X60" i="62"/>
  <c r="J56" i="62"/>
  <c r="AA56" i="62" s="1"/>
  <c r="AA53" i="62"/>
  <c r="Z49" i="62"/>
  <c r="G49" i="62"/>
  <c r="Z48" i="62"/>
  <c r="X48" i="62"/>
  <c r="G48" i="62"/>
  <c r="Z47" i="62"/>
  <c r="G47" i="62"/>
  <c r="X40" i="62"/>
  <c r="K40" i="62"/>
  <c r="X39" i="62"/>
  <c r="AB40" i="62" s="1"/>
  <c r="AC37" i="62"/>
  <c r="X37" i="62"/>
  <c r="E37" i="62"/>
  <c r="D37" i="62"/>
  <c r="AC36" i="62"/>
  <c r="AB36" i="62"/>
  <c r="L36" i="62"/>
  <c r="AC35" i="62"/>
  <c r="AB35" i="62"/>
  <c r="L35" i="62"/>
  <c r="AC34" i="62"/>
  <c r="AB34" i="62"/>
  <c r="L34" i="62"/>
  <c r="AC33" i="62"/>
  <c r="AB33" i="62"/>
  <c r="L33" i="62"/>
  <c r="AC32" i="62"/>
  <c r="AB32" i="62"/>
  <c r="L32" i="62"/>
  <c r="AC31" i="62"/>
  <c r="AB31" i="62"/>
  <c r="L31" i="62"/>
  <c r="AC30" i="62"/>
  <c r="AB30" i="62"/>
  <c r="L30" i="62"/>
  <c r="AC29" i="62"/>
  <c r="AB29" i="62"/>
  <c r="L29" i="62"/>
  <c r="AC28" i="62"/>
  <c r="AB28" i="62"/>
  <c r="E26" i="62"/>
  <c r="D26" i="62"/>
  <c r="K25" i="62"/>
  <c r="L25" i="62" s="1"/>
  <c r="I23" i="62"/>
  <c r="I24" i="62" s="1"/>
  <c r="K24" i="62" s="1"/>
  <c r="L24" i="62" s="1"/>
  <c r="K23" i="62"/>
  <c r="L23" i="62" s="1"/>
  <c r="K22" i="62"/>
  <c r="L22" i="62" s="1"/>
  <c r="I20" i="62"/>
  <c r="I21" i="62" s="1"/>
  <c r="K21" i="62" s="1"/>
  <c r="L21" i="62" s="1"/>
  <c r="K20" i="62"/>
  <c r="L20" i="62" s="1"/>
  <c r="K19" i="62"/>
  <c r="L19" i="62" s="1"/>
  <c r="I17" i="62"/>
  <c r="I18" i="62" s="1"/>
  <c r="K18" i="62" s="1"/>
  <c r="L18" i="62" s="1"/>
  <c r="K17" i="62"/>
  <c r="L17" i="62" s="1"/>
  <c r="K16" i="62"/>
  <c r="L16" i="62" s="1"/>
  <c r="K15" i="62"/>
  <c r="L15" i="62" s="1"/>
  <c r="I15" i="62"/>
  <c r="M15" i="62"/>
  <c r="K14" i="62"/>
  <c r="I13" i="62"/>
  <c r="M13" i="62"/>
  <c r="K12" i="62"/>
  <c r="L12" i="62" s="1"/>
  <c r="I11" i="62"/>
  <c r="M11" i="62"/>
  <c r="AB7" i="62"/>
  <c r="X49" i="62" s="1"/>
  <c r="X7" i="62"/>
  <c r="V4" i="62"/>
  <c r="B3" i="62"/>
  <c r="V2" i="62"/>
  <c r="G37" i="62" l="1"/>
  <c r="L28" i="62"/>
  <c r="L37" i="62" s="1"/>
  <c r="K11" i="62"/>
  <c r="L11" i="62" s="1"/>
  <c r="G26" i="62"/>
  <c r="G56" i="62" s="1"/>
  <c r="K57" i="62" s="1"/>
  <c r="K10" i="62"/>
  <c r="L76" i="62"/>
  <c r="Z75" i="62"/>
  <c r="AC75" i="62" s="1"/>
  <c r="C49" i="62"/>
  <c r="K49" i="62" s="1"/>
  <c r="L10" i="62"/>
  <c r="K13" i="62"/>
  <c r="L14" i="62"/>
  <c r="C47" i="62"/>
  <c r="X47" i="62"/>
  <c r="L40" i="62" l="1"/>
  <c r="K84" i="62"/>
  <c r="X20" i="62" s="1"/>
  <c r="AB20" i="62" s="1"/>
  <c r="AC20" i="62" s="1"/>
  <c r="K47" i="62"/>
  <c r="K69" i="62"/>
  <c r="L69" i="62" s="1"/>
  <c r="K72" i="62"/>
  <c r="L72" i="62" s="1"/>
  <c r="L13" i="62"/>
  <c r="C48" i="62"/>
  <c r="K48" i="62" s="1"/>
  <c r="L50" i="62" s="1"/>
  <c r="X23" i="62"/>
  <c r="AB23" i="62" s="1"/>
  <c r="AC23" i="62" s="1"/>
  <c r="X21" i="62"/>
  <c r="AB21" i="62" s="1"/>
  <c r="AC21" i="62" s="1"/>
  <c r="X15" i="62"/>
  <c r="AB15" i="62" s="1"/>
  <c r="AC15" i="62" s="1"/>
  <c r="X11" i="62"/>
  <c r="AB11" i="62" s="1"/>
  <c r="AC11" i="62" s="1"/>
  <c r="X25" i="62"/>
  <c r="AB25" i="62" s="1"/>
  <c r="AC25" i="62" s="1"/>
  <c r="X19" i="62"/>
  <c r="AB19" i="62" s="1"/>
  <c r="AC19" i="62" s="1"/>
  <c r="X13" i="62"/>
  <c r="AB13" i="62" s="1"/>
  <c r="AC13" i="62" s="1"/>
  <c r="L26" i="62"/>
  <c r="L44" i="62" s="1"/>
  <c r="K26" i="62"/>
  <c r="G53" i="62" s="1"/>
  <c r="K54" i="62" s="1"/>
  <c r="X16" i="62" l="1"/>
  <c r="AB16" i="62" s="1"/>
  <c r="AC16" i="62" s="1"/>
  <c r="X22" i="62"/>
  <c r="AB22" i="62" s="1"/>
  <c r="AC22" i="62" s="1"/>
  <c r="X10" i="62"/>
  <c r="X14" i="62"/>
  <c r="AB14" i="62" s="1"/>
  <c r="W49" i="62" s="1"/>
  <c r="AB49" i="62" s="1"/>
  <c r="X18" i="62"/>
  <c r="AB18" i="62" s="1"/>
  <c r="AC18" i="62" s="1"/>
  <c r="X24" i="62"/>
  <c r="AB24" i="62" s="1"/>
  <c r="AC24" i="62" s="1"/>
  <c r="X12" i="62"/>
  <c r="AB12" i="62" s="1"/>
  <c r="X17" i="62"/>
  <c r="AB17" i="62" s="1"/>
  <c r="AC17" i="62" s="1"/>
  <c r="AC14" i="62"/>
  <c r="AC12" i="62"/>
  <c r="K77" i="62"/>
  <c r="L77" i="62" s="1"/>
  <c r="K67" i="62"/>
  <c r="L67" i="62" s="1"/>
  <c r="K78" i="62"/>
  <c r="L78" i="62" s="1"/>
  <c r="K71" i="62"/>
  <c r="L71" i="62" s="1"/>
  <c r="K70" i="62"/>
  <c r="L70" i="62" s="1"/>
  <c r="K59" i="62"/>
  <c r="L59" i="62" s="1"/>
  <c r="AB10" i="62"/>
  <c r="X26" i="62"/>
  <c r="C50" i="62"/>
  <c r="W48" i="62" l="1"/>
  <c r="AB48" i="62" s="1"/>
  <c r="L82" i="62"/>
  <c r="K86" i="62" s="1"/>
  <c r="X56" i="62"/>
  <c r="AB57" i="62" s="1"/>
  <c r="AC40" i="62"/>
  <c r="W47" i="62"/>
  <c r="AB26" i="62"/>
  <c r="X53" i="62" s="1"/>
  <c r="AB54" i="62" s="1"/>
  <c r="AC10" i="62"/>
  <c r="AC26" i="62" s="1"/>
  <c r="AC44" i="62" l="1"/>
  <c r="AB71" i="62"/>
  <c r="AC71" i="62" s="1"/>
  <c r="AB68" i="62"/>
  <c r="AC68" i="62" s="1"/>
  <c r="L86" i="62"/>
  <c r="L87" i="62" s="1"/>
  <c r="L90" i="62" s="1"/>
  <c r="L92" i="62" s="1"/>
  <c r="AB77" i="62"/>
  <c r="AC77" i="62" s="1"/>
  <c r="AB70" i="62"/>
  <c r="AC70" i="62" s="1"/>
  <c r="AB69" i="62"/>
  <c r="AC69" i="62" s="1"/>
  <c r="AB58" i="62"/>
  <c r="AC58" i="62" s="1"/>
  <c r="AB76" i="62"/>
  <c r="AC76" i="62" s="1"/>
  <c r="AB66" i="62"/>
  <c r="AC66" i="62" s="1"/>
  <c r="AB47" i="62"/>
  <c r="AC50" i="62" s="1"/>
  <c r="W50" i="62"/>
  <c r="AC81" i="62" l="1"/>
  <c r="L84" i="62" s="1"/>
  <c r="L94" i="62"/>
  <c r="B136" i="60" l="1"/>
  <c r="B135" i="60"/>
  <c r="M86" i="60"/>
  <c r="V79" i="60"/>
  <c r="V78" i="60"/>
  <c r="Y77" i="60"/>
  <c r="V77" i="60"/>
  <c r="Y76" i="60"/>
  <c r="G76" i="60"/>
  <c r="I76" i="60" s="1"/>
  <c r="AB75" i="60"/>
  <c r="I75" i="60"/>
  <c r="L75" i="60" s="1"/>
  <c r="G75" i="60"/>
  <c r="AB74" i="60"/>
  <c r="Y71" i="60"/>
  <c r="Y70" i="60"/>
  <c r="Y69" i="60"/>
  <c r="Y68" i="60"/>
  <c r="Y66" i="60"/>
  <c r="X65" i="60"/>
  <c r="G65" i="60"/>
  <c r="X64" i="60"/>
  <c r="Y58" i="60" s="1"/>
  <c r="X61" i="60"/>
  <c r="X60" i="60"/>
  <c r="J56" i="60"/>
  <c r="AA56" i="60" s="1"/>
  <c r="AA53" i="60"/>
  <c r="Z49" i="60"/>
  <c r="G49" i="60"/>
  <c r="Z48" i="60"/>
  <c r="X48" i="60"/>
  <c r="G48" i="60"/>
  <c r="Z47" i="60"/>
  <c r="X47" i="60"/>
  <c r="G47" i="60"/>
  <c r="X40" i="60"/>
  <c r="K40" i="60"/>
  <c r="X39" i="60"/>
  <c r="AB40" i="60" s="1"/>
  <c r="X37" i="60"/>
  <c r="E37" i="60"/>
  <c r="D37" i="60"/>
  <c r="AB36" i="60"/>
  <c r="AC36" i="60" s="1"/>
  <c r="L36" i="60"/>
  <c r="AB35" i="60"/>
  <c r="AC35" i="60" s="1"/>
  <c r="L35" i="60"/>
  <c r="AB34" i="60"/>
  <c r="AC34" i="60" s="1"/>
  <c r="L34" i="60"/>
  <c r="AB33" i="60"/>
  <c r="AC33" i="60" s="1"/>
  <c r="L33" i="60"/>
  <c r="AB32" i="60"/>
  <c r="AC32" i="60" s="1"/>
  <c r="L32" i="60"/>
  <c r="AB31" i="60"/>
  <c r="AC31" i="60" s="1"/>
  <c r="L31" i="60"/>
  <c r="AB30" i="60"/>
  <c r="AC30" i="60" s="1"/>
  <c r="L30" i="60"/>
  <c r="AB29" i="60"/>
  <c r="AC29" i="60" s="1"/>
  <c r="L29" i="60"/>
  <c r="AB28" i="60"/>
  <c r="AC28" i="60" s="1"/>
  <c r="AC37" i="60" s="1"/>
  <c r="L28" i="60"/>
  <c r="E26" i="60"/>
  <c r="D26" i="60"/>
  <c r="K25" i="60"/>
  <c r="L25" i="60" s="1"/>
  <c r="I23" i="60"/>
  <c r="K22" i="60"/>
  <c r="L22" i="60" s="1"/>
  <c r="I20" i="60"/>
  <c r="K19" i="60"/>
  <c r="L19" i="60" s="1"/>
  <c r="I17" i="60"/>
  <c r="K16" i="60"/>
  <c r="L16" i="60" s="1"/>
  <c r="I15" i="60"/>
  <c r="K15" i="60"/>
  <c r="L15" i="60" s="1"/>
  <c r="K14" i="60"/>
  <c r="I13" i="60"/>
  <c r="K12" i="60"/>
  <c r="L12" i="60" s="1"/>
  <c r="I11" i="60"/>
  <c r="M11" i="60"/>
  <c r="K10" i="60"/>
  <c r="L10" i="60" s="1"/>
  <c r="AB7" i="60"/>
  <c r="X49" i="60" s="1"/>
  <c r="X7" i="60"/>
  <c r="V4" i="60"/>
  <c r="B3" i="60"/>
  <c r="V2" i="60"/>
  <c r="M13" i="60" l="1"/>
  <c r="G37" i="60"/>
  <c r="K13" i="60"/>
  <c r="L13" i="60" s="1"/>
  <c r="L37" i="60"/>
  <c r="K11" i="60"/>
  <c r="L11" i="60" s="1"/>
  <c r="G26" i="60"/>
  <c r="I18" i="60"/>
  <c r="K18" i="60" s="1"/>
  <c r="L18" i="60" s="1"/>
  <c r="K17" i="60"/>
  <c r="I21" i="60"/>
  <c r="K21" i="60" s="1"/>
  <c r="L21" i="60" s="1"/>
  <c r="K20" i="60"/>
  <c r="L20" i="60" s="1"/>
  <c r="I24" i="60"/>
  <c r="K24" i="60" s="1"/>
  <c r="L24" i="60" s="1"/>
  <c r="K23" i="60"/>
  <c r="L23" i="60" s="1"/>
  <c r="Z74" i="60"/>
  <c r="L76" i="60"/>
  <c r="Z75" i="60"/>
  <c r="AC75" i="60" s="1"/>
  <c r="L14" i="60"/>
  <c r="AC74" i="60"/>
  <c r="M15" i="60"/>
  <c r="C47" i="60" l="1"/>
  <c r="C49" i="60"/>
  <c r="K49" i="60" s="1"/>
  <c r="K84" i="60"/>
  <c r="G56" i="60"/>
  <c r="K57" i="60" s="1"/>
  <c r="L40" i="60"/>
  <c r="K26" i="60"/>
  <c r="G53" i="60" s="1"/>
  <c r="K54" i="60" s="1"/>
  <c r="K47" i="60"/>
  <c r="L17" i="60"/>
  <c r="L26" i="60" s="1"/>
  <c r="C48" i="60"/>
  <c r="K48" i="60" s="1"/>
  <c r="L44" i="60" l="1"/>
  <c r="K77" i="60"/>
  <c r="L77" i="60" s="1"/>
  <c r="K67" i="60"/>
  <c r="L67" i="60" s="1"/>
  <c r="K78" i="60"/>
  <c r="L78" i="60" s="1"/>
  <c r="K71" i="60"/>
  <c r="L71" i="60" s="1"/>
  <c r="K59" i="60"/>
  <c r="L59" i="60" s="1"/>
  <c r="K70" i="60"/>
  <c r="L70" i="60" s="1"/>
  <c r="X23" i="60"/>
  <c r="AB23" i="60" s="1"/>
  <c r="AC23" i="60" s="1"/>
  <c r="X20" i="60"/>
  <c r="AB20" i="60" s="1"/>
  <c r="AC20" i="60" s="1"/>
  <c r="X17" i="60"/>
  <c r="AB17" i="60" s="1"/>
  <c r="AC17" i="60" s="1"/>
  <c r="X24" i="60"/>
  <c r="AB24" i="60" s="1"/>
  <c r="AC24" i="60" s="1"/>
  <c r="X21" i="60"/>
  <c r="AB21" i="60" s="1"/>
  <c r="AC21" i="60" s="1"/>
  <c r="X18" i="60"/>
  <c r="AB18" i="60" s="1"/>
  <c r="AC18" i="60" s="1"/>
  <c r="X15" i="60"/>
  <c r="AB15" i="60" s="1"/>
  <c r="AC15" i="60" s="1"/>
  <c r="X14" i="60"/>
  <c r="AB14" i="60" s="1"/>
  <c r="X11" i="60"/>
  <c r="AB11" i="60" s="1"/>
  <c r="AC11" i="60" s="1"/>
  <c r="X10" i="60"/>
  <c r="X13" i="60"/>
  <c r="AB13" i="60" s="1"/>
  <c r="AC13" i="60" s="1"/>
  <c r="X25" i="60"/>
  <c r="AB25" i="60" s="1"/>
  <c r="AC25" i="60" s="1"/>
  <c r="X22" i="60"/>
  <c r="AB22" i="60" s="1"/>
  <c r="AC22" i="60" s="1"/>
  <c r="X16" i="60"/>
  <c r="AB16" i="60" s="1"/>
  <c r="AC16" i="60" s="1"/>
  <c r="X19" i="60"/>
  <c r="AB19" i="60" s="1"/>
  <c r="AC19" i="60" s="1"/>
  <c r="X12" i="60"/>
  <c r="AB12" i="60" s="1"/>
  <c r="K69" i="60"/>
  <c r="L69" i="60" s="1"/>
  <c r="K72" i="60"/>
  <c r="L72" i="60" s="1"/>
  <c r="L50" i="60"/>
  <c r="C50" i="60"/>
  <c r="L82" i="60" l="1"/>
  <c r="K86" i="60" s="1"/>
  <c r="W49" i="60"/>
  <c r="AB49" i="60" s="1"/>
  <c r="AC14" i="60"/>
  <c r="W48" i="60"/>
  <c r="AB48" i="60" s="1"/>
  <c r="AC12" i="60"/>
  <c r="AB10" i="60"/>
  <c r="X26" i="60"/>
  <c r="X56" i="60" l="1"/>
  <c r="AB57" i="60" s="1"/>
  <c r="AC40" i="60"/>
  <c r="AB26" i="60"/>
  <c r="X53" i="60" s="1"/>
  <c r="AB54" i="60" s="1"/>
  <c r="AC10" i="60"/>
  <c r="AC26" i="60" s="1"/>
  <c r="W47" i="60"/>
  <c r="L86" i="60"/>
  <c r="L87" i="60" s="1"/>
  <c r="L90" i="60" s="1"/>
  <c r="L92" i="60" s="1"/>
  <c r="AB77" i="60" l="1"/>
  <c r="AC77" i="60" s="1"/>
  <c r="AB70" i="60"/>
  <c r="AC70" i="60" s="1"/>
  <c r="AB69" i="60"/>
  <c r="AC69" i="60" s="1"/>
  <c r="AB58" i="60"/>
  <c r="AC58" i="60" s="1"/>
  <c r="AB76" i="60"/>
  <c r="AC76" i="60" s="1"/>
  <c r="AB66" i="60"/>
  <c r="AC66" i="60" s="1"/>
  <c r="AB47" i="60"/>
  <c r="AC50" i="60" s="1"/>
  <c r="W50" i="60"/>
  <c r="AB68" i="60"/>
  <c r="AC68" i="60" s="1"/>
  <c r="AB71" i="60"/>
  <c r="AC71" i="60" s="1"/>
  <c r="L94" i="60"/>
  <c r="AC44" i="60"/>
  <c r="AC81" i="60" s="1"/>
  <c r="L84" i="60" s="1"/>
  <c r="B136" i="58" l="1"/>
  <c r="B135" i="58"/>
  <c r="M86" i="58"/>
  <c r="V79" i="58"/>
  <c r="V78" i="58"/>
  <c r="Y77" i="58"/>
  <c r="V77" i="58"/>
  <c r="Y76" i="58"/>
  <c r="G76" i="58"/>
  <c r="I76" i="58" s="1"/>
  <c r="AB75" i="58"/>
  <c r="G75" i="58"/>
  <c r="I75" i="58" s="1"/>
  <c r="AB74" i="58"/>
  <c r="Y71" i="58"/>
  <c r="Y70" i="58"/>
  <c r="Y69" i="58"/>
  <c r="Y68" i="58"/>
  <c r="Y66" i="58"/>
  <c r="X65" i="58"/>
  <c r="G65" i="58"/>
  <c r="X64" i="58" s="1"/>
  <c r="Y58" i="58" s="1"/>
  <c r="X61" i="58"/>
  <c r="X60" i="58"/>
  <c r="J56" i="58"/>
  <c r="AA56" i="58" s="1"/>
  <c r="AA53" i="58"/>
  <c r="Z49" i="58"/>
  <c r="G49" i="58"/>
  <c r="Z48" i="58"/>
  <c r="G48" i="58"/>
  <c r="Z47" i="58"/>
  <c r="X47" i="58"/>
  <c r="G47" i="58"/>
  <c r="X40" i="58"/>
  <c r="K40" i="58"/>
  <c r="X39" i="58"/>
  <c r="AB40" i="58" s="1"/>
  <c r="X37" i="58"/>
  <c r="E37" i="58"/>
  <c r="D37" i="58"/>
  <c r="AB36" i="58"/>
  <c r="AC36" i="58" s="1"/>
  <c r="L36" i="58"/>
  <c r="AB35" i="58"/>
  <c r="AC35" i="58" s="1"/>
  <c r="L35" i="58"/>
  <c r="AB34" i="58"/>
  <c r="AC34" i="58" s="1"/>
  <c r="L34" i="58"/>
  <c r="AB33" i="58"/>
  <c r="AC33" i="58" s="1"/>
  <c r="L33" i="58"/>
  <c r="AB32" i="58"/>
  <c r="AC32" i="58" s="1"/>
  <c r="L32" i="58"/>
  <c r="AB31" i="58"/>
  <c r="AC31" i="58" s="1"/>
  <c r="L31" i="58"/>
  <c r="AB30" i="58"/>
  <c r="AC30" i="58" s="1"/>
  <c r="L30" i="58"/>
  <c r="AB29" i="58"/>
  <c r="AC29" i="58" s="1"/>
  <c r="L29" i="58"/>
  <c r="AB28" i="58"/>
  <c r="AC28" i="58" s="1"/>
  <c r="L28" i="58"/>
  <c r="E26" i="58"/>
  <c r="D26" i="58"/>
  <c r="K25" i="58"/>
  <c r="L25" i="58" s="1"/>
  <c r="I24" i="58"/>
  <c r="K24" i="58"/>
  <c r="L24" i="58" s="1"/>
  <c r="K23" i="58"/>
  <c r="L23" i="58" s="1"/>
  <c r="I23" i="58"/>
  <c r="K22" i="58"/>
  <c r="L22" i="58" s="1"/>
  <c r="I21" i="58"/>
  <c r="K21" i="58"/>
  <c r="L21" i="58" s="1"/>
  <c r="K20" i="58"/>
  <c r="L20" i="58" s="1"/>
  <c r="I20" i="58"/>
  <c r="K19" i="58"/>
  <c r="L19" i="58" s="1"/>
  <c r="I18" i="58"/>
  <c r="K18" i="58"/>
  <c r="L18" i="58" s="1"/>
  <c r="K17" i="58"/>
  <c r="L17" i="58" s="1"/>
  <c r="I17" i="58"/>
  <c r="K16" i="58"/>
  <c r="L16" i="58" s="1"/>
  <c r="I15" i="58"/>
  <c r="K15" i="58"/>
  <c r="L15" i="58" s="1"/>
  <c r="K14" i="58"/>
  <c r="I13" i="58"/>
  <c r="M13" i="58"/>
  <c r="K12" i="58"/>
  <c r="I11" i="58"/>
  <c r="M11" i="58"/>
  <c r="K10" i="58"/>
  <c r="L10" i="58" s="1"/>
  <c r="AB7" i="58"/>
  <c r="X49" i="58" s="1"/>
  <c r="X7" i="58"/>
  <c r="V4" i="58"/>
  <c r="B3" i="58"/>
  <c r="V2" i="58"/>
  <c r="G37" i="58" l="1"/>
  <c r="K13" i="58"/>
  <c r="L13" i="58" s="1"/>
  <c r="L12" i="58"/>
  <c r="C48" i="58"/>
  <c r="K48" i="58" s="1"/>
  <c r="AC37" i="58"/>
  <c r="L76" i="58"/>
  <c r="Z75" i="58"/>
  <c r="AC75" i="58" s="1"/>
  <c r="K11" i="58"/>
  <c r="L11" i="58" s="1"/>
  <c r="L26" i="58" s="1"/>
  <c r="G26" i="58"/>
  <c r="C49" i="58"/>
  <c r="K49" i="58" s="1"/>
  <c r="L14" i="58"/>
  <c r="L37" i="58"/>
  <c r="L75" i="58"/>
  <c r="Z74" i="58"/>
  <c r="AC74" i="58" s="1"/>
  <c r="M15" i="58"/>
  <c r="X48" i="58"/>
  <c r="K84" i="58" l="1"/>
  <c r="G56" i="58"/>
  <c r="K57" i="58" s="1"/>
  <c r="L40" i="58"/>
  <c r="L44" i="58" s="1"/>
  <c r="C47" i="58"/>
  <c r="K26" i="58"/>
  <c r="G53" i="58" s="1"/>
  <c r="K54" i="58" s="1"/>
  <c r="K77" i="58" l="1"/>
  <c r="L77" i="58" s="1"/>
  <c r="K71" i="58"/>
  <c r="L71" i="58" s="1"/>
  <c r="K67" i="58"/>
  <c r="L67" i="58" s="1"/>
  <c r="K70" i="58"/>
  <c r="L70" i="58" s="1"/>
  <c r="K59" i="58"/>
  <c r="L59" i="58" s="1"/>
  <c r="K78" i="58"/>
  <c r="L78" i="58" s="1"/>
  <c r="X23" i="58"/>
  <c r="AB23" i="58" s="1"/>
  <c r="AC23" i="58" s="1"/>
  <c r="X24" i="58"/>
  <c r="AB24" i="58" s="1"/>
  <c r="AC24" i="58" s="1"/>
  <c r="X21" i="58"/>
  <c r="AB21" i="58" s="1"/>
  <c r="AC21" i="58" s="1"/>
  <c r="X18" i="58"/>
  <c r="AB18" i="58" s="1"/>
  <c r="AC18" i="58" s="1"/>
  <c r="X15" i="58"/>
  <c r="AB15" i="58" s="1"/>
  <c r="AC15" i="58" s="1"/>
  <c r="X14" i="58"/>
  <c r="AB14" i="58" s="1"/>
  <c r="X11" i="58"/>
  <c r="AB11" i="58" s="1"/>
  <c r="AC11" i="58" s="1"/>
  <c r="X10" i="58"/>
  <c r="X25" i="58"/>
  <c r="AB25" i="58" s="1"/>
  <c r="AC25" i="58" s="1"/>
  <c r="X22" i="58"/>
  <c r="AB22" i="58" s="1"/>
  <c r="AC22" i="58" s="1"/>
  <c r="X19" i="58"/>
  <c r="AB19" i="58" s="1"/>
  <c r="AC19" i="58" s="1"/>
  <c r="X16" i="58"/>
  <c r="AB16" i="58" s="1"/>
  <c r="AC16" i="58" s="1"/>
  <c r="X13" i="58"/>
  <c r="AB13" i="58" s="1"/>
  <c r="AC13" i="58" s="1"/>
  <c r="X12" i="58"/>
  <c r="AB12" i="58" s="1"/>
  <c r="X20" i="58"/>
  <c r="AB20" i="58" s="1"/>
  <c r="AC20" i="58" s="1"/>
  <c r="X17" i="58"/>
  <c r="AB17" i="58" s="1"/>
  <c r="AC17" i="58" s="1"/>
  <c r="K69" i="58"/>
  <c r="L69" i="58" s="1"/>
  <c r="K72" i="58"/>
  <c r="L72" i="58" s="1"/>
  <c r="K47" i="58"/>
  <c r="L50" i="58" s="1"/>
  <c r="L82" i="58" s="1"/>
  <c r="C50" i="58"/>
  <c r="K86" i="58" l="1"/>
  <c r="W48" i="58"/>
  <c r="AB48" i="58" s="1"/>
  <c r="AC12" i="58"/>
  <c r="W49" i="58"/>
  <c r="AB49" i="58" s="1"/>
  <c r="AC14" i="58"/>
  <c r="X26" i="58"/>
  <c r="AB10" i="58"/>
  <c r="W47" i="58" l="1"/>
  <c r="AC10" i="58"/>
  <c r="AC26" i="58" s="1"/>
  <c r="AB26" i="58"/>
  <c r="X53" i="58" s="1"/>
  <c r="AB54" i="58" s="1"/>
  <c r="X56" i="58"/>
  <c r="AB57" i="58" s="1"/>
  <c r="AC40" i="58"/>
  <c r="L86" i="58"/>
  <c r="L87" i="58" s="1"/>
  <c r="L90" i="58" s="1"/>
  <c r="L92" i="58" s="1"/>
  <c r="AC44" i="58" l="1"/>
  <c r="AB77" i="58"/>
  <c r="AC77" i="58" s="1"/>
  <c r="AB70" i="58"/>
  <c r="AC70" i="58" s="1"/>
  <c r="AB69" i="58"/>
  <c r="AC69" i="58" s="1"/>
  <c r="AB58" i="58"/>
  <c r="AC58" i="58" s="1"/>
  <c r="AB66" i="58"/>
  <c r="AC66" i="58" s="1"/>
  <c r="AB76" i="58"/>
  <c r="AC76" i="58" s="1"/>
  <c r="AB68" i="58"/>
  <c r="AC68" i="58" s="1"/>
  <c r="AB71" i="58"/>
  <c r="AC71" i="58" s="1"/>
  <c r="L94" i="58"/>
  <c r="AB47" i="58"/>
  <c r="AC50" i="58" s="1"/>
  <c r="AC81" i="58" s="1"/>
  <c r="L84" i="58" s="1"/>
  <c r="W50" i="58"/>
  <c r="B136" i="57" l="1"/>
  <c r="B135" i="57"/>
  <c r="M86" i="57"/>
  <c r="V79" i="57"/>
  <c r="V78" i="57"/>
  <c r="Y77" i="57"/>
  <c r="V77" i="57"/>
  <c r="Y76" i="57"/>
  <c r="G76" i="57"/>
  <c r="I76" i="57" s="1"/>
  <c r="AB75" i="57"/>
  <c r="G75" i="57"/>
  <c r="I75" i="57" s="1"/>
  <c r="L75" i="57" s="1"/>
  <c r="AB74" i="57"/>
  <c r="Y71" i="57"/>
  <c r="Y70" i="57"/>
  <c r="Y69" i="57"/>
  <c r="Y68" i="57"/>
  <c r="Y66" i="57"/>
  <c r="X65" i="57"/>
  <c r="G65" i="57"/>
  <c r="X64" i="57"/>
  <c r="Y58" i="57" s="1"/>
  <c r="X61" i="57"/>
  <c r="X60" i="57"/>
  <c r="J56" i="57"/>
  <c r="AA56" i="57" s="1"/>
  <c r="AA53" i="57"/>
  <c r="Z49" i="57"/>
  <c r="G49" i="57"/>
  <c r="Z48" i="57"/>
  <c r="X48" i="57"/>
  <c r="G48" i="57"/>
  <c r="Z47" i="57"/>
  <c r="G47" i="57"/>
  <c r="X40" i="57"/>
  <c r="K40" i="57"/>
  <c r="X39" i="57"/>
  <c r="AB40" i="57" s="1"/>
  <c r="AC37" i="57"/>
  <c r="X37" i="57"/>
  <c r="E37" i="57"/>
  <c r="D37" i="57"/>
  <c r="AC36" i="57"/>
  <c r="AB36" i="57"/>
  <c r="L36" i="57"/>
  <c r="AC35" i="57"/>
  <c r="AB35" i="57"/>
  <c r="L35" i="57"/>
  <c r="AC34" i="57"/>
  <c r="AB34" i="57"/>
  <c r="L34" i="57"/>
  <c r="AC33" i="57"/>
  <c r="AB33" i="57"/>
  <c r="L33" i="57"/>
  <c r="AC32" i="57"/>
  <c r="AB32" i="57"/>
  <c r="L32" i="57"/>
  <c r="AC31" i="57"/>
  <c r="AB31" i="57"/>
  <c r="L31" i="57"/>
  <c r="AC30" i="57"/>
  <c r="AB30" i="57"/>
  <c r="L30" i="57"/>
  <c r="AC29" i="57"/>
  <c r="AB29" i="57"/>
  <c r="L29" i="57"/>
  <c r="AC28" i="57"/>
  <c r="AB28" i="57"/>
  <c r="L28" i="57"/>
  <c r="E26" i="57"/>
  <c r="D26" i="57"/>
  <c r="K25" i="57"/>
  <c r="L25" i="57" s="1"/>
  <c r="I23" i="57"/>
  <c r="I24" i="57" s="1"/>
  <c r="K24" i="57" s="1"/>
  <c r="L24" i="57" s="1"/>
  <c r="K23" i="57"/>
  <c r="L23" i="57" s="1"/>
  <c r="L22" i="57"/>
  <c r="K22" i="57"/>
  <c r="I20" i="57"/>
  <c r="I21" i="57" s="1"/>
  <c r="K21" i="57" s="1"/>
  <c r="L21" i="57" s="1"/>
  <c r="K20" i="57"/>
  <c r="L20" i="57" s="1"/>
  <c r="L19" i="57"/>
  <c r="K19" i="57"/>
  <c r="I17" i="57"/>
  <c r="I18" i="57" s="1"/>
  <c r="K18" i="57" s="1"/>
  <c r="L18" i="57" s="1"/>
  <c r="K17" i="57"/>
  <c r="L17" i="57" s="1"/>
  <c r="L16" i="57"/>
  <c r="K16" i="57"/>
  <c r="I15" i="57"/>
  <c r="M15" i="57"/>
  <c r="K14" i="57"/>
  <c r="I13" i="57"/>
  <c r="M13" i="57"/>
  <c r="K12" i="57"/>
  <c r="L12" i="57" s="1"/>
  <c r="K11" i="57"/>
  <c r="L11" i="57" s="1"/>
  <c r="I11" i="57"/>
  <c r="M11" i="57"/>
  <c r="K10" i="57"/>
  <c r="AB7" i="57"/>
  <c r="X49" i="57" s="1"/>
  <c r="X7" i="57"/>
  <c r="V4" i="57"/>
  <c r="B3" i="57"/>
  <c r="V2" i="57"/>
  <c r="G37" i="57" l="1"/>
  <c r="L37" i="57"/>
  <c r="G26" i="57"/>
  <c r="G56" i="57" s="1"/>
  <c r="K57" i="57" s="1"/>
  <c r="K15" i="57"/>
  <c r="L15" i="57" s="1"/>
  <c r="K84" i="57"/>
  <c r="L76" i="57"/>
  <c r="Z75" i="57"/>
  <c r="AC75" i="57" s="1"/>
  <c r="Z74" i="57"/>
  <c r="AC74" i="57" s="1"/>
  <c r="L10" i="57"/>
  <c r="K13" i="57"/>
  <c r="K26" i="57" s="1"/>
  <c r="G53" i="57" s="1"/>
  <c r="K54" i="57" s="1"/>
  <c r="L14" i="57"/>
  <c r="C47" i="57"/>
  <c r="X47" i="57"/>
  <c r="L40" i="57" l="1"/>
  <c r="C49" i="57"/>
  <c r="K49" i="57" s="1"/>
  <c r="L13" i="57"/>
  <c r="L26" i="57" s="1"/>
  <c r="L44" i="57" s="1"/>
  <c r="C48" i="57"/>
  <c r="K48" i="57" s="1"/>
  <c r="K47" i="57"/>
  <c r="K69" i="57"/>
  <c r="L69" i="57" s="1"/>
  <c r="K72" i="57"/>
  <c r="L72" i="57" s="1"/>
  <c r="K77" i="57"/>
  <c r="L77" i="57" s="1"/>
  <c r="K67" i="57"/>
  <c r="L67" i="57" s="1"/>
  <c r="K59" i="57"/>
  <c r="L59" i="57" s="1"/>
  <c r="K78" i="57"/>
  <c r="L78" i="57" s="1"/>
  <c r="K71" i="57"/>
  <c r="L71" i="57" s="1"/>
  <c r="K70" i="57"/>
  <c r="L70" i="57" s="1"/>
  <c r="X23" i="57"/>
  <c r="AB23" i="57" s="1"/>
  <c r="AC23" i="57" s="1"/>
  <c r="X20" i="57"/>
  <c r="AB20" i="57" s="1"/>
  <c r="AC20" i="57" s="1"/>
  <c r="X17" i="57"/>
  <c r="AB17" i="57" s="1"/>
  <c r="AC17" i="57" s="1"/>
  <c r="X22" i="57"/>
  <c r="AB22" i="57" s="1"/>
  <c r="AC22" i="57" s="1"/>
  <c r="X19" i="57"/>
  <c r="AB19" i="57" s="1"/>
  <c r="AC19" i="57" s="1"/>
  <c r="X24" i="57"/>
  <c r="AB24" i="57" s="1"/>
  <c r="AC24" i="57" s="1"/>
  <c r="X21" i="57"/>
  <c r="AB21" i="57" s="1"/>
  <c r="AC21" i="57" s="1"/>
  <c r="X18" i="57"/>
  <c r="AB18" i="57" s="1"/>
  <c r="AC18" i="57" s="1"/>
  <c r="X15" i="57"/>
  <c r="AB15" i="57" s="1"/>
  <c r="AC15" i="57" s="1"/>
  <c r="X14" i="57"/>
  <c r="AB14" i="57" s="1"/>
  <c r="X11" i="57"/>
  <c r="AB11" i="57" s="1"/>
  <c r="AC11" i="57" s="1"/>
  <c r="X10" i="57"/>
  <c r="X16" i="57"/>
  <c r="AB16" i="57" s="1"/>
  <c r="AC16" i="57" s="1"/>
  <c r="X13" i="57"/>
  <c r="AB13" i="57" s="1"/>
  <c r="AC13" i="57" s="1"/>
  <c r="X12" i="57"/>
  <c r="AB12" i="57" s="1"/>
  <c r="X25" i="57"/>
  <c r="AB25" i="57" s="1"/>
  <c r="AC25" i="57" s="1"/>
  <c r="L50" i="57" l="1"/>
  <c r="L82" i="57"/>
  <c r="K86" i="57" s="1"/>
  <c r="AB10" i="57"/>
  <c r="X26" i="57"/>
  <c r="W48" i="57"/>
  <c r="AB48" i="57" s="1"/>
  <c r="AC12" i="57"/>
  <c r="W49" i="57"/>
  <c r="AB49" i="57" s="1"/>
  <c r="AC14" i="57"/>
  <c r="C50" i="57"/>
  <c r="X56" i="57" l="1"/>
  <c r="AB57" i="57" s="1"/>
  <c r="AC40" i="57"/>
  <c r="L86" i="57"/>
  <c r="L87" i="57" s="1"/>
  <c r="L90" i="57" s="1"/>
  <c r="L92" i="57" s="1"/>
  <c r="AC10" i="57"/>
  <c r="AC26" i="57" s="1"/>
  <c r="AC44" i="57" s="1"/>
  <c r="W47" i="57"/>
  <c r="AB26" i="57"/>
  <c r="X53" i="57" s="1"/>
  <c r="AB54" i="57" s="1"/>
  <c r="AB47" i="57" l="1"/>
  <c r="AC50" i="57" s="1"/>
  <c r="W50" i="57"/>
  <c r="AB77" i="57"/>
  <c r="AC77" i="57" s="1"/>
  <c r="AB70" i="57"/>
  <c r="AC70" i="57" s="1"/>
  <c r="AB69" i="57"/>
  <c r="AC69" i="57" s="1"/>
  <c r="AB58" i="57"/>
  <c r="AC58" i="57" s="1"/>
  <c r="AB76" i="57"/>
  <c r="AC76" i="57" s="1"/>
  <c r="AB66" i="57"/>
  <c r="AC66" i="57" s="1"/>
  <c r="L94" i="57"/>
  <c r="AB68" i="57"/>
  <c r="AC68" i="57" s="1"/>
  <c r="AB71" i="57"/>
  <c r="AC71" i="57" s="1"/>
  <c r="AC81" i="57" l="1"/>
  <c r="L84" i="57" s="1"/>
  <c r="B136" i="56"/>
  <c r="B135" i="56"/>
  <c r="M86" i="56"/>
  <c r="V79" i="56"/>
  <c r="V78" i="56"/>
  <c r="Y77" i="56"/>
  <c r="V77" i="56"/>
  <c r="Y76" i="56"/>
  <c r="G76" i="56"/>
  <c r="I76" i="56" s="1"/>
  <c r="AB75" i="56"/>
  <c r="G75" i="56"/>
  <c r="I75" i="56" s="1"/>
  <c r="AB74" i="56"/>
  <c r="Y71" i="56"/>
  <c r="Y70" i="56"/>
  <c r="Y69" i="56"/>
  <c r="Y68" i="56"/>
  <c r="Y66" i="56"/>
  <c r="X65" i="56"/>
  <c r="G65" i="56"/>
  <c r="X64" i="56" s="1"/>
  <c r="Y58" i="56" s="1"/>
  <c r="X61" i="56"/>
  <c r="X60" i="56"/>
  <c r="J56" i="56"/>
  <c r="AA56" i="56" s="1"/>
  <c r="AA53" i="56"/>
  <c r="Z49" i="56"/>
  <c r="G49" i="56"/>
  <c r="Z48" i="56"/>
  <c r="G48" i="56"/>
  <c r="Z47" i="56"/>
  <c r="X47" i="56"/>
  <c r="G47" i="56"/>
  <c r="AB40" i="56"/>
  <c r="X40" i="56"/>
  <c r="K40" i="56"/>
  <c r="X39" i="56"/>
  <c r="X37" i="56"/>
  <c r="E37" i="56"/>
  <c r="D37" i="56"/>
  <c r="AB36" i="56"/>
  <c r="AC36" i="56" s="1"/>
  <c r="L36" i="56"/>
  <c r="AB35" i="56"/>
  <c r="AC35" i="56" s="1"/>
  <c r="L35" i="56"/>
  <c r="AB34" i="56"/>
  <c r="AC34" i="56" s="1"/>
  <c r="L34" i="56"/>
  <c r="AB33" i="56"/>
  <c r="AC33" i="56" s="1"/>
  <c r="L33" i="56"/>
  <c r="AB32" i="56"/>
  <c r="AC32" i="56" s="1"/>
  <c r="L32" i="56"/>
  <c r="AB31" i="56"/>
  <c r="AC31" i="56" s="1"/>
  <c r="L31" i="56"/>
  <c r="AB30" i="56"/>
  <c r="AC30" i="56" s="1"/>
  <c r="L30" i="56"/>
  <c r="AB29" i="56"/>
  <c r="AC29" i="56" s="1"/>
  <c r="L29" i="56"/>
  <c r="AB28" i="56"/>
  <c r="AC28" i="56" s="1"/>
  <c r="L28" i="56"/>
  <c r="E26" i="56"/>
  <c r="D26" i="56"/>
  <c r="K25" i="56"/>
  <c r="L25" i="56" s="1"/>
  <c r="I24" i="56"/>
  <c r="K24" i="56"/>
  <c r="L24" i="56" s="1"/>
  <c r="K23" i="56"/>
  <c r="L23" i="56" s="1"/>
  <c r="I23" i="56"/>
  <c r="K22" i="56"/>
  <c r="L22" i="56" s="1"/>
  <c r="I21" i="56"/>
  <c r="K21" i="56"/>
  <c r="L21" i="56" s="1"/>
  <c r="K20" i="56"/>
  <c r="L20" i="56" s="1"/>
  <c r="I20" i="56"/>
  <c r="K19" i="56"/>
  <c r="L19" i="56" s="1"/>
  <c r="I18" i="56"/>
  <c r="K18" i="56"/>
  <c r="L18" i="56" s="1"/>
  <c r="K17" i="56"/>
  <c r="L17" i="56" s="1"/>
  <c r="I17" i="56"/>
  <c r="K16" i="56"/>
  <c r="L16" i="56" s="1"/>
  <c r="I15" i="56"/>
  <c r="M15" i="56"/>
  <c r="K14" i="56"/>
  <c r="I13" i="56"/>
  <c r="M13" i="56"/>
  <c r="K12" i="56"/>
  <c r="I11" i="56"/>
  <c r="K10" i="56"/>
  <c r="AB7" i="56"/>
  <c r="X49" i="56" s="1"/>
  <c r="X7" i="56"/>
  <c r="V4" i="56"/>
  <c r="B3" i="56"/>
  <c r="V2" i="56"/>
  <c r="G37" i="56" l="1"/>
  <c r="K13" i="56"/>
  <c r="L13" i="56" s="1"/>
  <c r="G26" i="56"/>
  <c r="G56" i="56" s="1"/>
  <c r="K57" i="56" s="1"/>
  <c r="L10" i="56"/>
  <c r="L76" i="56"/>
  <c r="Z75" i="56"/>
  <c r="AC75" i="56" s="1"/>
  <c r="L12" i="56"/>
  <c r="L14" i="56"/>
  <c r="L37" i="56"/>
  <c r="AC37" i="56"/>
  <c r="Z74" i="56"/>
  <c r="AC74" i="56" s="1"/>
  <c r="L75" i="56"/>
  <c r="M11" i="56"/>
  <c r="K11" i="56"/>
  <c r="L11" i="56" s="1"/>
  <c r="K15" i="56"/>
  <c r="L15" i="56" s="1"/>
  <c r="X48" i="56"/>
  <c r="C48" i="56" l="1"/>
  <c r="K48" i="56" s="1"/>
  <c r="L40" i="56"/>
  <c r="K84" i="56"/>
  <c r="X20" i="56" s="1"/>
  <c r="AB20" i="56" s="1"/>
  <c r="AC20" i="56" s="1"/>
  <c r="C49" i="56"/>
  <c r="K49" i="56" s="1"/>
  <c r="K26" i="56"/>
  <c r="G53" i="56" s="1"/>
  <c r="K54" i="56" s="1"/>
  <c r="L26" i="56"/>
  <c r="L44" i="56" s="1"/>
  <c r="K69" i="56"/>
  <c r="L69" i="56" s="1"/>
  <c r="K72" i="56"/>
  <c r="L72" i="56" s="1"/>
  <c r="C47" i="56"/>
  <c r="X23" i="56" l="1"/>
  <c r="AB23" i="56" s="1"/>
  <c r="AC23" i="56" s="1"/>
  <c r="X11" i="56"/>
  <c r="AB11" i="56" s="1"/>
  <c r="AC11" i="56" s="1"/>
  <c r="X19" i="56"/>
  <c r="AB19" i="56" s="1"/>
  <c r="AC19" i="56" s="1"/>
  <c r="X21" i="56"/>
  <c r="AB21" i="56" s="1"/>
  <c r="AC21" i="56" s="1"/>
  <c r="X13" i="56"/>
  <c r="AB13" i="56" s="1"/>
  <c r="AC13" i="56" s="1"/>
  <c r="X25" i="56"/>
  <c r="AB25" i="56" s="1"/>
  <c r="AC25" i="56" s="1"/>
  <c r="X15" i="56"/>
  <c r="AB15" i="56" s="1"/>
  <c r="AC15" i="56" s="1"/>
  <c r="X17" i="56"/>
  <c r="AB17" i="56" s="1"/>
  <c r="AC17" i="56" s="1"/>
  <c r="X12" i="56"/>
  <c r="AB12" i="56" s="1"/>
  <c r="X16" i="56"/>
  <c r="AB16" i="56" s="1"/>
  <c r="AC16" i="56" s="1"/>
  <c r="X22" i="56"/>
  <c r="AB22" i="56" s="1"/>
  <c r="AC22" i="56" s="1"/>
  <c r="X10" i="56"/>
  <c r="X14" i="56"/>
  <c r="AB14" i="56" s="1"/>
  <c r="X18" i="56"/>
  <c r="AB18" i="56" s="1"/>
  <c r="AC18" i="56" s="1"/>
  <c r="X24" i="56"/>
  <c r="AB24" i="56" s="1"/>
  <c r="AC24" i="56" s="1"/>
  <c r="K77" i="56"/>
  <c r="L77" i="56" s="1"/>
  <c r="K67" i="56"/>
  <c r="L67" i="56" s="1"/>
  <c r="K78" i="56"/>
  <c r="L78" i="56" s="1"/>
  <c r="K70" i="56"/>
  <c r="L70" i="56" s="1"/>
  <c r="K59" i="56"/>
  <c r="L59" i="56" s="1"/>
  <c r="K71" i="56"/>
  <c r="L71" i="56" s="1"/>
  <c r="W48" i="56"/>
  <c r="AB48" i="56" s="1"/>
  <c r="AC12" i="56"/>
  <c r="W49" i="56"/>
  <c r="AB49" i="56" s="1"/>
  <c r="AC14" i="56"/>
  <c r="K47" i="56"/>
  <c r="L50" i="56" s="1"/>
  <c r="L82" i="56" s="1"/>
  <c r="C50" i="56"/>
  <c r="X26" i="56"/>
  <c r="AB10" i="56"/>
  <c r="K86" i="56" l="1"/>
  <c r="X56" i="56"/>
  <c r="AB57" i="56" s="1"/>
  <c r="AC40" i="56"/>
  <c r="AB26" i="56"/>
  <c r="X53" i="56" s="1"/>
  <c r="AB54" i="56" s="1"/>
  <c r="W47" i="56"/>
  <c r="AC10" i="56"/>
  <c r="AC26" i="56" s="1"/>
  <c r="AC44" i="56" s="1"/>
  <c r="AB47" i="56" l="1"/>
  <c r="AC50" i="56" s="1"/>
  <c r="W50" i="56"/>
  <c r="L86" i="56"/>
  <c r="L87" i="56" s="1"/>
  <c r="L90" i="56" s="1"/>
  <c r="L92" i="56" s="1"/>
  <c r="AB71" i="56"/>
  <c r="AC71" i="56" s="1"/>
  <c r="AB68" i="56"/>
  <c r="AC68" i="56" s="1"/>
  <c r="AB77" i="56"/>
  <c r="AC77" i="56" s="1"/>
  <c r="AB70" i="56"/>
  <c r="AC70" i="56" s="1"/>
  <c r="AB69" i="56"/>
  <c r="AC69" i="56" s="1"/>
  <c r="AB58" i="56"/>
  <c r="AC58" i="56" s="1"/>
  <c r="AB66" i="56"/>
  <c r="AC66" i="56" s="1"/>
  <c r="AB76" i="56"/>
  <c r="AC76" i="56" s="1"/>
  <c r="AC81" i="56" l="1"/>
  <c r="L84" i="56" s="1"/>
  <c r="L94" i="56"/>
  <c r="B136" i="55"/>
  <c r="B135" i="55"/>
  <c r="L89" i="55"/>
  <c r="M86" i="55"/>
  <c r="V79" i="55"/>
  <c r="V78" i="55"/>
  <c r="Y77" i="55"/>
  <c r="V77" i="55"/>
  <c r="Y76" i="55"/>
  <c r="G76" i="55"/>
  <c r="I76" i="55" s="1"/>
  <c r="AB75" i="55"/>
  <c r="I75" i="55"/>
  <c r="L75" i="55" s="1"/>
  <c r="G75" i="55"/>
  <c r="AB74" i="55"/>
  <c r="Y71" i="55"/>
  <c r="Y70" i="55"/>
  <c r="Y69" i="55"/>
  <c r="Y68" i="55"/>
  <c r="Y66" i="55"/>
  <c r="X65" i="55"/>
  <c r="G65" i="55"/>
  <c r="X64" i="55"/>
  <c r="Y58" i="55" s="1"/>
  <c r="X61" i="55"/>
  <c r="X60" i="55"/>
  <c r="J56" i="55"/>
  <c r="AA56" i="55" s="1"/>
  <c r="AA53" i="55"/>
  <c r="Z49" i="55"/>
  <c r="G49" i="55"/>
  <c r="Z48" i="55"/>
  <c r="X48" i="55"/>
  <c r="G48" i="55"/>
  <c r="Z47" i="55"/>
  <c r="X47" i="55"/>
  <c r="G47" i="55"/>
  <c r="X40" i="55"/>
  <c r="K40" i="55"/>
  <c r="X39" i="55"/>
  <c r="X37" i="55"/>
  <c r="G37" i="55"/>
  <c r="E37" i="55"/>
  <c r="D37" i="55"/>
  <c r="AB36" i="55"/>
  <c r="AC36" i="55" s="1"/>
  <c r="L36" i="55"/>
  <c r="G36" i="55"/>
  <c r="AB35" i="55"/>
  <c r="AC35" i="55" s="1"/>
  <c r="L35" i="55"/>
  <c r="G35" i="55"/>
  <c r="AB34" i="55"/>
  <c r="AC34" i="55" s="1"/>
  <c r="L34" i="55"/>
  <c r="G34" i="55"/>
  <c r="AB33" i="55"/>
  <c r="AC33" i="55" s="1"/>
  <c r="L33" i="55"/>
  <c r="G33" i="55"/>
  <c r="AB32" i="55"/>
  <c r="AC32" i="55" s="1"/>
  <c r="L32" i="55"/>
  <c r="G32" i="55"/>
  <c r="AB31" i="55"/>
  <c r="AC31" i="55" s="1"/>
  <c r="L31" i="55"/>
  <c r="G31" i="55"/>
  <c r="AB30" i="55"/>
  <c r="AC30" i="55" s="1"/>
  <c r="L30" i="55"/>
  <c r="G30" i="55"/>
  <c r="AB29" i="55"/>
  <c r="AC29" i="55" s="1"/>
  <c r="L29" i="55"/>
  <c r="G29" i="55"/>
  <c r="AB28" i="55"/>
  <c r="AC28" i="55" s="1"/>
  <c r="AC37" i="55" s="1"/>
  <c r="L28" i="55"/>
  <c r="L37" i="55" s="1"/>
  <c r="G28" i="55"/>
  <c r="E26" i="55"/>
  <c r="D26" i="55"/>
  <c r="G25" i="55"/>
  <c r="K25" i="55" s="1"/>
  <c r="L25" i="55" s="1"/>
  <c r="G24" i="55"/>
  <c r="I23" i="55"/>
  <c r="G23" i="55"/>
  <c r="G22" i="55"/>
  <c r="K22" i="55" s="1"/>
  <c r="L22" i="55" s="1"/>
  <c r="G21" i="55"/>
  <c r="I20" i="55"/>
  <c r="G20" i="55"/>
  <c r="G19" i="55"/>
  <c r="K19" i="55" s="1"/>
  <c r="L19" i="55" s="1"/>
  <c r="G18" i="55"/>
  <c r="I17" i="55"/>
  <c r="G17" i="55"/>
  <c r="G16" i="55"/>
  <c r="K16" i="55" s="1"/>
  <c r="L16" i="55" s="1"/>
  <c r="L15" i="55"/>
  <c r="I15" i="55"/>
  <c r="G15" i="55"/>
  <c r="K15" i="55" s="1"/>
  <c r="K14" i="55"/>
  <c r="G14" i="55"/>
  <c r="I13" i="55"/>
  <c r="K13" i="55" s="1"/>
  <c r="L13" i="55" s="1"/>
  <c r="G13" i="55"/>
  <c r="M13" i="55" s="1"/>
  <c r="G12" i="55"/>
  <c r="K12" i="55" s="1"/>
  <c r="L12" i="55" s="1"/>
  <c r="L11" i="55"/>
  <c r="I11" i="55"/>
  <c r="G11" i="55"/>
  <c r="K11" i="55" s="1"/>
  <c r="K10" i="55"/>
  <c r="G10" i="55"/>
  <c r="AB7" i="55"/>
  <c r="X49" i="55" s="1"/>
  <c r="X7" i="55"/>
  <c r="V4" i="55"/>
  <c r="B3" i="55"/>
  <c r="V2" i="55"/>
  <c r="L14" i="55" l="1"/>
  <c r="I18" i="55"/>
  <c r="K18" i="55" s="1"/>
  <c r="L18" i="55" s="1"/>
  <c r="K17" i="55"/>
  <c r="L17" i="55" s="1"/>
  <c r="L10" i="55"/>
  <c r="C47" i="55"/>
  <c r="I21" i="55"/>
  <c r="K21" i="55" s="1"/>
  <c r="L21" i="55" s="1"/>
  <c r="K20" i="55"/>
  <c r="L20" i="55" s="1"/>
  <c r="I24" i="55"/>
  <c r="K24" i="55" s="1"/>
  <c r="L24" i="55" s="1"/>
  <c r="K23" i="55"/>
  <c r="L23" i="55" s="1"/>
  <c r="Z74" i="55"/>
  <c r="AC74" i="55" s="1"/>
  <c r="AB40" i="55"/>
  <c r="L76" i="55"/>
  <c r="Z75" i="55"/>
  <c r="AC75" i="55" s="1"/>
  <c r="M15" i="55"/>
  <c r="M11" i="55"/>
  <c r="G26" i="55"/>
  <c r="K84" i="55" l="1"/>
  <c r="G56" i="55"/>
  <c r="K57" i="55" s="1"/>
  <c r="L40" i="55"/>
  <c r="L86" i="55"/>
  <c r="K47" i="55"/>
  <c r="C48" i="55"/>
  <c r="K48" i="55" s="1"/>
  <c r="L26" i="55"/>
  <c r="L44" i="55" s="1"/>
  <c r="K26" i="55"/>
  <c r="G53" i="55" s="1"/>
  <c r="K54" i="55" s="1"/>
  <c r="C49" i="55"/>
  <c r="K49" i="55" s="1"/>
  <c r="L50" i="55" s="1"/>
  <c r="C50" i="55" l="1"/>
  <c r="K69" i="55"/>
  <c r="L69" i="55" s="1"/>
  <c r="K72" i="55"/>
  <c r="L72" i="55" s="1"/>
  <c r="K77" i="55"/>
  <c r="L77" i="55" s="1"/>
  <c r="K67" i="55"/>
  <c r="L67" i="55" s="1"/>
  <c r="K78" i="55"/>
  <c r="L78" i="55" s="1"/>
  <c r="K71" i="55"/>
  <c r="L71" i="55" s="1"/>
  <c r="L82" i="55" s="1"/>
  <c r="K59" i="55"/>
  <c r="L59" i="55" s="1"/>
  <c r="K70" i="55"/>
  <c r="L70" i="55" s="1"/>
  <c r="X23" i="55"/>
  <c r="AB23" i="55" s="1"/>
  <c r="AC23" i="55" s="1"/>
  <c r="X20" i="55"/>
  <c r="AB20" i="55" s="1"/>
  <c r="AC20" i="55" s="1"/>
  <c r="X17" i="55"/>
  <c r="AB17" i="55" s="1"/>
  <c r="AC17" i="55" s="1"/>
  <c r="X24" i="55"/>
  <c r="AB24" i="55" s="1"/>
  <c r="AC24" i="55" s="1"/>
  <c r="X21" i="55"/>
  <c r="AB21" i="55" s="1"/>
  <c r="AC21" i="55" s="1"/>
  <c r="X18" i="55"/>
  <c r="AB18" i="55" s="1"/>
  <c r="AC18" i="55" s="1"/>
  <c r="X15" i="55"/>
  <c r="AB15" i="55" s="1"/>
  <c r="AC15" i="55" s="1"/>
  <c r="X14" i="55"/>
  <c r="AB14" i="55" s="1"/>
  <c r="X11" i="55"/>
  <c r="AB11" i="55" s="1"/>
  <c r="AC11" i="55" s="1"/>
  <c r="X10" i="55"/>
  <c r="X25" i="55"/>
  <c r="AB25" i="55" s="1"/>
  <c r="AC25" i="55" s="1"/>
  <c r="X22" i="55"/>
  <c r="AB22" i="55" s="1"/>
  <c r="AC22" i="55" s="1"/>
  <c r="X19" i="55"/>
  <c r="AB19" i="55" s="1"/>
  <c r="AC19" i="55" s="1"/>
  <c r="X16" i="55"/>
  <c r="AB16" i="55" s="1"/>
  <c r="AC16" i="55" s="1"/>
  <c r="X12" i="55"/>
  <c r="AB12" i="55" s="1"/>
  <c r="X13" i="55"/>
  <c r="AB13" i="55" s="1"/>
  <c r="AC13" i="55" s="1"/>
  <c r="L87" i="55" l="1"/>
  <c r="L90" i="55" s="1"/>
  <c r="K86" i="55"/>
  <c r="L94" i="55" s="1"/>
  <c r="AB10" i="55"/>
  <c r="X26" i="55"/>
  <c r="W48" i="55"/>
  <c r="AB48" i="55" s="1"/>
  <c r="AC12" i="55"/>
  <c r="W49" i="55"/>
  <c r="AB49" i="55" s="1"/>
  <c r="AC14" i="55"/>
  <c r="X56" i="55" l="1"/>
  <c r="AB57" i="55" s="1"/>
  <c r="AC40" i="55"/>
  <c r="AB26" i="55"/>
  <c r="X53" i="55" s="1"/>
  <c r="AB54" i="55" s="1"/>
  <c r="AC10" i="55"/>
  <c r="AC26" i="55" s="1"/>
  <c r="W47" i="55"/>
  <c r="AB77" i="55" l="1"/>
  <c r="AC77" i="55" s="1"/>
  <c r="AB70" i="55"/>
  <c r="AC70" i="55" s="1"/>
  <c r="AB69" i="55"/>
  <c r="AC69" i="55" s="1"/>
  <c r="AB58" i="55"/>
  <c r="AC58" i="55" s="1"/>
  <c r="AB76" i="55"/>
  <c r="AC76" i="55" s="1"/>
  <c r="AB66" i="55"/>
  <c r="AC66" i="55" s="1"/>
  <c r="AB47" i="55"/>
  <c r="AC50" i="55" s="1"/>
  <c r="W50" i="55"/>
  <c r="AC44" i="55"/>
  <c r="AB68" i="55"/>
  <c r="AC68" i="55" s="1"/>
  <c r="AB71" i="55"/>
  <c r="AC71" i="55" s="1"/>
  <c r="AC81" i="55" l="1"/>
  <c r="L84" i="55" s="1"/>
  <c r="B136" i="54" l="1"/>
  <c r="B135" i="54"/>
  <c r="M86" i="54"/>
  <c r="V79" i="54"/>
  <c r="V78" i="54"/>
  <c r="Y77" i="54"/>
  <c r="V77" i="54"/>
  <c r="Y76" i="54"/>
  <c r="G76" i="54"/>
  <c r="I76" i="54" s="1"/>
  <c r="AB75" i="54"/>
  <c r="G75" i="54"/>
  <c r="I75" i="54" s="1"/>
  <c r="Z74" i="54" s="1"/>
  <c r="AB74" i="54"/>
  <c r="Y71" i="54"/>
  <c r="Y70" i="54"/>
  <c r="Y69" i="54"/>
  <c r="Y68" i="54"/>
  <c r="Y66" i="54"/>
  <c r="X65" i="54"/>
  <c r="G65" i="54"/>
  <c r="X64" i="54"/>
  <c r="Y58" i="54" s="1"/>
  <c r="X61" i="54"/>
  <c r="X60" i="54"/>
  <c r="J56" i="54"/>
  <c r="AA56" i="54" s="1"/>
  <c r="AA53" i="54"/>
  <c r="Z49" i="54"/>
  <c r="G49" i="54"/>
  <c r="Z48" i="54"/>
  <c r="X48" i="54"/>
  <c r="G48" i="54"/>
  <c r="Z47" i="54"/>
  <c r="G47" i="54"/>
  <c r="X40" i="54"/>
  <c r="K40" i="54"/>
  <c r="X39" i="54"/>
  <c r="AB40" i="54" s="1"/>
  <c r="AC37" i="54"/>
  <c r="X37" i="54"/>
  <c r="E37" i="54"/>
  <c r="D37" i="54"/>
  <c r="AC36" i="54"/>
  <c r="AB36" i="54"/>
  <c r="L36" i="54"/>
  <c r="AC35" i="54"/>
  <c r="AB35" i="54"/>
  <c r="L35" i="54"/>
  <c r="AC34" i="54"/>
  <c r="AB34" i="54"/>
  <c r="L34" i="54"/>
  <c r="AC33" i="54"/>
  <c r="AB33" i="54"/>
  <c r="L33" i="54"/>
  <c r="AC32" i="54"/>
  <c r="AB32" i="54"/>
  <c r="L32" i="54"/>
  <c r="AC31" i="54"/>
  <c r="AB31" i="54"/>
  <c r="L31" i="54"/>
  <c r="AC30" i="54"/>
  <c r="AB30" i="54"/>
  <c r="L30" i="54"/>
  <c r="AC29" i="54"/>
  <c r="AB29" i="54"/>
  <c r="L29" i="54"/>
  <c r="AC28" i="54"/>
  <c r="AB28" i="54"/>
  <c r="L28" i="54"/>
  <c r="E26" i="54"/>
  <c r="D26" i="54"/>
  <c r="K25" i="54"/>
  <c r="L25" i="54" s="1"/>
  <c r="I23" i="54"/>
  <c r="I24" i="54" s="1"/>
  <c r="K24" i="54" s="1"/>
  <c r="L24" i="54" s="1"/>
  <c r="K23" i="54"/>
  <c r="L23" i="54" s="1"/>
  <c r="L22" i="54"/>
  <c r="K22" i="54"/>
  <c r="I20" i="54"/>
  <c r="I21" i="54" s="1"/>
  <c r="K21" i="54" s="1"/>
  <c r="L21" i="54" s="1"/>
  <c r="K20" i="54"/>
  <c r="L20" i="54" s="1"/>
  <c r="L19" i="54"/>
  <c r="K19" i="54"/>
  <c r="I17" i="54"/>
  <c r="I18" i="54" s="1"/>
  <c r="K18" i="54" s="1"/>
  <c r="L18" i="54" s="1"/>
  <c r="K17" i="54"/>
  <c r="L17" i="54" s="1"/>
  <c r="L16" i="54"/>
  <c r="K16" i="54"/>
  <c r="I15" i="54"/>
  <c r="M15" i="54"/>
  <c r="K14" i="54"/>
  <c r="I13" i="54"/>
  <c r="M13" i="54"/>
  <c r="K12" i="54"/>
  <c r="L12" i="54" s="1"/>
  <c r="K11" i="54"/>
  <c r="L11" i="54" s="1"/>
  <c r="I11" i="54"/>
  <c r="M11" i="54"/>
  <c r="K10" i="54"/>
  <c r="AB7" i="54"/>
  <c r="X49" i="54" s="1"/>
  <c r="X7" i="54"/>
  <c r="V4" i="54"/>
  <c r="B3" i="54"/>
  <c r="V2" i="54"/>
  <c r="G37" i="54" l="1"/>
  <c r="L37" i="54"/>
  <c r="G26" i="54"/>
  <c r="K84" i="54" s="1"/>
  <c r="K15" i="54"/>
  <c r="L15" i="54" s="1"/>
  <c r="AC74" i="54"/>
  <c r="L76" i="54"/>
  <c r="Z75" i="54"/>
  <c r="AC75" i="54" s="1"/>
  <c r="L40" i="54"/>
  <c r="L10" i="54"/>
  <c r="K13" i="54"/>
  <c r="L14" i="54"/>
  <c r="C47" i="54"/>
  <c r="X47" i="54"/>
  <c r="L75" i="54"/>
  <c r="G56" i="54" l="1"/>
  <c r="K57" i="54" s="1"/>
  <c r="C49" i="54"/>
  <c r="K49" i="54" s="1"/>
  <c r="X23" i="54"/>
  <c r="AB23" i="54" s="1"/>
  <c r="AC23" i="54" s="1"/>
  <c r="X20" i="54"/>
  <c r="AB20" i="54" s="1"/>
  <c r="AC20" i="54" s="1"/>
  <c r="X17" i="54"/>
  <c r="AB17" i="54" s="1"/>
  <c r="AC17" i="54" s="1"/>
  <c r="X25" i="54"/>
  <c r="AB25" i="54" s="1"/>
  <c r="AC25" i="54" s="1"/>
  <c r="X16" i="54"/>
  <c r="AB16" i="54" s="1"/>
  <c r="AC16" i="54" s="1"/>
  <c r="X24" i="54"/>
  <c r="AB24" i="54" s="1"/>
  <c r="AC24" i="54" s="1"/>
  <c r="X21" i="54"/>
  <c r="AB21" i="54" s="1"/>
  <c r="AC21" i="54" s="1"/>
  <c r="X18" i="54"/>
  <c r="AB18" i="54" s="1"/>
  <c r="AC18" i="54" s="1"/>
  <c r="X15" i="54"/>
  <c r="AB15" i="54" s="1"/>
  <c r="AC15" i="54" s="1"/>
  <c r="X14" i="54"/>
  <c r="AB14" i="54" s="1"/>
  <c r="X11" i="54"/>
  <c r="AB11" i="54" s="1"/>
  <c r="AC11" i="54" s="1"/>
  <c r="X10" i="54"/>
  <c r="X22" i="54"/>
  <c r="AB22" i="54" s="1"/>
  <c r="AC22" i="54" s="1"/>
  <c r="X19" i="54"/>
  <c r="AB19" i="54" s="1"/>
  <c r="AC19" i="54" s="1"/>
  <c r="X13" i="54"/>
  <c r="AB13" i="54" s="1"/>
  <c r="AC13" i="54" s="1"/>
  <c r="X12" i="54"/>
  <c r="AB12" i="54" s="1"/>
  <c r="K69" i="54"/>
  <c r="L69" i="54" s="1"/>
  <c r="K72" i="54"/>
  <c r="L72" i="54" s="1"/>
  <c r="L13" i="54"/>
  <c r="L26" i="54" s="1"/>
  <c r="L44" i="54" s="1"/>
  <c r="C48" i="54"/>
  <c r="K48" i="54" s="1"/>
  <c r="L50" i="54" s="1"/>
  <c r="K47" i="54"/>
  <c r="K26" i="54"/>
  <c r="G53" i="54" s="1"/>
  <c r="K54" i="54" s="1"/>
  <c r="W49" i="54" l="1"/>
  <c r="AB49" i="54" s="1"/>
  <c r="AC14" i="54"/>
  <c r="K77" i="54"/>
  <c r="L77" i="54" s="1"/>
  <c r="K67" i="54"/>
  <c r="L67" i="54" s="1"/>
  <c r="K70" i="54"/>
  <c r="L70" i="54" s="1"/>
  <c r="K59" i="54"/>
  <c r="L59" i="54" s="1"/>
  <c r="K78" i="54"/>
  <c r="L78" i="54" s="1"/>
  <c r="K71" i="54"/>
  <c r="L71" i="54" s="1"/>
  <c r="C50" i="54"/>
  <c r="W48" i="54"/>
  <c r="AB48" i="54" s="1"/>
  <c r="AC12" i="54"/>
  <c r="AB10" i="54"/>
  <c r="X26" i="54"/>
  <c r="L82" i="54" l="1"/>
  <c r="K86" i="54" s="1"/>
  <c r="W47" i="54"/>
  <c r="AC10" i="54"/>
  <c r="AC26" i="54" s="1"/>
  <c r="AB26" i="54"/>
  <c r="X53" i="54" s="1"/>
  <c r="AB54" i="54" s="1"/>
  <c r="X56" i="54"/>
  <c r="AB57" i="54" s="1"/>
  <c r="AC40" i="54"/>
  <c r="AC44" i="54" l="1"/>
  <c r="AB71" i="54"/>
  <c r="AC71" i="54" s="1"/>
  <c r="AB68" i="54"/>
  <c r="AC68" i="54" s="1"/>
  <c r="L86" i="54"/>
  <c r="L87" i="54" s="1"/>
  <c r="L90" i="54" s="1"/>
  <c r="L92" i="54" s="1"/>
  <c r="AB47" i="54"/>
  <c r="AC50" i="54" s="1"/>
  <c r="W50" i="54"/>
  <c r="AB77" i="54"/>
  <c r="AC77" i="54" s="1"/>
  <c r="AB70" i="54"/>
  <c r="AC70" i="54" s="1"/>
  <c r="AB69" i="54"/>
  <c r="AC69" i="54" s="1"/>
  <c r="AB58" i="54"/>
  <c r="AC58" i="54" s="1"/>
  <c r="AB66" i="54"/>
  <c r="AC66" i="54" s="1"/>
  <c r="AB76" i="54"/>
  <c r="AC76" i="54" s="1"/>
  <c r="L94" i="54" l="1"/>
  <c r="AC81" i="54"/>
  <c r="L84" i="54" s="1"/>
  <c r="B136" i="53" l="1"/>
  <c r="B135" i="53"/>
  <c r="M86" i="53"/>
  <c r="V79" i="53"/>
  <c r="V78" i="53"/>
  <c r="Y77" i="53"/>
  <c r="V77" i="53"/>
  <c r="Y76" i="53"/>
  <c r="G76" i="53"/>
  <c r="I76" i="53" s="1"/>
  <c r="AB75" i="53"/>
  <c r="G75" i="53"/>
  <c r="I75" i="53" s="1"/>
  <c r="AB74" i="53"/>
  <c r="Y71" i="53"/>
  <c r="Y70" i="53"/>
  <c r="Y69" i="53"/>
  <c r="Y68" i="53"/>
  <c r="Y66" i="53"/>
  <c r="X65" i="53"/>
  <c r="G65" i="53"/>
  <c r="X64" i="53" s="1"/>
  <c r="Y58" i="53" s="1"/>
  <c r="X61" i="53"/>
  <c r="X60" i="53"/>
  <c r="J56" i="53"/>
  <c r="AA56" i="53" s="1"/>
  <c r="AA53" i="53"/>
  <c r="Z49" i="53"/>
  <c r="G49" i="53"/>
  <c r="Z48" i="53"/>
  <c r="G48" i="53"/>
  <c r="Z47" i="53"/>
  <c r="X47" i="53"/>
  <c r="G47" i="53"/>
  <c r="X40" i="53"/>
  <c r="K40" i="53"/>
  <c r="X39" i="53"/>
  <c r="AB40" i="53" s="1"/>
  <c r="X37" i="53"/>
  <c r="E37" i="53"/>
  <c r="D37" i="53"/>
  <c r="AB36" i="53"/>
  <c r="AC36" i="53" s="1"/>
  <c r="L36" i="53"/>
  <c r="AB35" i="53"/>
  <c r="AC35" i="53" s="1"/>
  <c r="L35" i="53"/>
  <c r="AB34" i="53"/>
  <c r="AC34" i="53" s="1"/>
  <c r="L34" i="53"/>
  <c r="AB33" i="53"/>
  <c r="AC33" i="53" s="1"/>
  <c r="L33" i="53"/>
  <c r="AB32" i="53"/>
  <c r="AC32" i="53" s="1"/>
  <c r="L32" i="53"/>
  <c r="AB31" i="53"/>
  <c r="AC31" i="53" s="1"/>
  <c r="L31" i="53"/>
  <c r="AB30" i="53"/>
  <c r="AC30" i="53" s="1"/>
  <c r="L30" i="53"/>
  <c r="AB29" i="53"/>
  <c r="AC29" i="53" s="1"/>
  <c r="L29" i="53"/>
  <c r="AB28" i="53"/>
  <c r="AC28" i="53" s="1"/>
  <c r="L28" i="53"/>
  <c r="E26" i="53"/>
  <c r="D26" i="53"/>
  <c r="K25" i="53"/>
  <c r="L25" i="53" s="1"/>
  <c r="I24" i="53"/>
  <c r="K24" i="53"/>
  <c r="L24" i="53" s="1"/>
  <c r="K23" i="53"/>
  <c r="L23" i="53" s="1"/>
  <c r="I23" i="53"/>
  <c r="K22" i="53"/>
  <c r="L22" i="53" s="1"/>
  <c r="I21" i="53"/>
  <c r="K21" i="53"/>
  <c r="L21" i="53" s="1"/>
  <c r="K20" i="53"/>
  <c r="L20" i="53" s="1"/>
  <c r="I20" i="53"/>
  <c r="K19" i="53"/>
  <c r="L19" i="53" s="1"/>
  <c r="I18" i="53"/>
  <c r="K18" i="53"/>
  <c r="L18" i="53" s="1"/>
  <c r="K17" i="53"/>
  <c r="L17" i="53" s="1"/>
  <c r="I17" i="53"/>
  <c r="K16" i="53"/>
  <c r="L16" i="53" s="1"/>
  <c r="I15" i="53"/>
  <c r="M15" i="53"/>
  <c r="K14" i="53"/>
  <c r="K13" i="53"/>
  <c r="L13" i="53" s="1"/>
  <c r="I13" i="53"/>
  <c r="M13" i="53"/>
  <c r="K12" i="53"/>
  <c r="I11" i="53"/>
  <c r="K10" i="53"/>
  <c r="AB7" i="53"/>
  <c r="X49" i="53" s="1"/>
  <c r="X7" i="53"/>
  <c r="V4" i="53"/>
  <c r="B3" i="53"/>
  <c r="V2" i="53"/>
  <c r="G37" i="53" l="1"/>
  <c r="G26" i="53"/>
  <c r="K84" i="53" s="1"/>
  <c r="L10" i="53"/>
  <c r="AC37" i="53"/>
  <c r="L76" i="53"/>
  <c r="AC75" i="53"/>
  <c r="L12" i="53"/>
  <c r="C48" i="53"/>
  <c r="K48" i="53" s="1"/>
  <c r="L14" i="53"/>
  <c r="L37" i="53"/>
  <c r="L75" i="53"/>
  <c r="Z74" i="53"/>
  <c r="AC74" i="53" s="1"/>
  <c r="K11" i="53"/>
  <c r="L11" i="53" s="1"/>
  <c r="K15" i="53"/>
  <c r="L15" i="53" s="1"/>
  <c r="X48" i="53"/>
  <c r="M11" i="53"/>
  <c r="G56" i="53" l="1"/>
  <c r="K57" i="53" s="1"/>
  <c r="L40" i="53"/>
  <c r="K26" i="53"/>
  <c r="G53" i="53" s="1"/>
  <c r="K54" i="53" s="1"/>
  <c r="K77" i="53" s="1"/>
  <c r="L77" i="53" s="1"/>
  <c r="C49" i="53"/>
  <c r="K49" i="53" s="1"/>
  <c r="L26" i="53"/>
  <c r="L44" i="53" s="1"/>
  <c r="K69" i="53"/>
  <c r="L69" i="53" s="1"/>
  <c r="K72" i="53"/>
  <c r="L72" i="53" s="1"/>
  <c r="C47" i="53"/>
  <c r="X20" i="53"/>
  <c r="AB20" i="53" s="1"/>
  <c r="AC20" i="53" s="1"/>
  <c r="X17" i="53"/>
  <c r="AB17" i="53" s="1"/>
  <c r="AC17" i="53" s="1"/>
  <c r="X24" i="53"/>
  <c r="AB24" i="53" s="1"/>
  <c r="AC24" i="53" s="1"/>
  <c r="X21" i="53"/>
  <c r="AB21" i="53" s="1"/>
  <c r="AC21" i="53" s="1"/>
  <c r="X18" i="53"/>
  <c r="AB18" i="53" s="1"/>
  <c r="AC18" i="53" s="1"/>
  <c r="X15" i="53"/>
  <c r="AB15" i="53" s="1"/>
  <c r="AC15" i="53" s="1"/>
  <c r="X14" i="53"/>
  <c r="AB14" i="53" s="1"/>
  <c r="X11" i="53"/>
  <c r="AB11" i="53" s="1"/>
  <c r="AC11" i="53" s="1"/>
  <c r="X10" i="53"/>
  <c r="X25" i="53"/>
  <c r="AB25" i="53" s="1"/>
  <c r="AC25" i="53" s="1"/>
  <c r="X22" i="53"/>
  <c r="AB22" i="53" s="1"/>
  <c r="AC22" i="53" s="1"/>
  <c r="X19" i="53"/>
  <c r="AB19" i="53" s="1"/>
  <c r="AC19" i="53" s="1"/>
  <c r="X16" i="53"/>
  <c r="AB16" i="53" s="1"/>
  <c r="AC16" i="53" s="1"/>
  <c r="X13" i="53"/>
  <c r="AB13" i="53" s="1"/>
  <c r="AC13" i="53" s="1"/>
  <c r="X12" i="53"/>
  <c r="AB12" i="53" s="1"/>
  <c r="X23" i="53"/>
  <c r="AB23" i="53" s="1"/>
  <c r="AC23" i="53" s="1"/>
  <c r="K71" i="53" l="1"/>
  <c r="L71" i="53" s="1"/>
  <c r="K59" i="53"/>
  <c r="L59" i="53" s="1"/>
  <c r="K67" i="53"/>
  <c r="L67" i="53" s="1"/>
  <c r="K78" i="53"/>
  <c r="L78" i="53" s="1"/>
  <c r="K70" i="53"/>
  <c r="L70" i="53" s="1"/>
  <c r="W48" i="53"/>
  <c r="AB48" i="53" s="1"/>
  <c r="AC12" i="53"/>
  <c r="AB10" i="53"/>
  <c r="X26" i="53"/>
  <c r="K47" i="53"/>
  <c r="C50" i="53"/>
  <c r="W49" i="53"/>
  <c r="AB49" i="53" s="1"/>
  <c r="AC14" i="53"/>
  <c r="L50" i="53"/>
  <c r="L82" i="53" s="1"/>
  <c r="X56" i="53" l="1"/>
  <c r="AB57" i="53" s="1"/>
  <c r="AC40" i="53"/>
  <c r="AB26" i="53"/>
  <c r="X53" i="53" s="1"/>
  <c r="AB54" i="53" s="1"/>
  <c r="W47" i="53"/>
  <c r="AC10" i="53"/>
  <c r="AC26" i="53" s="1"/>
  <c r="AC44" i="53" s="1"/>
  <c r="AB71" i="53" l="1"/>
  <c r="AC71" i="53" s="1"/>
  <c r="AB68" i="53"/>
  <c r="AC68" i="53" s="1"/>
  <c r="AB47" i="53"/>
  <c r="AC50" i="53" s="1"/>
  <c r="W50" i="53"/>
  <c r="AB77" i="53"/>
  <c r="AC77" i="53" s="1"/>
  <c r="AB70" i="53"/>
  <c r="AC70" i="53" s="1"/>
  <c r="AB76" i="53"/>
  <c r="AC76" i="53" s="1"/>
  <c r="AB69" i="53"/>
  <c r="AC69" i="53" s="1"/>
  <c r="AB58" i="53"/>
  <c r="AC58" i="53" s="1"/>
  <c r="AB66" i="53"/>
  <c r="AC66" i="53" s="1"/>
  <c r="AC81" i="53" l="1"/>
  <c r="L84" i="53" s="1"/>
  <c r="K86" i="53" s="1"/>
  <c r="L86" i="53" s="1"/>
  <c r="L87" i="53" s="1"/>
  <c r="L90" i="53" s="1"/>
  <c r="L92" i="53" s="1"/>
  <c r="L94" i="53" l="1"/>
  <c r="B136" i="52" l="1"/>
  <c r="B135" i="52"/>
  <c r="M86" i="52"/>
  <c r="V79" i="52"/>
  <c r="V78" i="52"/>
  <c r="Y77" i="52"/>
  <c r="V77" i="52"/>
  <c r="Y76" i="52"/>
  <c r="G76" i="52"/>
  <c r="I76" i="52" s="1"/>
  <c r="AB75" i="52"/>
  <c r="G75" i="52"/>
  <c r="I75" i="52" s="1"/>
  <c r="AB74" i="52"/>
  <c r="Y71" i="52"/>
  <c r="Y70" i="52"/>
  <c r="Y69" i="52"/>
  <c r="Y68" i="52"/>
  <c r="Y66" i="52"/>
  <c r="X65" i="52"/>
  <c r="G65" i="52"/>
  <c r="X64" i="52" s="1"/>
  <c r="Y58" i="52" s="1"/>
  <c r="X61" i="52"/>
  <c r="X60" i="52"/>
  <c r="J56" i="52"/>
  <c r="AA56" i="52" s="1"/>
  <c r="AA53" i="52"/>
  <c r="Z49" i="52"/>
  <c r="G49" i="52"/>
  <c r="Z48" i="52"/>
  <c r="G48" i="52"/>
  <c r="Z47" i="52"/>
  <c r="X47" i="52"/>
  <c r="G47" i="52"/>
  <c r="X40" i="52"/>
  <c r="K40" i="52"/>
  <c r="X39" i="52"/>
  <c r="AB40" i="52" s="1"/>
  <c r="X37" i="52"/>
  <c r="E37" i="52"/>
  <c r="D37" i="52"/>
  <c r="AB36" i="52"/>
  <c r="AC36" i="52" s="1"/>
  <c r="L36" i="52"/>
  <c r="AB35" i="52"/>
  <c r="AC35" i="52" s="1"/>
  <c r="L35" i="52"/>
  <c r="AB34" i="52"/>
  <c r="AC34" i="52" s="1"/>
  <c r="L34" i="52"/>
  <c r="AB33" i="52"/>
  <c r="AC33" i="52" s="1"/>
  <c r="L33" i="52"/>
  <c r="AB32" i="52"/>
  <c r="AC32" i="52" s="1"/>
  <c r="L32" i="52"/>
  <c r="AB31" i="52"/>
  <c r="AC31" i="52" s="1"/>
  <c r="L31" i="52"/>
  <c r="AB30" i="52"/>
  <c r="AC30" i="52" s="1"/>
  <c r="L30" i="52"/>
  <c r="AB29" i="52"/>
  <c r="AC29" i="52" s="1"/>
  <c r="L29" i="52"/>
  <c r="AB28" i="52"/>
  <c r="AC28" i="52" s="1"/>
  <c r="L28" i="52"/>
  <c r="E26" i="52"/>
  <c r="D26" i="52"/>
  <c r="K25" i="52"/>
  <c r="L25" i="52" s="1"/>
  <c r="I24" i="52"/>
  <c r="K24" i="52"/>
  <c r="L24" i="52" s="1"/>
  <c r="K23" i="52"/>
  <c r="L23" i="52" s="1"/>
  <c r="I23" i="52"/>
  <c r="K22" i="52"/>
  <c r="L22" i="52" s="1"/>
  <c r="I21" i="52"/>
  <c r="K21" i="52"/>
  <c r="L21" i="52" s="1"/>
  <c r="K20" i="52"/>
  <c r="L20" i="52" s="1"/>
  <c r="I20" i="52"/>
  <c r="K19" i="52"/>
  <c r="L19" i="52" s="1"/>
  <c r="I18" i="52"/>
  <c r="K18" i="52"/>
  <c r="L18" i="52" s="1"/>
  <c r="K17" i="52"/>
  <c r="L17" i="52" s="1"/>
  <c r="I17" i="52"/>
  <c r="K16" i="52"/>
  <c r="L16" i="52" s="1"/>
  <c r="I15" i="52"/>
  <c r="K15" i="52"/>
  <c r="L15" i="52" s="1"/>
  <c r="K14" i="52"/>
  <c r="K13" i="52"/>
  <c r="L13" i="52" s="1"/>
  <c r="I13" i="52"/>
  <c r="M13" i="52"/>
  <c r="K12" i="52"/>
  <c r="I11" i="52"/>
  <c r="K11" i="52"/>
  <c r="L11" i="52" s="1"/>
  <c r="K10" i="52"/>
  <c r="AB7" i="52"/>
  <c r="X49" i="52" s="1"/>
  <c r="X7" i="52"/>
  <c r="V4" i="52"/>
  <c r="B3" i="52"/>
  <c r="V2" i="52"/>
  <c r="G37" i="52" l="1"/>
  <c r="K26" i="52"/>
  <c r="G53" i="52" s="1"/>
  <c r="K54" i="52" s="1"/>
  <c r="C47" i="52"/>
  <c r="L10" i="52"/>
  <c r="AC37" i="52"/>
  <c r="AC75" i="52"/>
  <c r="L76" i="52"/>
  <c r="Z75" i="52"/>
  <c r="C48" i="52"/>
  <c r="K48" i="52" s="1"/>
  <c r="L12" i="52"/>
  <c r="C49" i="52"/>
  <c r="K49" i="52" s="1"/>
  <c r="L14" i="52"/>
  <c r="L37" i="52"/>
  <c r="L75" i="52"/>
  <c r="Z74" i="52"/>
  <c r="AC74" i="52" s="1"/>
  <c r="M11" i="52"/>
  <c r="M15" i="52"/>
  <c r="G26" i="52"/>
  <c r="X48" i="52"/>
  <c r="L26" i="52" l="1"/>
  <c r="K84" i="52"/>
  <c r="G56" i="52"/>
  <c r="K57" i="52" s="1"/>
  <c r="L40" i="52"/>
  <c r="L44" i="52" s="1"/>
  <c r="K47" i="52"/>
  <c r="L50" i="52" s="1"/>
  <c r="C50" i="52"/>
  <c r="K77" i="52"/>
  <c r="L77" i="52" s="1"/>
  <c r="K78" i="52"/>
  <c r="L78" i="52" s="1"/>
  <c r="K67" i="52"/>
  <c r="L67" i="52" s="1"/>
  <c r="K71" i="52"/>
  <c r="L71" i="52" s="1"/>
  <c r="K70" i="52"/>
  <c r="L70" i="52" s="1"/>
  <c r="K59" i="52"/>
  <c r="L59" i="52" s="1"/>
  <c r="K69" i="52" l="1"/>
  <c r="L69" i="52" s="1"/>
  <c r="K72" i="52"/>
  <c r="L72" i="52" s="1"/>
  <c r="X20" i="52"/>
  <c r="AB20" i="52" s="1"/>
  <c r="AC20" i="52" s="1"/>
  <c r="X17" i="52"/>
  <c r="AB17" i="52" s="1"/>
  <c r="AC17" i="52" s="1"/>
  <c r="X24" i="52"/>
  <c r="AB24" i="52" s="1"/>
  <c r="AC24" i="52" s="1"/>
  <c r="X21" i="52"/>
  <c r="AB21" i="52" s="1"/>
  <c r="AC21" i="52" s="1"/>
  <c r="X18" i="52"/>
  <c r="AB18" i="52" s="1"/>
  <c r="AC18" i="52" s="1"/>
  <c r="X15" i="52"/>
  <c r="AB15" i="52" s="1"/>
  <c r="AC15" i="52" s="1"/>
  <c r="X14" i="52"/>
  <c r="AB14" i="52" s="1"/>
  <c r="X11" i="52"/>
  <c r="AB11" i="52" s="1"/>
  <c r="AC11" i="52" s="1"/>
  <c r="X10" i="52"/>
  <c r="X25" i="52"/>
  <c r="AB25" i="52" s="1"/>
  <c r="AC25" i="52" s="1"/>
  <c r="X22" i="52"/>
  <c r="AB22" i="52" s="1"/>
  <c r="AC22" i="52" s="1"/>
  <c r="X19" i="52"/>
  <c r="AB19" i="52" s="1"/>
  <c r="AC19" i="52" s="1"/>
  <c r="X16" i="52"/>
  <c r="AB16" i="52" s="1"/>
  <c r="AC16" i="52" s="1"/>
  <c r="X13" i="52"/>
  <c r="AB13" i="52" s="1"/>
  <c r="AC13" i="52" s="1"/>
  <c r="X12" i="52"/>
  <c r="AB12" i="52" s="1"/>
  <c r="X23" i="52"/>
  <c r="AB23" i="52" s="1"/>
  <c r="AC23" i="52" s="1"/>
  <c r="L82" i="52" l="1"/>
  <c r="K86" i="52" s="1"/>
  <c r="W48" i="52"/>
  <c r="AB48" i="52" s="1"/>
  <c r="AC12" i="52"/>
  <c r="W49" i="52"/>
  <c r="AB49" i="52" s="1"/>
  <c r="AC14" i="52"/>
  <c r="X26" i="52"/>
  <c r="AB10" i="52"/>
  <c r="AB26" i="52" l="1"/>
  <c r="X53" i="52" s="1"/>
  <c r="AB54" i="52" s="1"/>
  <c r="W47" i="52"/>
  <c r="AC10" i="52"/>
  <c r="AC26" i="52" s="1"/>
  <c r="X56" i="52"/>
  <c r="AB57" i="52" s="1"/>
  <c r="AC40" i="52"/>
  <c r="L86" i="52"/>
  <c r="L87" i="52" s="1"/>
  <c r="L90" i="52" s="1"/>
  <c r="L92" i="52" s="1"/>
  <c r="AC44" i="52" l="1"/>
  <c r="AB68" i="52"/>
  <c r="AC68" i="52" s="1"/>
  <c r="AB71" i="52"/>
  <c r="AC71" i="52" s="1"/>
  <c r="L94" i="52"/>
  <c r="AB47" i="52"/>
  <c r="AC50" i="52" s="1"/>
  <c r="W50" i="52"/>
  <c r="AB77" i="52"/>
  <c r="AC77" i="52" s="1"/>
  <c r="AB70" i="52"/>
  <c r="AC70" i="52" s="1"/>
  <c r="AB76" i="52"/>
  <c r="AC76" i="52" s="1"/>
  <c r="AB69" i="52"/>
  <c r="AC69" i="52" s="1"/>
  <c r="AB58" i="52"/>
  <c r="AC58" i="52" s="1"/>
  <c r="AB66" i="52"/>
  <c r="AC66" i="52" s="1"/>
  <c r="AC81" i="52" l="1"/>
  <c r="L84" i="52" s="1"/>
  <c r="B136" i="51"/>
  <c r="B135" i="51"/>
  <c r="V79" i="51"/>
  <c r="V78" i="51"/>
  <c r="Y77" i="51"/>
  <c r="V77" i="51"/>
  <c r="Y76" i="51"/>
  <c r="G76" i="51"/>
  <c r="I76" i="51" s="1"/>
  <c r="AB75" i="51"/>
  <c r="G75" i="51"/>
  <c r="I75" i="51" s="1"/>
  <c r="AB74" i="51"/>
  <c r="Y71" i="51"/>
  <c r="Y70" i="51"/>
  <c r="Y69" i="51"/>
  <c r="Y68" i="51"/>
  <c r="Y66" i="51"/>
  <c r="X65" i="51"/>
  <c r="G65" i="51"/>
  <c r="X64" i="51" s="1"/>
  <c r="Y58" i="51" s="1"/>
  <c r="X61" i="51"/>
  <c r="X60" i="51"/>
  <c r="J56" i="51"/>
  <c r="AA56" i="51" s="1"/>
  <c r="AA53" i="51"/>
  <c r="Z49" i="51"/>
  <c r="G49" i="51"/>
  <c r="Z48" i="51"/>
  <c r="G48" i="51"/>
  <c r="Z47" i="51"/>
  <c r="G47" i="51"/>
  <c r="X40" i="51"/>
  <c r="K40" i="51"/>
  <c r="X39" i="51"/>
  <c r="AB40" i="51" s="1"/>
  <c r="X37" i="51"/>
  <c r="E37" i="51"/>
  <c r="D37" i="51"/>
  <c r="AC36" i="51"/>
  <c r="AB36" i="51"/>
  <c r="L36" i="51"/>
  <c r="AC35" i="51"/>
  <c r="AB35" i="51"/>
  <c r="L35" i="51"/>
  <c r="AC34" i="51"/>
  <c r="AB34" i="51"/>
  <c r="L34" i="51"/>
  <c r="AC33" i="51"/>
  <c r="AB33" i="51"/>
  <c r="L33" i="51"/>
  <c r="AC32" i="51"/>
  <c r="AB32" i="51"/>
  <c r="L32" i="51"/>
  <c r="AC31" i="51"/>
  <c r="AB31" i="51"/>
  <c r="L31" i="51"/>
  <c r="AC30" i="51"/>
  <c r="AB30" i="51"/>
  <c r="L30" i="51"/>
  <c r="AC29" i="51"/>
  <c r="AB29" i="51"/>
  <c r="L29" i="51"/>
  <c r="AC28" i="51"/>
  <c r="AC37" i="51" s="1"/>
  <c r="AB28" i="51"/>
  <c r="E26" i="51"/>
  <c r="D26" i="51"/>
  <c r="K25" i="51"/>
  <c r="L25" i="51" s="1"/>
  <c r="I24" i="51"/>
  <c r="K24" i="51"/>
  <c r="L24" i="51" s="1"/>
  <c r="I23" i="51"/>
  <c r="K23" i="51"/>
  <c r="L23" i="51" s="1"/>
  <c r="K22" i="51"/>
  <c r="L22" i="51" s="1"/>
  <c r="I21" i="51"/>
  <c r="K21" i="51"/>
  <c r="L21" i="51" s="1"/>
  <c r="I20" i="51"/>
  <c r="K20" i="51"/>
  <c r="L20" i="51" s="1"/>
  <c r="K19" i="51"/>
  <c r="L19" i="51" s="1"/>
  <c r="I18" i="51"/>
  <c r="K18" i="51"/>
  <c r="L18" i="51" s="1"/>
  <c r="I17" i="51"/>
  <c r="K17" i="51"/>
  <c r="L17" i="51" s="1"/>
  <c r="K16" i="51"/>
  <c r="L16" i="51" s="1"/>
  <c r="I15" i="51"/>
  <c r="M15" i="51"/>
  <c r="K14" i="51"/>
  <c r="I13" i="51"/>
  <c r="K13" i="51"/>
  <c r="L13" i="51" s="1"/>
  <c r="K12" i="51"/>
  <c r="I11" i="51"/>
  <c r="K11" i="51" s="1"/>
  <c r="L11" i="51" s="1"/>
  <c r="M11" i="51"/>
  <c r="AB7" i="51"/>
  <c r="X49" i="51" s="1"/>
  <c r="X7" i="51"/>
  <c r="V4" i="51"/>
  <c r="B3" i="51"/>
  <c r="V2" i="51"/>
  <c r="C48" i="51" l="1"/>
  <c r="K48" i="51" s="1"/>
  <c r="G37" i="51"/>
  <c r="K15" i="51"/>
  <c r="L15" i="51" s="1"/>
  <c r="G26" i="51"/>
  <c r="K84" i="51" s="1"/>
  <c r="C49" i="51"/>
  <c r="K49" i="51" s="1"/>
  <c r="L14" i="51"/>
  <c r="L76" i="51"/>
  <c r="Z75" i="51"/>
  <c r="AC75" i="51" s="1"/>
  <c r="L75" i="51"/>
  <c r="Z74" i="51"/>
  <c r="AC74" i="51" s="1"/>
  <c r="L12" i="51"/>
  <c r="M13" i="51"/>
  <c r="K10" i="51"/>
  <c r="L28" i="51"/>
  <c r="L37" i="51" s="1"/>
  <c r="X48" i="51"/>
  <c r="X47" i="51"/>
  <c r="G56" i="51" l="1"/>
  <c r="K57" i="51" s="1"/>
  <c r="K69" i="51" s="1"/>
  <c r="L69" i="51" s="1"/>
  <c r="L40" i="51"/>
  <c r="K26" i="51"/>
  <c r="G53" i="51" s="1"/>
  <c r="K54" i="51" s="1"/>
  <c r="C47" i="51"/>
  <c r="L10" i="51"/>
  <c r="L26" i="51" s="1"/>
  <c r="L44" i="51" s="1"/>
  <c r="K72" i="51"/>
  <c r="L72" i="51" s="1"/>
  <c r="X24" i="51"/>
  <c r="AB24" i="51" s="1"/>
  <c r="AC24" i="51" s="1"/>
  <c r="X21" i="51"/>
  <c r="AB21" i="51" s="1"/>
  <c r="AC21" i="51" s="1"/>
  <c r="X18" i="51"/>
  <c r="AB18" i="51" s="1"/>
  <c r="AC18" i="51" s="1"/>
  <c r="X15" i="51"/>
  <c r="AB15" i="51" s="1"/>
  <c r="AC15" i="51" s="1"/>
  <c r="X14" i="51"/>
  <c r="AB14" i="51" s="1"/>
  <c r="X23" i="51"/>
  <c r="AB23" i="51" s="1"/>
  <c r="AC23" i="51" s="1"/>
  <c r="X20" i="51"/>
  <c r="AB20" i="51" s="1"/>
  <c r="AC20" i="51" s="1"/>
  <c r="X17" i="51"/>
  <c r="AB17" i="51" s="1"/>
  <c r="AC17" i="51" s="1"/>
  <c r="X11" i="51"/>
  <c r="AB11" i="51" s="1"/>
  <c r="AC11" i="51" s="1"/>
  <c r="X10" i="51"/>
  <c r="X25" i="51"/>
  <c r="AB25" i="51" s="1"/>
  <c r="AC25" i="51" s="1"/>
  <c r="X22" i="51"/>
  <c r="AB22" i="51" s="1"/>
  <c r="AC22" i="51" s="1"/>
  <c r="X19" i="51"/>
  <c r="AB19" i="51" s="1"/>
  <c r="AC19" i="51" s="1"/>
  <c r="X16" i="51"/>
  <c r="AB16" i="51" s="1"/>
  <c r="AC16" i="51" s="1"/>
  <c r="X13" i="51"/>
  <c r="AB13" i="51" s="1"/>
  <c r="AC13" i="51" s="1"/>
  <c r="X12" i="51"/>
  <c r="AB12" i="51" s="1"/>
  <c r="W49" i="51" l="1"/>
  <c r="AB49" i="51" s="1"/>
  <c r="AC14" i="51"/>
  <c r="K47" i="51"/>
  <c r="L50" i="51" s="1"/>
  <c r="C50" i="51"/>
  <c r="W48" i="51"/>
  <c r="AB48" i="51" s="1"/>
  <c r="AC12" i="51"/>
  <c r="X26" i="51"/>
  <c r="AB10" i="51"/>
  <c r="K77" i="51"/>
  <c r="L77" i="51" s="1"/>
  <c r="K67" i="51"/>
  <c r="L67" i="51" s="1"/>
  <c r="K78" i="51"/>
  <c r="L78" i="51" s="1"/>
  <c r="K71" i="51"/>
  <c r="L71" i="51" s="1"/>
  <c r="K70" i="51"/>
  <c r="L70" i="51" s="1"/>
  <c r="K59" i="51"/>
  <c r="L59" i="51" s="1"/>
  <c r="L82" i="51" l="1"/>
  <c r="K86" i="51" s="1"/>
  <c r="X56" i="51"/>
  <c r="AB57" i="51" s="1"/>
  <c r="AC40" i="51"/>
  <c r="AB26" i="51"/>
  <c r="X53" i="51" s="1"/>
  <c r="AB54" i="51" s="1"/>
  <c r="W47" i="51"/>
  <c r="AC10" i="51"/>
  <c r="AC26" i="51" s="1"/>
  <c r="AC44" i="51" l="1"/>
  <c r="AB68" i="51"/>
  <c r="AC68" i="51" s="1"/>
  <c r="AB71" i="51"/>
  <c r="AC71" i="51" s="1"/>
  <c r="AB47" i="51"/>
  <c r="AC50" i="51" s="1"/>
  <c r="W50" i="51"/>
  <c r="L86" i="51"/>
  <c r="L87" i="51" s="1"/>
  <c r="L90" i="51" s="1"/>
  <c r="L92" i="51" s="1"/>
  <c r="AB77" i="51"/>
  <c r="AC77" i="51" s="1"/>
  <c r="AB70" i="51"/>
  <c r="AC70" i="51" s="1"/>
  <c r="AB69" i="51"/>
  <c r="AC69" i="51" s="1"/>
  <c r="AB58" i="51"/>
  <c r="AC58" i="51" s="1"/>
  <c r="AB76" i="51"/>
  <c r="AC76" i="51" s="1"/>
  <c r="AB66" i="51"/>
  <c r="AC66" i="51" s="1"/>
  <c r="AC81" i="51" l="1"/>
  <c r="L84" i="51" s="1"/>
  <c r="L94" i="51"/>
  <c r="B136" i="50" l="1"/>
  <c r="B135" i="50"/>
  <c r="M86" i="50"/>
  <c r="V79" i="50"/>
  <c r="V78" i="50"/>
  <c r="Y77" i="50"/>
  <c r="V77" i="50"/>
  <c r="Y76" i="50"/>
  <c r="G76" i="50"/>
  <c r="I76" i="50" s="1"/>
  <c r="AB75" i="50"/>
  <c r="G75" i="50"/>
  <c r="I75" i="50" s="1"/>
  <c r="Z74" i="50" s="1"/>
  <c r="AB74" i="50"/>
  <c r="Y71" i="50"/>
  <c r="Y70" i="50"/>
  <c r="Y69" i="50"/>
  <c r="Y68" i="50"/>
  <c r="Y66" i="50"/>
  <c r="X65" i="50"/>
  <c r="G65" i="50"/>
  <c r="X64" i="50" s="1"/>
  <c r="X61" i="50"/>
  <c r="X60" i="50"/>
  <c r="Y58" i="50"/>
  <c r="AA56" i="50"/>
  <c r="J56" i="50"/>
  <c r="AA53" i="50"/>
  <c r="Z49" i="50"/>
  <c r="G49" i="50"/>
  <c r="Z48" i="50"/>
  <c r="G48" i="50"/>
  <c r="Z47" i="50"/>
  <c r="G47" i="50"/>
  <c r="X40" i="50"/>
  <c r="K40" i="50"/>
  <c r="X39" i="50"/>
  <c r="AB40" i="50" s="1"/>
  <c r="X37" i="50"/>
  <c r="E37" i="50"/>
  <c r="D37" i="50"/>
  <c r="AB36" i="50"/>
  <c r="AC36" i="50" s="1"/>
  <c r="L36" i="50"/>
  <c r="AB35" i="50"/>
  <c r="AC35" i="50" s="1"/>
  <c r="L35" i="50"/>
  <c r="AB34" i="50"/>
  <c r="AC34" i="50" s="1"/>
  <c r="L34" i="50"/>
  <c r="AB33" i="50"/>
  <c r="AC33" i="50" s="1"/>
  <c r="L33" i="50"/>
  <c r="AB32" i="50"/>
  <c r="AC32" i="50" s="1"/>
  <c r="L32" i="50"/>
  <c r="AB31" i="50"/>
  <c r="AC31" i="50" s="1"/>
  <c r="L31" i="50"/>
  <c r="AC30" i="50"/>
  <c r="AB30" i="50"/>
  <c r="L30" i="50"/>
  <c r="AC29" i="50"/>
  <c r="AB29" i="50"/>
  <c r="L29" i="50"/>
  <c r="AB28" i="50"/>
  <c r="AC28" i="50" s="1"/>
  <c r="AC37" i="50" s="1"/>
  <c r="L28" i="50"/>
  <c r="E26" i="50"/>
  <c r="D26" i="50"/>
  <c r="K25" i="50"/>
  <c r="L25" i="50" s="1"/>
  <c r="I24" i="50"/>
  <c r="K24" i="50"/>
  <c r="L24" i="50" s="1"/>
  <c r="K23" i="50"/>
  <c r="L23" i="50" s="1"/>
  <c r="I23" i="50"/>
  <c r="K22" i="50"/>
  <c r="L22" i="50" s="1"/>
  <c r="I21" i="50"/>
  <c r="K21" i="50"/>
  <c r="L21" i="50" s="1"/>
  <c r="K20" i="50"/>
  <c r="L20" i="50" s="1"/>
  <c r="I20" i="50"/>
  <c r="K19" i="50"/>
  <c r="L19" i="50" s="1"/>
  <c r="I18" i="50"/>
  <c r="K18" i="50"/>
  <c r="L18" i="50" s="1"/>
  <c r="K17" i="50"/>
  <c r="L17" i="50" s="1"/>
  <c r="I17" i="50"/>
  <c r="K16" i="50"/>
  <c r="L16" i="50" s="1"/>
  <c r="M15" i="50"/>
  <c r="I15" i="50"/>
  <c r="L14" i="50"/>
  <c r="K14" i="50"/>
  <c r="I13" i="50"/>
  <c r="M13" i="50"/>
  <c r="K12" i="50"/>
  <c r="I11" i="50"/>
  <c r="K11" i="50"/>
  <c r="L11" i="50" s="1"/>
  <c r="K10" i="50"/>
  <c r="L10" i="50" s="1"/>
  <c r="AB7" i="50"/>
  <c r="X47" i="50" s="1"/>
  <c r="X7" i="50"/>
  <c r="V4" i="50"/>
  <c r="B3" i="50"/>
  <c r="V2" i="50"/>
  <c r="AC74" i="50" l="1"/>
  <c r="G37" i="50"/>
  <c r="K13" i="50"/>
  <c r="L13" i="50" s="1"/>
  <c r="L12" i="50"/>
  <c r="C48" i="50"/>
  <c r="K48" i="50" s="1"/>
  <c r="K15" i="50"/>
  <c r="L15" i="50" s="1"/>
  <c r="L75" i="50"/>
  <c r="C47" i="50"/>
  <c r="L76" i="50"/>
  <c r="Z75" i="50"/>
  <c r="X49" i="50"/>
  <c r="X48" i="50"/>
  <c r="M11" i="50"/>
  <c r="C49" i="50"/>
  <c r="K49" i="50" s="1"/>
  <c r="G26" i="50"/>
  <c r="L40" i="50" s="1"/>
  <c r="L37" i="50"/>
  <c r="AC75" i="50"/>
  <c r="L26" i="50" l="1"/>
  <c r="L44" i="50" s="1"/>
  <c r="K47" i="50"/>
  <c r="L50" i="50" s="1"/>
  <c r="C50" i="50"/>
  <c r="K84" i="50"/>
  <c r="G56" i="50"/>
  <c r="K57" i="50" s="1"/>
  <c r="K26" i="50"/>
  <c r="G53" i="50" s="1"/>
  <c r="K54" i="50" s="1"/>
  <c r="K77" i="50" l="1"/>
  <c r="L77" i="50" s="1"/>
  <c r="K67" i="50"/>
  <c r="L67" i="50" s="1"/>
  <c r="K70" i="50"/>
  <c r="L70" i="50" s="1"/>
  <c r="K59" i="50"/>
  <c r="L59" i="50" s="1"/>
  <c r="K78" i="50"/>
  <c r="L78" i="50" s="1"/>
  <c r="K71" i="50"/>
  <c r="L71" i="50" s="1"/>
  <c r="K69" i="50"/>
  <c r="L69" i="50" s="1"/>
  <c r="K72" i="50"/>
  <c r="L72" i="50" s="1"/>
  <c r="X23" i="50"/>
  <c r="AB23" i="50" s="1"/>
  <c r="AC23" i="50" s="1"/>
  <c r="X17" i="50"/>
  <c r="AB17" i="50" s="1"/>
  <c r="AC17" i="50" s="1"/>
  <c r="X25" i="50"/>
  <c r="AB25" i="50" s="1"/>
  <c r="AC25" i="50" s="1"/>
  <c r="X22" i="50"/>
  <c r="AB22" i="50" s="1"/>
  <c r="AC22" i="50" s="1"/>
  <c r="X19" i="50"/>
  <c r="AB19" i="50" s="1"/>
  <c r="AC19" i="50" s="1"/>
  <c r="X16" i="50"/>
  <c r="AB16" i="50" s="1"/>
  <c r="AC16" i="50" s="1"/>
  <c r="X13" i="50"/>
  <c r="AB13" i="50" s="1"/>
  <c r="AC13" i="50" s="1"/>
  <c r="X12" i="50"/>
  <c r="AB12" i="50" s="1"/>
  <c r="X20" i="50"/>
  <c r="AB20" i="50" s="1"/>
  <c r="AC20" i="50" s="1"/>
  <c r="X21" i="50"/>
  <c r="AB21" i="50" s="1"/>
  <c r="AC21" i="50" s="1"/>
  <c r="X15" i="50"/>
  <c r="AB15" i="50" s="1"/>
  <c r="AC15" i="50" s="1"/>
  <c r="X14" i="50"/>
  <c r="AB14" i="50" s="1"/>
  <c r="X24" i="50"/>
  <c r="AB24" i="50" s="1"/>
  <c r="AC24" i="50" s="1"/>
  <c r="X11" i="50"/>
  <c r="AB11" i="50" s="1"/>
  <c r="AC11" i="50" s="1"/>
  <c r="X18" i="50"/>
  <c r="AB18" i="50" s="1"/>
  <c r="AC18" i="50" s="1"/>
  <c r="X10" i="50"/>
  <c r="L82" i="50" l="1"/>
  <c r="K86" i="50" s="1"/>
  <c r="X26" i="50"/>
  <c r="AB10" i="50"/>
  <c r="AC14" i="50"/>
  <c r="W49" i="50"/>
  <c r="AB49" i="50" s="1"/>
  <c r="W48" i="50"/>
  <c r="AB48" i="50" s="1"/>
  <c r="AC12" i="50"/>
  <c r="W47" i="50" l="1"/>
  <c r="AC10" i="50"/>
  <c r="AC26" i="50" s="1"/>
  <c r="AB26" i="50"/>
  <c r="X53" i="50" s="1"/>
  <c r="AB54" i="50" s="1"/>
  <c r="X56" i="50"/>
  <c r="AB57" i="50" s="1"/>
  <c r="AC40" i="50"/>
  <c r="L86" i="50"/>
  <c r="L87" i="50" s="1"/>
  <c r="L90" i="50" s="1"/>
  <c r="L92" i="50" s="1"/>
  <c r="AC44" i="50" l="1"/>
  <c r="L94" i="50"/>
  <c r="AB77" i="50"/>
  <c r="AC77" i="50" s="1"/>
  <c r="AB70" i="50"/>
  <c r="AC70" i="50" s="1"/>
  <c r="AB66" i="50"/>
  <c r="AC66" i="50" s="1"/>
  <c r="AB69" i="50"/>
  <c r="AC69" i="50" s="1"/>
  <c r="AB58" i="50"/>
  <c r="AC58" i="50" s="1"/>
  <c r="AB76" i="50"/>
  <c r="AC76" i="50" s="1"/>
  <c r="AB47" i="50"/>
  <c r="AC50" i="50" s="1"/>
  <c r="W50" i="50"/>
  <c r="AB71" i="50"/>
  <c r="AC71" i="50" s="1"/>
  <c r="AB68" i="50"/>
  <c r="AC68" i="50" s="1"/>
  <c r="AC81" i="50" l="1"/>
  <c r="L84" i="50" s="1"/>
  <c r="B136" i="49"/>
  <c r="B135" i="49"/>
  <c r="M86" i="49"/>
  <c r="V79" i="49"/>
  <c r="V78" i="49"/>
  <c r="Y77" i="49"/>
  <c r="V77" i="49"/>
  <c r="Y76" i="49"/>
  <c r="G76" i="49"/>
  <c r="I76" i="49" s="1"/>
  <c r="AB75" i="49"/>
  <c r="G75" i="49"/>
  <c r="I75" i="49" s="1"/>
  <c r="AB74" i="49"/>
  <c r="Y71" i="49"/>
  <c r="Y70" i="49"/>
  <c r="Y69" i="49"/>
  <c r="Y68" i="49"/>
  <c r="Y66" i="49"/>
  <c r="X65" i="49"/>
  <c r="G65" i="49"/>
  <c r="X64" i="49" s="1"/>
  <c r="Y58" i="49" s="1"/>
  <c r="X61" i="49"/>
  <c r="X60" i="49"/>
  <c r="J56" i="49"/>
  <c r="AA56" i="49" s="1"/>
  <c r="AA53" i="49"/>
  <c r="Z49" i="49"/>
  <c r="G49" i="49"/>
  <c r="Z48" i="49"/>
  <c r="G48" i="49"/>
  <c r="Z47" i="49"/>
  <c r="X47" i="49"/>
  <c r="G47" i="49"/>
  <c r="X40" i="49"/>
  <c r="K40" i="49"/>
  <c r="X39" i="49"/>
  <c r="AB40" i="49" s="1"/>
  <c r="X37" i="49"/>
  <c r="E37" i="49"/>
  <c r="D37" i="49"/>
  <c r="AB36" i="49"/>
  <c r="AC36" i="49" s="1"/>
  <c r="L36" i="49"/>
  <c r="AB35" i="49"/>
  <c r="AC35" i="49" s="1"/>
  <c r="L35" i="49"/>
  <c r="AB34" i="49"/>
  <c r="AC34" i="49" s="1"/>
  <c r="L34" i="49"/>
  <c r="AB33" i="49"/>
  <c r="AC33" i="49" s="1"/>
  <c r="L33" i="49"/>
  <c r="AB32" i="49"/>
  <c r="AC32" i="49" s="1"/>
  <c r="L32" i="49"/>
  <c r="AB31" i="49"/>
  <c r="AC31" i="49" s="1"/>
  <c r="L31" i="49"/>
  <c r="AB30" i="49"/>
  <c r="AC30" i="49" s="1"/>
  <c r="L30" i="49"/>
  <c r="AB29" i="49"/>
  <c r="AC29" i="49" s="1"/>
  <c r="L29" i="49"/>
  <c r="AB28" i="49"/>
  <c r="AC28" i="49" s="1"/>
  <c r="L28" i="49"/>
  <c r="E26" i="49"/>
  <c r="D26" i="49"/>
  <c r="K25" i="49"/>
  <c r="L25" i="49" s="1"/>
  <c r="I24" i="49"/>
  <c r="K24" i="49"/>
  <c r="L24" i="49" s="1"/>
  <c r="K23" i="49"/>
  <c r="L23" i="49" s="1"/>
  <c r="I23" i="49"/>
  <c r="K22" i="49"/>
  <c r="L22" i="49" s="1"/>
  <c r="I21" i="49"/>
  <c r="K21" i="49"/>
  <c r="L21" i="49" s="1"/>
  <c r="K20" i="49"/>
  <c r="L20" i="49" s="1"/>
  <c r="I20" i="49"/>
  <c r="K19" i="49"/>
  <c r="L19" i="49" s="1"/>
  <c r="I18" i="49"/>
  <c r="K18" i="49"/>
  <c r="L18" i="49" s="1"/>
  <c r="K17" i="49"/>
  <c r="L17" i="49" s="1"/>
  <c r="I17" i="49"/>
  <c r="K16" i="49"/>
  <c r="L16" i="49" s="1"/>
  <c r="I15" i="49"/>
  <c r="K14" i="49"/>
  <c r="I13" i="49"/>
  <c r="M13" i="49"/>
  <c r="K12" i="49"/>
  <c r="I11" i="49"/>
  <c r="K10" i="49"/>
  <c r="L10" i="49" s="1"/>
  <c r="AB7" i="49"/>
  <c r="X49" i="49" s="1"/>
  <c r="X7" i="49"/>
  <c r="V4" i="49"/>
  <c r="B3" i="49"/>
  <c r="V2" i="49"/>
  <c r="G37" i="49" l="1"/>
  <c r="K13" i="49"/>
  <c r="L13" i="49" s="1"/>
  <c r="L12" i="49"/>
  <c r="K15" i="49"/>
  <c r="L15" i="49" s="1"/>
  <c r="M15" i="49"/>
  <c r="AC37" i="49"/>
  <c r="L76" i="49"/>
  <c r="Z75" i="49"/>
  <c r="AC75" i="49" s="1"/>
  <c r="K11" i="49"/>
  <c r="L11" i="49" s="1"/>
  <c r="G26" i="49"/>
  <c r="K26" i="49"/>
  <c r="G53" i="49" s="1"/>
  <c r="K54" i="49" s="1"/>
  <c r="M11" i="49"/>
  <c r="L14" i="49"/>
  <c r="L37" i="49"/>
  <c r="Z74" i="49"/>
  <c r="AC74" i="49" s="1"/>
  <c r="L75" i="49"/>
  <c r="X48" i="49"/>
  <c r="C49" i="49" l="1"/>
  <c r="K49" i="49" s="1"/>
  <c r="C48" i="49"/>
  <c r="K48" i="49" s="1"/>
  <c r="L26" i="49"/>
  <c r="C47" i="49"/>
  <c r="K77" i="49"/>
  <c r="L77" i="49" s="1"/>
  <c r="K67" i="49"/>
  <c r="L67" i="49" s="1"/>
  <c r="K71" i="49"/>
  <c r="L71" i="49" s="1"/>
  <c r="K70" i="49"/>
  <c r="L70" i="49" s="1"/>
  <c r="K59" i="49"/>
  <c r="L59" i="49" s="1"/>
  <c r="K78" i="49"/>
  <c r="L78" i="49" s="1"/>
  <c r="K84" i="49"/>
  <c r="G56" i="49"/>
  <c r="K57" i="49" s="1"/>
  <c r="L40" i="49"/>
  <c r="L44" i="49" s="1"/>
  <c r="K69" i="49" l="1"/>
  <c r="L69" i="49" s="1"/>
  <c r="K72" i="49"/>
  <c r="L72" i="49" s="1"/>
  <c r="X20" i="49"/>
  <c r="AB20" i="49" s="1"/>
  <c r="AC20" i="49" s="1"/>
  <c r="X17" i="49"/>
  <c r="AB17" i="49" s="1"/>
  <c r="AC17" i="49" s="1"/>
  <c r="X24" i="49"/>
  <c r="AB24" i="49" s="1"/>
  <c r="AC24" i="49" s="1"/>
  <c r="X21" i="49"/>
  <c r="AB21" i="49" s="1"/>
  <c r="AC21" i="49" s="1"/>
  <c r="X18" i="49"/>
  <c r="AB18" i="49" s="1"/>
  <c r="AC18" i="49" s="1"/>
  <c r="X15" i="49"/>
  <c r="AB15" i="49" s="1"/>
  <c r="AC15" i="49" s="1"/>
  <c r="X14" i="49"/>
  <c r="AB14" i="49" s="1"/>
  <c r="X11" i="49"/>
  <c r="AB11" i="49" s="1"/>
  <c r="AC11" i="49" s="1"/>
  <c r="X10" i="49"/>
  <c r="X25" i="49"/>
  <c r="AB25" i="49" s="1"/>
  <c r="AC25" i="49" s="1"/>
  <c r="X22" i="49"/>
  <c r="AB22" i="49" s="1"/>
  <c r="AC22" i="49" s="1"/>
  <c r="X19" i="49"/>
  <c r="AB19" i="49" s="1"/>
  <c r="AC19" i="49" s="1"/>
  <c r="X16" i="49"/>
  <c r="AB16" i="49" s="1"/>
  <c r="AC16" i="49" s="1"/>
  <c r="X13" i="49"/>
  <c r="AB13" i="49" s="1"/>
  <c r="AC13" i="49" s="1"/>
  <c r="X12" i="49"/>
  <c r="AB12" i="49" s="1"/>
  <c r="X23" i="49"/>
  <c r="AB23" i="49" s="1"/>
  <c r="AC23" i="49" s="1"/>
  <c r="K47" i="49"/>
  <c r="L50" i="49" s="1"/>
  <c r="L82" i="49" s="1"/>
  <c r="C50" i="49"/>
  <c r="K86" i="49" l="1"/>
  <c r="X26" i="49"/>
  <c r="AB10" i="49"/>
  <c r="W48" i="49"/>
  <c r="AB48" i="49" s="1"/>
  <c r="AC12" i="49"/>
  <c r="W49" i="49"/>
  <c r="AB49" i="49" s="1"/>
  <c r="AC14" i="49"/>
  <c r="X56" i="49" l="1"/>
  <c r="AB57" i="49" s="1"/>
  <c r="AC40" i="49"/>
  <c r="W47" i="49"/>
  <c r="AC10" i="49"/>
  <c r="AC26" i="49" s="1"/>
  <c r="AC44" i="49" s="1"/>
  <c r="AB26" i="49"/>
  <c r="X53" i="49" s="1"/>
  <c r="AB54" i="49" s="1"/>
  <c r="L86" i="49"/>
  <c r="L87" i="49" s="1"/>
  <c r="L90" i="49" s="1"/>
  <c r="L92" i="49" s="1"/>
  <c r="L94" i="49" l="1"/>
  <c r="AB47" i="49"/>
  <c r="AC50" i="49" s="1"/>
  <c r="W50" i="49"/>
  <c r="AB77" i="49"/>
  <c r="AC77" i="49" s="1"/>
  <c r="AB70" i="49"/>
  <c r="AC70" i="49" s="1"/>
  <c r="AB69" i="49"/>
  <c r="AC69" i="49" s="1"/>
  <c r="AB58" i="49"/>
  <c r="AC58" i="49" s="1"/>
  <c r="AB66" i="49"/>
  <c r="AC66" i="49" s="1"/>
  <c r="AB76" i="49"/>
  <c r="AC76" i="49" s="1"/>
  <c r="AB68" i="49"/>
  <c r="AC68" i="49" s="1"/>
  <c r="AB71" i="49"/>
  <c r="AC71" i="49" s="1"/>
  <c r="AC81" i="49" l="1"/>
  <c r="L84" i="49" s="1"/>
  <c r="B136" i="48"/>
  <c r="B135" i="48"/>
  <c r="M86" i="48"/>
  <c r="V79" i="48"/>
  <c r="V78" i="48"/>
  <c r="Y77" i="48"/>
  <c r="V77" i="48"/>
  <c r="Y76" i="48"/>
  <c r="G76" i="48"/>
  <c r="I76" i="48" s="1"/>
  <c r="AB75" i="48"/>
  <c r="G75" i="48"/>
  <c r="I75" i="48" s="1"/>
  <c r="AB74" i="48"/>
  <c r="Y71" i="48"/>
  <c r="Y70" i="48"/>
  <c r="Y69" i="48"/>
  <c r="Y68" i="48"/>
  <c r="Y66" i="48"/>
  <c r="X65" i="48"/>
  <c r="G65" i="48"/>
  <c r="X64" i="48" s="1"/>
  <c r="Y58" i="48" s="1"/>
  <c r="X61" i="48"/>
  <c r="X60" i="48"/>
  <c r="J56" i="48"/>
  <c r="AA56" i="48" s="1"/>
  <c r="AA53" i="48"/>
  <c r="Z49" i="48"/>
  <c r="G49" i="48"/>
  <c r="Z48" i="48"/>
  <c r="G48" i="48"/>
  <c r="Z47" i="48"/>
  <c r="X47" i="48"/>
  <c r="G47" i="48"/>
  <c r="X40" i="48"/>
  <c r="K40" i="48"/>
  <c r="X39" i="48"/>
  <c r="AB40" i="48" s="1"/>
  <c r="X37" i="48"/>
  <c r="E37" i="48"/>
  <c r="D37" i="48"/>
  <c r="AB36" i="48"/>
  <c r="AC36" i="48" s="1"/>
  <c r="L36" i="48"/>
  <c r="AB35" i="48"/>
  <c r="AC35" i="48" s="1"/>
  <c r="L35" i="48"/>
  <c r="AB34" i="48"/>
  <c r="AC34" i="48" s="1"/>
  <c r="L34" i="48"/>
  <c r="AB33" i="48"/>
  <c r="AC33" i="48" s="1"/>
  <c r="L33" i="48"/>
  <c r="AB32" i="48"/>
  <c r="AC32" i="48" s="1"/>
  <c r="L32" i="48"/>
  <c r="AB31" i="48"/>
  <c r="AC31" i="48" s="1"/>
  <c r="L31" i="48"/>
  <c r="AB30" i="48"/>
  <c r="AC30" i="48" s="1"/>
  <c r="L30" i="48"/>
  <c r="AB29" i="48"/>
  <c r="AC29" i="48" s="1"/>
  <c r="L29" i="48"/>
  <c r="AB28" i="48"/>
  <c r="AC28" i="48" s="1"/>
  <c r="L28" i="48"/>
  <c r="E26" i="48"/>
  <c r="D26" i="48"/>
  <c r="K25" i="48"/>
  <c r="L25" i="48" s="1"/>
  <c r="I24" i="48"/>
  <c r="K24" i="48"/>
  <c r="L24" i="48" s="1"/>
  <c r="K23" i="48"/>
  <c r="L23" i="48" s="1"/>
  <c r="I23" i="48"/>
  <c r="K22" i="48"/>
  <c r="L22" i="48" s="1"/>
  <c r="I21" i="48"/>
  <c r="K21" i="48"/>
  <c r="L21" i="48" s="1"/>
  <c r="K20" i="48"/>
  <c r="L20" i="48" s="1"/>
  <c r="I20" i="48"/>
  <c r="K19" i="48"/>
  <c r="L19" i="48" s="1"/>
  <c r="I18" i="48"/>
  <c r="K18" i="48"/>
  <c r="L18" i="48" s="1"/>
  <c r="K17" i="48"/>
  <c r="L17" i="48" s="1"/>
  <c r="I17" i="48"/>
  <c r="K16" i="48"/>
  <c r="L16" i="48" s="1"/>
  <c r="I15" i="48"/>
  <c r="K15" i="48"/>
  <c r="L15" i="48" s="1"/>
  <c r="K14" i="48"/>
  <c r="I13" i="48"/>
  <c r="M13" i="48"/>
  <c r="K12" i="48"/>
  <c r="I11" i="48"/>
  <c r="K10" i="48"/>
  <c r="AB7" i="48"/>
  <c r="X49" i="48" s="1"/>
  <c r="X7" i="48"/>
  <c r="V4" i="48"/>
  <c r="B3" i="48"/>
  <c r="V2" i="48"/>
  <c r="G37" i="48" l="1"/>
  <c r="K13" i="48"/>
  <c r="L13" i="48" s="1"/>
  <c r="G26" i="48"/>
  <c r="K84" i="48" s="1"/>
  <c r="L10" i="48"/>
  <c r="AC37" i="48"/>
  <c r="L76" i="48"/>
  <c r="Z75" i="48"/>
  <c r="AC75" i="48" s="1"/>
  <c r="C48" i="48"/>
  <c r="K48" i="48" s="1"/>
  <c r="L12" i="48"/>
  <c r="C49" i="48"/>
  <c r="K49" i="48" s="1"/>
  <c r="L14" i="48"/>
  <c r="L37" i="48"/>
  <c r="L75" i="48"/>
  <c r="Z74" i="48"/>
  <c r="AC74" i="48" s="1"/>
  <c r="K11" i="48"/>
  <c r="L11" i="48" s="1"/>
  <c r="X48" i="48"/>
  <c r="M11" i="48"/>
  <c r="M15" i="48"/>
  <c r="G56" i="48" l="1"/>
  <c r="K57" i="48" s="1"/>
  <c r="L40" i="48"/>
  <c r="C47" i="48"/>
  <c r="K47" i="48" s="1"/>
  <c r="L50" i="48" s="1"/>
  <c r="C50" i="48"/>
  <c r="K69" i="48"/>
  <c r="L69" i="48" s="1"/>
  <c r="K72" i="48"/>
  <c r="L72" i="48" s="1"/>
  <c r="L26" i="48"/>
  <c r="X23" i="48"/>
  <c r="AB23" i="48" s="1"/>
  <c r="AC23" i="48" s="1"/>
  <c r="X20" i="48"/>
  <c r="AB20" i="48" s="1"/>
  <c r="AC20" i="48" s="1"/>
  <c r="X17" i="48"/>
  <c r="AB17" i="48" s="1"/>
  <c r="AC17" i="48" s="1"/>
  <c r="X24" i="48"/>
  <c r="AB24" i="48" s="1"/>
  <c r="AC24" i="48" s="1"/>
  <c r="X21" i="48"/>
  <c r="AB21" i="48" s="1"/>
  <c r="AC21" i="48" s="1"/>
  <c r="X18" i="48"/>
  <c r="AB18" i="48" s="1"/>
  <c r="AC18" i="48" s="1"/>
  <c r="X15" i="48"/>
  <c r="AB15" i="48" s="1"/>
  <c r="AC15" i="48" s="1"/>
  <c r="X14" i="48"/>
  <c r="AB14" i="48" s="1"/>
  <c r="X11" i="48"/>
  <c r="AB11" i="48" s="1"/>
  <c r="AC11" i="48" s="1"/>
  <c r="X10" i="48"/>
  <c r="X25" i="48"/>
  <c r="AB25" i="48" s="1"/>
  <c r="AC25" i="48" s="1"/>
  <c r="X22" i="48"/>
  <c r="AB22" i="48" s="1"/>
  <c r="AC22" i="48" s="1"/>
  <c r="X19" i="48"/>
  <c r="AB19" i="48" s="1"/>
  <c r="AC19" i="48" s="1"/>
  <c r="X16" i="48"/>
  <c r="AB16" i="48" s="1"/>
  <c r="AC16" i="48" s="1"/>
  <c r="X13" i="48"/>
  <c r="AB13" i="48" s="1"/>
  <c r="AC13" i="48" s="1"/>
  <c r="X12" i="48"/>
  <c r="AB12" i="48" s="1"/>
  <c r="K26" i="48"/>
  <c r="G53" i="48" s="1"/>
  <c r="K54" i="48" s="1"/>
  <c r="L44" i="48" l="1"/>
  <c r="W49" i="48"/>
  <c r="AB49" i="48" s="1"/>
  <c r="AC14" i="48"/>
  <c r="K77" i="48"/>
  <c r="L77" i="48" s="1"/>
  <c r="K71" i="48"/>
  <c r="L71" i="48" s="1"/>
  <c r="K67" i="48"/>
  <c r="L67" i="48" s="1"/>
  <c r="K70" i="48"/>
  <c r="L70" i="48" s="1"/>
  <c r="K59" i="48"/>
  <c r="L59" i="48" s="1"/>
  <c r="K78" i="48"/>
  <c r="L78" i="48" s="1"/>
  <c r="W48" i="48"/>
  <c r="AB48" i="48" s="1"/>
  <c r="AC12" i="48"/>
  <c r="AB10" i="48"/>
  <c r="X26" i="48"/>
  <c r="L82" i="48" l="1"/>
  <c r="K86" i="48" s="1"/>
  <c r="X56" i="48"/>
  <c r="AB57" i="48" s="1"/>
  <c r="AC40" i="48"/>
  <c r="AB26" i="48"/>
  <c r="X53" i="48" s="1"/>
  <c r="AB54" i="48" s="1"/>
  <c r="W47" i="48"/>
  <c r="AC10" i="48"/>
  <c r="AC26" i="48" s="1"/>
  <c r="AC44" i="48" s="1"/>
  <c r="AB68" i="48" l="1"/>
  <c r="AC68" i="48" s="1"/>
  <c r="AB71" i="48"/>
  <c r="AC71" i="48" s="1"/>
  <c r="AB47" i="48"/>
  <c r="AC50" i="48" s="1"/>
  <c r="W50" i="48"/>
  <c r="L86" i="48"/>
  <c r="L87" i="48" s="1"/>
  <c r="L90" i="48" s="1"/>
  <c r="L92" i="48" s="1"/>
  <c r="AB77" i="48"/>
  <c r="AC77" i="48" s="1"/>
  <c r="AB70" i="48"/>
  <c r="AC70" i="48" s="1"/>
  <c r="AB76" i="48"/>
  <c r="AC76" i="48" s="1"/>
  <c r="AB69" i="48"/>
  <c r="AC69" i="48" s="1"/>
  <c r="AB58" i="48"/>
  <c r="AC58" i="48" s="1"/>
  <c r="AB66" i="48"/>
  <c r="AC66" i="48" s="1"/>
  <c r="AC81" i="48" l="1"/>
  <c r="L84" i="48" s="1"/>
  <c r="L94" i="48"/>
  <c r="B136" i="47" l="1"/>
  <c r="B135" i="47"/>
  <c r="M86" i="47"/>
  <c r="V79" i="47"/>
  <c r="V78" i="47"/>
  <c r="Y77" i="47"/>
  <c r="V77" i="47"/>
  <c r="Y76" i="47"/>
  <c r="G76" i="47"/>
  <c r="I76" i="47" s="1"/>
  <c r="AB75" i="47"/>
  <c r="G75" i="47"/>
  <c r="I75" i="47" s="1"/>
  <c r="AB74" i="47"/>
  <c r="Y71" i="47"/>
  <c r="Y70" i="47"/>
  <c r="Y69" i="47"/>
  <c r="Y68" i="47"/>
  <c r="Y66" i="47"/>
  <c r="X65" i="47"/>
  <c r="G65" i="47"/>
  <c r="X64" i="47" s="1"/>
  <c r="Y58" i="47" s="1"/>
  <c r="X61" i="47"/>
  <c r="X60" i="47"/>
  <c r="J56" i="47"/>
  <c r="AA56" i="47" s="1"/>
  <c r="AA53" i="47"/>
  <c r="Z49" i="47"/>
  <c r="G49" i="47"/>
  <c r="Z48" i="47"/>
  <c r="G48" i="47"/>
  <c r="Z47" i="47"/>
  <c r="G47" i="47"/>
  <c r="X40" i="47"/>
  <c r="K40" i="47"/>
  <c r="X39" i="47"/>
  <c r="AB40" i="47" s="1"/>
  <c r="X37" i="47"/>
  <c r="E37" i="47"/>
  <c r="D37" i="47"/>
  <c r="AC36" i="47"/>
  <c r="AB36" i="47"/>
  <c r="L36" i="47"/>
  <c r="AC35" i="47"/>
  <c r="AB35" i="47"/>
  <c r="L35" i="47"/>
  <c r="AC34" i="47"/>
  <c r="AB34" i="47"/>
  <c r="L34" i="47"/>
  <c r="AC33" i="47"/>
  <c r="AB33" i="47"/>
  <c r="L33" i="47"/>
  <c r="AC32" i="47"/>
  <c r="AB32" i="47"/>
  <c r="L32" i="47"/>
  <c r="AC31" i="47"/>
  <c r="AB31" i="47"/>
  <c r="L31" i="47"/>
  <c r="AC30" i="47"/>
  <c r="AB30" i="47"/>
  <c r="L30" i="47"/>
  <c r="AC29" i="47"/>
  <c r="AB29" i="47"/>
  <c r="L29" i="47"/>
  <c r="AC28" i="47"/>
  <c r="AC37" i="47" s="1"/>
  <c r="AB28" i="47"/>
  <c r="E26" i="47"/>
  <c r="D26" i="47"/>
  <c r="K25" i="47"/>
  <c r="L25" i="47" s="1"/>
  <c r="I24" i="47"/>
  <c r="K24" i="47"/>
  <c r="L24" i="47" s="1"/>
  <c r="I23" i="47"/>
  <c r="K23" i="47"/>
  <c r="L23" i="47" s="1"/>
  <c r="K22" i="47"/>
  <c r="L22" i="47" s="1"/>
  <c r="I21" i="47"/>
  <c r="K21" i="47"/>
  <c r="L21" i="47" s="1"/>
  <c r="I20" i="47"/>
  <c r="K20" i="47"/>
  <c r="L20" i="47" s="1"/>
  <c r="K19" i="47"/>
  <c r="L19" i="47" s="1"/>
  <c r="I18" i="47"/>
  <c r="K18" i="47"/>
  <c r="L18" i="47" s="1"/>
  <c r="I17" i="47"/>
  <c r="K17" i="47"/>
  <c r="L17" i="47" s="1"/>
  <c r="K16" i="47"/>
  <c r="L16" i="47" s="1"/>
  <c r="I15" i="47"/>
  <c r="K14" i="47"/>
  <c r="I13" i="47"/>
  <c r="K13" i="47"/>
  <c r="L13" i="47" s="1"/>
  <c r="K12" i="47"/>
  <c r="L12" i="47" s="1"/>
  <c r="K11" i="47"/>
  <c r="L11" i="47" s="1"/>
  <c r="I11" i="47"/>
  <c r="M11" i="47"/>
  <c r="AB7" i="47"/>
  <c r="X49" i="47" s="1"/>
  <c r="X7" i="47"/>
  <c r="V4" i="47"/>
  <c r="B3" i="47"/>
  <c r="V2" i="47"/>
  <c r="M15" i="47" l="1"/>
  <c r="G37" i="47"/>
  <c r="K15" i="47"/>
  <c r="L15" i="47" s="1"/>
  <c r="G26" i="47"/>
  <c r="K84" i="47" s="1"/>
  <c r="L76" i="47"/>
  <c r="AC75" i="47"/>
  <c r="C48" i="47"/>
  <c r="K48" i="47" s="1"/>
  <c r="L14" i="47"/>
  <c r="L75" i="47"/>
  <c r="Z74" i="47"/>
  <c r="AC74" i="47" s="1"/>
  <c r="K10" i="47"/>
  <c r="L28" i="47"/>
  <c r="L37" i="47" s="1"/>
  <c r="X48" i="47"/>
  <c r="M13" i="47"/>
  <c r="X47" i="47"/>
  <c r="C49" i="47" l="1"/>
  <c r="K49" i="47" s="1"/>
  <c r="G56" i="47"/>
  <c r="K57" i="47" s="1"/>
  <c r="L40" i="47"/>
  <c r="X23" i="47"/>
  <c r="AB23" i="47" s="1"/>
  <c r="AC23" i="47" s="1"/>
  <c r="X20" i="47"/>
  <c r="AB20" i="47" s="1"/>
  <c r="AC20" i="47" s="1"/>
  <c r="X24" i="47"/>
  <c r="AB24" i="47" s="1"/>
  <c r="AC24" i="47" s="1"/>
  <c r="X21" i="47"/>
  <c r="AB21" i="47" s="1"/>
  <c r="AC21" i="47" s="1"/>
  <c r="X18" i="47"/>
  <c r="AB18" i="47" s="1"/>
  <c r="AC18" i="47" s="1"/>
  <c r="X15" i="47"/>
  <c r="AB15" i="47" s="1"/>
  <c r="AC15" i="47" s="1"/>
  <c r="X14" i="47"/>
  <c r="AB14" i="47" s="1"/>
  <c r="X11" i="47"/>
  <c r="AB11" i="47" s="1"/>
  <c r="AC11" i="47" s="1"/>
  <c r="X10" i="47"/>
  <c r="X17" i="47"/>
  <c r="AB17" i="47" s="1"/>
  <c r="AC17" i="47" s="1"/>
  <c r="X25" i="47"/>
  <c r="AB25" i="47" s="1"/>
  <c r="AC25" i="47" s="1"/>
  <c r="X22" i="47"/>
  <c r="AB22" i="47" s="1"/>
  <c r="AC22" i="47" s="1"/>
  <c r="X19" i="47"/>
  <c r="AB19" i="47" s="1"/>
  <c r="AC19" i="47" s="1"/>
  <c r="X16" i="47"/>
  <c r="AB16" i="47" s="1"/>
  <c r="AC16" i="47" s="1"/>
  <c r="X13" i="47"/>
  <c r="AB13" i="47" s="1"/>
  <c r="AC13" i="47" s="1"/>
  <c r="X12" i="47"/>
  <c r="AB12" i="47" s="1"/>
  <c r="K26" i="47"/>
  <c r="G53" i="47" s="1"/>
  <c r="K54" i="47" s="1"/>
  <c r="C47" i="47"/>
  <c r="L10" i="47"/>
  <c r="L26" i="47" s="1"/>
  <c r="L44" i="47" s="1"/>
  <c r="K69" i="47"/>
  <c r="L69" i="47" s="1"/>
  <c r="K72" i="47"/>
  <c r="L72" i="47" s="1"/>
  <c r="K47" i="47" l="1"/>
  <c r="L50" i="47" s="1"/>
  <c r="C50" i="47"/>
  <c r="W49" i="47"/>
  <c r="AB49" i="47" s="1"/>
  <c r="AC14" i="47"/>
  <c r="K77" i="47"/>
  <c r="L77" i="47" s="1"/>
  <c r="K67" i="47"/>
  <c r="L67" i="47" s="1"/>
  <c r="K78" i="47"/>
  <c r="L78" i="47" s="1"/>
  <c r="K71" i="47"/>
  <c r="L71" i="47" s="1"/>
  <c r="K70" i="47"/>
  <c r="L70" i="47" s="1"/>
  <c r="K59" i="47"/>
  <c r="L59" i="47" s="1"/>
  <c r="W48" i="47"/>
  <c r="AB48" i="47" s="1"/>
  <c r="AC12" i="47"/>
  <c r="X26" i="47"/>
  <c r="AB10" i="47"/>
  <c r="L82" i="47" l="1"/>
  <c r="AB26" i="47"/>
  <c r="X53" i="47" s="1"/>
  <c r="AB54" i="47" s="1"/>
  <c r="W47" i="47"/>
  <c r="AC10" i="47"/>
  <c r="AC26" i="47" s="1"/>
  <c r="X56" i="47"/>
  <c r="AB57" i="47" s="1"/>
  <c r="AC40" i="47"/>
  <c r="AB47" i="47" l="1"/>
  <c r="AC50" i="47" s="1"/>
  <c r="W50" i="47"/>
  <c r="AB77" i="47"/>
  <c r="AC77" i="47" s="1"/>
  <c r="AB70" i="47"/>
  <c r="AC70" i="47" s="1"/>
  <c r="AB69" i="47"/>
  <c r="AC69" i="47" s="1"/>
  <c r="AB58" i="47"/>
  <c r="AC58" i="47" s="1"/>
  <c r="AB76" i="47"/>
  <c r="AC76" i="47" s="1"/>
  <c r="AB66" i="47"/>
  <c r="AC66" i="47" s="1"/>
  <c r="AB68" i="47"/>
  <c r="AC68" i="47" s="1"/>
  <c r="AB71" i="47"/>
  <c r="AC71" i="47" s="1"/>
  <c r="AC44" i="47"/>
  <c r="AC81" i="47" s="1"/>
  <c r="L84" i="47" s="1"/>
  <c r="K86" i="47" s="1"/>
  <c r="L86" i="47" l="1"/>
  <c r="L87" i="47" s="1"/>
  <c r="L90" i="47" s="1"/>
  <c r="L92" i="47" s="1"/>
  <c r="L94" i="47" l="1"/>
  <c r="B136" i="46" l="1"/>
  <c r="B135" i="46"/>
  <c r="M86" i="46"/>
  <c r="V79" i="46"/>
  <c r="V78" i="46"/>
  <c r="Y77" i="46"/>
  <c r="V77" i="46"/>
  <c r="Y76" i="46"/>
  <c r="G76" i="46"/>
  <c r="I76" i="46" s="1"/>
  <c r="AB75" i="46"/>
  <c r="G75" i="46"/>
  <c r="I75" i="46" s="1"/>
  <c r="Z74" i="46" s="1"/>
  <c r="AB74" i="46"/>
  <c r="Y71" i="46"/>
  <c r="Y70" i="46"/>
  <c r="Y69" i="46"/>
  <c r="Y68" i="46"/>
  <c r="Y66" i="46"/>
  <c r="X65" i="46"/>
  <c r="G65" i="46"/>
  <c r="X64" i="46" s="1"/>
  <c r="X61" i="46"/>
  <c r="X60" i="46"/>
  <c r="Y58" i="46"/>
  <c r="AA56" i="46"/>
  <c r="J56" i="46"/>
  <c r="AA53" i="46"/>
  <c r="Z49" i="46"/>
  <c r="G49" i="46"/>
  <c r="Z48" i="46"/>
  <c r="G48" i="46"/>
  <c r="Z47" i="46"/>
  <c r="G47" i="46"/>
  <c r="X40" i="46"/>
  <c r="K40" i="46"/>
  <c r="X39" i="46"/>
  <c r="AB40" i="46" s="1"/>
  <c r="X37" i="46"/>
  <c r="E37" i="46"/>
  <c r="D37" i="46"/>
  <c r="AB36" i="46"/>
  <c r="AC36" i="46" s="1"/>
  <c r="L36" i="46"/>
  <c r="AB35" i="46"/>
  <c r="AC35" i="46" s="1"/>
  <c r="L35" i="46"/>
  <c r="AB34" i="46"/>
  <c r="AC34" i="46" s="1"/>
  <c r="L34" i="46"/>
  <c r="AB33" i="46"/>
  <c r="AC33" i="46" s="1"/>
  <c r="L33" i="46"/>
  <c r="AB32" i="46"/>
  <c r="AC32" i="46" s="1"/>
  <c r="L32" i="46"/>
  <c r="AB31" i="46"/>
  <c r="AC31" i="46" s="1"/>
  <c r="L31" i="46"/>
  <c r="AB30" i="46"/>
  <c r="AC30" i="46" s="1"/>
  <c r="L30" i="46"/>
  <c r="AB29" i="46"/>
  <c r="AC29" i="46" s="1"/>
  <c r="L29" i="46"/>
  <c r="AC28" i="46"/>
  <c r="AB28" i="46"/>
  <c r="L28" i="46"/>
  <c r="E26" i="46"/>
  <c r="D26" i="46"/>
  <c r="K25" i="46"/>
  <c r="L25" i="46" s="1"/>
  <c r="I24" i="46"/>
  <c r="K24" i="46"/>
  <c r="L24" i="46" s="1"/>
  <c r="K23" i="46"/>
  <c r="L23" i="46" s="1"/>
  <c r="I23" i="46"/>
  <c r="K22" i="46"/>
  <c r="L22" i="46" s="1"/>
  <c r="I21" i="46"/>
  <c r="K21" i="46"/>
  <c r="L21" i="46" s="1"/>
  <c r="K20" i="46"/>
  <c r="L20" i="46" s="1"/>
  <c r="I20" i="46"/>
  <c r="K19" i="46"/>
  <c r="L19" i="46" s="1"/>
  <c r="I18" i="46"/>
  <c r="K18" i="46"/>
  <c r="L18" i="46" s="1"/>
  <c r="K17" i="46"/>
  <c r="L17" i="46" s="1"/>
  <c r="I17" i="46"/>
  <c r="K16" i="46"/>
  <c r="L16" i="46" s="1"/>
  <c r="I15" i="46"/>
  <c r="K15" i="46"/>
  <c r="L15" i="46" s="1"/>
  <c r="K14" i="46"/>
  <c r="K13" i="46"/>
  <c r="L13" i="46" s="1"/>
  <c r="I13" i="46"/>
  <c r="M13" i="46"/>
  <c r="K12" i="46"/>
  <c r="I11" i="46"/>
  <c r="K11" i="46"/>
  <c r="L11" i="46" s="1"/>
  <c r="K10" i="46"/>
  <c r="L10" i="46" s="1"/>
  <c r="AB7" i="46"/>
  <c r="X7" i="46"/>
  <c r="V4" i="46"/>
  <c r="B3" i="46"/>
  <c r="V2" i="46"/>
  <c r="G37" i="46" l="1"/>
  <c r="L12" i="46"/>
  <c r="C48" i="46"/>
  <c r="K48" i="46" s="1"/>
  <c r="X49" i="46"/>
  <c r="X48" i="46"/>
  <c r="AC37" i="46"/>
  <c r="X47" i="46"/>
  <c r="M11" i="46"/>
  <c r="C49" i="46"/>
  <c r="K49" i="46" s="1"/>
  <c r="L14" i="46"/>
  <c r="L26" i="46" s="1"/>
  <c r="M15" i="46"/>
  <c r="K26" i="46"/>
  <c r="G53" i="46" s="1"/>
  <c r="K54" i="46" s="1"/>
  <c r="C47" i="46"/>
  <c r="AC74" i="46"/>
  <c r="L76" i="46"/>
  <c r="Z75" i="46"/>
  <c r="L75" i="46"/>
  <c r="G26" i="46"/>
  <c r="L37" i="46"/>
  <c r="AC75" i="46"/>
  <c r="K47" i="46" l="1"/>
  <c r="C50" i="46"/>
  <c r="K77" i="46"/>
  <c r="L77" i="46" s="1"/>
  <c r="K67" i="46"/>
  <c r="L67" i="46" s="1"/>
  <c r="K70" i="46"/>
  <c r="L70" i="46" s="1"/>
  <c r="K59" i="46"/>
  <c r="L59" i="46" s="1"/>
  <c r="K78" i="46"/>
  <c r="L78" i="46" s="1"/>
  <c r="K71" i="46"/>
  <c r="L71" i="46" s="1"/>
  <c r="K84" i="46"/>
  <c r="G56" i="46"/>
  <c r="K57" i="46" s="1"/>
  <c r="L50" i="46"/>
  <c r="L40" i="46"/>
  <c r="L44" i="46" s="1"/>
  <c r="X23" i="46" l="1"/>
  <c r="AB23" i="46" s="1"/>
  <c r="AC23" i="46" s="1"/>
  <c r="X17" i="46"/>
  <c r="AB17" i="46" s="1"/>
  <c r="AC17" i="46" s="1"/>
  <c r="X25" i="46"/>
  <c r="AB25" i="46" s="1"/>
  <c r="AC25" i="46" s="1"/>
  <c r="X22" i="46"/>
  <c r="AB22" i="46" s="1"/>
  <c r="AC22" i="46" s="1"/>
  <c r="X19" i="46"/>
  <c r="AB19" i="46" s="1"/>
  <c r="AC19" i="46" s="1"/>
  <c r="X16" i="46"/>
  <c r="AB16" i="46" s="1"/>
  <c r="AC16" i="46" s="1"/>
  <c r="X13" i="46"/>
  <c r="AB13" i="46" s="1"/>
  <c r="AC13" i="46" s="1"/>
  <c r="X12" i="46"/>
  <c r="AB12" i="46" s="1"/>
  <c r="X20" i="46"/>
  <c r="AB20" i="46" s="1"/>
  <c r="AC20" i="46" s="1"/>
  <c r="X21" i="46"/>
  <c r="AB21" i="46" s="1"/>
  <c r="AC21" i="46" s="1"/>
  <c r="X18" i="46"/>
  <c r="AB18" i="46" s="1"/>
  <c r="AC18" i="46" s="1"/>
  <c r="X14" i="46"/>
  <c r="AB14" i="46" s="1"/>
  <c r="X24" i="46"/>
  <c r="AB24" i="46" s="1"/>
  <c r="AC24" i="46" s="1"/>
  <c r="X11" i="46"/>
  <c r="AB11" i="46" s="1"/>
  <c r="AC11" i="46" s="1"/>
  <c r="X10" i="46"/>
  <c r="X15" i="46"/>
  <c r="AB15" i="46" s="1"/>
  <c r="AC15" i="46" s="1"/>
  <c r="K69" i="46"/>
  <c r="L69" i="46" s="1"/>
  <c r="L82" i="46" s="1"/>
  <c r="K72" i="46"/>
  <c r="L72" i="46" s="1"/>
  <c r="K86" i="46" l="1"/>
  <c r="W49" i="46"/>
  <c r="AB49" i="46" s="1"/>
  <c r="AC14" i="46"/>
  <c r="AB10" i="46"/>
  <c r="X26" i="46"/>
  <c r="W48" i="46"/>
  <c r="AB48" i="46" s="1"/>
  <c r="AC12" i="46"/>
  <c r="L86" i="46" l="1"/>
  <c r="L87" i="46" s="1"/>
  <c r="L90" i="46" s="1"/>
  <c r="L92" i="46" s="1"/>
  <c r="W47" i="46"/>
  <c r="AC10" i="46"/>
  <c r="AC26" i="46" s="1"/>
  <c r="AC44" i="46" s="1"/>
  <c r="AB26" i="46"/>
  <c r="X53" i="46" s="1"/>
  <c r="AB54" i="46" s="1"/>
  <c r="X56" i="46"/>
  <c r="AB57" i="46" s="1"/>
  <c r="AC40" i="46"/>
  <c r="L94" i="46" l="1"/>
  <c r="AB47" i="46"/>
  <c r="AC50" i="46" s="1"/>
  <c r="W50" i="46"/>
  <c r="AB71" i="46"/>
  <c r="AC71" i="46" s="1"/>
  <c r="AB68" i="46"/>
  <c r="AC68" i="46" s="1"/>
  <c r="AB77" i="46"/>
  <c r="AC77" i="46" s="1"/>
  <c r="AB70" i="46"/>
  <c r="AC70" i="46" s="1"/>
  <c r="AB66" i="46"/>
  <c r="AC66" i="46" s="1"/>
  <c r="AB69" i="46"/>
  <c r="AC69" i="46" s="1"/>
  <c r="AB58" i="46"/>
  <c r="AC58" i="46" s="1"/>
  <c r="AB76" i="46"/>
  <c r="AC76" i="46" s="1"/>
  <c r="AC81" i="46" l="1"/>
  <c r="L84" i="46" s="1"/>
  <c r="B136" i="45"/>
  <c r="B135" i="45"/>
  <c r="M86" i="45"/>
  <c r="V79" i="45"/>
  <c r="V78" i="45"/>
  <c r="Y77" i="45"/>
  <c r="V77" i="45"/>
  <c r="Y76" i="45"/>
  <c r="G76" i="45"/>
  <c r="I76" i="45" s="1"/>
  <c r="AB75" i="45"/>
  <c r="G75" i="45"/>
  <c r="I75" i="45" s="1"/>
  <c r="AB74" i="45"/>
  <c r="Y71" i="45"/>
  <c r="Y70" i="45"/>
  <c r="Y69" i="45"/>
  <c r="Y68" i="45"/>
  <c r="Y66" i="45"/>
  <c r="X65" i="45"/>
  <c r="G65" i="45"/>
  <c r="X64" i="45"/>
  <c r="Y58" i="45" s="1"/>
  <c r="X61" i="45"/>
  <c r="X60" i="45"/>
  <c r="J56" i="45"/>
  <c r="AA56" i="45" s="1"/>
  <c r="AA53" i="45"/>
  <c r="Z49" i="45"/>
  <c r="G49" i="45"/>
  <c r="Z48" i="45"/>
  <c r="X48" i="45"/>
  <c r="G48" i="45"/>
  <c r="Z47" i="45"/>
  <c r="G47" i="45"/>
  <c r="X40" i="45"/>
  <c r="K40" i="45"/>
  <c r="X39" i="45"/>
  <c r="AB40" i="45" s="1"/>
  <c r="AC37" i="45"/>
  <c r="X37" i="45"/>
  <c r="E37" i="45"/>
  <c r="D37" i="45"/>
  <c r="AC36" i="45"/>
  <c r="AB36" i="45"/>
  <c r="L36" i="45"/>
  <c r="AC35" i="45"/>
  <c r="AB35" i="45"/>
  <c r="L35" i="45"/>
  <c r="AC34" i="45"/>
  <c r="AB34" i="45"/>
  <c r="L34" i="45"/>
  <c r="AC33" i="45"/>
  <c r="AB33" i="45"/>
  <c r="L33" i="45"/>
  <c r="AC32" i="45"/>
  <c r="AB32" i="45"/>
  <c r="L32" i="45"/>
  <c r="AC31" i="45"/>
  <c r="AB31" i="45"/>
  <c r="L31" i="45"/>
  <c r="AC30" i="45"/>
  <c r="AB30" i="45"/>
  <c r="L30" i="45"/>
  <c r="AC29" i="45"/>
  <c r="AB29" i="45"/>
  <c r="L29" i="45"/>
  <c r="AC28" i="45"/>
  <c r="AB28" i="45"/>
  <c r="E26" i="45"/>
  <c r="D26" i="45"/>
  <c r="K25" i="45"/>
  <c r="L25" i="45" s="1"/>
  <c r="I23" i="45"/>
  <c r="I24" i="45" s="1"/>
  <c r="K24" i="45" s="1"/>
  <c r="L24" i="45" s="1"/>
  <c r="K23" i="45"/>
  <c r="L23" i="45" s="1"/>
  <c r="K22" i="45"/>
  <c r="L22" i="45" s="1"/>
  <c r="I20" i="45"/>
  <c r="I21" i="45" s="1"/>
  <c r="K21" i="45" s="1"/>
  <c r="L21" i="45" s="1"/>
  <c r="K20" i="45"/>
  <c r="L20" i="45" s="1"/>
  <c r="K19" i="45"/>
  <c r="L19" i="45" s="1"/>
  <c r="I17" i="45"/>
  <c r="I18" i="45" s="1"/>
  <c r="K18" i="45" s="1"/>
  <c r="L18" i="45" s="1"/>
  <c r="K17" i="45"/>
  <c r="L17" i="45" s="1"/>
  <c r="K16" i="45"/>
  <c r="L16" i="45" s="1"/>
  <c r="K15" i="45"/>
  <c r="L15" i="45" s="1"/>
  <c r="I15" i="45"/>
  <c r="M15" i="45"/>
  <c r="K14" i="45"/>
  <c r="I13" i="45"/>
  <c r="M13" i="45"/>
  <c r="K12" i="45"/>
  <c r="L12" i="45" s="1"/>
  <c r="I11" i="45"/>
  <c r="M11" i="45"/>
  <c r="AB7" i="45"/>
  <c r="X49" i="45" s="1"/>
  <c r="X7" i="45"/>
  <c r="V4" i="45"/>
  <c r="B3" i="45"/>
  <c r="V2" i="45"/>
  <c r="L75" i="45" l="1"/>
  <c r="Z74" i="45"/>
  <c r="AC74" i="45"/>
  <c r="C49" i="45"/>
  <c r="K49" i="45" s="1"/>
  <c r="G37" i="45"/>
  <c r="L28" i="45"/>
  <c r="L37" i="45" s="1"/>
  <c r="K11" i="45"/>
  <c r="L11" i="45" s="1"/>
  <c r="G26" i="45"/>
  <c r="G56" i="45" s="1"/>
  <c r="K57" i="45" s="1"/>
  <c r="K10" i="45"/>
  <c r="L76" i="45"/>
  <c r="Z75" i="45"/>
  <c r="AC75" i="45" s="1"/>
  <c r="L10" i="45"/>
  <c r="K13" i="45"/>
  <c r="L14" i="45"/>
  <c r="C47" i="45"/>
  <c r="X47" i="45"/>
  <c r="L40" i="45" l="1"/>
  <c r="K84" i="45"/>
  <c r="X23" i="45" s="1"/>
  <c r="AB23" i="45" s="1"/>
  <c r="AC23" i="45" s="1"/>
  <c r="K69" i="45"/>
  <c r="L69" i="45" s="1"/>
  <c r="K72" i="45"/>
  <c r="L72" i="45" s="1"/>
  <c r="L13" i="45"/>
  <c r="C48" i="45"/>
  <c r="K48" i="45" s="1"/>
  <c r="K26" i="45"/>
  <c r="G53" i="45" s="1"/>
  <c r="K54" i="45" s="1"/>
  <c r="K47" i="45"/>
  <c r="L26" i="45"/>
  <c r="L44" i="45" s="1"/>
  <c r="X11" i="45" l="1"/>
  <c r="AB11" i="45" s="1"/>
  <c r="AC11" i="45" s="1"/>
  <c r="X22" i="45"/>
  <c r="AB22" i="45" s="1"/>
  <c r="AC22" i="45" s="1"/>
  <c r="X21" i="45"/>
  <c r="AB21" i="45" s="1"/>
  <c r="AC21" i="45" s="1"/>
  <c r="X12" i="45"/>
  <c r="AB12" i="45" s="1"/>
  <c r="X13" i="45"/>
  <c r="AB13" i="45" s="1"/>
  <c r="AC13" i="45" s="1"/>
  <c r="X15" i="45"/>
  <c r="AB15" i="45" s="1"/>
  <c r="AC15" i="45" s="1"/>
  <c r="X16" i="45"/>
  <c r="AB16" i="45" s="1"/>
  <c r="AC16" i="45" s="1"/>
  <c r="X20" i="45"/>
  <c r="AB20" i="45" s="1"/>
  <c r="AC20" i="45" s="1"/>
  <c r="X19" i="45"/>
  <c r="AB19" i="45" s="1"/>
  <c r="AC19" i="45" s="1"/>
  <c r="X25" i="45"/>
  <c r="AB25" i="45" s="1"/>
  <c r="AC25" i="45" s="1"/>
  <c r="X10" i="45"/>
  <c r="AB10" i="45" s="1"/>
  <c r="X14" i="45"/>
  <c r="AB14" i="45" s="1"/>
  <c r="X18" i="45"/>
  <c r="AB18" i="45" s="1"/>
  <c r="AC18" i="45" s="1"/>
  <c r="X24" i="45"/>
  <c r="AB24" i="45" s="1"/>
  <c r="AC24" i="45" s="1"/>
  <c r="X17" i="45"/>
  <c r="AB17" i="45" s="1"/>
  <c r="AC17" i="45" s="1"/>
  <c r="AC12" i="45"/>
  <c r="AC14" i="45"/>
  <c r="C50" i="45"/>
  <c r="K77" i="45"/>
  <c r="L77" i="45" s="1"/>
  <c r="K67" i="45"/>
  <c r="L67" i="45" s="1"/>
  <c r="K78" i="45"/>
  <c r="L78" i="45" s="1"/>
  <c r="K71" i="45"/>
  <c r="L71" i="45" s="1"/>
  <c r="K70" i="45"/>
  <c r="L70" i="45" s="1"/>
  <c r="K59" i="45"/>
  <c r="L59" i="45" s="1"/>
  <c r="L50" i="45"/>
  <c r="L82" i="45" s="1"/>
  <c r="X26" i="45" l="1"/>
  <c r="AC40" i="45" s="1"/>
  <c r="W49" i="45"/>
  <c r="AB49" i="45" s="1"/>
  <c r="W48" i="45"/>
  <c r="AB48" i="45" s="1"/>
  <c r="K86" i="45"/>
  <c r="X56" i="45"/>
  <c r="AB57" i="45" s="1"/>
  <c r="AC10" i="45"/>
  <c r="AC26" i="45" s="1"/>
  <c r="W47" i="45"/>
  <c r="AB26" i="45"/>
  <c r="X53" i="45" s="1"/>
  <c r="AB54" i="45" s="1"/>
  <c r="AC44" i="45" l="1"/>
  <c r="L86" i="45"/>
  <c r="L87" i="45" s="1"/>
  <c r="L90" i="45" s="1"/>
  <c r="L92" i="45" s="1"/>
  <c r="AB77" i="45"/>
  <c r="AC77" i="45" s="1"/>
  <c r="AB70" i="45"/>
  <c r="AC70" i="45" s="1"/>
  <c r="AB69" i="45"/>
  <c r="AC69" i="45" s="1"/>
  <c r="AB58" i="45"/>
  <c r="AC58" i="45" s="1"/>
  <c r="AB76" i="45"/>
  <c r="AC76" i="45" s="1"/>
  <c r="AB66" i="45"/>
  <c r="AC66" i="45" s="1"/>
  <c r="AB47" i="45"/>
  <c r="AC50" i="45" s="1"/>
  <c r="W50" i="45"/>
  <c r="AB68" i="45"/>
  <c r="AC68" i="45" s="1"/>
  <c r="AB71" i="45"/>
  <c r="AC71" i="45" s="1"/>
  <c r="L94" i="45" l="1"/>
  <c r="AC81" i="45"/>
  <c r="L84" i="45" s="1"/>
  <c r="B136" i="44"/>
  <c r="B135" i="44"/>
  <c r="M86" i="44"/>
  <c r="V79" i="44"/>
  <c r="V78" i="44"/>
  <c r="Y77" i="44"/>
  <c r="V77" i="44"/>
  <c r="Y76" i="44"/>
  <c r="G76" i="44"/>
  <c r="I76" i="44" s="1"/>
  <c r="AB75" i="44"/>
  <c r="G75" i="44"/>
  <c r="I75" i="44" s="1"/>
  <c r="AB74" i="44"/>
  <c r="Y71" i="44"/>
  <c r="Y70" i="44"/>
  <c r="Y69" i="44"/>
  <c r="Y68" i="44"/>
  <c r="Y66" i="44"/>
  <c r="X65" i="44"/>
  <c r="G65" i="44"/>
  <c r="X64" i="44" s="1"/>
  <c r="Y58" i="44" s="1"/>
  <c r="X61" i="44"/>
  <c r="X60" i="44"/>
  <c r="J56" i="44"/>
  <c r="AA56" i="44" s="1"/>
  <c r="AA53" i="44"/>
  <c r="Z49" i="44"/>
  <c r="G49" i="44"/>
  <c r="Z48" i="44"/>
  <c r="G48" i="44"/>
  <c r="Z47" i="44"/>
  <c r="X47" i="44"/>
  <c r="G47" i="44"/>
  <c r="X40" i="44"/>
  <c r="K40" i="44"/>
  <c r="X39" i="44"/>
  <c r="AB40" i="44" s="1"/>
  <c r="X37" i="44"/>
  <c r="E37" i="44"/>
  <c r="D37" i="44"/>
  <c r="AB36" i="44"/>
  <c r="AC36" i="44" s="1"/>
  <c r="L36" i="44"/>
  <c r="AB35" i="44"/>
  <c r="AC35" i="44" s="1"/>
  <c r="L35" i="44"/>
  <c r="AB34" i="44"/>
  <c r="AC34" i="44" s="1"/>
  <c r="L34" i="44"/>
  <c r="AB33" i="44"/>
  <c r="AC33" i="44" s="1"/>
  <c r="L33" i="44"/>
  <c r="AB32" i="44"/>
  <c r="AC32" i="44" s="1"/>
  <c r="L32" i="44"/>
  <c r="AB31" i="44"/>
  <c r="AC31" i="44" s="1"/>
  <c r="L31" i="44"/>
  <c r="AB30" i="44"/>
  <c r="AC30" i="44" s="1"/>
  <c r="L30" i="44"/>
  <c r="AB29" i="44"/>
  <c r="AC29" i="44" s="1"/>
  <c r="L29" i="44"/>
  <c r="AB28" i="44"/>
  <c r="AC28" i="44" s="1"/>
  <c r="L28" i="44"/>
  <c r="E26" i="44"/>
  <c r="D26" i="44"/>
  <c r="K25" i="44"/>
  <c r="L25" i="44" s="1"/>
  <c r="I24" i="44"/>
  <c r="K24" i="44"/>
  <c r="L24" i="44" s="1"/>
  <c r="K23" i="44"/>
  <c r="L23" i="44" s="1"/>
  <c r="I23" i="44"/>
  <c r="K22" i="44"/>
  <c r="L22" i="44" s="1"/>
  <c r="I21" i="44"/>
  <c r="K21" i="44"/>
  <c r="L21" i="44" s="1"/>
  <c r="K20" i="44"/>
  <c r="L20" i="44" s="1"/>
  <c r="I20" i="44"/>
  <c r="K19" i="44"/>
  <c r="L19" i="44" s="1"/>
  <c r="I18" i="44"/>
  <c r="K18" i="44"/>
  <c r="L18" i="44" s="1"/>
  <c r="K17" i="44"/>
  <c r="L17" i="44" s="1"/>
  <c r="I17" i="44"/>
  <c r="K16" i="44"/>
  <c r="L16" i="44" s="1"/>
  <c r="I15" i="44"/>
  <c r="M15" i="44"/>
  <c r="K14" i="44"/>
  <c r="K13" i="44"/>
  <c r="L13" i="44" s="1"/>
  <c r="I13" i="44"/>
  <c r="M13" i="44"/>
  <c r="K12" i="44"/>
  <c r="I11" i="44"/>
  <c r="K11" i="44"/>
  <c r="L11" i="44" s="1"/>
  <c r="K10" i="44"/>
  <c r="AB7" i="44"/>
  <c r="X49" i="44" s="1"/>
  <c r="X7" i="44"/>
  <c r="V4" i="44"/>
  <c r="B3" i="44"/>
  <c r="V2" i="44"/>
  <c r="G37" i="44" l="1"/>
  <c r="L76" i="44"/>
  <c r="Z75" i="44"/>
  <c r="AC75" i="44" s="1"/>
  <c r="C47" i="44"/>
  <c r="L10" i="44"/>
  <c r="AC37" i="44"/>
  <c r="L12" i="44"/>
  <c r="C48" i="44"/>
  <c r="K48" i="44" s="1"/>
  <c r="L14" i="44"/>
  <c r="L37" i="44"/>
  <c r="L75" i="44"/>
  <c r="Z74" i="44"/>
  <c r="AC74" i="44" s="1"/>
  <c r="M11" i="44"/>
  <c r="K15" i="44"/>
  <c r="L15" i="44" s="1"/>
  <c r="X48" i="44"/>
  <c r="G26" i="44"/>
  <c r="K26" i="44" l="1"/>
  <c r="G53" i="44" s="1"/>
  <c r="K54" i="44" s="1"/>
  <c r="L26" i="44"/>
  <c r="K84" i="44"/>
  <c r="G56" i="44"/>
  <c r="K57" i="44" s="1"/>
  <c r="L40" i="44"/>
  <c r="L44" i="44" s="1"/>
  <c r="K77" i="44"/>
  <c r="L77" i="44" s="1"/>
  <c r="K67" i="44"/>
  <c r="L67" i="44" s="1"/>
  <c r="K70" i="44"/>
  <c r="L70" i="44" s="1"/>
  <c r="K59" i="44"/>
  <c r="L59" i="44" s="1"/>
  <c r="K78" i="44"/>
  <c r="L78" i="44" s="1"/>
  <c r="K71" i="44"/>
  <c r="L71" i="44" s="1"/>
  <c r="C49" i="44"/>
  <c r="K49" i="44" s="1"/>
  <c r="K47" i="44"/>
  <c r="C50" i="44"/>
  <c r="X23" i="44" l="1"/>
  <c r="AB23" i="44" s="1"/>
  <c r="AC23" i="44" s="1"/>
  <c r="X17" i="44"/>
  <c r="AB17" i="44" s="1"/>
  <c r="AC17" i="44" s="1"/>
  <c r="X24" i="44"/>
  <c r="AB24" i="44" s="1"/>
  <c r="AC24" i="44" s="1"/>
  <c r="X21" i="44"/>
  <c r="AB21" i="44" s="1"/>
  <c r="AC21" i="44" s="1"/>
  <c r="X18" i="44"/>
  <c r="AB18" i="44" s="1"/>
  <c r="AC18" i="44" s="1"/>
  <c r="X15" i="44"/>
  <c r="AB15" i="44" s="1"/>
  <c r="AC15" i="44" s="1"/>
  <c r="X14" i="44"/>
  <c r="AB14" i="44" s="1"/>
  <c r="X11" i="44"/>
  <c r="AB11" i="44" s="1"/>
  <c r="AC11" i="44" s="1"/>
  <c r="X10" i="44"/>
  <c r="X25" i="44"/>
  <c r="AB25" i="44" s="1"/>
  <c r="AC25" i="44" s="1"/>
  <c r="X22" i="44"/>
  <c r="AB22" i="44" s="1"/>
  <c r="AC22" i="44" s="1"/>
  <c r="X19" i="44"/>
  <c r="AB19" i="44" s="1"/>
  <c r="AC19" i="44" s="1"/>
  <c r="X16" i="44"/>
  <c r="AB16" i="44" s="1"/>
  <c r="AC16" i="44" s="1"/>
  <c r="X13" i="44"/>
  <c r="AB13" i="44" s="1"/>
  <c r="AC13" i="44" s="1"/>
  <c r="X12" i="44"/>
  <c r="AB12" i="44" s="1"/>
  <c r="X20" i="44"/>
  <c r="AB20" i="44" s="1"/>
  <c r="AC20" i="44" s="1"/>
  <c r="L50" i="44"/>
  <c r="K69" i="44"/>
  <c r="L69" i="44" s="1"/>
  <c r="K72" i="44"/>
  <c r="L72" i="44" s="1"/>
  <c r="L82" i="44" l="1"/>
  <c r="K86" i="44" s="1"/>
  <c r="W48" i="44"/>
  <c r="AB48" i="44" s="1"/>
  <c r="AC12" i="44"/>
  <c r="W49" i="44"/>
  <c r="AB49" i="44" s="1"/>
  <c r="AC14" i="44"/>
  <c r="X26" i="44"/>
  <c r="AB10" i="44"/>
  <c r="L86" i="44" l="1"/>
  <c r="L87" i="44" s="1"/>
  <c r="L90" i="44" s="1"/>
  <c r="L92" i="44" s="1"/>
  <c r="AB26" i="44"/>
  <c r="X53" i="44" s="1"/>
  <c r="AB54" i="44" s="1"/>
  <c r="W47" i="44"/>
  <c r="AC10" i="44"/>
  <c r="AC26" i="44" s="1"/>
  <c r="X56" i="44"/>
  <c r="AB57" i="44" s="1"/>
  <c r="AC40" i="44"/>
  <c r="AB71" i="44" l="1"/>
  <c r="AC71" i="44" s="1"/>
  <c r="AB68" i="44"/>
  <c r="AC68" i="44" s="1"/>
  <c r="AB47" i="44"/>
  <c r="AC50" i="44" s="1"/>
  <c r="W50" i="44"/>
  <c r="AB77" i="44"/>
  <c r="AC77" i="44" s="1"/>
  <c r="AB70" i="44"/>
  <c r="AC70" i="44" s="1"/>
  <c r="AB69" i="44"/>
  <c r="AC69" i="44" s="1"/>
  <c r="AB58" i="44"/>
  <c r="AC58" i="44" s="1"/>
  <c r="AB76" i="44"/>
  <c r="AC76" i="44" s="1"/>
  <c r="AB66" i="44"/>
  <c r="AC66" i="44" s="1"/>
  <c r="AC44" i="44"/>
  <c r="L94" i="44"/>
  <c r="AC81" i="44" l="1"/>
  <c r="L84" i="44" s="1"/>
  <c r="B136" i="43" l="1"/>
  <c r="B135" i="43"/>
  <c r="M86" i="43"/>
  <c r="V79" i="43"/>
  <c r="V78" i="43"/>
  <c r="Y77" i="43"/>
  <c r="V77" i="43"/>
  <c r="Y76" i="43"/>
  <c r="G76" i="43"/>
  <c r="I76" i="43" s="1"/>
  <c r="AB75" i="43"/>
  <c r="G75" i="43"/>
  <c r="I75" i="43" s="1"/>
  <c r="L75" i="43" s="1"/>
  <c r="AB74" i="43"/>
  <c r="Y71" i="43"/>
  <c r="Y70" i="43"/>
  <c r="Y69" i="43"/>
  <c r="Y68" i="43"/>
  <c r="Y66" i="43"/>
  <c r="X65" i="43"/>
  <c r="G65" i="43"/>
  <c r="X64" i="43"/>
  <c r="Y58" i="43" s="1"/>
  <c r="X61" i="43"/>
  <c r="X60" i="43"/>
  <c r="J56" i="43"/>
  <c r="AA56" i="43" s="1"/>
  <c r="AA53" i="43"/>
  <c r="Z49" i="43"/>
  <c r="G49" i="43"/>
  <c r="Z48" i="43"/>
  <c r="X48" i="43"/>
  <c r="G48" i="43"/>
  <c r="Z47" i="43"/>
  <c r="G47" i="43"/>
  <c r="X40" i="43"/>
  <c r="K40" i="43"/>
  <c r="X39" i="43"/>
  <c r="AB40" i="43" s="1"/>
  <c r="AC37" i="43"/>
  <c r="X37" i="43"/>
  <c r="E37" i="43"/>
  <c r="D37" i="43"/>
  <c r="AC36" i="43"/>
  <c r="AB36" i="43"/>
  <c r="L36" i="43"/>
  <c r="AC35" i="43"/>
  <c r="AB35" i="43"/>
  <c r="L35" i="43"/>
  <c r="AC34" i="43"/>
  <c r="AB34" i="43"/>
  <c r="L34" i="43"/>
  <c r="AC33" i="43"/>
  <c r="AB33" i="43"/>
  <c r="L33" i="43"/>
  <c r="AC32" i="43"/>
  <c r="AB32" i="43"/>
  <c r="L32" i="43"/>
  <c r="AC31" i="43"/>
  <c r="AB31" i="43"/>
  <c r="L31" i="43"/>
  <c r="AC30" i="43"/>
  <c r="AB30" i="43"/>
  <c r="L30" i="43"/>
  <c r="AC29" i="43"/>
  <c r="AB29" i="43"/>
  <c r="L29" i="43"/>
  <c r="AC28" i="43"/>
  <c r="AB28" i="43"/>
  <c r="L28" i="43"/>
  <c r="G37" i="43"/>
  <c r="E26" i="43"/>
  <c r="D26" i="43"/>
  <c r="K25" i="43"/>
  <c r="L25" i="43" s="1"/>
  <c r="I23" i="43"/>
  <c r="I24" i="43" s="1"/>
  <c r="K24" i="43" s="1"/>
  <c r="L24" i="43" s="1"/>
  <c r="K23" i="43"/>
  <c r="L23" i="43" s="1"/>
  <c r="K22" i="43"/>
  <c r="L22" i="43" s="1"/>
  <c r="I20" i="43"/>
  <c r="I21" i="43" s="1"/>
  <c r="K21" i="43" s="1"/>
  <c r="L21" i="43" s="1"/>
  <c r="K20" i="43"/>
  <c r="L20" i="43" s="1"/>
  <c r="K19" i="43"/>
  <c r="L19" i="43" s="1"/>
  <c r="I17" i="43"/>
  <c r="I18" i="43" s="1"/>
  <c r="K18" i="43" s="1"/>
  <c r="L18" i="43" s="1"/>
  <c r="K17" i="43"/>
  <c r="L17" i="43" s="1"/>
  <c r="K16" i="43"/>
  <c r="L16" i="43" s="1"/>
  <c r="K15" i="43"/>
  <c r="L15" i="43" s="1"/>
  <c r="I15" i="43"/>
  <c r="M15" i="43"/>
  <c r="K14" i="43"/>
  <c r="I13" i="43"/>
  <c r="M13" i="43"/>
  <c r="K12" i="43"/>
  <c r="L12" i="43" s="1"/>
  <c r="I11" i="43"/>
  <c r="M11" i="43"/>
  <c r="AB7" i="43"/>
  <c r="X49" i="43" s="1"/>
  <c r="X7" i="43"/>
  <c r="V4" i="43"/>
  <c r="B3" i="43"/>
  <c r="V2" i="43"/>
  <c r="L37" i="43" l="1"/>
  <c r="G26" i="43"/>
  <c r="G56" i="43" s="1"/>
  <c r="K57" i="43" s="1"/>
  <c r="K11" i="43"/>
  <c r="L11" i="43" s="1"/>
  <c r="K10" i="43"/>
  <c r="L10" i="43" s="1"/>
  <c r="L76" i="43"/>
  <c r="Z75" i="43"/>
  <c r="AC75" i="43" s="1"/>
  <c r="K84" i="43"/>
  <c r="C49" i="43"/>
  <c r="K49" i="43" s="1"/>
  <c r="Z74" i="43"/>
  <c r="AC74" i="43" s="1"/>
  <c r="K13" i="43"/>
  <c r="L14" i="43"/>
  <c r="X47" i="43"/>
  <c r="C47" i="43" l="1"/>
  <c r="L40" i="43"/>
  <c r="X23" i="43"/>
  <c r="AB23" i="43" s="1"/>
  <c r="AC23" i="43" s="1"/>
  <c r="X20" i="43"/>
  <c r="AB20" i="43" s="1"/>
  <c r="AC20" i="43" s="1"/>
  <c r="X17" i="43"/>
  <c r="AB17" i="43" s="1"/>
  <c r="AC17" i="43" s="1"/>
  <c r="X16" i="43"/>
  <c r="AB16" i="43" s="1"/>
  <c r="AC16" i="43" s="1"/>
  <c r="X13" i="43"/>
  <c r="AB13" i="43" s="1"/>
  <c r="AC13" i="43" s="1"/>
  <c r="X12" i="43"/>
  <c r="AB12" i="43" s="1"/>
  <c r="X24" i="43"/>
  <c r="AB24" i="43" s="1"/>
  <c r="AC24" i="43" s="1"/>
  <c r="X21" i="43"/>
  <c r="AB21" i="43" s="1"/>
  <c r="AC21" i="43" s="1"/>
  <c r="X18" i="43"/>
  <c r="AB18" i="43" s="1"/>
  <c r="AC18" i="43" s="1"/>
  <c r="X15" i="43"/>
  <c r="AB15" i="43" s="1"/>
  <c r="AC15" i="43" s="1"/>
  <c r="X14" i="43"/>
  <c r="AB14" i="43" s="1"/>
  <c r="X11" i="43"/>
  <c r="AB11" i="43" s="1"/>
  <c r="AC11" i="43" s="1"/>
  <c r="X10" i="43"/>
  <c r="X25" i="43"/>
  <c r="AB25" i="43" s="1"/>
  <c r="AC25" i="43" s="1"/>
  <c r="X22" i="43"/>
  <c r="AB22" i="43" s="1"/>
  <c r="AC22" i="43" s="1"/>
  <c r="X19" i="43"/>
  <c r="AB19" i="43" s="1"/>
  <c r="AC19" i="43" s="1"/>
  <c r="L13" i="43"/>
  <c r="C48" i="43"/>
  <c r="K48" i="43" s="1"/>
  <c r="K69" i="43"/>
  <c r="L69" i="43" s="1"/>
  <c r="K72" i="43"/>
  <c r="L72" i="43" s="1"/>
  <c r="L26" i="43"/>
  <c r="L44" i="43" s="1"/>
  <c r="K47" i="43"/>
  <c r="K26" i="43"/>
  <c r="G53" i="43" s="1"/>
  <c r="K54" i="43" s="1"/>
  <c r="L50" i="43" l="1"/>
  <c r="AC14" i="43"/>
  <c r="W49" i="43"/>
  <c r="AB49" i="43" s="1"/>
  <c r="K77" i="43"/>
  <c r="L77" i="43" s="1"/>
  <c r="K67" i="43"/>
  <c r="L67" i="43" s="1"/>
  <c r="K78" i="43"/>
  <c r="L78" i="43" s="1"/>
  <c r="K71" i="43"/>
  <c r="L71" i="43" s="1"/>
  <c r="K70" i="43"/>
  <c r="L70" i="43" s="1"/>
  <c r="K59" i="43"/>
  <c r="L59" i="43" s="1"/>
  <c r="C50" i="43"/>
  <c r="W48" i="43"/>
  <c r="AB48" i="43" s="1"/>
  <c r="AC12" i="43"/>
  <c r="AB10" i="43"/>
  <c r="X26" i="43"/>
  <c r="L82" i="43" l="1"/>
  <c r="K86" i="43" s="1"/>
  <c r="X56" i="43"/>
  <c r="AB57" i="43" s="1"/>
  <c r="AC40" i="43"/>
  <c r="W47" i="43"/>
  <c r="AC10" i="43"/>
  <c r="AC26" i="43" s="1"/>
  <c r="AC44" i="43" s="1"/>
  <c r="AB26" i="43"/>
  <c r="X53" i="43" s="1"/>
  <c r="AB54" i="43" s="1"/>
  <c r="AB77" i="43" l="1"/>
  <c r="AC77" i="43" s="1"/>
  <c r="AB70" i="43"/>
  <c r="AC70" i="43" s="1"/>
  <c r="AB69" i="43"/>
  <c r="AC69" i="43" s="1"/>
  <c r="AB58" i="43"/>
  <c r="AC58" i="43" s="1"/>
  <c r="AB76" i="43"/>
  <c r="AC76" i="43" s="1"/>
  <c r="AB66" i="43"/>
  <c r="AC66" i="43" s="1"/>
  <c r="AB47" i="43"/>
  <c r="AC50" i="43" s="1"/>
  <c r="W50" i="43"/>
  <c r="L86" i="43"/>
  <c r="L87" i="43" s="1"/>
  <c r="L90" i="43" s="1"/>
  <c r="L92" i="43" s="1"/>
  <c r="AB68" i="43"/>
  <c r="AC68" i="43" s="1"/>
  <c r="AB71" i="43"/>
  <c r="AC71" i="43" s="1"/>
  <c r="AC81" i="43" l="1"/>
  <c r="L84" i="43" s="1"/>
  <c r="L94" i="43"/>
  <c r="B136" i="42" l="1"/>
  <c r="B135" i="42"/>
  <c r="M86" i="42"/>
  <c r="V79" i="42"/>
  <c r="V78" i="42"/>
  <c r="Y77" i="42"/>
  <c r="V77" i="42"/>
  <c r="Y76" i="42"/>
  <c r="G76" i="42"/>
  <c r="I76" i="42" s="1"/>
  <c r="AB75" i="42"/>
  <c r="G75" i="42"/>
  <c r="I75" i="42" s="1"/>
  <c r="AB74" i="42"/>
  <c r="Y71" i="42"/>
  <c r="Y70" i="42"/>
  <c r="Y69" i="42"/>
  <c r="Y68" i="42"/>
  <c r="Y66" i="42"/>
  <c r="X65" i="42"/>
  <c r="G65" i="42"/>
  <c r="X64" i="42"/>
  <c r="Y58" i="42" s="1"/>
  <c r="X61" i="42"/>
  <c r="X60" i="42"/>
  <c r="J56" i="42"/>
  <c r="AA56" i="42" s="1"/>
  <c r="AA53" i="42"/>
  <c r="Z49" i="42"/>
  <c r="G49" i="42"/>
  <c r="Z48" i="42"/>
  <c r="X48" i="42"/>
  <c r="G48" i="42"/>
  <c r="Z47" i="42"/>
  <c r="G47" i="42"/>
  <c r="X40" i="42"/>
  <c r="K40" i="42"/>
  <c r="X39" i="42"/>
  <c r="AB40" i="42" s="1"/>
  <c r="AC37" i="42"/>
  <c r="X37" i="42"/>
  <c r="E37" i="42"/>
  <c r="D37" i="42"/>
  <c r="AC36" i="42"/>
  <c r="AB36" i="42"/>
  <c r="L36" i="42"/>
  <c r="AC35" i="42"/>
  <c r="AB35" i="42"/>
  <c r="L35" i="42"/>
  <c r="AC34" i="42"/>
  <c r="AB34" i="42"/>
  <c r="L34" i="42"/>
  <c r="AC33" i="42"/>
  <c r="AB33" i="42"/>
  <c r="L33" i="42"/>
  <c r="AC32" i="42"/>
  <c r="AB32" i="42"/>
  <c r="L32" i="42"/>
  <c r="AC31" i="42"/>
  <c r="AB31" i="42"/>
  <c r="L31" i="42"/>
  <c r="AC30" i="42"/>
  <c r="AB30" i="42"/>
  <c r="L30" i="42"/>
  <c r="AC29" i="42"/>
  <c r="AB29" i="42"/>
  <c r="L29" i="42"/>
  <c r="AC28" i="42"/>
  <c r="AB28" i="42"/>
  <c r="E26" i="42"/>
  <c r="D26" i="42"/>
  <c r="K25" i="42"/>
  <c r="L25" i="42" s="1"/>
  <c r="I23" i="42"/>
  <c r="I24" i="42" s="1"/>
  <c r="K24" i="42" s="1"/>
  <c r="L24" i="42" s="1"/>
  <c r="K23" i="42"/>
  <c r="L23" i="42" s="1"/>
  <c r="K22" i="42"/>
  <c r="L22" i="42" s="1"/>
  <c r="I20" i="42"/>
  <c r="I21" i="42" s="1"/>
  <c r="K21" i="42" s="1"/>
  <c r="L21" i="42" s="1"/>
  <c r="K20" i="42"/>
  <c r="L20" i="42" s="1"/>
  <c r="K19" i="42"/>
  <c r="L19" i="42" s="1"/>
  <c r="I17" i="42"/>
  <c r="I18" i="42" s="1"/>
  <c r="K18" i="42" s="1"/>
  <c r="L18" i="42" s="1"/>
  <c r="K17" i="42"/>
  <c r="L17" i="42" s="1"/>
  <c r="K16" i="42"/>
  <c r="L16" i="42" s="1"/>
  <c r="K15" i="42"/>
  <c r="L15" i="42" s="1"/>
  <c r="I15" i="42"/>
  <c r="M15" i="42"/>
  <c r="K14" i="42"/>
  <c r="I13" i="42"/>
  <c r="M13" i="42"/>
  <c r="K12" i="42"/>
  <c r="L12" i="42" s="1"/>
  <c r="I11" i="42"/>
  <c r="M11" i="42"/>
  <c r="AB7" i="42"/>
  <c r="X49" i="42" s="1"/>
  <c r="X7" i="42"/>
  <c r="V4" i="42"/>
  <c r="B3" i="42"/>
  <c r="V2" i="42"/>
  <c r="L75" i="42" l="1"/>
  <c r="Z74" i="42"/>
  <c r="AC74" i="42"/>
  <c r="G37" i="42"/>
  <c r="L28" i="42"/>
  <c r="L37" i="42" s="1"/>
  <c r="K11" i="42"/>
  <c r="L11" i="42" s="1"/>
  <c r="G26" i="42"/>
  <c r="G56" i="42" s="1"/>
  <c r="K57" i="42" s="1"/>
  <c r="K10" i="42"/>
  <c r="L76" i="42"/>
  <c r="Z75" i="42"/>
  <c r="AC75" i="42" s="1"/>
  <c r="C49" i="42"/>
  <c r="K49" i="42" s="1"/>
  <c r="L10" i="42"/>
  <c r="K13" i="42"/>
  <c r="L14" i="42"/>
  <c r="C47" i="42"/>
  <c r="X47" i="42"/>
  <c r="K84" i="42" l="1"/>
  <c r="X20" i="42" s="1"/>
  <c r="AB20" i="42" s="1"/>
  <c r="AC20" i="42" s="1"/>
  <c r="L40" i="42"/>
  <c r="K69" i="42"/>
  <c r="L69" i="42" s="1"/>
  <c r="K72" i="42"/>
  <c r="L72" i="42" s="1"/>
  <c r="K47" i="42"/>
  <c r="L13" i="42"/>
  <c r="C48" i="42"/>
  <c r="K48" i="42" s="1"/>
  <c r="L50" i="42" s="1"/>
  <c r="K26" i="42"/>
  <c r="G53" i="42" s="1"/>
  <c r="K54" i="42" s="1"/>
  <c r="X23" i="42"/>
  <c r="AB23" i="42" s="1"/>
  <c r="AC23" i="42" s="1"/>
  <c r="X16" i="42"/>
  <c r="AB16" i="42" s="1"/>
  <c r="AC16" i="42" s="1"/>
  <c r="X18" i="42"/>
  <c r="AB18" i="42" s="1"/>
  <c r="AC18" i="42" s="1"/>
  <c r="X14" i="42"/>
  <c r="AB14" i="42" s="1"/>
  <c r="X10" i="42"/>
  <c r="X22" i="42"/>
  <c r="AB22" i="42" s="1"/>
  <c r="AC22" i="42" s="1"/>
  <c r="X19" i="42"/>
  <c r="AB19" i="42" s="1"/>
  <c r="AC19" i="42" s="1"/>
  <c r="X13" i="42"/>
  <c r="AB13" i="42" s="1"/>
  <c r="AC13" i="42" s="1"/>
  <c r="L26" i="42"/>
  <c r="L44" i="42" s="1"/>
  <c r="X24" i="42" l="1"/>
  <c r="AB24" i="42" s="1"/>
  <c r="AC24" i="42" s="1"/>
  <c r="X17" i="42"/>
  <c r="AB17" i="42" s="1"/>
  <c r="AC17" i="42" s="1"/>
  <c r="X11" i="42"/>
  <c r="AB11" i="42" s="1"/>
  <c r="AC11" i="42" s="1"/>
  <c r="X15" i="42"/>
  <c r="AB15" i="42" s="1"/>
  <c r="AC15" i="42" s="1"/>
  <c r="X21" i="42"/>
  <c r="AB21" i="42" s="1"/>
  <c r="AC21" i="42" s="1"/>
  <c r="X12" i="42"/>
  <c r="AB12" i="42" s="1"/>
  <c r="W48" i="42" s="1"/>
  <c r="AB48" i="42" s="1"/>
  <c r="X25" i="42"/>
  <c r="AB25" i="42" s="1"/>
  <c r="AC25" i="42" s="1"/>
  <c r="K77" i="42"/>
  <c r="L77" i="42" s="1"/>
  <c r="K67" i="42"/>
  <c r="L67" i="42" s="1"/>
  <c r="K70" i="42"/>
  <c r="L70" i="42" s="1"/>
  <c r="K59" i="42"/>
  <c r="L59" i="42" s="1"/>
  <c r="K78" i="42"/>
  <c r="L78" i="42" s="1"/>
  <c r="K71" i="42"/>
  <c r="L71" i="42" s="1"/>
  <c r="C50" i="42"/>
  <c r="AC14" i="42"/>
  <c r="AC12" i="42"/>
  <c r="AB10" i="42"/>
  <c r="X26" i="42"/>
  <c r="W49" i="42" l="1"/>
  <c r="AB49" i="42" s="1"/>
  <c r="L82" i="42"/>
  <c r="K86" i="42" s="1"/>
  <c r="X56" i="42"/>
  <c r="AB57" i="42" s="1"/>
  <c r="AC40" i="42"/>
  <c r="AC10" i="42"/>
  <c r="AC26" i="42" s="1"/>
  <c r="W47" i="42"/>
  <c r="AB26" i="42"/>
  <c r="X53" i="42" s="1"/>
  <c r="AB54" i="42" s="1"/>
  <c r="AC44" i="42" l="1"/>
  <c r="AB47" i="42"/>
  <c r="AC50" i="42" s="1"/>
  <c r="W50" i="42"/>
  <c r="AB77" i="42"/>
  <c r="AC77" i="42" s="1"/>
  <c r="AB70" i="42"/>
  <c r="AC70" i="42" s="1"/>
  <c r="AB69" i="42"/>
  <c r="AC69" i="42" s="1"/>
  <c r="AB58" i="42"/>
  <c r="AC58" i="42" s="1"/>
  <c r="AB76" i="42"/>
  <c r="AC76" i="42" s="1"/>
  <c r="AB66" i="42"/>
  <c r="AC66" i="42" s="1"/>
  <c r="AB68" i="42"/>
  <c r="AC68" i="42" s="1"/>
  <c r="AB71" i="42"/>
  <c r="AC71" i="42" s="1"/>
  <c r="L86" i="42"/>
  <c r="L87" i="42" s="1"/>
  <c r="L90" i="42" s="1"/>
  <c r="L92" i="42" s="1"/>
  <c r="AC81" i="42" l="1"/>
  <c r="L84" i="42" s="1"/>
  <c r="L94" i="42"/>
  <c r="B136" i="41" l="1"/>
  <c r="B135" i="41"/>
  <c r="M86" i="41"/>
  <c r="V79" i="41"/>
  <c r="V78" i="41"/>
  <c r="Y77" i="41"/>
  <c r="V77" i="41"/>
  <c r="Y76" i="41"/>
  <c r="G76" i="41"/>
  <c r="I76" i="41" s="1"/>
  <c r="AB75" i="41"/>
  <c r="G75" i="41"/>
  <c r="I75" i="41" s="1"/>
  <c r="AB74" i="41"/>
  <c r="Y71" i="41"/>
  <c r="Y70" i="41"/>
  <c r="Y69" i="41"/>
  <c r="Y68" i="41"/>
  <c r="Y66" i="41"/>
  <c r="X65" i="41"/>
  <c r="G65" i="41"/>
  <c r="X64" i="41" s="1"/>
  <c r="Y58" i="41" s="1"/>
  <c r="X61" i="41"/>
  <c r="X60" i="41"/>
  <c r="AA56" i="41"/>
  <c r="J56" i="41"/>
  <c r="AA53" i="41"/>
  <c r="Z49" i="41"/>
  <c r="G49" i="41"/>
  <c r="Z48" i="41"/>
  <c r="G48" i="41"/>
  <c r="Z47" i="41"/>
  <c r="X47" i="41"/>
  <c r="G47" i="41"/>
  <c r="X40" i="41"/>
  <c r="K40" i="41"/>
  <c r="X39" i="41"/>
  <c r="AB40" i="41" s="1"/>
  <c r="X37" i="41"/>
  <c r="E37" i="41"/>
  <c r="D37" i="41"/>
  <c r="AB36" i="41"/>
  <c r="AC36" i="41" s="1"/>
  <c r="L36" i="41"/>
  <c r="AB35" i="41"/>
  <c r="AC35" i="41" s="1"/>
  <c r="L35" i="41"/>
  <c r="AB34" i="41"/>
  <c r="AC34" i="41" s="1"/>
  <c r="L34" i="41"/>
  <c r="AB33" i="41"/>
  <c r="AC33" i="41" s="1"/>
  <c r="L33" i="41"/>
  <c r="AB32" i="41"/>
  <c r="AC32" i="41" s="1"/>
  <c r="L32" i="41"/>
  <c r="AB31" i="41"/>
  <c r="AC31" i="41" s="1"/>
  <c r="L31" i="41"/>
  <c r="AB30" i="41"/>
  <c r="AC30" i="41" s="1"/>
  <c r="L30" i="41"/>
  <c r="AB29" i="41"/>
  <c r="AC29" i="41" s="1"/>
  <c r="L29" i="41"/>
  <c r="AB28" i="41"/>
  <c r="AC28" i="41" s="1"/>
  <c r="L28" i="41"/>
  <c r="E26" i="41"/>
  <c r="D26" i="41"/>
  <c r="K25" i="41"/>
  <c r="L25" i="41" s="1"/>
  <c r="I24" i="41"/>
  <c r="K24" i="41"/>
  <c r="L24" i="41" s="1"/>
  <c r="K23" i="41"/>
  <c r="L23" i="41" s="1"/>
  <c r="I23" i="41"/>
  <c r="K22" i="41"/>
  <c r="L22" i="41" s="1"/>
  <c r="I21" i="41"/>
  <c r="K21" i="41"/>
  <c r="L21" i="41" s="1"/>
  <c r="K20" i="41"/>
  <c r="L20" i="41" s="1"/>
  <c r="I20" i="41"/>
  <c r="K19" i="41"/>
  <c r="L19" i="41" s="1"/>
  <c r="I18" i="41"/>
  <c r="K18" i="41"/>
  <c r="L18" i="41" s="1"/>
  <c r="K17" i="41"/>
  <c r="L17" i="41" s="1"/>
  <c r="I17" i="41"/>
  <c r="K16" i="41"/>
  <c r="L16" i="41" s="1"/>
  <c r="I15" i="41"/>
  <c r="K15" i="41"/>
  <c r="L15" i="41" s="1"/>
  <c r="K14" i="41"/>
  <c r="K13" i="41"/>
  <c r="L13" i="41" s="1"/>
  <c r="I13" i="41"/>
  <c r="M13" i="41"/>
  <c r="K12" i="41"/>
  <c r="I11" i="41"/>
  <c r="M11" i="41"/>
  <c r="K10" i="41"/>
  <c r="AB7" i="41"/>
  <c r="X49" i="41" s="1"/>
  <c r="X7" i="41"/>
  <c r="V4" i="41"/>
  <c r="B3" i="41"/>
  <c r="V2" i="41"/>
  <c r="G37" i="41" l="1"/>
  <c r="L37" i="41"/>
  <c r="L10" i="41"/>
  <c r="L76" i="41"/>
  <c r="Z75" i="41"/>
  <c r="AC75" i="41" s="1"/>
  <c r="C48" i="41"/>
  <c r="K48" i="41" s="1"/>
  <c r="L12" i="41"/>
  <c r="C49" i="41"/>
  <c r="K49" i="41" s="1"/>
  <c r="L14" i="41"/>
  <c r="AC37" i="41"/>
  <c r="L75" i="41"/>
  <c r="Z74" i="41"/>
  <c r="AC74" i="41" s="1"/>
  <c r="M15" i="41"/>
  <c r="G26" i="41"/>
  <c r="K11" i="41"/>
  <c r="L11" i="41" s="1"/>
  <c r="X48" i="41"/>
  <c r="C47" i="41" l="1"/>
  <c r="K84" i="41"/>
  <c r="G56" i="41"/>
  <c r="K57" i="41" s="1"/>
  <c r="L40" i="41"/>
  <c r="K26" i="41"/>
  <c r="G53" i="41" s="1"/>
  <c r="K54" i="41" s="1"/>
  <c r="L26" i="41"/>
  <c r="L44" i="41" s="1"/>
  <c r="K77" i="41" l="1"/>
  <c r="L77" i="41" s="1"/>
  <c r="K78" i="41"/>
  <c r="L78" i="41" s="1"/>
  <c r="K67" i="41"/>
  <c r="L67" i="41" s="1"/>
  <c r="K71" i="41"/>
  <c r="L71" i="41" s="1"/>
  <c r="K70" i="41"/>
  <c r="L70" i="41" s="1"/>
  <c r="K59" i="41"/>
  <c r="L59" i="41" s="1"/>
  <c r="K69" i="41"/>
  <c r="L69" i="41" s="1"/>
  <c r="K72" i="41"/>
  <c r="L72" i="41" s="1"/>
  <c r="K47" i="41"/>
  <c r="L50" i="41" s="1"/>
  <c r="L82" i="41" s="1"/>
  <c r="K86" i="41" s="1"/>
  <c r="C50" i="41"/>
  <c r="X24" i="41"/>
  <c r="AB24" i="41" s="1"/>
  <c r="AC24" i="41" s="1"/>
  <c r="X21" i="41"/>
  <c r="AB21" i="41" s="1"/>
  <c r="AC21" i="41" s="1"/>
  <c r="X18" i="41"/>
  <c r="AB18" i="41" s="1"/>
  <c r="AC18" i="41" s="1"/>
  <c r="X15" i="41"/>
  <c r="AB15" i="41" s="1"/>
  <c r="AC15" i="41" s="1"/>
  <c r="X14" i="41"/>
  <c r="AB14" i="41" s="1"/>
  <c r="X11" i="41"/>
  <c r="AB11" i="41" s="1"/>
  <c r="AC11" i="41" s="1"/>
  <c r="X10" i="41"/>
  <c r="X25" i="41"/>
  <c r="AB25" i="41" s="1"/>
  <c r="AC25" i="41" s="1"/>
  <c r="X22" i="41"/>
  <c r="AB22" i="41" s="1"/>
  <c r="AC22" i="41" s="1"/>
  <c r="X19" i="41"/>
  <c r="AB19" i="41" s="1"/>
  <c r="AC19" i="41" s="1"/>
  <c r="X16" i="41"/>
  <c r="AB16" i="41" s="1"/>
  <c r="AC16" i="41" s="1"/>
  <c r="X13" i="41"/>
  <c r="AB13" i="41" s="1"/>
  <c r="AC13" i="41" s="1"/>
  <c r="X12" i="41"/>
  <c r="AB12" i="41" s="1"/>
  <c r="X23" i="41"/>
  <c r="AB23" i="41" s="1"/>
  <c r="AC23" i="41" s="1"/>
  <c r="X20" i="41"/>
  <c r="AB20" i="41" s="1"/>
  <c r="AC20" i="41" s="1"/>
  <c r="X17" i="41"/>
  <c r="AB17" i="41" s="1"/>
  <c r="AC17" i="41" s="1"/>
  <c r="L86" i="41" l="1"/>
  <c r="L94" i="41" s="1"/>
  <c r="W48" i="41"/>
  <c r="AB48" i="41" s="1"/>
  <c r="AC12" i="41"/>
  <c r="X26" i="41"/>
  <c r="AB10" i="41"/>
  <c r="W49" i="41"/>
  <c r="AB49" i="41" s="1"/>
  <c r="AC14" i="41"/>
  <c r="AB26" i="41" l="1"/>
  <c r="X53" i="41" s="1"/>
  <c r="AB54" i="41" s="1"/>
  <c r="W47" i="41"/>
  <c r="AC10" i="41"/>
  <c r="AC26" i="41" s="1"/>
  <c r="X56" i="41"/>
  <c r="AB57" i="41" s="1"/>
  <c r="AC40" i="41"/>
  <c r="L87" i="41"/>
  <c r="L90" i="41" s="1"/>
  <c r="L92" i="41" s="1"/>
  <c r="AC44" i="41" l="1"/>
  <c r="AB77" i="41"/>
  <c r="AC77" i="41" s="1"/>
  <c r="AB70" i="41"/>
  <c r="AC70" i="41" s="1"/>
  <c r="AB69" i="41"/>
  <c r="AC69" i="41" s="1"/>
  <c r="AB58" i="41"/>
  <c r="AC58" i="41" s="1"/>
  <c r="AB76" i="41"/>
  <c r="AC76" i="41" s="1"/>
  <c r="AB66" i="41"/>
  <c r="AC66" i="41" s="1"/>
  <c r="AB47" i="41"/>
  <c r="AC50" i="41" s="1"/>
  <c r="W50" i="41"/>
  <c r="AB68" i="41"/>
  <c r="AC68" i="41" s="1"/>
  <c r="AB71" i="41"/>
  <c r="AC71" i="41" s="1"/>
  <c r="AC81" i="41" l="1"/>
  <c r="L84" i="41" s="1"/>
  <c r="B136" i="40"/>
  <c r="B135" i="40"/>
  <c r="M86" i="40"/>
  <c r="V79" i="40"/>
  <c r="V78" i="40"/>
  <c r="Y77" i="40"/>
  <c r="V77" i="40"/>
  <c r="Y76" i="40"/>
  <c r="G76" i="40"/>
  <c r="I76" i="40" s="1"/>
  <c r="AB75" i="40"/>
  <c r="G75" i="40"/>
  <c r="I75" i="40" s="1"/>
  <c r="L75" i="40" s="1"/>
  <c r="AB74" i="40"/>
  <c r="Y71" i="40"/>
  <c r="Y70" i="40"/>
  <c r="Y69" i="40"/>
  <c r="Y68" i="40"/>
  <c r="Y66" i="40"/>
  <c r="X65" i="40"/>
  <c r="G65" i="40"/>
  <c r="X64" i="40"/>
  <c r="Y58" i="40" s="1"/>
  <c r="X61" i="40"/>
  <c r="X60" i="40"/>
  <c r="J56" i="40"/>
  <c r="AA56" i="40" s="1"/>
  <c r="AA53" i="40"/>
  <c r="Z49" i="40"/>
  <c r="G49" i="40"/>
  <c r="Z48" i="40"/>
  <c r="X48" i="40"/>
  <c r="G48" i="40"/>
  <c r="Z47" i="40"/>
  <c r="X47" i="40"/>
  <c r="G47" i="40"/>
  <c r="X40" i="40"/>
  <c r="K40" i="40"/>
  <c r="X39" i="40"/>
  <c r="AB40" i="40" s="1"/>
  <c r="X37" i="40"/>
  <c r="E37" i="40"/>
  <c r="D37" i="40"/>
  <c r="AB36" i="40"/>
  <c r="AC36" i="40" s="1"/>
  <c r="L36" i="40"/>
  <c r="AB35" i="40"/>
  <c r="AC35" i="40" s="1"/>
  <c r="L35" i="40"/>
  <c r="AB34" i="40"/>
  <c r="AC34" i="40" s="1"/>
  <c r="L34" i="40"/>
  <c r="AB33" i="40"/>
  <c r="AC33" i="40" s="1"/>
  <c r="L33" i="40"/>
  <c r="AB32" i="40"/>
  <c r="AC32" i="40" s="1"/>
  <c r="L32" i="40"/>
  <c r="AB31" i="40"/>
  <c r="AC31" i="40" s="1"/>
  <c r="L31" i="40"/>
  <c r="AB30" i="40"/>
  <c r="AC30" i="40" s="1"/>
  <c r="L30" i="40"/>
  <c r="AB29" i="40"/>
  <c r="AC29" i="40" s="1"/>
  <c r="L29" i="40"/>
  <c r="AB28" i="40"/>
  <c r="AC28" i="40" s="1"/>
  <c r="AC37" i="40" s="1"/>
  <c r="L28" i="40"/>
  <c r="E26" i="40"/>
  <c r="D26" i="40"/>
  <c r="K25" i="40"/>
  <c r="L25" i="40" s="1"/>
  <c r="I23" i="40"/>
  <c r="K22" i="40"/>
  <c r="L22" i="40" s="1"/>
  <c r="I20" i="40"/>
  <c r="K19" i="40"/>
  <c r="L19" i="40" s="1"/>
  <c r="I17" i="40"/>
  <c r="K16" i="40"/>
  <c r="L16" i="40" s="1"/>
  <c r="I15" i="40"/>
  <c r="K15" i="40"/>
  <c r="L15" i="40" s="1"/>
  <c r="K14" i="40"/>
  <c r="I13" i="40"/>
  <c r="K13" i="40" s="1"/>
  <c r="L13" i="40" s="1"/>
  <c r="M13" i="40"/>
  <c r="K12" i="40"/>
  <c r="I11" i="40"/>
  <c r="K11" i="40"/>
  <c r="L11" i="40" s="1"/>
  <c r="K10" i="40"/>
  <c r="AB7" i="40"/>
  <c r="X49" i="40" s="1"/>
  <c r="X7" i="40"/>
  <c r="V4" i="40"/>
  <c r="B3" i="40"/>
  <c r="V2" i="40"/>
  <c r="G37" i="40" l="1"/>
  <c r="L37" i="40"/>
  <c r="C47" i="40"/>
  <c r="L10" i="40"/>
  <c r="L14" i="40"/>
  <c r="I18" i="40"/>
  <c r="K18" i="40" s="1"/>
  <c r="L18" i="40" s="1"/>
  <c r="K17" i="40"/>
  <c r="L17" i="40" s="1"/>
  <c r="I21" i="40"/>
  <c r="K21" i="40" s="1"/>
  <c r="L21" i="40" s="1"/>
  <c r="K20" i="40"/>
  <c r="L20" i="40" s="1"/>
  <c r="I24" i="40"/>
  <c r="K24" i="40" s="1"/>
  <c r="L24" i="40" s="1"/>
  <c r="K23" i="40"/>
  <c r="L23" i="40" s="1"/>
  <c r="L12" i="40"/>
  <c r="C48" i="40"/>
  <c r="K48" i="40" s="1"/>
  <c r="L76" i="40"/>
  <c r="AC75" i="40"/>
  <c r="M11" i="40"/>
  <c r="M15" i="40"/>
  <c r="G26" i="40"/>
  <c r="Z74" i="40"/>
  <c r="AC74" i="40" s="1"/>
  <c r="L26" i="40" l="1"/>
  <c r="K84" i="40"/>
  <c r="G56" i="40"/>
  <c r="K57" i="40" s="1"/>
  <c r="L40" i="40"/>
  <c r="C49" i="40"/>
  <c r="K49" i="40" s="1"/>
  <c r="K26" i="40"/>
  <c r="G53" i="40" s="1"/>
  <c r="K54" i="40" s="1"/>
  <c r="K47" i="40"/>
  <c r="L50" i="40" l="1"/>
  <c r="K77" i="40"/>
  <c r="L77" i="40" s="1"/>
  <c r="K78" i="40"/>
  <c r="L78" i="40" s="1"/>
  <c r="K71" i="40"/>
  <c r="L71" i="40" s="1"/>
  <c r="K70" i="40"/>
  <c r="L70" i="40" s="1"/>
  <c r="K59" i="40"/>
  <c r="L59" i="40" s="1"/>
  <c r="K67" i="40"/>
  <c r="L67" i="40" s="1"/>
  <c r="K69" i="40"/>
  <c r="L69" i="40" s="1"/>
  <c r="K72" i="40"/>
  <c r="L72" i="40" s="1"/>
  <c r="C50" i="40"/>
  <c r="X23" i="40"/>
  <c r="AB23" i="40" s="1"/>
  <c r="AC23" i="40" s="1"/>
  <c r="X20" i="40"/>
  <c r="AB20" i="40" s="1"/>
  <c r="AC20" i="40" s="1"/>
  <c r="X17" i="40"/>
  <c r="AB17" i="40" s="1"/>
  <c r="AC17" i="40" s="1"/>
  <c r="X24" i="40"/>
  <c r="AB24" i="40" s="1"/>
  <c r="AC24" i="40" s="1"/>
  <c r="X21" i="40"/>
  <c r="AB21" i="40" s="1"/>
  <c r="AC21" i="40" s="1"/>
  <c r="X18" i="40"/>
  <c r="AB18" i="40" s="1"/>
  <c r="AC18" i="40" s="1"/>
  <c r="X15" i="40"/>
  <c r="AB15" i="40" s="1"/>
  <c r="AC15" i="40" s="1"/>
  <c r="X14" i="40"/>
  <c r="AB14" i="40" s="1"/>
  <c r="X11" i="40"/>
  <c r="AB11" i="40" s="1"/>
  <c r="AC11" i="40" s="1"/>
  <c r="X10" i="40"/>
  <c r="X13" i="40"/>
  <c r="AB13" i="40" s="1"/>
  <c r="AC13" i="40" s="1"/>
  <c r="X25" i="40"/>
  <c r="AB25" i="40" s="1"/>
  <c r="AC25" i="40" s="1"/>
  <c r="X22" i="40"/>
  <c r="AB22" i="40" s="1"/>
  <c r="AC22" i="40" s="1"/>
  <c r="X19" i="40"/>
  <c r="AB19" i="40" s="1"/>
  <c r="AC19" i="40" s="1"/>
  <c r="X16" i="40"/>
  <c r="AB16" i="40" s="1"/>
  <c r="AC16" i="40" s="1"/>
  <c r="X12" i="40"/>
  <c r="AB12" i="40" s="1"/>
  <c r="L44" i="40"/>
  <c r="L82" i="40" s="1"/>
  <c r="W48" i="40" l="1"/>
  <c r="AB48" i="40" s="1"/>
  <c r="AC12" i="40"/>
  <c r="AB10" i="40"/>
  <c r="X26" i="40"/>
  <c r="W49" i="40"/>
  <c r="AB49" i="40" s="1"/>
  <c r="AC14" i="40"/>
  <c r="X56" i="40" l="1"/>
  <c r="AB57" i="40" s="1"/>
  <c r="AC40" i="40"/>
  <c r="AB26" i="40"/>
  <c r="X53" i="40" s="1"/>
  <c r="AB54" i="40" s="1"/>
  <c r="W47" i="40"/>
  <c r="AC10" i="40"/>
  <c r="AC26" i="40" s="1"/>
  <c r="AB77" i="40" l="1"/>
  <c r="AC77" i="40" s="1"/>
  <c r="AB70" i="40"/>
  <c r="AC70" i="40" s="1"/>
  <c r="AB76" i="40"/>
  <c r="AC76" i="40" s="1"/>
  <c r="AB66" i="40"/>
  <c r="AC66" i="40" s="1"/>
  <c r="AB69" i="40"/>
  <c r="AC69" i="40" s="1"/>
  <c r="AB58" i="40"/>
  <c r="AC58" i="40" s="1"/>
  <c r="AC44" i="40"/>
  <c r="AB68" i="40"/>
  <c r="AC68" i="40" s="1"/>
  <c r="AB71" i="40"/>
  <c r="AC71" i="40" s="1"/>
  <c r="AB47" i="40"/>
  <c r="AC50" i="40" s="1"/>
  <c r="W50" i="40"/>
  <c r="AC81" i="40" l="1"/>
  <c r="L84" i="40" s="1"/>
  <c r="K86" i="40" s="1"/>
  <c r="L86" i="40" s="1"/>
  <c r="L87" i="40" s="1"/>
  <c r="L90" i="40" s="1"/>
  <c r="L92" i="40" s="1"/>
  <c r="L94" i="40" l="1"/>
  <c r="B136" i="39" l="1"/>
  <c r="B135" i="39"/>
  <c r="M86" i="39"/>
  <c r="V79" i="39"/>
  <c r="V78" i="39"/>
  <c r="Y77" i="39"/>
  <c r="V77" i="39"/>
  <c r="Y76" i="39"/>
  <c r="G76" i="39"/>
  <c r="I76" i="39" s="1"/>
  <c r="AB75" i="39"/>
  <c r="G75" i="39"/>
  <c r="I75" i="39" s="1"/>
  <c r="AB74" i="39"/>
  <c r="Y71" i="39"/>
  <c r="Y70" i="39"/>
  <c r="Y69" i="39"/>
  <c r="Y68" i="39"/>
  <c r="Y66" i="39"/>
  <c r="X65" i="39"/>
  <c r="G65" i="39"/>
  <c r="X64" i="39" s="1"/>
  <c r="Y58" i="39" s="1"/>
  <c r="X61" i="39"/>
  <c r="X60" i="39"/>
  <c r="AA56" i="39"/>
  <c r="J56" i="39"/>
  <c r="AA53" i="39"/>
  <c r="Z49" i="39"/>
  <c r="G49" i="39"/>
  <c r="Z48" i="39"/>
  <c r="G48" i="39"/>
  <c r="Z47" i="39"/>
  <c r="X47" i="39"/>
  <c r="G47" i="39"/>
  <c r="X40" i="39"/>
  <c r="K40" i="39"/>
  <c r="X39" i="39"/>
  <c r="AB40" i="39" s="1"/>
  <c r="X37" i="39"/>
  <c r="E37" i="39"/>
  <c r="D37" i="39"/>
  <c r="AB36" i="39"/>
  <c r="AC36" i="39" s="1"/>
  <c r="L36" i="39"/>
  <c r="AB35" i="39"/>
  <c r="AC35" i="39" s="1"/>
  <c r="L35" i="39"/>
  <c r="AB34" i="39"/>
  <c r="AC34" i="39" s="1"/>
  <c r="L34" i="39"/>
  <c r="AB33" i="39"/>
  <c r="AC33" i="39" s="1"/>
  <c r="L33" i="39"/>
  <c r="AB32" i="39"/>
  <c r="AC32" i="39" s="1"/>
  <c r="L32" i="39"/>
  <c r="AB31" i="39"/>
  <c r="AC31" i="39" s="1"/>
  <c r="L31" i="39"/>
  <c r="AB30" i="39"/>
  <c r="AC30" i="39" s="1"/>
  <c r="L30" i="39"/>
  <c r="AB29" i="39"/>
  <c r="AC29" i="39" s="1"/>
  <c r="L29" i="39"/>
  <c r="AB28" i="39"/>
  <c r="AC28" i="39" s="1"/>
  <c r="L28" i="39"/>
  <c r="E26" i="39"/>
  <c r="D26" i="39"/>
  <c r="K25" i="39"/>
  <c r="L25" i="39" s="1"/>
  <c r="I24" i="39"/>
  <c r="K24" i="39"/>
  <c r="L24" i="39" s="1"/>
  <c r="K23" i="39"/>
  <c r="L23" i="39" s="1"/>
  <c r="I23" i="39"/>
  <c r="K22" i="39"/>
  <c r="L22" i="39" s="1"/>
  <c r="I21" i="39"/>
  <c r="K21" i="39"/>
  <c r="L21" i="39" s="1"/>
  <c r="K20" i="39"/>
  <c r="L20" i="39" s="1"/>
  <c r="I20" i="39"/>
  <c r="K19" i="39"/>
  <c r="L19" i="39" s="1"/>
  <c r="I18" i="39"/>
  <c r="K18" i="39"/>
  <c r="L18" i="39" s="1"/>
  <c r="K17" i="39"/>
  <c r="L17" i="39" s="1"/>
  <c r="I17" i="39"/>
  <c r="K16" i="39"/>
  <c r="L16" i="39" s="1"/>
  <c r="I15" i="39"/>
  <c r="K15" i="39"/>
  <c r="L15" i="39" s="1"/>
  <c r="K14" i="39"/>
  <c r="K13" i="39"/>
  <c r="L13" i="39" s="1"/>
  <c r="I13" i="39"/>
  <c r="M13" i="39"/>
  <c r="K12" i="39"/>
  <c r="I11" i="39"/>
  <c r="M11" i="39"/>
  <c r="K10" i="39"/>
  <c r="AB7" i="39"/>
  <c r="X49" i="39" s="1"/>
  <c r="X7" i="39"/>
  <c r="V4" i="39"/>
  <c r="B3" i="39"/>
  <c r="V2" i="39"/>
  <c r="G37" i="39" l="1"/>
  <c r="L37" i="39"/>
  <c r="L10" i="39"/>
  <c r="AC75" i="39"/>
  <c r="L76" i="39"/>
  <c r="Z75" i="39"/>
  <c r="L12" i="39"/>
  <c r="C48" i="39"/>
  <c r="K48" i="39" s="1"/>
  <c r="C49" i="39"/>
  <c r="K49" i="39" s="1"/>
  <c r="L14" i="39"/>
  <c r="AC37" i="39"/>
  <c r="Z74" i="39"/>
  <c r="AC74" i="39" s="1"/>
  <c r="L75" i="39"/>
  <c r="G26" i="39"/>
  <c r="K11" i="39"/>
  <c r="L11" i="39" s="1"/>
  <c r="X48" i="39"/>
  <c r="M15" i="39"/>
  <c r="K26" i="39" l="1"/>
  <c r="G53" i="39" s="1"/>
  <c r="K54" i="39" s="1"/>
  <c r="L26" i="39"/>
  <c r="K77" i="39"/>
  <c r="L77" i="39" s="1"/>
  <c r="K78" i="39"/>
  <c r="L78" i="39" s="1"/>
  <c r="K71" i="39"/>
  <c r="L71" i="39" s="1"/>
  <c r="K67" i="39"/>
  <c r="L67" i="39" s="1"/>
  <c r="K70" i="39"/>
  <c r="L70" i="39" s="1"/>
  <c r="K59" i="39"/>
  <c r="L59" i="39" s="1"/>
  <c r="K84" i="39"/>
  <c r="G56" i="39"/>
  <c r="K57" i="39" s="1"/>
  <c r="L40" i="39"/>
  <c r="C47" i="39"/>
  <c r="K47" i="39" l="1"/>
  <c r="L50" i="39" s="1"/>
  <c r="C50" i="39"/>
  <c r="K69" i="39"/>
  <c r="L69" i="39" s="1"/>
  <c r="K72" i="39"/>
  <c r="L72" i="39" s="1"/>
  <c r="L44" i="39"/>
  <c r="X17" i="39"/>
  <c r="AB17" i="39" s="1"/>
  <c r="AC17" i="39" s="1"/>
  <c r="X24" i="39"/>
  <c r="AB24" i="39" s="1"/>
  <c r="AC24" i="39" s="1"/>
  <c r="X21" i="39"/>
  <c r="AB21" i="39" s="1"/>
  <c r="AC21" i="39" s="1"/>
  <c r="X18" i="39"/>
  <c r="AB18" i="39" s="1"/>
  <c r="AC18" i="39" s="1"/>
  <c r="X15" i="39"/>
  <c r="AB15" i="39" s="1"/>
  <c r="AC15" i="39" s="1"/>
  <c r="X14" i="39"/>
  <c r="AB14" i="39" s="1"/>
  <c r="X11" i="39"/>
  <c r="AB11" i="39" s="1"/>
  <c r="AC11" i="39" s="1"/>
  <c r="X10" i="39"/>
  <c r="X25" i="39"/>
  <c r="AB25" i="39" s="1"/>
  <c r="AC25" i="39" s="1"/>
  <c r="X22" i="39"/>
  <c r="AB22" i="39" s="1"/>
  <c r="AC22" i="39" s="1"/>
  <c r="X19" i="39"/>
  <c r="AB19" i="39" s="1"/>
  <c r="AC19" i="39" s="1"/>
  <c r="X16" i="39"/>
  <c r="AB16" i="39" s="1"/>
  <c r="AC16" i="39" s="1"/>
  <c r="X13" i="39"/>
  <c r="AB13" i="39" s="1"/>
  <c r="AC13" i="39" s="1"/>
  <c r="X12" i="39"/>
  <c r="AB12" i="39" s="1"/>
  <c r="X23" i="39"/>
  <c r="AB23" i="39" s="1"/>
  <c r="AC23" i="39" s="1"/>
  <c r="X20" i="39"/>
  <c r="AB20" i="39" s="1"/>
  <c r="AC20" i="39" s="1"/>
  <c r="W49" i="39" l="1"/>
  <c r="AB49" i="39" s="1"/>
  <c r="AC14" i="39"/>
  <c r="W48" i="39"/>
  <c r="AB48" i="39" s="1"/>
  <c r="AC12" i="39"/>
  <c r="AB10" i="39"/>
  <c r="X26" i="39"/>
  <c r="L82" i="39"/>
  <c r="AB26" i="39" l="1"/>
  <c r="X53" i="39" s="1"/>
  <c r="AB54" i="39" s="1"/>
  <c r="W47" i="39"/>
  <c r="AC10" i="39"/>
  <c r="AC26" i="39" s="1"/>
  <c r="K86" i="39"/>
  <c r="X56" i="39"/>
  <c r="AB57" i="39" s="1"/>
  <c r="AC40" i="39"/>
  <c r="AC44" i="39" l="1"/>
  <c r="AB71" i="39"/>
  <c r="AC71" i="39" s="1"/>
  <c r="AB68" i="39"/>
  <c r="AC68" i="39" s="1"/>
  <c r="AB47" i="39"/>
  <c r="AC50" i="39" s="1"/>
  <c r="W50" i="39"/>
  <c r="L86" i="39"/>
  <c r="L87" i="39" s="1"/>
  <c r="L90" i="39" s="1"/>
  <c r="L92" i="39" s="1"/>
  <c r="AB77" i="39"/>
  <c r="AC77" i="39" s="1"/>
  <c r="AB70" i="39"/>
  <c r="AC70" i="39" s="1"/>
  <c r="AB69" i="39"/>
  <c r="AC69" i="39" s="1"/>
  <c r="AB58" i="39"/>
  <c r="AC58" i="39" s="1"/>
  <c r="AB66" i="39"/>
  <c r="AC66" i="39" s="1"/>
  <c r="AB76" i="39"/>
  <c r="AC76" i="39" s="1"/>
  <c r="AC81" i="39" l="1"/>
  <c r="L84" i="39" s="1"/>
  <c r="L94" i="39"/>
  <c r="B136" i="38" l="1"/>
  <c r="B135" i="38"/>
  <c r="M86" i="38"/>
  <c r="V79" i="38"/>
  <c r="V78" i="38"/>
  <c r="Y77" i="38"/>
  <c r="V77" i="38"/>
  <c r="Y76" i="38"/>
  <c r="G76" i="38"/>
  <c r="I76" i="38" s="1"/>
  <c r="AB75" i="38"/>
  <c r="G75" i="38"/>
  <c r="I75" i="38" s="1"/>
  <c r="AB74" i="38"/>
  <c r="Y71" i="38"/>
  <c r="Y70" i="38"/>
  <c r="Y69" i="38"/>
  <c r="Y68" i="38"/>
  <c r="Y66" i="38"/>
  <c r="X65" i="38"/>
  <c r="G65" i="38"/>
  <c r="X64" i="38" s="1"/>
  <c r="Y58" i="38" s="1"/>
  <c r="X61" i="38"/>
  <c r="X60" i="38"/>
  <c r="J56" i="38"/>
  <c r="AA56" i="38" s="1"/>
  <c r="AA53" i="38"/>
  <c r="Z49" i="38"/>
  <c r="G49" i="38"/>
  <c r="Z48" i="38"/>
  <c r="G48" i="38"/>
  <c r="Z47" i="38"/>
  <c r="X47" i="38"/>
  <c r="G47" i="38"/>
  <c r="X40" i="38"/>
  <c r="K40" i="38"/>
  <c r="X39" i="38"/>
  <c r="AB40" i="38" s="1"/>
  <c r="X37" i="38"/>
  <c r="E37" i="38"/>
  <c r="D37" i="38"/>
  <c r="AB36" i="38"/>
  <c r="AC36" i="38" s="1"/>
  <c r="L36" i="38"/>
  <c r="AB35" i="38"/>
  <c r="AC35" i="38" s="1"/>
  <c r="L35" i="38"/>
  <c r="AB34" i="38"/>
  <c r="AC34" i="38" s="1"/>
  <c r="L34" i="38"/>
  <c r="AB33" i="38"/>
  <c r="AC33" i="38" s="1"/>
  <c r="L33" i="38"/>
  <c r="AB32" i="38"/>
  <c r="AC32" i="38" s="1"/>
  <c r="L32" i="38"/>
  <c r="AB31" i="38"/>
  <c r="AC31" i="38" s="1"/>
  <c r="L31" i="38"/>
  <c r="AB30" i="38"/>
  <c r="AC30" i="38" s="1"/>
  <c r="L30" i="38"/>
  <c r="AB29" i="38"/>
  <c r="AC29" i="38" s="1"/>
  <c r="L29" i="38"/>
  <c r="AB28" i="38"/>
  <c r="AC28" i="38" s="1"/>
  <c r="AC37" i="38" s="1"/>
  <c r="L28" i="38"/>
  <c r="E26" i="38"/>
  <c r="D26" i="38"/>
  <c r="K25" i="38"/>
  <c r="L25" i="38" s="1"/>
  <c r="I24" i="38"/>
  <c r="K24" i="38"/>
  <c r="L24" i="38" s="1"/>
  <c r="K23" i="38"/>
  <c r="L23" i="38" s="1"/>
  <c r="I23" i="38"/>
  <c r="K22" i="38"/>
  <c r="L22" i="38" s="1"/>
  <c r="I21" i="38"/>
  <c r="K21" i="38"/>
  <c r="L21" i="38" s="1"/>
  <c r="K20" i="38"/>
  <c r="L20" i="38" s="1"/>
  <c r="I20" i="38"/>
  <c r="K19" i="38"/>
  <c r="L19" i="38" s="1"/>
  <c r="I18" i="38"/>
  <c r="K18" i="38"/>
  <c r="L18" i="38" s="1"/>
  <c r="K17" i="38"/>
  <c r="L17" i="38" s="1"/>
  <c r="I17" i="38"/>
  <c r="K16" i="38"/>
  <c r="L16" i="38" s="1"/>
  <c r="I15" i="38"/>
  <c r="K14" i="38"/>
  <c r="K13" i="38"/>
  <c r="L13" i="38" s="1"/>
  <c r="I13" i="38"/>
  <c r="M13" i="38"/>
  <c r="K12" i="38"/>
  <c r="I11" i="38"/>
  <c r="K10" i="38"/>
  <c r="AB7" i="38"/>
  <c r="X49" i="38" s="1"/>
  <c r="X7" i="38"/>
  <c r="V4" i="38"/>
  <c r="B3" i="38"/>
  <c r="V2" i="38"/>
  <c r="M15" i="38" l="1"/>
  <c r="G37" i="38"/>
  <c r="G26" i="38"/>
  <c r="K84" i="38" s="1"/>
  <c r="L10" i="38"/>
  <c r="L76" i="38"/>
  <c r="AC75" i="38"/>
  <c r="C48" i="38"/>
  <c r="K48" i="38" s="1"/>
  <c r="L12" i="38"/>
  <c r="L14" i="38"/>
  <c r="L37" i="38"/>
  <c r="L75" i="38"/>
  <c r="Z74" i="38"/>
  <c r="AC74" i="38" s="1"/>
  <c r="K11" i="38"/>
  <c r="L11" i="38" s="1"/>
  <c r="K15" i="38"/>
  <c r="L15" i="38" s="1"/>
  <c r="X48" i="38"/>
  <c r="M11" i="38"/>
  <c r="G56" i="38" l="1"/>
  <c r="K57" i="38" s="1"/>
  <c r="L40" i="38"/>
  <c r="C49" i="38"/>
  <c r="K49" i="38" s="1"/>
  <c r="C47" i="38"/>
  <c r="K69" i="38"/>
  <c r="L69" i="38" s="1"/>
  <c r="K72" i="38"/>
  <c r="L72" i="38" s="1"/>
  <c r="L26" i="38"/>
  <c r="L44" i="38" s="1"/>
  <c r="K26" i="38"/>
  <c r="G53" i="38" s="1"/>
  <c r="K54" i="38" s="1"/>
  <c r="X23" i="38"/>
  <c r="AB23" i="38" s="1"/>
  <c r="AC23" i="38" s="1"/>
  <c r="X20" i="38"/>
  <c r="AB20" i="38" s="1"/>
  <c r="AC20" i="38" s="1"/>
  <c r="X17" i="38"/>
  <c r="AB17" i="38" s="1"/>
  <c r="AC17" i="38" s="1"/>
  <c r="X24" i="38"/>
  <c r="AB24" i="38" s="1"/>
  <c r="AC24" i="38" s="1"/>
  <c r="X21" i="38"/>
  <c r="AB21" i="38" s="1"/>
  <c r="AC21" i="38" s="1"/>
  <c r="X18" i="38"/>
  <c r="AB18" i="38" s="1"/>
  <c r="AC18" i="38" s="1"/>
  <c r="X15" i="38"/>
  <c r="AB15" i="38" s="1"/>
  <c r="AC15" i="38" s="1"/>
  <c r="X14" i="38"/>
  <c r="AB14" i="38" s="1"/>
  <c r="X11" i="38"/>
  <c r="AB11" i="38" s="1"/>
  <c r="AC11" i="38" s="1"/>
  <c r="X10" i="38"/>
  <c r="X25" i="38"/>
  <c r="AB25" i="38" s="1"/>
  <c r="AC25" i="38" s="1"/>
  <c r="X22" i="38"/>
  <c r="AB22" i="38" s="1"/>
  <c r="AC22" i="38" s="1"/>
  <c r="X19" i="38"/>
  <c r="AB19" i="38" s="1"/>
  <c r="AC19" i="38" s="1"/>
  <c r="X16" i="38"/>
  <c r="AB16" i="38" s="1"/>
  <c r="AC16" i="38" s="1"/>
  <c r="X13" i="38"/>
  <c r="AB13" i="38" s="1"/>
  <c r="AC13" i="38" s="1"/>
  <c r="X12" i="38"/>
  <c r="AB12" i="38" s="1"/>
  <c r="W48" i="38" l="1"/>
  <c r="AB48" i="38" s="1"/>
  <c r="AC12" i="38"/>
  <c r="K77" i="38"/>
  <c r="L77" i="38" s="1"/>
  <c r="K78" i="38"/>
  <c r="L78" i="38" s="1"/>
  <c r="K71" i="38"/>
  <c r="L71" i="38" s="1"/>
  <c r="K67" i="38"/>
  <c r="L67" i="38" s="1"/>
  <c r="K70" i="38"/>
  <c r="L70" i="38" s="1"/>
  <c r="K59" i="38"/>
  <c r="L59" i="38" s="1"/>
  <c r="K47" i="38"/>
  <c r="C50" i="38"/>
  <c r="W49" i="38"/>
  <c r="AB49" i="38" s="1"/>
  <c r="AC14" i="38"/>
  <c r="X26" i="38"/>
  <c r="AB10" i="38"/>
  <c r="L50" i="38"/>
  <c r="L82" i="38" s="1"/>
  <c r="AB26" i="38" l="1"/>
  <c r="X53" i="38" s="1"/>
  <c r="AB54" i="38" s="1"/>
  <c r="W47" i="38"/>
  <c r="AC10" i="38"/>
  <c r="AC26" i="38" s="1"/>
  <c r="X56" i="38"/>
  <c r="AB57" i="38" s="1"/>
  <c r="AC40" i="38"/>
  <c r="AC44" i="38" l="1"/>
  <c r="AB47" i="38"/>
  <c r="AC50" i="38" s="1"/>
  <c r="W50" i="38"/>
  <c r="AB77" i="38"/>
  <c r="AC77" i="38" s="1"/>
  <c r="AB70" i="38"/>
  <c r="AC70" i="38" s="1"/>
  <c r="AB69" i="38"/>
  <c r="AC69" i="38" s="1"/>
  <c r="AB58" i="38"/>
  <c r="AC58" i="38" s="1"/>
  <c r="AB76" i="38"/>
  <c r="AC76" i="38" s="1"/>
  <c r="AB66" i="38"/>
  <c r="AC66" i="38" s="1"/>
  <c r="AB68" i="38"/>
  <c r="AC68" i="38" s="1"/>
  <c r="AB71" i="38"/>
  <c r="AC71" i="38" s="1"/>
  <c r="AC81" i="38" l="1"/>
  <c r="L84" i="38" s="1"/>
  <c r="K86" i="38" s="1"/>
  <c r="L86" i="38" l="1"/>
  <c r="L87" i="38" s="1"/>
  <c r="L90" i="38" s="1"/>
  <c r="L92" i="38" s="1"/>
  <c r="L94" i="38" l="1"/>
  <c r="B136" i="37" l="1"/>
  <c r="B135" i="37"/>
  <c r="M86" i="37"/>
  <c r="V79" i="37"/>
  <c r="V78" i="37"/>
  <c r="Y77" i="37"/>
  <c r="V77" i="37"/>
  <c r="Y76" i="37"/>
  <c r="G76" i="37"/>
  <c r="I76" i="37" s="1"/>
  <c r="AB75" i="37"/>
  <c r="G75" i="37"/>
  <c r="I75" i="37" s="1"/>
  <c r="Z74" i="37" s="1"/>
  <c r="AB74" i="37"/>
  <c r="Y71" i="37"/>
  <c r="Y70" i="37"/>
  <c r="Y69" i="37"/>
  <c r="Y68" i="37"/>
  <c r="Y66" i="37"/>
  <c r="X65" i="37"/>
  <c r="G65" i="37"/>
  <c r="X64" i="37"/>
  <c r="Y58" i="37" s="1"/>
  <c r="X61" i="37"/>
  <c r="X60" i="37"/>
  <c r="J56" i="37"/>
  <c r="AA56" i="37" s="1"/>
  <c r="AA53" i="37"/>
  <c r="Z49" i="37"/>
  <c r="G49" i="37"/>
  <c r="Z48" i="37"/>
  <c r="X48" i="37"/>
  <c r="G48" i="37"/>
  <c r="Z47" i="37"/>
  <c r="G47" i="37"/>
  <c r="X40" i="37"/>
  <c r="K40" i="37"/>
  <c r="X39" i="37"/>
  <c r="AB40" i="37" s="1"/>
  <c r="X37" i="37"/>
  <c r="E37" i="37"/>
  <c r="D37" i="37"/>
  <c r="AB36" i="37"/>
  <c r="AC36" i="37" s="1"/>
  <c r="L36" i="37"/>
  <c r="AB35" i="37"/>
  <c r="AC35" i="37" s="1"/>
  <c r="L35" i="37"/>
  <c r="AB34" i="37"/>
  <c r="AC34" i="37" s="1"/>
  <c r="L34" i="37"/>
  <c r="AB33" i="37"/>
  <c r="AC33" i="37" s="1"/>
  <c r="L33" i="37"/>
  <c r="AB32" i="37"/>
  <c r="AC32" i="37" s="1"/>
  <c r="L32" i="37"/>
  <c r="AB31" i="37"/>
  <c r="AC31" i="37" s="1"/>
  <c r="L31" i="37"/>
  <c r="AB30" i="37"/>
  <c r="AC30" i="37" s="1"/>
  <c r="L30" i="37"/>
  <c r="AB29" i="37"/>
  <c r="AC29" i="37" s="1"/>
  <c r="L29" i="37"/>
  <c r="AB28" i="37"/>
  <c r="AC28" i="37" s="1"/>
  <c r="L28" i="37"/>
  <c r="E26" i="37"/>
  <c r="D26" i="37"/>
  <c r="K25" i="37"/>
  <c r="L25" i="37" s="1"/>
  <c r="I23" i="37"/>
  <c r="I24" i="37" s="1"/>
  <c r="K24" i="37" s="1"/>
  <c r="L24" i="37" s="1"/>
  <c r="K22" i="37"/>
  <c r="L22" i="37" s="1"/>
  <c r="I20" i="37"/>
  <c r="I21" i="37" s="1"/>
  <c r="K21" i="37" s="1"/>
  <c r="L21" i="37" s="1"/>
  <c r="K19" i="37"/>
  <c r="L19" i="37" s="1"/>
  <c r="I17" i="37"/>
  <c r="I18" i="37" s="1"/>
  <c r="K18" i="37" s="1"/>
  <c r="L18" i="37" s="1"/>
  <c r="K16" i="37"/>
  <c r="L16" i="37" s="1"/>
  <c r="I15" i="37"/>
  <c r="K15" i="37"/>
  <c r="L15" i="37" s="1"/>
  <c r="K14" i="37"/>
  <c r="I13" i="37"/>
  <c r="M13" i="37"/>
  <c r="K12" i="37"/>
  <c r="I11" i="37"/>
  <c r="K11" i="37"/>
  <c r="L11" i="37" s="1"/>
  <c r="K10" i="37"/>
  <c r="AB7" i="37"/>
  <c r="X49" i="37" s="1"/>
  <c r="X7" i="37"/>
  <c r="V4" i="37"/>
  <c r="B3" i="37"/>
  <c r="V2" i="37"/>
  <c r="G37" i="37" l="1"/>
  <c r="L37" i="37"/>
  <c r="K13" i="37"/>
  <c r="L13" i="37" s="1"/>
  <c r="G26" i="37"/>
  <c r="G56" i="37" s="1"/>
  <c r="K57" i="37" s="1"/>
  <c r="AC74" i="37"/>
  <c r="L76" i="37"/>
  <c r="AC75" i="37"/>
  <c r="L12" i="37"/>
  <c r="C49" i="37"/>
  <c r="K49" i="37" s="1"/>
  <c r="AC37" i="37"/>
  <c r="M11" i="37"/>
  <c r="L14" i="37"/>
  <c r="M15" i="37"/>
  <c r="K20" i="37"/>
  <c r="L20" i="37" s="1"/>
  <c r="K23" i="37"/>
  <c r="L23" i="37" s="1"/>
  <c r="C47" i="37"/>
  <c r="X47" i="37"/>
  <c r="L75" i="37"/>
  <c r="L10" i="37"/>
  <c r="K17" i="37"/>
  <c r="L17" i="37" s="1"/>
  <c r="L40" i="37" l="1"/>
  <c r="K84" i="37"/>
  <c r="L26" i="37"/>
  <c r="L44" i="37" s="1"/>
  <c r="C48" i="37"/>
  <c r="K48" i="37" s="1"/>
  <c r="K69" i="37"/>
  <c r="L69" i="37" s="1"/>
  <c r="K72" i="37"/>
  <c r="L72" i="37" s="1"/>
  <c r="X23" i="37"/>
  <c r="AB23" i="37" s="1"/>
  <c r="AC23" i="37" s="1"/>
  <c r="X20" i="37"/>
  <c r="AB20" i="37" s="1"/>
  <c r="AC20" i="37" s="1"/>
  <c r="X17" i="37"/>
  <c r="AB17" i="37" s="1"/>
  <c r="AC17" i="37" s="1"/>
  <c r="X19" i="37"/>
  <c r="AB19" i="37" s="1"/>
  <c r="AC19" i="37" s="1"/>
  <c r="X24" i="37"/>
  <c r="AB24" i="37" s="1"/>
  <c r="AC24" i="37" s="1"/>
  <c r="X21" i="37"/>
  <c r="AB21" i="37" s="1"/>
  <c r="AC21" i="37" s="1"/>
  <c r="X18" i="37"/>
  <c r="AB18" i="37" s="1"/>
  <c r="AC18" i="37" s="1"/>
  <c r="X15" i="37"/>
  <c r="AB15" i="37" s="1"/>
  <c r="AC15" i="37" s="1"/>
  <c r="X14" i="37"/>
  <c r="AB14" i="37" s="1"/>
  <c r="X11" i="37"/>
  <c r="AB11" i="37" s="1"/>
  <c r="AC11" i="37" s="1"/>
  <c r="X10" i="37"/>
  <c r="X22" i="37"/>
  <c r="AB22" i="37" s="1"/>
  <c r="AC22" i="37" s="1"/>
  <c r="X13" i="37"/>
  <c r="AB13" i="37" s="1"/>
  <c r="AC13" i="37" s="1"/>
  <c r="X12" i="37"/>
  <c r="AB12" i="37" s="1"/>
  <c r="X25" i="37"/>
  <c r="AB25" i="37" s="1"/>
  <c r="AC25" i="37" s="1"/>
  <c r="X16" i="37"/>
  <c r="AB16" i="37" s="1"/>
  <c r="AC16" i="37" s="1"/>
  <c r="K47" i="37"/>
  <c r="L50" i="37" s="1"/>
  <c r="C50" i="37"/>
  <c r="K26" i="37"/>
  <c r="G53" i="37" s="1"/>
  <c r="K54" i="37" s="1"/>
  <c r="K77" i="37" l="1"/>
  <c r="L77" i="37" s="1"/>
  <c r="K59" i="37"/>
  <c r="L59" i="37" s="1"/>
  <c r="K67" i="37"/>
  <c r="L67" i="37" s="1"/>
  <c r="K70" i="37"/>
  <c r="L70" i="37" s="1"/>
  <c r="K78" i="37"/>
  <c r="L78" i="37" s="1"/>
  <c r="K71" i="37"/>
  <c r="L71" i="37" s="1"/>
  <c r="W48" i="37"/>
  <c r="AB48" i="37" s="1"/>
  <c r="AC12" i="37"/>
  <c r="AB10" i="37"/>
  <c r="X26" i="37"/>
  <c r="W49" i="37"/>
  <c r="AB49" i="37" s="1"/>
  <c r="AC14" i="37"/>
  <c r="L82" i="37" l="1"/>
  <c r="X56" i="37"/>
  <c r="AB57" i="37" s="1"/>
  <c r="AC40" i="37"/>
  <c r="AC10" i="37"/>
  <c r="AC26" i="37" s="1"/>
  <c r="W47" i="37"/>
  <c r="AB26" i="37"/>
  <c r="X53" i="37" s="1"/>
  <c r="AB54" i="37" s="1"/>
  <c r="AC44" i="37" l="1"/>
  <c r="AB77" i="37"/>
  <c r="AC77" i="37" s="1"/>
  <c r="AB70" i="37"/>
  <c r="AC70" i="37" s="1"/>
  <c r="AB69" i="37"/>
  <c r="AC69" i="37" s="1"/>
  <c r="AB58" i="37"/>
  <c r="AC58" i="37" s="1"/>
  <c r="AB66" i="37"/>
  <c r="AC66" i="37" s="1"/>
  <c r="AB76" i="37"/>
  <c r="AC76" i="37" s="1"/>
  <c r="AB47" i="37"/>
  <c r="AC50" i="37" s="1"/>
  <c r="W50" i="37"/>
  <c r="AB71" i="37"/>
  <c r="AC71" i="37" s="1"/>
  <c r="AB68" i="37"/>
  <c r="AC68" i="37" s="1"/>
  <c r="AC81" i="37" l="1"/>
  <c r="L84" i="37" s="1"/>
  <c r="K86" i="37" s="1"/>
  <c r="L86" i="37" s="1"/>
  <c r="L87" i="37" s="1"/>
  <c r="L90" i="37" s="1"/>
  <c r="L92" i="37" s="1"/>
  <c r="L94" i="37" l="1"/>
  <c r="B136" i="36" l="1"/>
  <c r="B135" i="36"/>
  <c r="M86" i="36"/>
  <c r="V79" i="36"/>
  <c r="V78" i="36"/>
  <c r="Y77" i="36"/>
  <c r="V77" i="36"/>
  <c r="Y76" i="36"/>
  <c r="G76" i="36"/>
  <c r="I76" i="36" s="1"/>
  <c r="AB75" i="36"/>
  <c r="G75" i="36"/>
  <c r="I75" i="36" s="1"/>
  <c r="AB74" i="36"/>
  <c r="Y71" i="36"/>
  <c r="Y70" i="36"/>
  <c r="Y69" i="36"/>
  <c r="Y68" i="36"/>
  <c r="Y66" i="36"/>
  <c r="X65" i="36"/>
  <c r="G65" i="36"/>
  <c r="X64" i="36" s="1"/>
  <c r="Y58" i="36" s="1"/>
  <c r="X61" i="36"/>
  <c r="X60" i="36"/>
  <c r="J56" i="36"/>
  <c r="AA56" i="36" s="1"/>
  <c r="AA53" i="36"/>
  <c r="Z49" i="36"/>
  <c r="G49" i="36"/>
  <c r="Z48" i="36"/>
  <c r="G48" i="36"/>
  <c r="Z47" i="36"/>
  <c r="X47" i="36"/>
  <c r="G47" i="36"/>
  <c r="X40" i="36"/>
  <c r="K40" i="36"/>
  <c r="X39" i="36"/>
  <c r="AB40" i="36" s="1"/>
  <c r="X37" i="36"/>
  <c r="E37" i="36"/>
  <c r="D37" i="36"/>
  <c r="AB36" i="36"/>
  <c r="AC36" i="36" s="1"/>
  <c r="L36" i="36"/>
  <c r="AB35" i="36"/>
  <c r="AC35" i="36" s="1"/>
  <c r="L35" i="36"/>
  <c r="AB34" i="36"/>
  <c r="AC34" i="36" s="1"/>
  <c r="L34" i="36"/>
  <c r="AB33" i="36"/>
  <c r="AC33" i="36" s="1"/>
  <c r="L33" i="36"/>
  <c r="AB32" i="36"/>
  <c r="AC32" i="36" s="1"/>
  <c r="L32" i="36"/>
  <c r="AB31" i="36"/>
  <c r="AC31" i="36" s="1"/>
  <c r="L31" i="36"/>
  <c r="AB30" i="36"/>
  <c r="AC30" i="36" s="1"/>
  <c r="L30" i="36"/>
  <c r="AB29" i="36"/>
  <c r="AC29" i="36" s="1"/>
  <c r="L29" i="36"/>
  <c r="AB28" i="36"/>
  <c r="AC28" i="36" s="1"/>
  <c r="L28" i="36"/>
  <c r="E26" i="36"/>
  <c r="D26" i="36"/>
  <c r="K25" i="36"/>
  <c r="L25" i="36" s="1"/>
  <c r="I24" i="36"/>
  <c r="K24" i="36"/>
  <c r="L24" i="36" s="1"/>
  <c r="K23" i="36"/>
  <c r="L23" i="36" s="1"/>
  <c r="I23" i="36"/>
  <c r="K22" i="36"/>
  <c r="L22" i="36" s="1"/>
  <c r="I21" i="36"/>
  <c r="K21" i="36"/>
  <c r="L21" i="36" s="1"/>
  <c r="K20" i="36"/>
  <c r="L20" i="36" s="1"/>
  <c r="I20" i="36"/>
  <c r="K19" i="36"/>
  <c r="L19" i="36" s="1"/>
  <c r="I18" i="36"/>
  <c r="K18" i="36"/>
  <c r="L18" i="36" s="1"/>
  <c r="K17" i="36"/>
  <c r="L17" i="36" s="1"/>
  <c r="I17" i="36"/>
  <c r="K16" i="36"/>
  <c r="L16" i="36" s="1"/>
  <c r="I15" i="36"/>
  <c r="K15" i="36"/>
  <c r="L15" i="36" s="1"/>
  <c r="K14" i="36"/>
  <c r="I13" i="36"/>
  <c r="M13" i="36"/>
  <c r="K12" i="36"/>
  <c r="I11" i="36"/>
  <c r="K10" i="36"/>
  <c r="AB7" i="36"/>
  <c r="X49" i="36" s="1"/>
  <c r="X7" i="36"/>
  <c r="V4" i="36"/>
  <c r="B3" i="36"/>
  <c r="V2" i="36"/>
  <c r="M11" i="36" l="1"/>
  <c r="G37" i="36"/>
  <c r="K13" i="36"/>
  <c r="L13" i="36" s="1"/>
  <c r="L76" i="36"/>
  <c r="Z75" i="36"/>
  <c r="L10" i="36"/>
  <c r="AC37" i="36"/>
  <c r="AC75" i="36"/>
  <c r="AC74" i="36"/>
  <c r="L12" i="36"/>
  <c r="C49" i="36"/>
  <c r="K49" i="36" s="1"/>
  <c r="L14" i="36"/>
  <c r="L37" i="36"/>
  <c r="L75" i="36"/>
  <c r="Z74" i="36"/>
  <c r="M15" i="36"/>
  <c r="K11" i="36"/>
  <c r="L11" i="36" s="1"/>
  <c r="X48" i="36"/>
  <c r="G26" i="36"/>
  <c r="C48" i="36" l="1"/>
  <c r="K48" i="36" s="1"/>
  <c r="C47" i="36"/>
  <c r="K26" i="36"/>
  <c r="G53" i="36" s="1"/>
  <c r="K54" i="36" s="1"/>
  <c r="K84" i="36"/>
  <c r="G56" i="36"/>
  <c r="K57" i="36" s="1"/>
  <c r="L40" i="36"/>
  <c r="L26" i="36"/>
  <c r="L44" i="36" l="1"/>
  <c r="X23" i="36"/>
  <c r="AB23" i="36" s="1"/>
  <c r="AC23" i="36" s="1"/>
  <c r="X20" i="36"/>
  <c r="AB20" i="36" s="1"/>
  <c r="AC20" i="36" s="1"/>
  <c r="X17" i="36"/>
  <c r="AB17" i="36" s="1"/>
  <c r="AC17" i="36" s="1"/>
  <c r="X24" i="36"/>
  <c r="AB24" i="36" s="1"/>
  <c r="AC24" i="36" s="1"/>
  <c r="X21" i="36"/>
  <c r="AB21" i="36" s="1"/>
  <c r="AC21" i="36" s="1"/>
  <c r="X18" i="36"/>
  <c r="AB18" i="36" s="1"/>
  <c r="AC18" i="36" s="1"/>
  <c r="X15" i="36"/>
  <c r="AB15" i="36" s="1"/>
  <c r="AC15" i="36" s="1"/>
  <c r="X14" i="36"/>
  <c r="AB14" i="36" s="1"/>
  <c r="X11" i="36"/>
  <c r="AB11" i="36" s="1"/>
  <c r="AC11" i="36" s="1"/>
  <c r="X10" i="36"/>
  <c r="X25" i="36"/>
  <c r="AB25" i="36" s="1"/>
  <c r="AC25" i="36" s="1"/>
  <c r="X22" i="36"/>
  <c r="AB22" i="36" s="1"/>
  <c r="AC22" i="36" s="1"/>
  <c r="X19" i="36"/>
  <c r="AB19" i="36" s="1"/>
  <c r="AC19" i="36" s="1"/>
  <c r="X16" i="36"/>
  <c r="AB16" i="36" s="1"/>
  <c r="AC16" i="36" s="1"/>
  <c r="X13" i="36"/>
  <c r="AB13" i="36" s="1"/>
  <c r="AC13" i="36" s="1"/>
  <c r="X12" i="36"/>
  <c r="AB12" i="36" s="1"/>
  <c r="K77" i="36"/>
  <c r="L77" i="36" s="1"/>
  <c r="K67" i="36"/>
  <c r="L67" i="36" s="1"/>
  <c r="K70" i="36"/>
  <c r="L70" i="36" s="1"/>
  <c r="K59" i="36"/>
  <c r="L59" i="36" s="1"/>
  <c r="K78" i="36"/>
  <c r="L78" i="36" s="1"/>
  <c r="K71" i="36"/>
  <c r="L71" i="36" s="1"/>
  <c r="K69" i="36"/>
  <c r="L69" i="36" s="1"/>
  <c r="K72" i="36"/>
  <c r="L72" i="36" s="1"/>
  <c r="K47" i="36"/>
  <c r="L50" i="36" s="1"/>
  <c r="C50" i="36"/>
  <c r="L82" i="36" l="1"/>
  <c r="K86" i="36" s="1"/>
  <c r="W48" i="36"/>
  <c r="AB48" i="36" s="1"/>
  <c r="AC12" i="36"/>
  <c r="AB10" i="36"/>
  <c r="X26" i="36"/>
  <c r="W49" i="36"/>
  <c r="AB49" i="36" s="1"/>
  <c r="AC14" i="36"/>
  <c r="L86" i="36" l="1"/>
  <c r="L87" i="36" s="1"/>
  <c r="L90" i="36" s="1"/>
  <c r="L92" i="36" s="1"/>
  <c r="X56" i="36"/>
  <c r="AB57" i="36" s="1"/>
  <c r="AC40" i="36"/>
  <c r="W47" i="36"/>
  <c r="AC10" i="36"/>
  <c r="AC26" i="36" s="1"/>
  <c r="AC44" i="36" s="1"/>
  <c r="AB26" i="36"/>
  <c r="X53" i="36" s="1"/>
  <c r="AB54" i="36" s="1"/>
  <c r="AB77" i="36" l="1"/>
  <c r="AC77" i="36" s="1"/>
  <c r="AB70" i="36"/>
  <c r="AC70" i="36" s="1"/>
  <c r="AB69" i="36"/>
  <c r="AC69" i="36" s="1"/>
  <c r="AB58" i="36"/>
  <c r="AC58" i="36" s="1"/>
  <c r="AB66" i="36"/>
  <c r="AC66" i="36" s="1"/>
  <c r="AB76" i="36"/>
  <c r="AC76" i="36" s="1"/>
  <c r="AB68" i="36"/>
  <c r="AC68" i="36" s="1"/>
  <c r="AB71" i="36"/>
  <c r="AC71" i="36" s="1"/>
  <c r="AB47" i="36"/>
  <c r="AC50" i="36" s="1"/>
  <c r="W50" i="36"/>
  <c r="L94" i="36"/>
  <c r="AC81" i="36" l="1"/>
  <c r="L84" i="36" s="1"/>
  <c r="B136" i="35"/>
  <c r="B135" i="35"/>
  <c r="V79" i="35"/>
  <c r="V78" i="35"/>
  <c r="Y77" i="35"/>
  <c r="V77" i="35"/>
  <c r="Y76" i="35"/>
  <c r="G76" i="35"/>
  <c r="I76" i="35" s="1"/>
  <c r="AB75" i="35"/>
  <c r="G75" i="35"/>
  <c r="I75" i="35" s="1"/>
  <c r="L75" i="35" s="1"/>
  <c r="AB74" i="35"/>
  <c r="Y71" i="35"/>
  <c r="Y70" i="35"/>
  <c r="Y69" i="35"/>
  <c r="Y68" i="35"/>
  <c r="Y66" i="35"/>
  <c r="X65" i="35"/>
  <c r="G65" i="35"/>
  <c r="X64" i="35"/>
  <c r="Y58" i="35" s="1"/>
  <c r="X61" i="35"/>
  <c r="X60" i="35"/>
  <c r="J56" i="35"/>
  <c r="AA56" i="35" s="1"/>
  <c r="AA53" i="35"/>
  <c r="Z49" i="35"/>
  <c r="G49" i="35"/>
  <c r="Z48" i="35"/>
  <c r="X48" i="35"/>
  <c r="G48" i="35"/>
  <c r="Z47" i="35"/>
  <c r="X47" i="35"/>
  <c r="G47" i="35"/>
  <c r="X40" i="35"/>
  <c r="K40" i="35"/>
  <c r="X39" i="35"/>
  <c r="AB40" i="35" s="1"/>
  <c r="X37" i="35"/>
  <c r="E37" i="35"/>
  <c r="D37" i="35"/>
  <c r="AB36" i="35"/>
  <c r="AC36" i="35" s="1"/>
  <c r="L36" i="35"/>
  <c r="AB35" i="35"/>
  <c r="AC35" i="35" s="1"/>
  <c r="L35" i="35"/>
  <c r="AB34" i="35"/>
  <c r="AC34" i="35" s="1"/>
  <c r="L34" i="35"/>
  <c r="AB33" i="35"/>
  <c r="AC33" i="35" s="1"/>
  <c r="L33" i="35"/>
  <c r="AB32" i="35"/>
  <c r="AC32" i="35" s="1"/>
  <c r="L32" i="35"/>
  <c r="AB31" i="35"/>
  <c r="AC31" i="35" s="1"/>
  <c r="L31" i="35"/>
  <c r="AB30" i="35"/>
  <c r="AC30" i="35" s="1"/>
  <c r="L30" i="35"/>
  <c r="AB29" i="35"/>
  <c r="AC29" i="35" s="1"/>
  <c r="L29" i="35"/>
  <c r="AB28" i="35"/>
  <c r="AC28" i="35" s="1"/>
  <c r="AC37" i="35" s="1"/>
  <c r="L28" i="35"/>
  <c r="E26" i="35"/>
  <c r="D26" i="35"/>
  <c r="K25" i="35"/>
  <c r="L25" i="35" s="1"/>
  <c r="I23" i="35"/>
  <c r="I24" i="35" s="1"/>
  <c r="K24" i="35" s="1"/>
  <c r="L24" i="35" s="1"/>
  <c r="K22" i="35"/>
  <c r="L22" i="35" s="1"/>
  <c r="I20" i="35"/>
  <c r="K19" i="35"/>
  <c r="L19" i="35" s="1"/>
  <c r="I17" i="35"/>
  <c r="K16" i="35"/>
  <c r="L16" i="35" s="1"/>
  <c r="I15" i="35"/>
  <c r="K15" i="35"/>
  <c r="L15" i="35" s="1"/>
  <c r="K14" i="35"/>
  <c r="I13" i="35"/>
  <c r="M13" i="35"/>
  <c r="K12" i="35"/>
  <c r="I11" i="35"/>
  <c r="K11" i="35"/>
  <c r="L11" i="35" s="1"/>
  <c r="K10" i="35"/>
  <c r="AB7" i="35"/>
  <c r="X49" i="35" s="1"/>
  <c r="X7" i="35"/>
  <c r="V4" i="35"/>
  <c r="B3" i="35"/>
  <c r="V2" i="35"/>
  <c r="L37" i="35" l="1"/>
  <c r="G37" i="35"/>
  <c r="K13" i="35"/>
  <c r="L13" i="35" s="1"/>
  <c r="C47" i="35"/>
  <c r="L10" i="35"/>
  <c r="L76" i="35"/>
  <c r="Z75" i="35"/>
  <c r="AC75" i="35" s="1"/>
  <c r="L14" i="35"/>
  <c r="I18" i="35"/>
  <c r="K18" i="35" s="1"/>
  <c r="L18" i="35" s="1"/>
  <c r="K17" i="35"/>
  <c r="L17" i="35" s="1"/>
  <c r="I21" i="35"/>
  <c r="K21" i="35" s="1"/>
  <c r="L21" i="35" s="1"/>
  <c r="K20" i="35"/>
  <c r="L20" i="35" s="1"/>
  <c r="L12" i="35"/>
  <c r="Z74" i="35"/>
  <c r="AC74" i="35" s="1"/>
  <c r="G26" i="35"/>
  <c r="M11" i="35"/>
  <c r="M15" i="35"/>
  <c r="K23" i="35"/>
  <c r="L23" i="35" s="1"/>
  <c r="C48" i="35" l="1"/>
  <c r="K48" i="35" s="1"/>
  <c r="K26" i="35"/>
  <c r="G53" i="35" s="1"/>
  <c r="K54" i="35" s="1"/>
  <c r="C49" i="35"/>
  <c r="K49" i="35" s="1"/>
  <c r="L26" i="35"/>
  <c r="K84" i="35"/>
  <c r="G56" i="35"/>
  <c r="K57" i="35" s="1"/>
  <c r="L40" i="35"/>
  <c r="K47" i="35"/>
  <c r="L50" i="35" l="1"/>
  <c r="L44" i="35"/>
  <c r="X23" i="35"/>
  <c r="AB23" i="35" s="1"/>
  <c r="AC23" i="35" s="1"/>
  <c r="X20" i="35"/>
  <c r="AB20" i="35" s="1"/>
  <c r="AC20" i="35" s="1"/>
  <c r="X17" i="35"/>
  <c r="AB17" i="35" s="1"/>
  <c r="AC17" i="35" s="1"/>
  <c r="X25" i="35"/>
  <c r="AB25" i="35" s="1"/>
  <c r="AC25" i="35" s="1"/>
  <c r="X22" i="35"/>
  <c r="AB22" i="35" s="1"/>
  <c r="AC22" i="35" s="1"/>
  <c r="X24" i="35"/>
  <c r="AB24" i="35" s="1"/>
  <c r="AC24" i="35" s="1"/>
  <c r="X21" i="35"/>
  <c r="AB21" i="35" s="1"/>
  <c r="AC21" i="35" s="1"/>
  <c r="X18" i="35"/>
  <c r="AB18" i="35" s="1"/>
  <c r="AC18" i="35" s="1"/>
  <c r="X15" i="35"/>
  <c r="AB15" i="35" s="1"/>
  <c r="AC15" i="35" s="1"/>
  <c r="X14" i="35"/>
  <c r="AB14" i="35" s="1"/>
  <c r="X11" i="35"/>
  <c r="AB11" i="35" s="1"/>
  <c r="AC11" i="35" s="1"/>
  <c r="X10" i="35"/>
  <c r="X19" i="35"/>
  <c r="AB19" i="35" s="1"/>
  <c r="AC19" i="35" s="1"/>
  <c r="X16" i="35"/>
  <c r="AB16" i="35" s="1"/>
  <c r="AC16" i="35" s="1"/>
  <c r="X12" i="35"/>
  <c r="AB12" i="35" s="1"/>
  <c r="X13" i="35"/>
  <c r="AB13" i="35" s="1"/>
  <c r="AC13" i="35" s="1"/>
  <c r="C50" i="35"/>
  <c r="K69" i="35"/>
  <c r="L69" i="35" s="1"/>
  <c r="K72" i="35"/>
  <c r="L72" i="35" s="1"/>
  <c r="K77" i="35"/>
  <c r="L77" i="35" s="1"/>
  <c r="K71" i="35"/>
  <c r="L71" i="35" s="1"/>
  <c r="K67" i="35"/>
  <c r="L67" i="35" s="1"/>
  <c r="K78" i="35"/>
  <c r="L78" i="35" s="1"/>
  <c r="K70" i="35"/>
  <c r="L70" i="35" s="1"/>
  <c r="K59" i="35"/>
  <c r="L59" i="35" s="1"/>
  <c r="L82" i="35" l="1"/>
  <c r="K86" i="35" s="1"/>
  <c r="L86" i="35" s="1"/>
  <c r="W49" i="35"/>
  <c r="AB49" i="35" s="1"/>
  <c r="AC14" i="35"/>
  <c r="W48" i="35"/>
  <c r="AB48" i="35" s="1"/>
  <c r="AC12" i="35"/>
  <c r="AB10" i="35"/>
  <c r="X26" i="35"/>
  <c r="L87" i="35" l="1"/>
  <c r="L90" i="35" s="1"/>
  <c r="L92" i="35" s="1"/>
  <c r="X56" i="35"/>
  <c r="AB57" i="35" s="1"/>
  <c r="AC40" i="35"/>
  <c r="AB26" i="35"/>
  <c r="X53" i="35" s="1"/>
  <c r="AB54" i="35" s="1"/>
  <c r="W47" i="35"/>
  <c r="AC10" i="35"/>
  <c r="AC26" i="35" s="1"/>
  <c r="AC44" i="35" l="1"/>
  <c r="AB77" i="35"/>
  <c r="AC77" i="35" s="1"/>
  <c r="AB70" i="35"/>
  <c r="AC70" i="35" s="1"/>
  <c r="AB69" i="35"/>
  <c r="AC69" i="35" s="1"/>
  <c r="AB58" i="35"/>
  <c r="AC58" i="35" s="1"/>
  <c r="AB76" i="35"/>
  <c r="AC76" i="35" s="1"/>
  <c r="AB66" i="35"/>
  <c r="AC66" i="35" s="1"/>
  <c r="AB68" i="35"/>
  <c r="AC68" i="35" s="1"/>
  <c r="AB71" i="35"/>
  <c r="AC71" i="35" s="1"/>
  <c r="AB47" i="35"/>
  <c r="AC50" i="35" s="1"/>
  <c r="AC81" i="35" s="1"/>
  <c r="L84" i="35" s="1"/>
  <c r="W50" i="35"/>
  <c r="L94" i="35"/>
  <c r="B136" i="34" l="1"/>
  <c r="B135" i="34"/>
  <c r="M86" i="34"/>
  <c r="V79" i="34"/>
  <c r="V78" i="34"/>
  <c r="Y77" i="34"/>
  <c r="V77" i="34"/>
  <c r="Y76" i="34"/>
  <c r="G76" i="34"/>
  <c r="I76" i="34" s="1"/>
  <c r="AB75" i="34"/>
  <c r="G75" i="34"/>
  <c r="I75" i="34" s="1"/>
  <c r="AB74" i="34"/>
  <c r="Y71" i="34"/>
  <c r="Y70" i="34"/>
  <c r="Y69" i="34"/>
  <c r="Y68" i="34"/>
  <c r="Y66" i="34"/>
  <c r="X65" i="34"/>
  <c r="G65" i="34"/>
  <c r="X64" i="34"/>
  <c r="Y58" i="34" s="1"/>
  <c r="X61" i="34"/>
  <c r="X60" i="34"/>
  <c r="J56" i="34"/>
  <c r="AA56" i="34" s="1"/>
  <c r="AA53" i="34"/>
  <c r="Z49" i="34"/>
  <c r="G49" i="34"/>
  <c r="Z48" i="34"/>
  <c r="X48" i="34"/>
  <c r="G48" i="34"/>
  <c r="Z47" i="34"/>
  <c r="G47" i="34"/>
  <c r="X40" i="34"/>
  <c r="K40" i="34"/>
  <c r="X39" i="34"/>
  <c r="AB40" i="34" s="1"/>
  <c r="AC37" i="34"/>
  <c r="X37" i="34"/>
  <c r="E37" i="34"/>
  <c r="D37" i="34"/>
  <c r="AC36" i="34"/>
  <c r="AB36" i="34"/>
  <c r="L36" i="34"/>
  <c r="AC35" i="34"/>
  <c r="AB35" i="34"/>
  <c r="L35" i="34"/>
  <c r="AC34" i="34"/>
  <c r="AB34" i="34"/>
  <c r="L34" i="34"/>
  <c r="AC33" i="34"/>
  <c r="AB33" i="34"/>
  <c r="L33" i="34"/>
  <c r="AC32" i="34"/>
  <c r="AB32" i="34"/>
  <c r="L32" i="34"/>
  <c r="AC31" i="34"/>
  <c r="AB31" i="34"/>
  <c r="L31" i="34"/>
  <c r="AC30" i="34"/>
  <c r="AB30" i="34"/>
  <c r="L30" i="34"/>
  <c r="AC29" i="34"/>
  <c r="AB29" i="34"/>
  <c r="L29" i="34"/>
  <c r="AC28" i="34"/>
  <c r="AB28" i="34"/>
  <c r="L28" i="34"/>
  <c r="E26" i="34"/>
  <c r="D26" i="34"/>
  <c r="K25" i="34"/>
  <c r="L25" i="34" s="1"/>
  <c r="I23" i="34"/>
  <c r="I24" i="34" s="1"/>
  <c r="K24" i="34" s="1"/>
  <c r="L24" i="34" s="1"/>
  <c r="K23" i="34"/>
  <c r="L23" i="34" s="1"/>
  <c r="K22" i="34"/>
  <c r="L22" i="34" s="1"/>
  <c r="I20" i="34"/>
  <c r="I21" i="34" s="1"/>
  <c r="K21" i="34" s="1"/>
  <c r="L21" i="34" s="1"/>
  <c r="K20" i="34"/>
  <c r="L20" i="34" s="1"/>
  <c r="K19" i="34"/>
  <c r="L19" i="34" s="1"/>
  <c r="I17" i="34"/>
  <c r="I18" i="34" s="1"/>
  <c r="K18" i="34" s="1"/>
  <c r="L18" i="34" s="1"/>
  <c r="K17" i="34"/>
  <c r="L17" i="34" s="1"/>
  <c r="K16" i="34"/>
  <c r="L16" i="34" s="1"/>
  <c r="K15" i="34"/>
  <c r="L15" i="34" s="1"/>
  <c r="I15" i="34"/>
  <c r="M15" i="34"/>
  <c r="K14" i="34"/>
  <c r="I13" i="34"/>
  <c r="M13" i="34"/>
  <c r="K12" i="34"/>
  <c r="L12" i="34" s="1"/>
  <c r="I11" i="34"/>
  <c r="M11" i="34"/>
  <c r="K10" i="34"/>
  <c r="AB7" i="34"/>
  <c r="X49" i="34" s="1"/>
  <c r="X7" i="34"/>
  <c r="V4" i="34"/>
  <c r="B3" i="34"/>
  <c r="V2" i="34"/>
  <c r="L75" i="34" l="1"/>
  <c r="Z74" i="34"/>
  <c r="AC74" i="34" s="1"/>
  <c r="G37" i="34"/>
  <c r="L37" i="34"/>
  <c r="G26" i="34"/>
  <c r="G56" i="34" s="1"/>
  <c r="K57" i="34" s="1"/>
  <c r="K11" i="34"/>
  <c r="L11" i="34" s="1"/>
  <c r="L76" i="34"/>
  <c r="AC75" i="34"/>
  <c r="C49" i="34"/>
  <c r="K49" i="34" s="1"/>
  <c r="L10" i="34"/>
  <c r="K13" i="34"/>
  <c r="L14" i="34"/>
  <c r="X47" i="34"/>
  <c r="C47" i="34" l="1"/>
  <c r="K84" i="34"/>
  <c r="L40" i="34"/>
  <c r="K47" i="34"/>
  <c r="L13" i="34"/>
  <c r="L26" i="34" s="1"/>
  <c r="L44" i="34" s="1"/>
  <c r="C48" i="34"/>
  <c r="K48" i="34" s="1"/>
  <c r="L50" i="34" s="1"/>
  <c r="X23" i="34"/>
  <c r="AB23" i="34" s="1"/>
  <c r="AC23" i="34" s="1"/>
  <c r="X20" i="34"/>
  <c r="AB20" i="34" s="1"/>
  <c r="AC20" i="34" s="1"/>
  <c r="X17" i="34"/>
  <c r="AB17" i="34" s="1"/>
  <c r="AC17" i="34" s="1"/>
  <c r="X22" i="34"/>
  <c r="AB22" i="34" s="1"/>
  <c r="AC22" i="34" s="1"/>
  <c r="X19" i="34"/>
  <c r="AB19" i="34" s="1"/>
  <c r="AC19" i="34" s="1"/>
  <c r="X12" i="34"/>
  <c r="AB12" i="34" s="1"/>
  <c r="X24" i="34"/>
  <c r="AB24" i="34" s="1"/>
  <c r="AC24" i="34" s="1"/>
  <c r="X21" i="34"/>
  <c r="AB21" i="34" s="1"/>
  <c r="AC21" i="34" s="1"/>
  <c r="X18" i="34"/>
  <c r="AB18" i="34" s="1"/>
  <c r="AC18" i="34" s="1"/>
  <c r="X15" i="34"/>
  <c r="AB15" i="34" s="1"/>
  <c r="AC15" i="34" s="1"/>
  <c r="X14" i="34"/>
  <c r="AB14" i="34" s="1"/>
  <c r="X11" i="34"/>
  <c r="AB11" i="34" s="1"/>
  <c r="AC11" i="34" s="1"/>
  <c r="X10" i="34"/>
  <c r="X25" i="34"/>
  <c r="AB25" i="34" s="1"/>
  <c r="AC25" i="34" s="1"/>
  <c r="X16" i="34"/>
  <c r="AB16" i="34" s="1"/>
  <c r="AC16" i="34" s="1"/>
  <c r="X13" i="34"/>
  <c r="AB13" i="34" s="1"/>
  <c r="AC13" i="34" s="1"/>
  <c r="K69" i="34"/>
  <c r="L69" i="34" s="1"/>
  <c r="K72" i="34"/>
  <c r="L72" i="34" s="1"/>
  <c r="K26" i="34"/>
  <c r="G53" i="34" s="1"/>
  <c r="K54" i="34" s="1"/>
  <c r="W49" i="34" l="1"/>
  <c r="AB49" i="34" s="1"/>
  <c r="AC14" i="34"/>
  <c r="W48" i="34"/>
  <c r="AB48" i="34" s="1"/>
  <c r="AC12" i="34"/>
  <c r="K77" i="34"/>
  <c r="L77" i="34" s="1"/>
  <c r="K67" i="34"/>
  <c r="L67" i="34" s="1"/>
  <c r="K59" i="34"/>
  <c r="L59" i="34" s="1"/>
  <c r="K78" i="34"/>
  <c r="L78" i="34" s="1"/>
  <c r="K71" i="34"/>
  <c r="L71" i="34" s="1"/>
  <c r="K70" i="34"/>
  <c r="L70" i="34" s="1"/>
  <c r="AB10" i="34"/>
  <c r="X26" i="34"/>
  <c r="C50" i="34"/>
  <c r="L82" i="34" l="1"/>
  <c r="AC10" i="34"/>
  <c r="AC26" i="34" s="1"/>
  <c r="AB26" i="34"/>
  <c r="X53" i="34" s="1"/>
  <c r="AB54" i="34" s="1"/>
  <c r="W47" i="34"/>
  <c r="X56" i="34"/>
  <c r="AB57" i="34" s="1"/>
  <c r="AC40" i="34"/>
  <c r="AB77" i="34" l="1"/>
  <c r="AC77" i="34" s="1"/>
  <c r="AB70" i="34"/>
  <c r="AC70" i="34" s="1"/>
  <c r="AB69" i="34"/>
  <c r="AC69" i="34" s="1"/>
  <c r="AB58" i="34"/>
  <c r="AC58" i="34" s="1"/>
  <c r="AB66" i="34"/>
  <c r="AC66" i="34" s="1"/>
  <c r="AB76" i="34"/>
  <c r="AC76" i="34" s="1"/>
  <c r="AB47" i="34"/>
  <c r="AC50" i="34" s="1"/>
  <c r="W50" i="34"/>
  <c r="AC44" i="34"/>
  <c r="AB68" i="34"/>
  <c r="AC68" i="34" s="1"/>
  <c r="AB71" i="34"/>
  <c r="AC71" i="34" s="1"/>
  <c r="AC81" i="34" l="1"/>
  <c r="L84" i="34" s="1"/>
  <c r="K86" i="34" s="1"/>
  <c r="L86" i="34" l="1"/>
  <c r="L87" i="34" s="1"/>
  <c r="L90" i="34" s="1"/>
  <c r="L92" i="34" s="1"/>
  <c r="L94" i="34" l="1"/>
  <c r="B136" i="33" l="1"/>
  <c r="B135" i="33"/>
  <c r="M86" i="33"/>
  <c r="V79" i="33"/>
  <c r="V78" i="33"/>
  <c r="Y77" i="33"/>
  <c r="V77" i="33"/>
  <c r="Y76" i="33"/>
  <c r="G76" i="33"/>
  <c r="I76" i="33" s="1"/>
  <c r="AB75" i="33"/>
  <c r="G75" i="33"/>
  <c r="I75" i="33" s="1"/>
  <c r="AB74" i="33"/>
  <c r="Y71" i="33"/>
  <c r="Y70" i="33"/>
  <c r="Y69" i="33"/>
  <c r="Y68" i="33"/>
  <c r="Y66" i="33"/>
  <c r="X65" i="33"/>
  <c r="G65" i="33"/>
  <c r="X64" i="33"/>
  <c r="Y58" i="33" s="1"/>
  <c r="X61" i="33"/>
  <c r="X60" i="33"/>
  <c r="J56" i="33"/>
  <c r="AA56" i="33" s="1"/>
  <c r="AA53" i="33"/>
  <c r="Z49" i="33"/>
  <c r="G49" i="33"/>
  <c r="Z48" i="33"/>
  <c r="X48" i="33"/>
  <c r="G48" i="33"/>
  <c r="Z47" i="33"/>
  <c r="G47" i="33"/>
  <c r="X40" i="33"/>
  <c r="K40" i="33"/>
  <c r="X39" i="33"/>
  <c r="AB40" i="33" s="1"/>
  <c r="AC37" i="33"/>
  <c r="X37" i="33"/>
  <c r="E37" i="33"/>
  <c r="D37" i="33"/>
  <c r="AC36" i="33"/>
  <c r="AB36" i="33"/>
  <c r="L36" i="33"/>
  <c r="AC35" i="33"/>
  <c r="AB35" i="33"/>
  <c r="L35" i="33"/>
  <c r="AC34" i="33"/>
  <c r="AB34" i="33"/>
  <c r="L34" i="33"/>
  <c r="AC33" i="33"/>
  <c r="AB33" i="33"/>
  <c r="L33" i="33"/>
  <c r="AC32" i="33"/>
  <c r="AB32" i="33"/>
  <c r="L32" i="33"/>
  <c r="AC31" i="33"/>
  <c r="AB31" i="33"/>
  <c r="L31" i="33"/>
  <c r="AC30" i="33"/>
  <c r="AB30" i="33"/>
  <c r="L30" i="33"/>
  <c r="AC29" i="33"/>
  <c r="AB29" i="33"/>
  <c r="L29" i="33"/>
  <c r="AC28" i="33"/>
  <c r="AB28" i="33"/>
  <c r="E26" i="33"/>
  <c r="D26" i="33"/>
  <c r="K25" i="33"/>
  <c r="L25" i="33" s="1"/>
  <c r="I23" i="33"/>
  <c r="I24" i="33" s="1"/>
  <c r="K24" i="33" s="1"/>
  <c r="L24" i="33" s="1"/>
  <c r="K23" i="33"/>
  <c r="L23" i="33" s="1"/>
  <c r="K22" i="33"/>
  <c r="L22" i="33" s="1"/>
  <c r="I20" i="33"/>
  <c r="I21" i="33" s="1"/>
  <c r="K21" i="33" s="1"/>
  <c r="L21" i="33" s="1"/>
  <c r="K20" i="33"/>
  <c r="L20" i="33" s="1"/>
  <c r="K19" i="33"/>
  <c r="L19" i="33" s="1"/>
  <c r="I17" i="33"/>
  <c r="I18" i="33" s="1"/>
  <c r="K18" i="33" s="1"/>
  <c r="L18" i="33" s="1"/>
  <c r="K17" i="33"/>
  <c r="L17" i="33" s="1"/>
  <c r="K16" i="33"/>
  <c r="L16" i="33" s="1"/>
  <c r="K15" i="33"/>
  <c r="L15" i="33" s="1"/>
  <c r="I15" i="33"/>
  <c r="M15" i="33"/>
  <c r="K14" i="33"/>
  <c r="I13" i="33"/>
  <c r="M13" i="33"/>
  <c r="K12" i="33"/>
  <c r="L12" i="33" s="1"/>
  <c r="I11" i="33"/>
  <c r="M11" i="33"/>
  <c r="AB7" i="33"/>
  <c r="X49" i="33" s="1"/>
  <c r="X7" i="33"/>
  <c r="V4" i="33"/>
  <c r="B3" i="33"/>
  <c r="V2" i="33"/>
  <c r="L75" i="33" l="1"/>
  <c r="Z74" i="33"/>
  <c r="AC74" i="33"/>
  <c r="G37" i="33"/>
  <c r="L28" i="33"/>
  <c r="L37" i="33" s="1"/>
  <c r="K11" i="33"/>
  <c r="L11" i="33" s="1"/>
  <c r="G26" i="33"/>
  <c r="G56" i="33" s="1"/>
  <c r="K57" i="33" s="1"/>
  <c r="K10" i="33"/>
  <c r="L76" i="33"/>
  <c r="Z75" i="33"/>
  <c r="AC75" i="33" s="1"/>
  <c r="C49" i="33"/>
  <c r="K49" i="33" s="1"/>
  <c r="L10" i="33"/>
  <c r="K13" i="33"/>
  <c r="L14" i="33"/>
  <c r="C47" i="33"/>
  <c r="X47" i="33"/>
  <c r="K84" i="33" l="1"/>
  <c r="X20" i="33" s="1"/>
  <c r="AB20" i="33" s="1"/>
  <c r="AC20" i="33" s="1"/>
  <c r="L40" i="33"/>
  <c r="K47" i="33"/>
  <c r="K69" i="33"/>
  <c r="L69" i="33" s="1"/>
  <c r="K72" i="33"/>
  <c r="L72" i="33" s="1"/>
  <c r="L13" i="33"/>
  <c r="C48" i="33"/>
  <c r="K48" i="33" s="1"/>
  <c r="L50" i="33" s="1"/>
  <c r="K26" i="33"/>
  <c r="G53" i="33" s="1"/>
  <c r="K54" i="33" s="1"/>
  <c r="X23" i="33"/>
  <c r="AB23" i="33" s="1"/>
  <c r="AC23" i="33" s="1"/>
  <c r="X19" i="33"/>
  <c r="AB19" i="33" s="1"/>
  <c r="AC19" i="33" s="1"/>
  <c r="X21" i="33"/>
  <c r="AB21" i="33" s="1"/>
  <c r="AC21" i="33" s="1"/>
  <c r="X11" i="33"/>
  <c r="AB11" i="33" s="1"/>
  <c r="AC11" i="33" s="1"/>
  <c r="X25" i="33"/>
  <c r="AB25" i="33" s="1"/>
  <c r="AC25" i="33" s="1"/>
  <c r="L26" i="33"/>
  <c r="L44" i="33" s="1"/>
  <c r="X16" i="33" l="1"/>
  <c r="AB16" i="33" s="1"/>
  <c r="AC16" i="33" s="1"/>
  <c r="X10" i="33"/>
  <c r="X15" i="33"/>
  <c r="AB15" i="33" s="1"/>
  <c r="AC15" i="33" s="1"/>
  <c r="X12" i="33"/>
  <c r="AB12" i="33" s="1"/>
  <c r="X17" i="33"/>
  <c r="AB17" i="33" s="1"/>
  <c r="AC17" i="33" s="1"/>
  <c r="X14" i="33"/>
  <c r="AB14" i="33" s="1"/>
  <c r="X18" i="33"/>
  <c r="AB18" i="33" s="1"/>
  <c r="AC18" i="33" s="1"/>
  <c r="X24" i="33"/>
  <c r="AB24" i="33" s="1"/>
  <c r="AC24" i="33" s="1"/>
  <c r="X13" i="33"/>
  <c r="AB13" i="33" s="1"/>
  <c r="AC13" i="33" s="1"/>
  <c r="X22" i="33"/>
  <c r="AB22" i="33" s="1"/>
  <c r="AC22" i="33" s="1"/>
  <c r="AC14" i="33"/>
  <c r="K77" i="33"/>
  <c r="L77" i="33" s="1"/>
  <c r="K67" i="33"/>
  <c r="L67" i="33" s="1"/>
  <c r="K78" i="33"/>
  <c r="L78" i="33" s="1"/>
  <c r="K71" i="33"/>
  <c r="L71" i="33" s="1"/>
  <c r="K70" i="33"/>
  <c r="L70" i="33" s="1"/>
  <c r="K59" i="33"/>
  <c r="L59" i="33" s="1"/>
  <c r="AB10" i="33"/>
  <c r="X26" i="33"/>
  <c r="C50" i="33"/>
  <c r="W48" i="33"/>
  <c r="AB48" i="33" s="1"/>
  <c r="AC12" i="33"/>
  <c r="L82" i="33" l="1"/>
  <c r="W49" i="33"/>
  <c r="AB49" i="33" s="1"/>
  <c r="K86" i="33"/>
  <c r="X56" i="33"/>
  <c r="AB57" i="33" s="1"/>
  <c r="AC40" i="33"/>
  <c r="AC10" i="33"/>
  <c r="AC26" i="33" s="1"/>
  <c r="AB26" i="33"/>
  <c r="X53" i="33" s="1"/>
  <c r="AB54" i="33" s="1"/>
  <c r="W47" i="33"/>
  <c r="AB47" i="33" l="1"/>
  <c r="AC50" i="33" s="1"/>
  <c r="W50" i="33"/>
  <c r="AB77" i="33"/>
  <c r="AC77" i="33" s="1"/>
  <c r="AB70" i="33"/>
  <c r="AC70" i="33" s="1"/>
  <c r="AB69" i="33"/>
  <c r="AC69" i="33" s="1"/>
  <c r="AB58" i="33"/>
  <c r="AC58" i="33" s="1"/>
  <c r="AB76" i="33"/>
  <c r="AC76" i="33" s="1"/>
  <c r="AB66" i="33"/>
  <c r="AC66" i="33" s="1"/>
  <c r="L86" i="33"/>
  <c r="L87" i="33" s="1"/>
  <c r="L90" i="33" s="1"/>
  <c r="L92" i="33" s="1"/>
  <c r="AB68" i="33"/>
  <c r="AC68" i="33" s="1"/>
  <c r="AB71" i="33"/>
  <c r="AC71" i="33" s="1"/>
  <c r="AC44" i="33"/>
  <c r="AC81" i="33" l="1"/>
  <c r="L84" i="33" s="1"/>
  <c r="L94" i="33"/>
  <c r="B136" i="32" l="1"/>
  <c r="B135" i="32"/>
  <c r="M86" i="32"/>
  <c r="V79" i="32"/>
  <c r="V78" i="32"/>
  <c r="Y77" i="32"/>
  <c r="V77" i="32"/>
  <c r="Y76" i="32"/>
  <c r="G76" i="32"/>
  <c r="I76" i="32" s="1"/>
  <c r="AB75" i="32"/>
  <c r="G75" i="32"/>
  <c r="I75" i="32" s="1"/>
  <c r="Z74" i="32" s="1"/>
  <c r="AB74" i="32"/>
  <c r="Y71" i="32"/>
  <c r="Y70" i="32"/>
  <c r="Y69" i="32"/>
  <c r="Y68" i="32"/>
  <c r="Y66" i="32"/>
  <c r="X65" i="32"/>
  <c r="G65" i="32"/>
  <c r="X64" i="32"/>
  <c r="Y58" i="32" s="1"/>
  <c r="X61" i="32"/>
  <c r="X60" i="32"/>
  <c r="J56" i="32"/>
  <c r="AA56" i="32" s="1"/>
  <c r="AA53" i="32"/>
  <c r="Z49" i="32"/>
  <c r="G49" i="32"/>
  <c r="Z48" i="32"/>
  <c r="X48" i="32"/>
  <c r="G48" i="32"/>
  <c r="Z47" i="32"/>
  <c r="G47" i="32"/>
  <c r="X40" i="32"/>
  <c r="K40" i="32"/>
  <c r="X39" i="32"/>
  <c r="AB40" i="32" s="1"/>
  <c r="AC37" i="32"/>
  <c r="X37" i="32"/>
  <c r="E37" i="32"/>
  <c r="D37" i="32"/>
  <c r="AC36" i="32"/>
  <c r="AB36" i="32"/>
  <c r="L36" i="32"/>
  <c r="AC35" i="32"/>
  <c r="AB35" i="32"/>
  <c r="L35" i="32"/>
  <c r="AC34" i="32"/>
  <c r="AB34" i="32"/>
  <c r="L34" i="32"/>
  <c r="AC33" i="32"/>
  <c r="AB33" i="32"/>
  <c r="L33" i="32"/>
  <c r="AC32" i="32"/>
  <c r="AB32" i="32"/>
  <c r="L32" i="32"/>
  <c r="AC31" i="32"/>
  <c r="AB31" i="32"/>
  <c r="L31" i="32"/>
  <c r="AC30" i="32"/>
  <c r="AB30" i="32"/>
  <c r="L30" i="32"/>
  <c r="AC29" i="32"/>
  <c r="AB29" i="32"/>
  <c r="L29" i="32"/>
  <c r="AC28" i="32"/>
  <c r="AB28" i="32"/>
  <c r="E26" i="32"/>
  <c r="D26" i="32"/>
  <c r="K25" i="32"/>
  <c r="L25" i="32" s="1"/>
  <c r="I23" i="32"/>
  <c r="I24" i="32" s="1"/>
  <c r="K24" i="32" s="1"/>
  <c r="L24" i="32" s="1"/>
  <c r="K23" i="32"/>
  <c r="L23" i="32" s="1"/>
  <c r="K22" i="32"/>
  <c r="L22" i="32" s="1"/>
  <c r="I20" i="32"/>
  <c r="I21" i="32" s="1"/>
  <c r="K21" i="32" s="1"/>
  <c r="L21" i="32" s="1"/>
  <c r="K20" i="32"/>
  <c r="L20" i="32" s="1"/>
  <c r="K19" i="32"/>
  <c r="L19" i="32" s="1"/>
  <c r="I17" i="32"/>
  <c r="I18" i="32" s="1"/>
  <c r="K18" i="32" s="1"/>
  <c r="L18" i="32" s="1"/>
  <c r="K17" i="32"/>
  <c r="L17" i="32" s="1"/>
  <c r="K16" i="32"/>
  <c r="L16" i="32" s="1"/>
  <c r="K15" i="32"/>
  <c r="L15" i="32" s="1"/>
  <c r="I15" i="32"/>
  <c r="M15" i="32"/>
  <c r="K14" i="32"/>
  <c r="I13" i="32"/>
  <c r="M13" i="32"/>
  <c r="K12" i="32"/>
  <c r="L12" i="32" s="1"/>
  <c r="I11" i="32"/>
  <c r="M11" i="32"/>
  <c r="AB7" i="32"/>
  <c r="X49" i="32" s="1"/>
  <c r="X7" i="32"/>
  <c r="V4" i="32"/>
  <c r="B3" i="32"/>
  <c r="V2" i="32"/>
  <c r="G37" i="32" l="1"/>
  <c r="L28" i="32"/>
  <c r="L37" i="32" s="1"/>
  <c r="G26" i="32"/>
  <c r="G56" i="32" s="1"/>
  <c r="K57" i="32" s="1"/>
  <c r="K11" i="32"/>
  <c r="L11" i="32" s="1"/>
  <c r="K10" i="32"/>
  <c r="AC74" i="32"/>
  <c r="L76" i="32"/>
  <c r="Z75" i="32"/>
  <c r="AC75" i="32" s="1"/>
  <c r="C49" i="32"/>
  <c r="K49" i="32" s="1"/>
  <c r="K13" i="32"/>
  <c r="L14" i="32"/>
  <c r="X47" i="32"/>
  <c r="L75" i="32"/>
  <c r="C47" i="32" l="1"/>
  <c r="L10" i="32"/>
  <c r="K84" i="32"/>
  <c r="X23" i="32" s="1"/>
  <c r="AB23" i="32" s="1"/>
  <c r="AC23" i="32" s="1"/>
  <c r="L40" i="32"/>
  <c r="L13" i="32"/>
  <c r="L26" i="32" s="1"/>
  <c r="L44" i="32" s="1"/>
  <c r="C48" i="32"/>
  <c r="K48" i="32" s="1"/>
  <c r="K47" i="32"/>
  <c r="C50" i="32"/>
  <c r="K69" i="32"/>
  <c r="L69" i="32" s="1"/>
  <c r="K72" i="32"/>
  <c r="L72" i="32" s="1"/>
  <c r="L50" i="32"/>
  <c r="K26" i="32"/>
  <c r="G53" i="32" s="1"/>
  <c r="K54" i="32" s="1"/>
  <c r="X14" i="32" l="1"/>
  <c r="AB14" i="32" s="1"/>
  <c r="X16" i="32"/>
  <c r="AB16" i="32" s="1"/>
  <c r="AC16" i="32" s="1"/>
  <c r="X24" i="32"/>
  <c r="AB24" i="32" s="1"/>
  <c r="AC24" i="32" s="1"/>
  <c r="X25" i="32"/>
  <c r="AB25" i="32" s="1"/>
  <c r="AC25" i="32" s="1"/>
  <c r="X10" i="32"/>
  <c r="X18" i="32"/>
  <c r="AB18" i="32" s="1"/>
  <c r="AC18" i="32" s="1"/>
  <c r="X19" i="32"/>
  <c r="AB19" i="32" s="1"/>
  <c r="AC19" i="32" s="1"/>
  <c r="X20" i="32"/>
  <c r="AB20" i="32" s="1"/>
  <c r="AC20" i="32" s="1"/>
  <c r="X13" i="32"/>
  <c r="AB13" i="32" s="1"/>
  <c r="AC13" i="32" s="1"/>
  <c r="X11" i="32"/>
  <c r="AB11" i="32" s="1"/>
  <c r="AC11" i="32" s="1"/>
  <c r="X15" i="32"/>
  <c r="AB15" i="32" s="1"/>
  <c r="AC15" i="32" s="1"/>
  <c r="X21" i="32"/>
  <c r="AB21" i="32" s="1"/>
  <c r="AC21" i="32" s="1"/>
  <c r="X12" i="32"/>
  <c r="AB12" i="32" s="1"/>
  <c r="X22" i="32"/>
  <c r="AB22" i="32" s="1"/>
  <c r="AC22" i="32" s="1"/>
  <c r="X17" i="32"/>
  <c r="AB17" i="32" s="1"/>
  <c r="AC17" i="32" s="1"/>
  <c r="W49" i="32"/>
  <c r="AB49" i="32" s="1"/>
  <c r="AC14" i="32"/>
  <c r="K77" i="32"/>
  <c r="L77" i="32" s="1"/>
  <c r="K67" i="32"/>
  <c r="L67" i="32" s="1"/>
  <c r="K70" i="32"/>
  <c r="L70" i="32" s="1"/>
  <c r="K78" i="32"/>
  <c r="L78" i="32" s="1"/>
  <c r="K71" i="32"/>
  <c r="L71" i="32" s="1"/>
  <c r="L82" i="32" s="1"/>
  <c r="K59" i="32"/>
  <c r="L59" i="32" s="1"/>
  <c r="AB10" i="32"/>
  <c r="X26" i="32"/>
  <c r="W48" i="32"/>
  <c r="AB48" i="32" s="1"/>
  <c r="AC12" i="32"/>
  <c r="K86" i="32" l="1"/>
  <c r="AC10" i="32"/>
  <c r="AC26" i="32" s="1"/>
  <c r="AB26" i="32"/>
  <c r="X53" i="32" s="1"/>
  <c r="AB54" i="32" s="1"/>
  <c r="W47" i="32"/>
  <c r="X56" i="32"/>
  <c r="AB57" i="32" s="1"/>
  <c r="AC40" i="32"/>
  <c r="AC44" i="32" l="1"/>
  <c r="AB77" i="32"/>
  <c r="AC77" i="32" s="1"/>
  <c r="AB70" i="32"/>
  <c r="AC70" i="32" s="1"/>
  <c r="AB69" i="32"/>
  <c r="AC69" i="32" s="1"/>
  <c r="AB58" i="32"/>
  <c r="AC58" i="32" s="1"/>
  <c r="AB76" i="32"/>
  <c r="AC76" i="32" s="1"/>
  <c r="AB66" i="32"/>
  <c r="AC66" i="32" s="1"/>
  <c r="L86" i="32"/>
  <c r="L87" i="32" s="1"/>
  <c r="L90" i="32" s="1"/>
  <c r="L92" i="32" s="1"/>
  <c r="AB71" i="32"/>
  <c r="AC71" i="32" s="1"/>
  <c r="AB68" i="32"/>
  <c r="AC68" i="32" s="1"/>
  <c r="AC81" i="32" s="1"/>
  <c r="L84" i="32" s="1"/>
  <c r="AB47" i="32"/>
  <c r="AC50" i="32" s="1"/>
  <c r="W50" i="32"/>
  <c r="L94" i="32" l="1"/>
  <c r="B136" i="31" l="1"/>
  <c r="B135" i="31"/>
  <c r="M86" i="31"/>
  <c r="V79" i="31"/>
  <c r="V78" i="31"/>
  <c r="Y77" i="31"/>
  <c r="V77" i="31"/>
  <c r="Y76" i="31"/>
  <c r="G76" i="31"/>
  <c r="I76" i="31" s="1"/>
  <c r="AB75" i="31"/>
  <c r="G75" i="31"/>
  <c r="I75" i="31" s="1"/>
  <c r="Z74" i="31" s="1"/>
  <c r="AB74" i="31"/>
  <c r="Y71" i="31"/>
  <c r="Y70" i="31"/>
  <c r="Y69" i="31"/>
  <c r="Y68" i="31"/>
  <c r="Y66" i="31"/>
  <c r="X65" i="31"/>
  <c r="G65" i="31"/>
  <c r="X64" i="31" s="1"/>
  <c r="X61" i="31"/>
  <c r="X60" i="31"/>
  <c r="Y58" i="31"/>
  <c r="AA56" i="31"/>
  <c r="J56" i="31"/>
  <c r="AA53" i="31"/>
  <c r="Z49" i="31"/>
  <c r="G49" i="31"/>
  <c r="Z48" i="31"/>
  <c r="G48" i="31"/>
  <c r="Z47" i="31"/>
  <c r="X47" i="31"/>
  <c r="G47" i="31"/>
  <c r="X40" i="31"/>
  <c r="K40" i="31"/>
  <c r="X39" i="31"/>
  <c r="AB40" i="31" s="1"/>
  <c r="X37" i="31"/>
  <c r="G37" i="31"/>
  <c r="E37" i="31"/>
  <c r="D37" i="31"/>
  <c r="AB36" i="31"/>
  <c r="AC36" i="31" s="1"/>
  <c r="L36" i="31"/>
  <c r="AB35" i="31"/>
  <c r="AC35" i="31" s="1"/>
  <c r="L35" i="31"/>
  <c r="AB34" i="31"/>
  <c r="AC34" i="31" s="1"/>
  <c r="L34" i="31"/>
  <c r="AB33" i="31"/>
  <c r="AC33" i="31" s="1"/>
  <c r="L33" i="31"/>
  <c r="AB32" i="31"/>
  <c r="AC32" i="31" s="1"/>
  <c r="L32" i="31"/>
  <c r="AB31" i="31"/>
  <c r="AC31" i="31" s="1"/>
  <c r="L31" i="31"/>
  <c r="AB30" i="31"/>
  <c r="AC30" i="31" s="1"/>
  <c r="L30" i="31"/>
  <c r="AB29" i="31"/>
  <c r="AC29" i="31" s="1"/>
  <c r="L29" i="31"/>
  <c r="AB28" i="31"/>
  <c r="AC28" i="31" s="1"/>
  <c r="L28" i="31"/>
  <c r="L37" i="31" s="1"/>
  <c r="E26" i="31"/>
  <c r="D26" i="31"/>
  <c r="K25" i="31"/>
  <c r="L25" i="31" s="1"/>
  <c r="I24" i="31"/>
  <c r="K24" i="31"/>
  <c r="L24" i="31" s="1"/>
  <c r="K23" i="31"/>
  <c r="L23" i="31" s="1"/>
  <c r="I23" i="31"/>
  <c r="K22" i="31"/>
  <c r="L22" i="31" s="1"/>
  <c r="I21" i="31"/>
  <c r="K21" i="31"/>
  <c r="L21" i="31" s="1"/>
  <c r="I20" i="31"/>
  <c r="K20" i="31"/>
  <c r="L20" i="31" s="1"/>
  <c r="K19" i="31"/>
  <c r="L19" i="31" s="1"/>
  <c r="I18" i="31"/>
  <c r="K18" i="31"/>
  <c r="L18" i="31" s="1"/>
  <c r="I17" i="31"/>
  <c r="K17" i="31"/>
  <c r="L17" i="31" s="1"/>
  <c r="K16" i="31"/>
  <c r="L16" i="31" s="1"/>
  <c r="M15" i="31"/>
  <c r="I15" i="31"/>
  <c r="K14" i="31"/>
  <c r="K13" i="31"/>
  <c r="L13" i="31" s="1"/>
  <c r="I13" i="31"/>
  <c r="M13" i="31"/>
  <c r="K12" i="31"/>
  <c r="M11" i="31"/>
  <c r="I11" i="31"/>
  <c r="K10" i="31"/>
  <c r="L10" i="31" s="1"/>
  <c r="AB7" i="31"/>
  <c r="X7" i="31"/>
  <c r="V4" i="31"/>
  <c r="B3" i="31"/>
  <c r="V2" i="31"/>
  <c r="G26" i="31" l="1"/>
  <c r="K84" i="31" s="1"/>
  <c r="K26" i="31"/>
  <c r="G53" i="31" s="1"/>
  <c r="K54" i="31" s="1"/>
  <c r="L12" i="31"/>
  <c r="C48" i="31"/>
  <c r="K48" i="31" s="1"/>
  <c r="K15" i="31"/>
  <c r="L15" i="31" s="1"/>
  <c r="C47" i="31"/>
  <c r="AC74" i="31"/>
  <c r="L76" i="31"/>
  <c r="L26" i="31"/>
  <c r="L14" i="31"/>
  <c r="L75" i="31"/>
  <c r="X49" i="31"/>
  <c r="X48" i="31"/>
  <c r="K11" i="31"/>
  <c r="L11" i="31" s="1"/>
  <c r="AC37" i="31"/>
  <c r="AC75" i="31"/>
  <c r="L40" i="31" l="1"/>
  <c r="G56" i="31"/>
  <c r="K57" i="31" s="1"/>
  <c r="K77" i="31"/>
  <c r="L77" i="31" s="1"/>
  <c r="K67" i="31"/>
  <c r="L67" i="31" s="1"/>
  <c r="K70" i="31"/>
  <c r="L70" i="31" s="1"/>
  <c r="K59" i="31"/>
  <c r="L59" i="31" s="1"/>
  <c r="K78" i="31"/>
  <c r="L78" i="31" s="1"/>
  <c r="K71" i="31"/>
  <c r="L71" i="31" s="1"/>
  <c r="L44" i="31"/>
  <c r="K47" i="31"/>
  <c r="K69" i="31"/>
  <c r="L69" i="31" s="1"/>
  <c r="K72" i="31"/>
  <c r="L72" i="31" s="1"/>
  <c r="C49" i="31"/>
  <c r="K49" i="31" s="1"/>
  <c r="L50" i="31" s="1"/>
  <c r="X23" i="31"/>
  <c r="AB23" i="31" s="1"/>
  <c r="AC23" i="31" s="1"/>
  <c r="X20" i="31"/>
  <c r="AB20" i="31" s="1"/>
  <c r="AC20" i="31" s="1"/>
  <c r="X25" i="31"/>
  <c r="AB25" i="31" s="1"/>
  <c r="AC25" i="31" s="1"/>
  <c r="X22" i="31"/>
  <c r="AB22" i="31" s="1"/>
  <c r="AC22" i="31" s="1"/>
  <c r="X19" i="31"/>
  <c r="AB19" i="31" s="1"/>
  <c r="AC19" i="31" s="1"/>
  <c r="X16" i="31"/>
  <c r="AB16" i="31" s="1"/>
  <c r="AC16" i="31" s="1"/>
  <c r="X13" i="31"/>
  <c r="AB13" i="31" s="1"/>
  <c r="AC13" i="31" s="1"/>
  <c r="X12" i="31"/>
  <c r="AB12" i="31" s="1"/>
  <c r="X17" i="31"/>
  <c r="AB17" i="31" s="1"/>
  <c r="AC17" i="31" s="1"/>
  <c r="X24" i="31"/>
  <c r="AB24" i="31" s="1"/>
  <c r="AC24" i="31" s="1"/>
  <c r="X15" i="31"/>
  <c r="AB15" i="31" s="1"/>
  <c r="AC15" i="31" s="1"/>
  <c r="X14" i="31"/>
  <c r="AB14" i="31" s="1"/>
  <c r="X11" i="31"/>
  <c r="AB11" i="31" s="1"/>
  <c r="AC11" i="31" s="1"/>
  <c r="X10" i="31"/>
  <c r="X21" i="31"/>
  <c r="AB21" i="31" s="1"/>
  <c r="AC21" i="31" s="1"/>
  <c r="X18" i="31"/>
  <c r="AB18" i="31" s="1"/>
  <c r="AC18" i="31" s="1"/>
  <c r="L82" i="31" l="1"/>
  <c r="X26" i="31"/>
  <c r="AB10" i="31"/>
  <c r="AC14" i="31"/>
  <c r="W49" i="31"/>
  <c r="AB49" i="31" s="1"/>
  <c r="W48" i="31"/>
  <c r="AB48" i="31" s="1"/>
  <c r="AC12" i="31"/>
  <c r="C50" i="31"/>
  <c r="X56" i="31" l="1"/>
  <c r="AB57" i="31" s="1"/>
  <c r="AC40" i="31"/>
  <c r="W47" i="31"/>
  <c r="AC10" i="31"/>
  <c r="AC26" i="31" s="1"/>
  <c r="AB26" i="31"/>
  <c r="X53" i="31" s="1"/>
  <c r="AB54" i="31" s="1"/>
  <c r="AC44" i="31" l="1"/>
  <c r="AB47" i="31"/>
  <c r="AC50" i="31" s="1"/>
  <c r="W50" i="31"/>
  <c r="AB77" i="31"/>
  <c r="AC77" i="31" s="1"/>
  <c r="AB70" i="31"/>
  <c r="AC70" i="31" s="1"/>
  <c r="AB69" i="31"/>
  <c r="AC69" i="31" s="1"/>
  <c r="AB58" i="31"/>
  <c r="AC58" i="31" s="1"/>
  <c r="AB66" i="31"/>
  <c r="AC66" i="31" s="1"/>
  <c r="AB76" i="31"/>
  <c r="AC76" i="31" s="1"/>
  <c r="AB71" i="31"/>
  <c r="AC71" i="31" s="1"/>
  <c r="AB68" i="31"/>
  <c r="AC68" i="31" s="1"/>
  <c r="AC81" i="31" l="1"/>
  <c r="L84" i="31" s="1"/>
  <c r="K86" i="31" s="1"/>
  <c r="L86" i="31" l="1"/>
  <c r="L87" i="31" s="1"/>
  <c r="L90" i="31" s="1"/>
  <c r="L92" i="31" s="1"/>
  <c r="L94" i="31" l="1"/>
  <c r="B136" i="30"/>
  <c r="B135" i="30"/>
  <c r="M86" i="30"/>
  <c r="V79" i="30"/>
  <c r="V78" i="30"/>
  <c r="Y77" i="30"/>
  <c r="V77" i="30"/>
  <c r="Y76" i="30"/>
  <c r="G76" i="30"/>
  <c r="I76" i="30" s="1"/>
  <c r="AB75" i="30"/>
  <c r="G75" i="30"/>
  <c r="I75" i="30" s="1"/>
  <c r="AB74" i="30"/>
  <c r="Y71" i="30"/>
  <c r="Y70" i="30"/>
  <c r="Y69" i="30"/>
  <c r="Y68" i="30"/>
  <c r="Y66" i="30"/>
  <c r="X65" i="30"/>
  <c r="G65" i="30"/>
  <c r="X64" i="30"/>
  <c r="Y58" i="30" s="1"/>
  <c r="X61" i="30"/>
  <c r="X60" i="30"/>
  <c r="J56" i="30"/>
  <c r="AA56" i="30" s="1"/>
  <c r="AA53" i="30"/>
  <c r="Z49" i="30"/>
  <c r="G49" i="30"/>
  <c r="Z48" i="30"/>
  <c r="X48" i="30"/>
  <c r="G48" i="30"/>
  <c r="Z47" i="30"/>
  <c r="G47" i="30"/>
  <c r="X40" i="30"/>
  <c r="K40" i="30"/>
  <c r="X39" i="30"/>
  <c r="AB40" i="30" s="1"/>
  <c r="AC37" i="30"/>
  <c r="X37" i="30"/>
  <c r="E37" i="30"/>
  <c r="D37" i="30"/>
  <c r="AC36" i="30"/>
  <c r="AB36" i="30"/>
  <c r="L36" i="30"/>
  <c r="AC35" i="30"/>
  <c r="AB35" i="30"/>
  <c r="L35" i="30"/>
  <c r="AC34" i="30"/>
  <c r="AB34" i="30"/>
  <c r="L34" i="30"/>
  <c r="AC33" i="30"/>
  <c r="AB33" i="30"/>
  <c r="L33" i="30"/>
  <c r="AC32" i="30"/>
  <c r="AB32" i="30"/>
  <c r="L32" i="30"/>
  <c r="AC31" i="30"/>
  <c r="AB31" i="30"/>
  <c r="L31" i="30"/>
  <c r="AC30" i="30"/>
  <c r="AB30" i="30"/>
  <c r="L30" i="30"/>
  <c r="AC29" i="30"/>
  <c r="AB29" i="30"/>
  <c r="L29" i="30"/>
  <c r="AC28" i="30"/>
  <c r="AB28" i="30"/>
  <c r="L28" i="30"/>
  <c r="E26" i="30"/>
  <c r="D26" i="30"/>
  <c r="K25" i="30"/>
  <c r="L25" i="30" s="1"/>
  <c r="I23" i="30"/>
  <c r="I24" i="30" s="1"/>
  <c r="K24" i="30" s="1"/>
  <c r="L24" i="30" s="1"/>
  <c r="K23" i="30"/>
  <c r="L23" i="30" s="1"/>
  <c r="K22" i="30"/>
  <c r="L22" i="30" s="1"/>
  <c r="I20" i="30"/>
  <c r="I21" i="30" s="1"/>
  <c r="K21" i="30" s="1"/>
  <c r="L21" i="30" s="1"/>
  <c r="K20" i="30"/>
  <c r="L20" i="30" s="1"/>
  <c r="K19" i="30"/>
  <c r="L19" i="30" s="1"/>
  <c r="I17" i="30"/>
  <c r="I18" i="30" s="1"/>
  <c r="K17" i="30"/>
  <c r="L17" i="30" s="1"/>
  <c r="K16" i="30"/>
  <c r="L16" i="30" s="1"/>
  <c r="I15" i="30"/>
  <c r="K14" i="30"/>
  <c r="I13" i="30"/>
  <c r="M13" i="30"/>
  <c r="K12" i="30"/>
  <c r="L12" i="30" s="1"/>
  <c r="K11" i="30"/>
  <c r="L11" i="30" s="1"/>
  <c r="I11" i="30"/>
  <c r="M11" i="30"/>
  <c r="K10" i="30"/>
  <c r="AB7" i="30"/>
  <c r="X49" i="30" s="1"/>
  <c r="X7" i="30"/>
  <c r="V4" i="30"/>
  <c r="B3" i="30"/>
  <c r="V2" i="30"/>
  <c r="L75" i="30" l="1"/>
  <c r="Z74" i="30"/>
  <c r="AC74" i="30"/>
  <c r="M15" i="30"/>
  <c r="G37" i="30"/>
  <c r="L37" i="30"/>
  <c r="G26" i="30"/>
  <c r="K84" i="30" s="1"/>
  <c r="K18" i="30"/>
  <c r="L18" i="30" s="1"/>
  <c r="K15" i="30"/>
  <c r="L15" i="30" s="1"/>
  <c r="L76" i="30"/>
  <c r="AC75" i="30"/>
  <c r="G56" i="30"/>
  <c r="K57" i="30" s="1"/>
  <c r="L40" i="30"/>
  <c r="C49" i="30"/>
  <c r="K49" i="30" s="1"/>
  <c r="L10" i="30"/>
  <c r="K13" i="30"/>
  <c r="K26" i="30" s="1"/>
  <c r="G53" i="30" s="1"/>
  <c r="K54" i="30" s="1"/>
  <c r="L14" i="30"/>
  <c r="C47" i="30"/>
  <c r="X47" i="30"/>
  <c r="K77" i="30" l="1"/>
  <c r="L77" i="30" s="1"/>
  <c r="K67" i="30"/>
  <c r="L67" i="30" s="1"/>
  <c r="K78" i="30"/>
  <c r="L78" i="30" s="1"/>
  <c r="K71" i="30"/>
  <c r="L71" i="30" s="1"/>
  <c r="K70" i="30"/>
  <c r="L70" i="30" s="1"/>
  <c r="K59" i="30"/>
  <c r="L59" i="30" s="1"/>
  <c r="K47" i="30"/>
  <c r="K69" i="30"/>
  <c r="L69" i="30" s="1"/>
  <c r="K72" i="30"/>
  <c r="L72" i="30" s="1"/>
  <c r="X23" i="30"/>
  <c r="AB23" i="30" s="1"/>
  <c r="AC23" i="30" s="1"/>
  <c r="X20" i="30"/>
  <c r="AB20" i="30" s="1"/>
  <c r="AC20" i="30" s="1"/>
  <c r="X17" i="30"/>
  <c r="AB17" i="30" s="1"/>
  <c r="AC17" i="30" s="1"/>
  <c r="X19" i="30"/>
  <c r="AB19" i="30" s="1"/>
  <c r="AC19" i="30" s="1"/>
  <c r="X13" i="30"/>
  <c r="AB13" i="30" s="1"/>
  <c r="AC13" i="30" s="1"/>
  <c r="X12" i="30"/>
  <c r="AB12" i="30" s="1"/>
  <c r="X24" i="30"/>
  <c r="AB24" i="30" s="1"/>
  <c r="AC24" i="30" s="1"/>
  <c r="X21" i="30"/>
  <c r="AB21" i="30" s="1"/>
  <c r="AC21" i="30" s="1"/>
  <c r="X18" i="30"/>
  <c r="AB18" i="30" s="1"/>
  <c r="AC18" i="30" s="1"/>
  <c r="X15" i="30"/>
  <c r="AB15" i="30" s="1"/>
  <c r="AC15" i="30" s="1"/>
  <c r="X14" i="30"/>
  <c r="AB14" i="30" s="1"/>
  <c r="X11" i="30"/>
  <c r="AB11" i="30" s="1"/>
  <c r="AC11" i="30" s="1"/>
  <c r="X10" i="30"/>
  <c r="X25" i="30"/>
  <c r="AB25" i="30" s="1"/>
  <c r="AC25" i="30" s="1"/>
  <c r="X22" i="30"/>
  <c r="AB22" i="30" s="1"/>
  <c r="AC22" i="30" s="1"/>
  <c r="X16" i="30"/>
  <c r="AB16" i="30" s="1"/>
  <c r="AC16" i="30" s="1"/>
  <c r="L13" i="30"/>
  <c r="C48" i="30"/>
  <c r="K48" i="30" s="1"/>
  <c r="L26" i="30"/>
  <c r="L44" i="30" s="1"/>
  <c r="L50" i="30" l="1"/>
  <c r="L82" i="30" s="1"/>
  <c r="AB10" i="30"/>
  <c r="X26" i="30"/>
  <c r="C50" i="30"/>
  <c r="AC14" i="30"/>
  <c r="W49" i="30"/>
  <c r="AB49" i="30" s="1"/>
  <c r="W48" i="30"/>
  <c r="AB48" i="30" s="1"/>
  <c r="AC12" i="30"/>
  <c r="X56" i="30" l="1"/>
  <c r="AB57" i="30" s="1"/>
  <c r="AC40" i="30"/>
  <c r="W47" i="30"/>
  <c r="AC10" i="30"/>
  <c r="AC26" i="30" s="1"/>
  <c r="AB26" i="30"/>
  <c r="X53" i="30" s="1"/>
  <c r="AB54" i="30" s="1"/>
  <c r="AB47" i="30" l="1"/>
  <c r="AC50" i="30" s="1"/>
  <c r="W50" i="30"/>
  <c r="AB77" i="30"/>
  <c r="AC77" i="30" s="1"/>
  <c r="AB70" i="30"/>
  <c r="AC70" i="30" s="1"/>
  <c r="AB69" i="30"/>
  <c r="AC69" i="30" s="1"/>
  <c r="AB58" i="30"/>
  <c r="AC58" i="30" s="1"/>
  <c r="AB76" i="30"/>
  <c r="AC76" i="30" s="1"/>
  <c r="AB66" i="30"/>
  <c r="AC66" i="30" s="1"/>
  <c r="AB68" i="30"/>
  <c r="AC68" i="30" s="1"/>
  <c r="AB71" i="30"/>
  <c r="AC71" i="30" s="1"/>
  <c r="AC44" i="30"/>
  <c r="AC81" i="30" l="1"/>
  <c r="L84" i="30" s="1"/>
  <c r="K86" i="30" s="1"/>
  <c r="L86" i="30" s="1"/>
  <c r="L87" i="30" s="1"/>
  <c r="L90" i="30" s="1"/>
  <c r="L92" i="30" s="1"/>
  <c r="L94" i="30" l="1"/>
  <c r="B136" i="29" l="1"/>
  <c r="B135" i="29"/>
  <c r="M86" i="29"/>
  <c r="V79" i="29"/>
  <c r="V78" i="29"/>
  <c r="Y77" i="29"/>
  <c r="V77" i="29"/>
  <c r="Y76" i="29"/>
  <c r="G76" i="29"/>
  <c r="I76" i="29" s="1"/>
  <c r="AB75" i="29"/>
  <c r="G75" i="29"/>
  <c r="I75" i="29" s="1"/>
  <c r="AB74" i="29"/>
  <c r="Y71" i="29"/>
  <c r="Y70" i="29"/>
  <c r="Y69" i="29"/>
  <c r="Y68" i="29"/>
  <c r="Y66" i="29"/>
  <c r="X65" i="29"/>
  <c r="G65" i="29"/>
  <c r="X64" i="29" s="1"/>
  <c r="Y58" i="29" s="1"/>
  <c r="X61" i="29"/>
  <c r="X60" i="29"/>
  <c r="J56" i="29"/>
  <c r="AA56" i="29" s="1"/>
  <c r="AA53" i="29"/>
  <c r="Z49" i="29"/>
  <c r="G49" i="29"/>
  <c r="Z48" i="29"/>
  <c r="G48" i="29"/>
  <c r="Z47" i="29"/>
  <c r="X47" i="29"/>
  <c r="G47" i="29"/>
  <c r="X40" i="29"/>
  <c r="K40" i="29"/>
  <c r="X39" i="29"/>
  <c r="AB40" i="29" s="1"/>
  <c r="X37" i="29"/>
  <c r="E37" i="29"/>
  <c r="D37" i="29"/>
  <c r="AB36" i="29"/>
  <c r="AC36" i="29" s="1"/>
  <c r="L36" i="29"/>
  <c r="AB35" i="29"/>
  <c r="AC35" i="29" s="1"/>
  <c r="L35" i="29"/>
  <c r="AB34" i="29"/>
  <c r="AC34" i="29" s="1"/>
  <c r="L34" i="29"/>
  <c r="AB33" i="29"/>
  <c r="AC33" i="29" s="1"/>
  <c r="L33" i="29"/>
  <c r="AB32" i="29"/>
  <c r="AC32" i="29" s="1"/>
  <c r="L32" i="29"/>
  <c r="AB31" i="29"/>
  <c r="AC31" i="29" s="1"/>
  <c r="L31" i="29"/>
  <c r="AB30" i="29"/>
  <c r="AC30" i="29" s="1"/>
  <c r="L30" i="29"/>
  <c r="AB29" i="29"/>
  <c r="AC29" i="29" s="1"/>
  <c r="L29" i="29"/>
  <c r="AB28" i="29"/>
  <c r="AC28" i="29" s="1"/>
  <c r="AC37" i="29" s="1"/>
  <c r="L28" i="29"/>
  <c r="E26" i="29"/>
  <c r="D26" i="29"/>
  <c r="K25" i="29"/>
  <c r="L25" i="29" s="1"/>
  <c r="I24" i="29"/>
  <c r="K24" i="29"/>
  <c r="L24" i="29" s="1"/>
  <c r="K23" i="29"/>
  <c r="L23" i="29" s="1"/>
  <c r="I23" i="29"/>
  <c r="K22" i="29"/>
  <c r="L22" i="29" s="1"/>
  <c r="I21" i="29"/>
  <c r="K21" i="29"/>
  <c r="L21" i="29" s="1"/>
  <c r="K20" i="29"/>
  <c r="L20" i="29" s="1"/>
  <c r="I20" i="29"/>
  <c r="K19" i="29"/>
  <c r="L19" i="29" s="1"/>
  <c r="I18" i="29"/>
  <c r="K18" i="29"/>
  <c r="L18" i="29" s="1"/>
  <c r="K17" i="29"/>
  <c r="L17" i="29" s="1"/>
  <c r="I17" i="29"/>
  <c r="K16" i="29"/>
  <c r="L16" i="29" s="1"/>
  <c r="I15" i="29"/>
  <c r="K14" i="29"/>
  <c r="K13" i="29"/>
  <c r="L13" i="29" s="1"/>
  <c r="I13" i="29"/>
  <c r="M13" i="29"/>
  <c r="K12" i="29"/>
  <c r="I11" i="29"/>
  <c r="K10" i="29"/>
  <c r="AB7" i="29"/>
  <c r="X49" i="29" s="1"/>
  <c r="X7" i="29"/>
  <c r="V4" i="29"/>
  <c r="B3" i="29"/>
  <c r="V2" i="29"/>
  <c r="M15" i="29" l="1"/>
  <c r="G37" i="29"/>
  <c r="G26" i="29"/>
  <c r="K84" i="29" s="1"/>
  <c r="L10" i="29"/>
  <c r="L76" i="29"/>
  <c r="Z75" i="29"/>
  <c r="AC75" i="29" s="1"/>
  <c r="L12" i="29"/>
  <c r="C48" i="29"/>
  <c r="K48" i="29" s="1"/>
  <c r="L14" i="29"/>
  <c r="L37" i="29"/>
  <c r="Z74" i="29"/>
  <c r="AC74" i="29" s="1"/>
  <c r="L75" i="29"/>
  <c r="M11" i="29"/>
  <c r="K11" i="29"/>
  <c r="L11" i="29" s="1"/>
  <c r="K15" i="29"/>
  <c r="L15" i="29" s="1"/>
  <c r="X48" i="29"/>
  <c r="G56" i="29" l="1"/>
  <c r="K57" i="29" s="1"/>
  <c r="L40" i="29"/>
  <c r="C47" i="29"/>
  <c r="K26" i="29"/>
  <c r="G53" i="29" s="1"/>
  <c r="K54" i="29" s="1"/>
  <c r="K69" i="29"/>
  <c r="L69" i="29" s="1"/>
  <c r="K72" i="29"/>
  <c r="L72" i="29" s="1"/>
  <c r="C49" i="29"/>
  <c r="K49" i="29" s="1"/>
  <c r="X17" i="29"/>
  <c r="AB17" i="29" s="1"/>
  <c r="AC17" i="29" s="1"/>
  <c r="X24" i="29"/>
  <c r="AB24" i="29" s="1"/>
  <c r="AC24" i="29" s="1"/>
  <c r="X21" i="29"/>
  <c r="AB21" i="29" s="1"/>
  <c r="AC21" i="29" s="1"/>
  <c r="X18" i="29"/>
  <c r="AB18" i="29" s="1"/>
  <c r="AC18" i="29" s="1"/>
  <c r="X15" i="29"/>
  <c r="AB15" i="29" s="1"/>
  <c r="AC15" i="29" s="1"/>
  <c r="X14" i="29"/>
  <c r="AB14" i="29" s="1"/>
  <c r="X11" i="29"/>
  <c r="AB11" i="29" s="1"/>
  <c r="AC11" i="29" s="1"/>
  <c r="X10" i="29"/>
  <c r="X25" i="29"/>
  <c r="AB25" i="29" s="1"/>
  <c r="AC25" i="29" s="1"/>
  <c r="X22" i="29"/>
  <c r="AB22" i="29" s="1"/>
  <c r="AC22" i="29" s="1"/>
  <c r="X19" i="29"/>
  <c r="AB19" i="29" s="1"/>
  <c r="AC19" i="29" s="1"/>
  <c r="X16" i="29"/>
  <c r="AB16" i="29" s="1"/>
  <c r="AC16" i="29" s="1"/>
  <c r="X13" i="29"/>
  <c r="AB13" i="29" s="1"/>
  <c r="AC13" i="29" s="1"/>
  <c r="X12" i="29"/>
  <c r="AB12" i="29" s="1"/>
  <c r="X23" i="29"/>
  <c r="AB23" i="29" s="1"/>
  <c r="AC23" i="29" s="1"/>
  <c r="X20" i="29"/>
  <c r="AB20" i="29" s="1"/>
  <c r="AC20" i="29" s="1"/>
  <c r="L26" i="29"/>
  <c r="L44" i="29" s="1"/>
  <c r="W49" i="29" l="1"/>
  <c r="AB49" i="29" s="1"/>
  <c r="AC14" i="29"/>
  <c r="K77" i="29"/>
  <c r="L77" i="29" s="1"/>
  <c r="K67" i="29"/>
  <c r="L67" i="29" s="1"/>
  <c r="K71" i="29"/>
  <c r="L71" i="29" s="1"/>
  <c r="K70" i="29"/>
  <c r="L70" i="29" s="1"/>
  <c r="K59" i="29"/>
  <c r="L59" i="29" s="1"/>
  <c r="K78" i="29"/>
  <c r="L78" i="29" s="1"/>
  <c r="W48" i="29"/>
  <c r="AB48" i="29" s="1"/>
  <c r="AC12" i="29"/>
  <c r="AB10" i="29"/>
  <c r="X26" i="29"/>
  <c r="K47" i="29"/>
  <c r="L50" i="29" s="1"/>
  <c r="C50" i="29"/>
  <c r="L82" i="29" l="1"/>
  <c r="K86" i="29" s="1"/>
  <c r="AB26" i="29"/>
  <c r="X53" i="29" s="1"/>
  <c r="AB54" i="29" s="1"/>
  <c r="W47" i="29"/>
  <c r="AC10" i="29"/>
  <c r="AC26" i="29" s="1"/>
  <c r="X56" i="29"/>
  <c r="AB57" i="29" s="1"/>
  <c r="AC40" i="29"/>
  <c r="AC44" i="29" l="1"/>
  <c r="AB77" i="29"/>
  <c r="AC77" i="29" s="1"/>
  <c r="AB70" i="29"/>
  <c r="AC70" i="29" s="1"/>
  <c r="AB69" i="29"/>
  <c r="AC69" i="29" s="1"/>
  <c r="AB58" i="29"/>
  <c r="AC58" i="29" s="1"/>
  <c r="AB76" i="29"/>
  <c r="AC76" i="29" s="1"/>
  <c r="AB66" i="29"/>
  <c r="AC66" i="29" s="1"/>
  <c r="AB47" i="29"/>
  <c r="AC50" i="29" s="1"/>
  <c r="W50" i="29"/>
  <c r="AB71" i="29"/>
  <c r="AC71" i="29" s="1"/>
  <c r="AB68" i="29"/>
  <c r="AC68" i="29" s="1"/>
  <c r="L86" i="29"/>
  <c r="L87" i="29" s="1"/>
  <c r="L90" i="29" s="1"/>
  <c r="L92" i="29" s="1"/>
  <c r="L94" i="29" l="1"/>
  <c r="AC81" i="29"/>
  <c r="L84" i="29" s="1"/>
  <c r="B136" i="28"/>
  <c r="B135" i="28"/>
  <c r="M86" i="28"/>
  <c r="V79" i="28"/>
  <c r="V78" i="28"/>
  <c r="Y77" i="28"/>
  <c r="V77" i="28"/>
  <c r="Y76" i="28"/>
  <c r="G76" i="28"/>
  <c r="I76" i="28" s="1"/>
  <c r="AB75" i="28"/>
  <c r="G75" i="28"/>
  <c r="I75" i="28" s="1"/>
  <c r="AB74" i="28"/>
  <c r="Y71" i="28"/>
  <c r="Y70" i="28"/>
  <c r="Y69" i="28"/>
  <c r="Y68" i="28"/>
  <c r="Y66" i="28"/>
  <c r="X65" i="28"/>
  <c r="G65" i="28"/>
  <c r="X64" i="28"/>
  <c r="Y58" i="28" s="1"/>
  <c r="X61" i="28"/>
  <c r="X60" i="28"/>
  <c r="J56" i="28"/>
  <c r="AA56" i="28" s="1"/>
  <c r="AA53" i="28"/>
  <c r="Z49" i="28"/>
  <c r="G49" i="28"/>
  <c r="Z48" i="28"/>
  <c r="X48" i="28"/>
  <c r="G48" i="28"/>
  <c r="Z47" i="28"/>
  <c r="G47" i="28"/>
  <c r="X40" i="28"/>
  <c r="K40" i="28"/>
  <c r="X39" i="28"/>
  <c r="AB40" i="28" s="1"/>
  <c r="AC37" i="28"/>
  <c r="X37" i="28"/>
  <c r="E37" i="28"/>
  <c r="D37" i="28"/>
  <c r="AC36" i="28"/>
  <c r="AB36" i="28"/>
  <c r="L36" i="28"/>
  <c r="AC35" i="28"/>
  <c r="AB35" i="28"/>
  <c r="L35" i="28"/>
  <c r="AC34" i="28"/>
  <c r="AB34" i="28"/>
  <c r="L34" i="28"/>
  <c r="AC33" i="28"/>
  <c r="AB33" i="28"/>
  <c r="L33" i="28"/>
  <c r="AC32" i="28"/>
  <c r="AB32" i="28"/>
  <c r="L32" i="28"/>
  <c r="AC31" i="28"/>
  <c r="AB31" i="28"/>
  <c r="L31" i="28"/>
  <c r="AC30" i="28"/>
  <c r="AB30" i="28"/>
  <c r="L30" i="28"/>
  <c r="AC29" i="28"/>
  <c r="AB29" i="28"/>
  <c r="L29" i="28"/>
  <c r="AC28" i="28"/>
  <c r="AB28" i="28"/>
  <c r="L28" i="28"/>
  <c r="E26" i="28"/>
  <c r="D26" i="28"/>
  <c r="K25" i="28"/>
  <c r="L25" i="28" s="1"/>
  <c r="I23" i="28"/>
  <c r="I24" i="28" s="1"/>
  <c r="K23" i="28"/>
  <c r="L23" i="28" s="1"/>
  <c r="K22" i="28"/>
  <c r="L22" i="28" s="1"/>
  <c r="I20" i="28"/>
  <c r="I21" i="28" s="1"/>
  <c r="K21" i="28" s="1"/>
  <c r="L21" i="28" s="1"/>
  <c r="K20" i="28"/>
  <c r="L20" i="28" s="1"/>
  <c r="K19" i="28"/>
  <c r="L19" i="28" s="1"/>
  <c r="I17" i="28"/>
  <c r="I18" i="28" s="1"/>
  <c r="K18" i="28" s="1"/>
  <c r="L18" i="28" s="1"/>
  <c r="K17" i="28"/>
  <c r="L17" i="28" s="1"/>
  <c r="K16" i="28"/>
  <c r="L16" i="28" s="1"/>
  <c r="I15" i="28"/>
  <c r="M15" i="28"/>
  <c r="K14" i="28"/>
  <c r="I13" i="28"/>
  <c r="M13" i="28"/>
  <c r="K12" i="28"/>
  <c r="L12" i="28" s="1"/>
  <c r="K11" i="28"/>
  <c r="L11" i="28" s="1"/>
  <c r="I11" i="28"/>
  <c r="M11" i="28"/>
  <c r="K10" i="28"/>
  <c r="AB7" i="28"/>
  <c r="X49" i="28" s="1"/>
  <c r="X7" i="28"/>
  <c r="V4" i="28"/>
  <c r="B3" i="28"/>
  <c r="V2" i="28"/>
  <c r="L75" i="28" l="1"/>
  <c r="Z74" i="28"/>
  <c r="AC74" i="28" s="1"/>
  <c r="G37" i="28"/>
  <c r="L37" i="28"/>
  <c r="G26" i="28"/>
  <c r="K84" i="28" s="1"/>
  <c r="K24" i="28"/>
  <c r="L24" i="28" s="1"/>
  <c r="K15" i="28"/>
  <c r="L15" i="28" s="1"/>
  <c r="L76" i="28"/>
  <c r="Z75" i="28"/>
  <c r="AC75" i="28" s="1"/>
  <c r="L10" i="28"/>
  <c r="K13" i="28"/>
  <c r="L14" i="28"/>
  <c r="C47" i="28"/>
  <c r="X47" i="28"/>
  <c r="C49" i="28" l="1"/>
  <c r="K49" i="28" s="1"/>
  <c r="G56" i="28"/>
  <c r="K57" i="28" s="1"/>
  <c r="K72" i="28" s="1"/>
  <c r="L72" i="28" s="1"/>
  <c r="L40" i="28"/>
  <c r="K47" i="28"/>
  <c r="L13" i="28"/>
  <c r="C48" i="28"/>
  <c r="K48" i="28" s="1"/>
  <c r="X23" i="28"/>
  <c r="AB23" i="28" s="1"/>
  <c r="AC23" i="28" s="1"/>
  <c r="X20" i="28"/>
  <c r="AB20" i="28" s="1"/>
  <c r="AC20" i="28" s="1"/>
  <c r="X17" i="28"/>
  <c r="AB17" i="28" s="1"/>
  <c r="AC17" i="28" s="1"/>
  <c r="X25" i="28"/>
  <c r="AB25" i="28" s="1"/>
  <c r="AC25" i="28" s="1"/>
  <c r="X22" i="28"/>
  <c r="AB22" i="28" s="1"/>
  <c r="AC22" i="28" s="1"/>
  <c r="X19" i="28"/>
  <c r="AB19" i="28" s="1"/>
  <c r="AC19" i="28" s="1"/>
  <c r="X24" i="28"/>
  <c r="AB24" i="28" s="1"/>
  <c r="AC24" i="28" s="1"/>
  <c r="X21" i="28"/>
  <c r="AB21" i="28" s="1"/>
  <c r="AC21" i="28" s="1"/>
  <c r="X18" i="28"/>
  <c r="AB18" i="28" s="1"/>
  <c r="AC18" i="28" s="1"/>
  <c r="X15" i="28"/>
  <c r="AB15" i="28" s="1"/>
  <c r="AC15" i="28" s="1"/>
  <c r="X14" i="28"/>
  <c r="AB14" i="28" s="1"/>
  <c r="X11" i="28"/>
  <c r="AB11" i="28" s="1"/>
  <c r="AC11" i="28" s="1"/>
  <c r="X10" i="28"/>
  <c r="X16" i="28"/>
  <c r="AB16" i="28" s="1"/>
  <c r="AC16" i="28" s="1"/>
  <c r="X13" i="28"/>
  <c r="AB13" i="28" s="1"/>
  <c r="AC13" i="28" s="1"/>
  <c r="X12" i="28"/>
  <c r="AB12" i="28" s="1"/>
  <c r="L26" i="28"/>
  <c r="L44" i="28" s="1"/>
  <c r="K26" i="28"/>
  <c r="G53" i="28" s="1"/>
  <c r="K54" i="28" s="1"/>
  <c r="K69" i="28" l="1"/>
  <c r="L69" i="28" s="1"/>
  <c r="L50" i="28"/>
  <c r="C50" i="28"/>
  <c r="AB10" i="28"/>
  <c r="X26" i="28"/>
  <c r="W48" i="28"/>
  <c r="AB48" i="28" s="1"/>
  <c r="AC12" i="28"/>
  <c r="K77" i="28"/>
  <c r="L77" i="28" s="1"/>
  <c r="K67" i="28"/>
  <c r="L67" i="28" s="1"/>
  <c r="K78" i="28"/>
  <c r="L78" i="28" s="1"/>
  <c r="K71" i="28"/>
  <c r="L71" i="28" s="1"/>
  <c r="K70" i="28"/>
  <c r="L70" i="28" s="1"/>
  <c r="K59" i="28"/>
  <c r="L59" i="28" s="1"/>
  <c r="W49" i="28"/>
  <c r="AB49" i="28" s="1"/>
  <c r="AC14" i="28"/>
  <c r="L82" i="28" l="1"/>
  <c r="K86" i="28" s="1"/>
  <c r="X56" i="28"/>
  <c r="AB57" i="28" s="1"/>
  <c r="AC40" i="28"/>
  <c r="AB26" i="28"/>
  <c r="X53" i="28" s="1"/>
  <c r="AB54" i="28" s="1"/>
  <c r="W47" i="28"/>
  <c r="AC10" i="28"/>
  <c r="AC26" i="28" s="1"/>
  <c r="AC44" i="28" s="1"/>
  <c r="AB77" i="28" l="1"/>
  <c r="AC77" i="28" s="1"/>
  <c r="AB70" i="28"/>
  <c r="AC70" i="28" s="1"/>
  <c r="AB69" i="28"/>
  <c r="AC69" i="28" s="1"/>
  <c r="AB58" i="28"/>
  <c r="AC58" i="28" s="1"/>
  <c r="AB76" i="28"/>
  <c r="AC76" i="28" s="1"/>
  <c r="AB66" i="28"/>
  <c r="AC66" i="28" s="1"/>
  <c r="AB71" i="28"/>
  <c r="AC71" i="28" s="1"/>
  <c r="AB68" i="28"/>
  <c r="AC68" i="28" s="1"/>
  <c r="AB47" i="28"/>
  <c r="AC50" i="28" s="1"/>
  <c r="W50" i="28"/>
  <c r="L86" i="28"/>
  <c r="L87" i="28" s="1"/>
  <c r="L90" i="28" s="1"/>
  <c r="L92" i="28" s="1"/>
  <c r="AC81" i="28" l="1"/>
  <c r="L84" i="28" s="1"/>
  <c r="L94" i="28"/>
  <c r="B136" i="27"/>
  <c r="B135" i="27"/>
  <c r="M86" i="27"/>
  <c r="V79" i="27"/>
  <c r="V78" i="27"/>
  <c r="Y77" i="27"/>
  <c r="V77" i="27"/>
  <c r="Y76" i="27"/>
  <c r="G76" i="27"/>
  <c r="I76" i="27" s="1"/>
  <c r="AB75" i="27"/>
  <c r="G75" i="27"/>
  <c r="I75" i="27" s="1"/>
  <c r="AB74" i="27"/>
  <c r="Y71" i="27"/>
  <c r="Y70" i="27"/>
  <c r="Y69" i="27"/>
  <c r="Y68" i="27"/>
  <c r="Y66" i="27"/>
  <c r="X65" i="27"/>
  <c r="G65" i="27"/>
  <c r="X64" i="27"/>
  <c r="Y58" i="27" s="1"/>
  <c r="X61" i="27"/>
  <c r="X60" i="27"/>
  <c r="J56" i="27"/>
  <c r="AA56" i="27" s="1"/>
  <c r="AA53" i="27"/>
  <c r="Z49" i="27"/>
  <c r="G49" i="27"/>
  <c r="Z48" i="27"/>
  <c r="X48" i="27"/>
  <c r="G48" i="27"/>
  <c r="Z47" i="27"/>
  <c r="G47" i="27"/>
  <c r="X40" i="27"/>
  <c r="K40" i="27"/>
  <c r="X39" i="27"/>
  <c r="AB40" i="27" s="1"/>
  <c r="AC37" i="27"/>
  <c r="X37" i="27"/>
  <c r="E37" i="27"/>
  <c r="D37" i="27"/>
  <c r="AC36" i="27"/>
  <c r="AB36" i="27"/>
  <c r="L36" i="27"/>
  <c r="AC35" i="27"/>
  <c r="AB35" i="27"/>
  <c r="L35" i="27"/>
  <c r="AC34" i="27"/>
  <c r="AB34" i="27"/>
  <c r="L34" i="27"/>
  <c r="AC33" i="27"/>
  <c r="AB33" i="27"/>
  <c r="L33" i="27"/>
  <c r="AC32" i="27"/>
  <c r="AB32" i="27"/>
  <c r="L32" i="27"/>
  <c r="AC31" i="27"/>
  <c r="AB31" i="27"/>
  <c r="L31" i="27"/>
  <c r="AC30" i="27"/>
  <c r="AB30" i="27"/>
  <c r="L30" i="27"/>
  <c r="AC29" i="27"/>
  <c r="AB29" i="27"/>
  <c r="L29" i="27"/>
  <c r="AC28" i="27"/>
  <c r="AB28" i="27"/>
  <c r="E26" i="27"/>
  <c r="D26" i="27"/>
  <c r="K25" i="27"/>
  <c r="L25" i="27" s="1"/>
  <c r="I23" i="27"/>
  <c r="I24" i="27" s="1"/>
  <c r="K24" i="27" s="1"/>
  <c r="L24" i="27" s="1"/>
  <c r="K23" i="27"/>
  <c r="L23" i="27" s="1"/>
  <c r="K22" i="27"/>
  <c r="L22" i="27" s="1"/>
  <c r="I20" i="27"/>
  <c r="I21" i="27" s="1"/>
  <c r="K21" i="27" s="1"/>
  <c r="L21" i="27" s="1"/>
  <c r="K20" i="27"/>
  <c r="L20" i="27" s="1"/>
  <c r="K19" i="27"/>
  <c r="L19" i="27" s="1"/>
  <c r="I17" i="27"/>
  <c r="I18" i="27" s="1"/>
  <c r="K18" i="27" s="1"/>
  <c r="L18" i="27" s="1"/>
  <c r="K17" i="27"/>
  <c r="L17" i="27" s="1"/>
  <c r="K16" i="27"/>
  <c r="L16" i="27" s="1"/>
  <c r="I15" i="27"/>
  <c r="K15" i="27" s="1"/>
  <c r="L15" i="27" s="1"/>
  <c r="M15" i="27"/>
  <c r="K14" i="27"/>
  <c r="C49" i="27" s="1"/>
  <c r="K49" i="27" s="1"/>
  <c r="I13" i="27"/>
  <c r="M13" i="27"/>
  <c r="K12" i="27"/>
  <c r="L12" i="27" s="1"/>
  <c r="I11" i="27"/>
  <c r="M11" i="27"/>
  <c r="AB7" i="27"/>
  <c r="X49" i="27" s="1"/>
  <c r="X7" i="27"/>
  <c r="V4" i="27"/>
  <c r="B3" i="27"/>
  <c r="V2" i="27"/>
  <c r="L75" i="27" l="1"/>
  <c r="Z74" i="27"/>
  <c r="AC74" i="27" s="1"/>
  <c r="G37" i="27"/>
  <c r="L28" i="27"/>
  <c r="L37" i="27" s="1"/>
  <c r="G26" i="27"/>
  <c r="K84" i="27" s="1"/>
  <c r="K11" i="27"/>
  <c r="L11" i="27" s="1"/>
  <c r="K10" i="27"/>
  <c r="L76" i="27"/>
  <c r="Z75" i="27"/>
  <c r="AC75" i="27" s="1"/>
  <c r="L10" i="27"/>
  <c r="K13" i="27"/>
  <c r="L14" i="27"/>
  <c r="X47" i="27"/>
  <c r="C47" i="27" l="1"/>
  <c r="L40" i="27"/>
  <c r="G56" i="27"/>
  <c r="K57" i="27" s="1"/>
  <c r="K47" i="27"/>
  <c r="K69" i="27"/>
  <c r="L69" i="27" s="1"/>
  <c r="K72" i="27"/>
  <c r="L72" i="27" s="1"/>
  <c r="L13" i="27"/>
  <c r="C48" i="27"/>
  <c r="K48" i="27" s="1"/>
  <c r="L50" i="27" s="1"/>
  <c r="X23" i="27"/>
  <c r="AB23" i="27" s="1"/>
  <c r="AC23" i="27" s="1"/>
  <c r="X20" i="27"/>
  <c r="AB20" i="27" s="1"/>
  <c r="AC20" i="27" s="1"/>
  <c r="X17" i="27"/>
  <c r="AB17" i="27" s="1"/>
  <c r="AC17" i="27" s="1"/>
  <c r="X11" i="27"/>
  <c r="AB11" i="27" s="1"/>
  <c r="AC11" i="27" s="1"/>
  <c r="X10" i="27"/>
  <c r="X25" i="27"/>
  <c r="AB25" i="27" s="1"/>
  <c r="AC25" i="27" s="1"/>
  <c r="X16" i="27"/>
  <c r="AB16" i="27" s="1"/>
  <c r="AC16" i="27" s="1"/>
  <c r="X13" i="27"/>
  <c r="AB13" i="27" s="1"/>
  <c r="AC13" i="27" s="1"/>
  <c r="X12" i="27"/>
  <c r="AB12" i="27" s="1"/>
  <c r="X24" i="27"/>
  <c r="AB24" i="27" s="1"/>
  <c r="AC24" i="27" s="1"/>
  <c r="X21" i="27"/>
  <c r="AB21" i="27" s="1"/>
  <c r="AC21" i="27" s="1"/>
  <c r="X18" i="27"/>
  <c r="AB18" i="27" s="1"/>
  <c r="AC18" i="27" s="1"/>
  <c r="X15" i="27"/>
  <c r="AB15" i="27" s="1"/>
  <c r="AC15" i="27" s="1"/>
  <c r="X14" i="27"/>
  <c r="AB14" i="27" s="1"/>
  <c r="X19" i="27"/>
  <c r="AB19" i="27" s="1"/>
  <c r="AC19" i="27" s="1"/>
  <c r="X22" i="27"/>
  <c r="AB22" i="27" s="1"/>
  <c r="AC22" i="27" s="1"/>
  <c r="L26" i="27"/>
  <c r="K26" i="27"/>
  <c r="G53" i="27" s="1"/>
  <c r="K54" i="27" s="1"/>
  <c r="L44" i="27" l="1"/>
  <c r="W48" i="27"/>
  <c r="AB48" i="27" s="1"/>
  <c r="AC12" i="27"/>
  <c r="AB10" i="27"/>
  <c r="X26" i="27"/>
  <c r="AC14" i="27"/>
  <c r="W49" i="27"/>
  <c r="AB49" i="27" s="1"/>
  <c r="C50" i="27"/>
  <c r="K77" i="27"/>
  <c r="L77" i="27" s="1"/>
  <c r="K59" i="27"/>
  <c r="L59" i="27" s="1"/>
  <c r="K67" i="27"/>
  <c r="L67" i="27" s="1"/>
  <c r="K78" i="27"/>
  <c r="L78" i="27" s="1"/>
  <c r="K71" i="27"/>
  <c r="L71" i="27" s="1"/>
  <c r="K70" i="27"/>
  <c r="L70" i="27" s="1"/>
  <c r="L82" i="27" l="1"/>
  <c r="K86" i="27" s="1"/>
  <c r="AB26" i="27"/>
  <c r="X53" i="27" s="1"/>
  <c r="AB54" i="27" s="1"/>
  <c r="W47" i="27"/>
  <c r="AC10" i="27"/>
  <c r="AC26" i="27" s="1"/>
  <c r="X56" i="27"/>
  <c r="AB57" i="27" s="1"/>
  <c r="AC40" i="27"/>
  <c r="AB68" i="27" l="1"/>
  <c r="AC68" i="27" s="1"/>
  <c r="AB71" i="27"/>
  <c r="AC71" i="27" s="1"/>
  <c r="AB77" i="27"/>
  <c r="AC77" i="27" s="1"/>
  <c r="AB70" i="27"/>
  <c r="AC70" i="27" s="1"/>
  <c r="AB69" i="27"/>
  <c r="AC69" i="27" s="1"/>
  <c r="AB58" i="27"/>
  <c r="AC58" i="27" s="1"/>
  <c r="AB76" i="27"/>
  <c r="AC76" i="27" s="1"/>
  <c r="AB66" i="27"/>
  <c r="AC66" i="27" s="1"/>
  <c r="L86" i="27"/>
  <c r="L87" i="27" s="1"/>
  <c r="L90" i="27" s="1"/>
  <c r="L92" i="27" s="1"/>
  <c r="AB47" i="27"/>
  <c r="AC50" i="27" s="1"/>
  <c r="W50" i="27"/>
  <c r="AC44" i="27"/>
  <c r="L94" i="27" l="1"/>
  <c r="AC81" i="27"/>
  <c r="L84" i="27" s="1"/>
  <c r="B136" i="26" l="1"/>
  <c r="B135" i="26"/>
  <c r="M86" i="26"/>
  <c r="V79" i="26"/>
  <c r="V78" i="26"/>
  <c r="Y77" i="26"/>
  <c r="V77" i="26"/>
  <c r="Y76" i="26"/>
  <c r="G76" i="26"/>
  <c r="I76" i="26" s="1"/>
  <c r="L76" i="26" s="1"/>
  <c r="AB75" i="26"/>
  <c r="G75" i="26"/>
  <c r="AB74" i="26"/>
  <c r="Y71" i="26"/>
  <c r="Y70" i="26"/>
  <c r="Y69" i="26"/>
  <c r="Y68" i="26"/>
  <c r="Y66" i="26"/>
  <c r="X65" i="26"/>
  <c r="Y58" i="26" s="1"/>
  <c r="G65" i="26"/>
  <c r="X64" i="26" s="1"/>
  <c r="X61" i="26"/>
  <c r="X60" i="26"/>
  <c r="AA56" i="26"/>
  <c r="J56" i="26"/>
  <c r="AA53" i="26"/>
  <c r="Z49" i="26"/>
  <c r="G49" i="26"/>
  <c r="Z48" i="26"/>
  <c r="G48" i="26"/>
  <c r="Z47" i="26"/>
  <c r="X47" i="26"/>
  <c r="G47" i="26"/>
  <c r="AB40" i="26"/>
  <c r="X40" i="26"/>
  <c r="K40" i="26"/>
  <c r="X39" i="26"/>
  <c r="X37" i="26"/>
  <c r="E37" i="26"/>
  <c r="D37" i="26"/>
  <c r="AB36" i="26"/>
  <c r="AC36" i="26" s="1"/>
  <c r="L36" i="26"/>
  <c r="AB35" i="26"/>
  <c r="AC35" i="26" s="1"/>
  <c r="L35" i="26"/>
  <c r="AB34" i="26"/>
  <c r="AC34" i="26" s="1"/>
  <c r="L34" i="26"/>
  <c r="AC33" i="26"/>
  <c r="AB33" i="26"/>
  <c r="L33" i="26"/>
  <c r="AB32" i="26"/>
  <c r="AC32" i="26" s="1"/>
  <c r="L32" i="26"/>
  <c r="AB31" i="26"/>
  <c r="AC31" i="26" s="1"/>
  <c r="L31" i="26"/>
  <c r="AB30" i="26"/>
  <c r="AC30" i="26" s="1"/>
  <c r="L30" i="26"/>
  <c r="AC29" i="26"/>
  <c r="AB29" i="26"/>
  <c r="L29" i="26"/>
  <c r="AB28" i="26"/>
  <c r="AC28" i="26" s="1"/>
  <c r="AC37" i="26" s="1"/>
  <c r="L28" i="26"/>
  <c r="E26" i="26"/>
  <c r="D26" i="26"/>
  <c r="K25" i="26"/>
  <c r="L25" i="26" s="1"/>
  <c r="I24" i="26"/>
  <c r="K24" i="26"/>
  <c r="L24" i="26" s="1"/>
  <c r="K23" i="26"/>
  <c r="L23" i="26" s="1"/>
  <c r="I23" i="26"/>
  <c r="K22" i="26"/>
  <c r="L22" i="26" s="1"/>
  <c r="I21" i="26"/>
  <c r="K21" i="26"/>
  <c r="L21" i="26" s="1"/>
  <c r="K20" i="26"/>
  <c r="L20" i="26" s="1"/>
  <c r="I20" i="26"/>
  <c r="K19" i="26"/>
  <c r="L19" i="26" s="1"/>
  <c r="I18" i="26"/>
  <c r="I17" i="26"/>
  <c r="K17" i="26"/>
  <c r="L17" i="26" s="1"/>
  <c r="K16" i="26"/>
  <c r="L16" i="26" s="1"/>
  <c r="M15" i="26"/>
  <c r="K15" i="26"/>
  <c r="L15" i="26" s="1"/>
  <c r="I15" i="26"/>
  <c r="K14" i="26"/>
  <c r="I13" i="26"/>
  <c r="M13" i="26"/>
  <c r="K12" i="26"/>
  <c r="I11" i="26"/>
  <c r="AB7" i="26"/>
  <c r="X7" i="26"/>
  <c r="V4" i="26"/>
  <c r="B3" i="26"/>
  <c r="V2" i="26"/>
  <c r="I75" i="26" l="1"/>
  <c r="Z74" i="26" s="1"/>
  <c r="AC74" i="26" s="1"/>
  <c r="L37" i="26"/>
  <c r="G37" i="26"/>
  <c r="K13" i="26"/>
  <c r="L13" i="26" s="1"/>
  <c r="K10" i="26"/>
  <c r="G26" i="26"/>
  <c r="L40" i="26" s="1"/>
  <c r="M11" i="26"/>
  <c r="K11" i="26"/>
  <c r="L11" i="26" s="1"/>
  <c r="L12" i="26"/>
  <c r="Z75" i="26"/>
  <c r="AC75" i="26" s="1"/>
  <c r="X48" i="26"/>
  <c r="X49" i="26"/>
  <c r="L14" i="26"/>
  <c r="K18" i="26"/>
  <c r="L18" i="26" s="1"/>
  <c r="L75" i="26" l="1"/>
  <c r="C48" i="26"/>
  <c r="K48" i="26" s="1"/>
  <c r="L10" i="26"/>
  <c r="L26" i="26" s="1"/>
  <c r="L44" i="26" s="1"/>
  <c r="C47" i="26"/>
  <c r="K26" i="26"/>
  <c r="G53" i="26" s="1"/>
  <c r="K54" i="26" s="1"/>
  <c r="C49" i="26"/>
  <c r="K49" i="26" s="1"/>
  <c r="K84" i="26"/>
  <c r="G56" i="26"/>
  <c r="K57" i="26" s="1"/>
  <c r="K47" i="26" l="1"/>
  <c r="L50" i="26" s="1"/>
  <c r="C50" i="26"/>
  <c r="K69" i="26"/>
  <c r="L69" i="26" s="1"/>
  <c r="K72" i="26"/>
  <c r="L72" i="26" s="1"/>
  <c r="X25" i="26"/>
  <c r="AB25" i="26" s="1"/>
  <c r="AC25" i="26" s="1"/>
  <c r="X22" i="26"/>
  <c r="AB22" i="26" s="1"/>
  <c r="AC22" i="26" s="1"/>
  <c r="X19" i="26"/>
  <c r="AB19" i="26" s="1"/>
  <c r="AC19" i="26" s="1"/>
  <c r="X16" i="26"/>
  <c r="AB16" i="26" s="1"/>
  <c r="AC16" i="26" s="1"/>
  <c r="X13" i="26"/>
  <c r="AB13" i="26" s="1"/>
  <c r="AC13" i="26" s="1"/>
  <c r="X12" i="26"/>
  <c r="AB12" i="26" s="1"/>
  <c r="X23" i="26"/>
  <c r="AB23" i="26" s="1"/>
  <c r="AC23" i="26" s="1"/>
  <c r="X20" i="26"/>
  <c r="AB20" i="26" s="1"/>
  <c r="AC20" i="26" s="1"/>
  <c r="X21" i="26"/>
  <c r="AB21" i="26" s="1"/>
  <c r="AC21" i="26" s="1"/>
  <c r="X18" i="26"/>
  <c r="AB18" i="26" s="1"/>
  <c r="AC18" i="26" s="1"/>
  <c r="X15" i="26"/>
  <c r="AB15" i="26" s="1"/>
  <c r="AC15" i="26" s="1"/>
  <c r="X10" i="26"/>
  <c r="X17" i="26"/>
  <c r="AB17" i="26" s="1"/>
  <c r="AC17" i="26" s="1"/>
  <c r="X14" i="26"/>
  <c r="AB14" i="26" s="1"/>
  <c r="X11" i="26"/>
  <c r="AB11" i="26" s="1"/>
  <c r="AC11" i="26" s="1"/>
  <c r="X24" i="26"/>
  <c r="AB24" i="26" s="1"/>
  <c r="AC24" i="26" s="1"/>
  <c r="K70" i="26"/>
  <c r="L70" i="26" s="1"/>
  <c r="K59" i="26"/>
  <c r="L59" i="26" s="1"/>
  <c r="K77" i="26"/>
  <c r="L77" i="26" s="1"/>
  <c r="K71" i="26"/>
  <c r="L71" i="26" s="1"/>
  <c r="K67" i="26"/>
  <c r="L67" i="26" s="1"/>
  <c r="K78" i="26"/>
  <c r="L78" i="26" s="1"/>
  <c r="L82" i="26" l="1"/>
  <c r="K86" i="26" s="1"/>
  <c r="W48" i="26"/>
  <c r="AB48" i="26" s="1"/>
  <c r="AC12" i="26"/>
  <c r="AC14" i="26"/>
  <c r="W49" i="26"/>
  <c r="AB49" i="26" s="1"/>
  <c r="X26" i="26"/>
  <c r="AB10" i="26"/>
  <c r="L86" i="26" l="1"/>
  <c r="L87" i="26" s="1"/>
  <c r="L90" i="26" s="1"/>
  <c r="L92" i="26" s="1"/>
  <c r="W47" i="26"/>
  <c r="AC10" i="26"/>
  <c r="AC26" i="26" s="1"/>
  <c r="AB26" i="26"/>
  <c r="X53" i="26" s="1"/>
  <c r="AB54" i="26" s="1"/>
  <c r="X56" i="26"/>
  <c r="AB57" i="26" s="1"/>
  <c r="AC40" i="26"/>
  <c r="AB66" i="26" l="1"/>
  <c r="AC66" i="26" s="1"/>
  <c r="AB77" i="26"/>
  <c r="AC77" i="26" s="1"/>
  <c r="AB70" i="26"/>
  <c r="AC70" i="26" s="1"/>
  <c r="AB58" i="26"/>
  <c r="AC58" i="26" s="1"/>
  <c r="AB76" i="26"/>
  <c r="AC76" i="26" s="1"/>
  <c r="AB69" i="26"/>
  <c r="AC69" i="26" s="1"/>
  <c r="AC44" i="26"/>
  <c r="L94" i="26"/>
  <c r="AB71" i="26"/>
  <c r="AC71" i="26" s="1"/>
  <c r="AB68" i="26"/>
  <c r="AC68" i="26" s="1"/>
  <c r="W50" i="26"/>
  <c r="AB47" i="26"/>
  <c r="AC50" i="26" s="1"/>
  <c r="AC81" i="26" l="1"/>
  <c r="L84" i="26" s="1"/>
  <c r="B136" i="25" l="1"/>
  <c r="B135" i="25"/>
  <c r="M86" i="25"/>
  <c r="V79" i="25"/>
  <c r="V78" i="25"/>
  <c r="Y77" i="25"/>
  <c r="V77" i="25"/>
  <c r="Y76" i="25"/>
  <c r="G76" i="25"/>
  <c r="I76" i="25" s="1"/>
  <c r="AB75" i="25"/>
  <c r="G75" i="25"/>
  <c r="I75" i="25" s="1"/>
  <c r="AB74" i="25"/>
  <c r="Y71" i="25"/>
  <c r="Y70" i="25"/>
  <c r="Y69" i="25"/>
  <c r="Y68" i="25"/>
  <c r="Y66" i="25"/>
  <c r="X65" i="25"/>
  <c r="G65" i="25"/>
  <c r="X64" i="25" s="1"/>
  <c r="Y58" i="25" s="1"/>
  <c r="X61" i="25"/>
  <c r="X60" i="25"/>
  <c r="AA56" i="25"/>
  <c r="J56" i="25"/>
  <c r="AA53" i="25"/>
  <c r="Z49" i="25"/>
  <c r="G49" i="25"/>
  <c r="Z48" i="25"/>
  <c r="G48" i="25"/>
  <c r="Z47" i="25"/>
  <c r="X47" i="25"/>
  <c r="G47" i="25"/>
  <c r="X40" i="25"/>
  <c r="K40" i="25"/>
  <c r="X39" i="25"/>
  <c r="AB40" i="25" s="1"/>
  <c r="X37" i="25"/>
  <c r="E37" i="25"/>
  <c r="D37" i="25"/>
  <c r="AB36" i="25"/>
  <c r="AC36" i="25" s="1"/>
  <c r="L36" i="25"/>
  <c r="AB35" i="25"/>
  <c r="AC35" i="25" s="1"/>
  <c r="L35" i="25"/>
  <c r="AB34" i="25"/>
  <c r="AC34" i="25" s="1"/>
  <c r="L34" i="25"/>
  <c r="AB33" i="25"/>
  <c r="AC33" i="25" s="1"/>
  <c r="L33" i="25"/>
  <c r="AB32" i="25"/>
  <c r="AC32" i="25" s="1"/>
  <c r="L32" i="25"/>
  <c r="AB31" i="25"/>
  <c r="AC31" i="25" s="1"/>
  <c r="L31" i="25"/>
  <c r="AB30" i="25"/>
  <c r="AC30" i="25" s="1"/>
  <c r="L30" i="25"/>
  <c r="AB29" i="25"/>
  <c r="AC29" i="25" s="1"/>
  <c r="L29" i="25"/>
  <c r="AB28" i="25"/>
  <c r="AC28" i="25" s="1"/>
  <c r="L28" i="25"/>
  <c r="E26" i="25"/>
  <c r="D26" i="25"/>
  <c r="K25" i="25"/>
  <c r="L25" i="25" s="1"/>
  <c r="I24" i="25"/>
  <c r="K24" i="25"/>
  <c r="L24" i="25" s="1"/>
  <c r="K23" i="25"/>
  <c r="L23" i="25" s="1"/>
  <c r="I23" i="25"/>
  <c r="K22" i="25"/>
  <c r="L22" i="25" s="1"/>
  <c r="I21" i="25"/>
  <c r="K21" i="25"/>
  <c r="L21" i="25" s="1"/>
  <c r="K20" i="25"/>
  <c r="L20" i="25" s="1"/>
  <c r="I20" i="25"/>
  <c r="K19" i="25"/>
  <c r="L19" i="25" s="1"/>
  <c r="I18" i="25"/>
  <c r="K18" i="25"/>
  <c r="L18" i="25" s="1"/>
  <c r="K17" i="25"/>
  <c r="L17" i="25" s="1"/>
  <c r="I17" i="25"/>
  <c r="K16" i="25"/>
  <c r="L16" i="25" s="1"/>
  <c r="I15" i="25"/>
  <c r="M15" i="25"/>
  <c r="K14" i="25"/>
  <c r="I13" i="25"/>
  <c r="M13" i="25"/>
  <c r="K12" i="25"/>
  <c r="I11" i="25"/>
  <c r="L10" i="25"/>
  <c r="AB7" i="25"/>
  <c r="X49" i="25" s="1"/>
  <c r="X7" i="25"/>
  <c r="V4" i="25"/>
  <c r="B3" i="25"/>
  <c r="V2" i="25"/>
  <c r="G37" i="25" l="1"/>
  <c r="K13" i="25"/>
  <c r="L13" i="25" s="1"/>
  <c r="K11" i="25"/>
  <c r="L11" i="25" s="1"/>
  <c r="G26" i="25"/>
  <c r="M11" i="25"/>
  <c r="L76" i="25"/>
  <c r="Z75" i="25"/>
  <c r="AC75" i="25" s="1"/>
  <c r="L12" i="25"/>
  <c r="C48" i="25"/>
  <c r="K48" i="25" s="1"/>
  <c r="L14" i="25"/>
  <c r="L37" i="25"/>
  <c r="AC37" i="25"/>
  <c r="Z74" i="25"/>
  <c r="AC74" i="25" s="1"/>
  <c r="L75" i="25"/>
  <c r="K15" i="25"/>
  <c r="L15" i="25" s="1"/>
  <c r="X48" i="25"/>
  <c r="K26" i="25" l="1"/>
  <c r="G53" i="25" s="1"/>
  <c r="K54" i="25" s="1"/>
  <c r="L26" i="25"/>
  <c r="C47" i="25"/>
  <c r="C49" i="25"/>
  <c r="K49" i="25" s="1"/>
  <c r="K47" i="25"/>
  <c r="K84" i="25"/>
  <c r="G56" i="25"/>
  <c r="K57" i="25" s="1"/>
  <c r="L40" i="25"/>
  <c r="L44" i="25" s="1"/>
  <c r="K77" i="25"/>
  <c r="L77" i="25" s="1"/>
  <c r="K67" i="25"/>
  <c r="L67" i="25" s="1"/>
  <c r="K70" i="25"/>
  <c r="L70" i="25" s="1"/>
  <c r="K59" i="25"/>
  <c r="L59" i="25" s="1"/>
  <c r="K78" i="25"/>
  <c r="L78" i="25" s="1"/>
  <c r="K71" i="25"/>
  <c r="L71" i="25" s="1"/>
  <c r="C50" i="25" l="1"/>
  <c r="K69" i="25"/>
  <c r="L69" i="25" s="1"/>
  <c r="K72" i="25"/>
  <c r="L72" i="25" s="1"/>
  <c r="L50" i="25"/>
  <c r="L82" i="25" s="1"/>
  <c r="X20" i="25"/>
  <c r="AB20" i="25" s="1"/>
  <c r="AC20" i="25" s="1"/>
  <c r="X24" i="25"/>
  <c r="AB24" i="25" s="1"/>
  <c r="AC24" i="25" s="1"/>
  <c r="X21" i="25"/>
  <c r="AB21" i="25" s="1"/>
  <c r="AC21" i="25" s="1"/>
  <c r="X18" i="25"/>
  <c r="AB18" i="25" s="1"/>
  <c r="AC18" i="25" s="1"/>
  <c r="X15" i="25"/>
  <c r="AB15" i="25" s="1"/>
  <c r="AC15" i="25" s="1"/>
  <c r="X14" i="25"/>
  <c r="AB14" i="25" s="1"/>
  <c r="X11" i="25"/>
  <c r="AB11" i="25" s="1"/>
  <c r="AC11" i="25" s="1"/>
  <c r="X10" i="25"/>
  <c r="X25" i="25"/>
  <c r="AB25" i="25" s="1"/>
  <c r="AC25" i="25" s="1"/>
  <c r="X22" i="25"/>
  <c r="AB22" i="25" s="1"/>
  <c r="AC22" i="25" s="1"/>
  <c r="X19" i="25"/>
  <c r="AB19" i="25" s="1"/>
  <c r="AC19" i="25" s="1"/>
  <c r="X16" i="25"/>
  <c r="AB16" i="25" s="1"/>
  <c r="AC16" i="25" s="1"/>
  <c r="X13" i="25"/>
  <c r="AB13" i="25" s="1"/>
  <c r="AC13" i="25" s="1"/>
  <c r="X12" i="25"/>
  <c r="AB12" i="25" s="1"/>
  <c r="X23" i="25"/>
  <c r="AB23" i="25" s="1"/>
  <c r="AC23" i="25" s="1"/>
  <c r="X17" i="25"/>
  <c r="AB17" i="25" s="1"/>
  <c r="AC17" i="25" s="1"/>
  <c r="K86" i="25" l="1"/>
  <c r="AB10" i="25"/>
  <c r="X26" i="25"/>
  <c r="W48" i="25"/>
  <c r="AB48" i="25" s="1"/>
  <c r="AC12" i="25"/>
  <c r="W49" i="25"/>
  <c r="AB49" i="25" s="1"/>
  <c r="AC14" i="25"/>
  <c r="X56" i="25" l="1"/>
  <c r="AB57" i="25" s="1"/>
  <c r="AC40" i="25"/>
  <c r="L86" i="25"/>
  <c r="L87" i="25" s="1"/>
  <c r="L90" i="25" s="1"/>
  <c r="L92" i="25" s="1"/>
  <c r="A1" i="75" s="1"/>
  <c r="AB26" i="25"/>
  <c r="X53" i="25" s="1"/>
  <c r="AB54" i="25" s="1"/>
  <c r="W47" i="25"/>
  <c r="AC10" i="25"/>
  <c r="AC26" i="25" s="1"/>
  <c r="AC44" i="25" s="1"/>
  <c r="L94" i="25" l="1"/>
  <c r="AB77" i="25"/>
  <c r="AC77" i="25" s="1"/>
  <c r="AB70" i="25"/>
  <c r="AC70" i="25" s="1"/>
  <c r="AB69" i="25"/>
  <c r="AC69" i="25" s="1"/>
  <c r="AB58" i="25"/>
  <c r="AC58" i="25" s="1"/>
  <c r="AB66" i="25"/>
  <c r="AC66" i="25" s="1"/>
  <c r="AB76" i="25"/>
  <c r="AC76" i="25" s="1"/>
  <c r="AB47" i="25"/>
  <c r="AC50" i="25" s="1"/>
  <c r="W50" i="25"/>
  <c r="AB71" i="25"/>
  <c r="AC71" i="25" s="1"/>
  <c r="AB68" i="25"/>
  <c r="AC68" i="25" s="1"/>
  <c r="AC81" i="25" l="1"/>
  <c r="L84" i="25" s="1"/>
</calcChain>
</file>

<file path=xl/comments1.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10.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11.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12.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13.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14.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15.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16.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17.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18.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19.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2.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20.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21.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22.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23.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24.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25.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26.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27.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28.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29.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3.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30.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31.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32.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33.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34.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35.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36.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37.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38.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39.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4.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40.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41.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42.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43.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44.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45.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46.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47.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48.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49.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5.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50.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51.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52.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53.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54.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55.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56.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57.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58.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59.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6.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60.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61.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62.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63.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64.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65.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66.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67.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68.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69.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7.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70.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71.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72.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73.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8.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9.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sharedStrings.xml><?xml version="1.0" encoding="utf-8"?>
<sst xmlns="http://schemas.openxmlformats.org/spreadsheetml/2006/main" count="26520" uniqueCount="449">
  <si>
    <t>%,LACTUALS,FFUND_CODE,V1000</t>
  </si>
  <si>
    <t>%,SJULDEC-CY</t>
  </si>
  <si>
    <t>%,SPER8</t>
  </si>
  <si>
    <t>%,SYTD</t>
  </si>
  <si>
    <t>(Insert district number in cell A1, enter, then strike F9. Your district data then pulls from Calculation Detail Sheets)</t>
  </si>
  <si>
    <t>For Schools with &gt;75% ESE students</t>
  </si>
  <si>
    <t>Based on the Fourth Calculation of the FEFP 2013-14</t>
  </si>
  <si>
    <t xml:space="preserve">School District: </t>
  </si>
  <si>
    <t>Palm Beach</t>
  </si>
  <si>
    <t>1.  2013-14 FEFP State and Local Funding</t>
  </si>
  <si>
    <t>Base Student Allocation</t>
  </si>
  <si>
    <t xml:space="preserve">District Cost Differential: </t>
  </si>
  <si>
    <t>Program</t>
  </si>
  <si>
    <t>October FTE</t>
  </si>
  <si>
    <t>February FTE</t>
  </si>
  <si>
    <t>Number of FTE</t>
  </si>
  <si>
    <t>Program                              Cost Factor</t>
  </si>
  <si>
    <t>Weighted FTE           (b) x (c)</t>
  </si>
  <si>
    <t>2013-14 Base Funding WFTE x BSA x DCD</t>
  </si>
  <si>
    <t>Function</t>
  </si>
  <si>
    <t>Local Code</t>
  </si>
  <si>
    <t>2011-12 Base Funding WFTE x BSA x DCD</t>
  </si>
  <si>
    <t>(a)</t>
  </si>
  <si>
    <t>(b)</t>
  </si>
  <si>
    <t>(c)</t>
  </si>
  <si>
    <t>(d)</t>
  </si>
  <si>
    <t>(e)</t>
  </si>
  <si>
    <t>%,FACCOUNT,VCSFTE,FCLASS_FLD,V5101,FPRODUCT,V101,FCURRENCY_CD,V</t>
  </si>
  <si>
    <t>101 Basic K-3</t>
  </si>
  <si>
    <t>%,FACCOUNT,VCSFTE,FCLASS_FLD,V5101,FPRODUCT,V111,FCURRENCY_CD,V</t>
  </si>
  <si>
    <t>111 Basic K-3 with ESE Services</t>
  </si>
  <si>
    <t>111</t>
  </si>
  <si>
    <t>%,FACCOUNT,VCSFTE,FCLASS_FLD,V5102,FPRODUCT,V102,FCURRENCY_CD,V</t>
  </si>
  <si>
    <t>102 Basic 4-8</t>
  </si>
  <si>
    <t>%,FACCOUNT,VCSFTE,FCLASS_FLD,V5102,FPRODUCT,V112,FCURRENCY_CD,V</t>
  </si>
  <si>
    <t>112 Basic 4-8 with ESE Services</t>
  </si>
  <si>
    <t>112</t>
  </si>
  <si>
    <t>%,FACCOUNT,VCSFTE,FCLASS_FLD,V5103,FPRODUCT,V103,FCURRENCY_CD,V</t>
  </si>
  <si>
    <t>103 Basic 9-12</t>
  </si>
  <si>
    <t>%,FACCOUNT,VCSFTE,FCLASS_FLD,V5103,FPRODUCT,V113,FCURRENCY_CD,V</t>
  </si>
  <si>
    <t>113 Basic 9-12 with ESE Services</t>
  </si>
  <si>
    <t>113</t>
  </si>
  <si>
    <t>%,FACCOUNT,VCSFTE,FCLASS_FLD,V5101,FPRODUCT,V254,FCURRENCY_CD,V</t>
  </si>
  <si>
    <r>
      <t xml:space="preserve">254 ESE Level 4 </t>
    </r>
    <r>
      <rPr>
        <b/>
        <i/>
        <sz val="12"/>
        <rFont val="Times New Roman"/>
        <family val="1"/>
      </rPr>
      <t>(Grade Level PK-3</t>
    </r>
    <r>
      <rPr>
        <b/>
        <sz val="12"/>
        <rFont val="Times New Roman"/>
        <family val="1"/>
      </rPr>
      <t>)</t>
    </r>
  </si>
  <si>
    <t>%,FACCOUNT,VCSFTE,FCLASS_FLD,V5102,FPRODUCT,V254,FCURRENCY_CD,V</t>
  </si>
  <si>
    <r>
      <t xml:space="preserve">254 ESE Level 4 </t>
    </r>
    <r>
      <rPr>
        <b/>
        <i/>
        <sz val="12"/>
        <rFont val="Times New Roman"/>
        <family val="1"/>
      </rPr>
      <t>(Grade Level 4-8)</t>
    </r>
  </si>
  <si>
    <t>%,FACCOUNT,VCSFTE,FCLASS_FLD,V5103,FPRODUCT,V254,FCURRENCY_CD,V</t>
  </si>
  <si>
    <r>
      <t>254 ESE Level 4</t>
    </r>
    <r>
      <rPr>
        <b/>
        <i/>
        <sz val="12"/>
        <rFont val="Times New Roman"/>
        <family val="1"/>
      </rPr>
      <t xml:space="preserve"> (Grade Level 9-12)</t>
    </r>
  </si>
  <si>
    <t>%,FACCOUNT,VCSFTE,FCLASS_FLD,V5101,FPRODUCT,V255,FCURRENCY_CD,V</t>
  </si>
  <si>
    <r>
      <t xml:space="preserve">255 ESE Level 5 </t>
    </r>
    <r>
      <rPr>
        <b/>
        <i/>
        <sz val="12"/>
        <rFont val="Times New Roman"/>
        <family val="1"/>
      </rPr>
      <t>(Grade Level PK-3</t>
    </r>
    <r>
      <rPr>
        <b/>
        <sz val="12"/>
        <rFont val="Times New Roman"/>
        <family val="1"/>
      </rPr>
      <t>)</t>
    </r>
  </si>
  <si>
    <t>%,FACCOUNT,VCSFTE,FCLASS_FLD,V5102,FPRODUCT,V255,FCURRENCY_CD,V</t>
  </si>
  <si>
    <r>
      <t xml:space="preserve">255 ESE Level 5 </t>
    </r>
    <r>
      <rPr>
        <b/>
        <i/>
        <sz val="12"/>
        <rFont val="Times New Roman"/>
        <family val="1"/>
      </rPr>
      <t>(Grade Level 4-8)</t>
    </r>
  </si>
  <si>
    <t>%,FACCOUNT,VCSFTE,FCLASS_FLD,V5103,FPRODUCT,V255,FCURRENCY_CD,V</t>
  </si>
  <si>
    <r>
      <t>255 ESE Level 5</t>
    </r>
    <r>
      <rPr>
        <b/>
        <i/>
        <sz val="12"/>
        <rFont val="Times New Roman"/>
        <family val="1"/>
      </rPr>
      <t xml:space="preserve"> (Grade Level 9-12)</t>
    </r>
  </si>
  <si>
    <t>%,FACCOUNT,VCSFTE,FCLASS_FLD,V5101,FPRODUCT,V130,FCURRENCY_CD,V</t>
  </si>
  <si>
    <r>
      <t xml:space="preserve">130 ESOL </t>
    </r>
    <r>
      <rPr>
        <b/>
        <i/>
        <sz val="12"/>
        <rFont val="Times New Roman"/>
        <family val="1"/>
      </rPr>
      <t>(Grade Level PK-3)</t>
    </r>
  </si>
  <si>
    <t>%,FACCOUNT,VCSFTE,FCLASS_FLD,V5102,FPRODUCT,V130,FCURRENCY_CD,V</t>
  </si>
  <si>
    <r>
      <t xml:space="preserve">130 ESOL </t>
    </r>
    <r>
      <rPr>
        <b/>
        <i/>
        <sz val="12"/>
        <rFont val="Times New Roman"/>
        <family val="1"/>
      </rPr>
      <t>(Grade Level 4-8)</t>
    </r>
  </si>
  <si>
    <t>%,FACCOUNT,VCSFTE,FCLASS_FLD,V5103,FPRODUCT,V130,FCURRENCY_CD,V</t>
  </si>
  <si>
    <r>
      <t xml:space="preserve">130 ESOL </t>
    </r>
    <r>
      <rPr>
        <b/>
        <i/>
        <sz val="12"/>
        <rFont val="Times New Roman"/>
        <family val="1"/>
      </rPr>
      <t>(Grade Level 9-12)</t>
    </r>
  </si>
  <si>
    <t>%,FACCOUNT,VCSFTE,FCLASS_FLD,V5310,FPRODUCT,V300,FCURRENCY_CD,V</t>
  </si>
  <si>
    <r>
      <t xml:space="preserve">300 Career Education </t>
    </r>
    <r>
      <rPr>
        <b/>
        <i/>
        <sz val="12"/>
        <rFont val="Times New Roman"/>
        <family val="1"/>
      </rPr>
      <t>(Grades 9-12)</t>
    </r>
  </si>
  <si>
    <t>Totals</t>
  </si>
  <si>
    <t>2.  ESE Guaranteed Allocation:</t>
  </si>
  <si>
    <t>FTE</t>
  </si>
  <si>
    <t>Grade Level</t>
  </si>
  <si>
    <t>Matrix Level</t>
  </si>
  <si>
    <t>Guarantee Per Student</t>
  </si>
  <si>
    <t>%,FACCOUNT,VCSFTE,FCLASS_FLD,V5101,FPRODUCT,V251,FCURRENCY_CD,V</t>
  </si>
  <si>
    <t>Additional Funding from the ESE Guaranteed Allocation. Enter the FTE from 111,112, &amp; 113 by grade and matrix level.  Students who do not have a matrix level should be considered 251.  This total should equal all FTE from programs 111, 112 &amp; 113 above.</t>
  </si>
  <si>
    <t>PK-3</t>
  </si>
  <si>
    <t>%,FACCOUNT,VCSFTE,FCLASS_FLD,V5101,FPRODUCT,V252,FCURRENCY_CD,V</t>
  </si>
  <si>
    <t>%,FACCOUNT,VCSFTE,FCLASS_FLD,V5101,FPRODUCT,V253,FCURRENCY_CD,V</t>
  </si>
  <si>
    <t>%,FACCOUNT,VCSFTE,FCLASS_FLD,V5102,FPRODUCT,V251,FCURRENCY_CD,V</t>
  </si>
  <si>
    <t>4-8</t>
  </si>
  <si>
    <t>%,FACCOUNT,VCSFTE,FCLASS_FLD,V5102,FPRODUCT,V252,FCURRENCY_CD,V</t>
  </si>
  <si>
    <t>%,FACCOUNT,VCSFTE,FCLASS_FLD,V5102,FPRODUCT,V253,FCURRENCY_CD,V</t>
  </si>
  <si>
    <t>%,FACCOUNT,VCSFTE,FCLASS_FLD,V5103,FPRODUCT,V251,FCURRENCY_CD,V</t>
  </si>
  <si>
    <t>9-12</t>
  </si>
  <si>
    <t>%,FACCOUNT,VCSFTE,FCLASS_FLD,V5103,FPRODUCT,V252,FCURRENCY_CD,V</t>
  </si>
  <si>
    <t>%,FACCOUNT,VCSFTE,FCLASS_FLD,V5103,FPRODUCT,V253,FCURRENCY_CD,V</t>
  </si>
  <si>
    <t>Total FTE with ESE Services</t>
  </si>
  <si>
    <t>Total from ESE Guarantee</t>
  </si>
  <si>
    <t>3.  Supplemental Academic Instruction:</t>
  </si>
  <si>
    <t xml:space="preserve">District SAI Allocation </t>
  </si>
  <si>
    <t>Per Student</t>
  </si>
  <si>
    <t xml:space="preserve">divided by district FTE </t>
  </si>
  <si>
    <t>(with eligible services)</t>
  </si>
  <si>
    <t xml:space="preserve">4.  Reading Allocation: </t>
  </si>
  <si>
    <t>Charter Schools should contact their school district sponsor regarding eligibility and distribution of reading allocation funds.</t>
  </si>
  <si>
    <t>Total Base Funding, ESE Guarantee, and SAI</t>
  </si>
  <si>
    <t>5.  Class size Reduction Funds:</t>
  </si>
  <si>
    <t>Weighted FTE (From Section 1)</t>
  </si>
  <si>
    <r>
      <rPr>
        <b/>
        <sz val="12"/>
        <rFont val="Times New Roman"/>
        <family val="1"/>
      </rPr>
      <t xml:space="preserve">X     </t>
    </r>
    <r>
      <rPr>
        <b/>
        <u/>
        <sz val="12"/>
        <rFont val="Times New Roman"/>
        <family val="1"/>
      </rPr>
      <t>DCD</t>
    </r>
    <r>
      <rPr>
        <b/>
        <sz val="12"/>
        <rFont val="Times New Roman"/>
        <family val="1"/>
      </rPr>
      <t xml:space="preserve">     X</t>
    </r>
  </si>
  <si>
    <t>Allocation factors</t>
  </si>
  <si>
    <r>
      <rPr>
        <b/>
        <sz val="12"/>
        <rFont val="Times New Roman"/>
        <family val="1"/>
      </rPr>
      <t xml:space="preserve">X             </t>
    </r>
    <r>
      <rPr>
        <b/>
        <u/>
        <sz val="12"/>
        <rFont val="Times New Roman"/>
        <family val="1"/>
      </rPr>
      <t>DCD</t>
    </r>
    <r>
      <rPr>
        <b/>
        <sz val="12"/>
        <rFont val="Times New Roman"/>
        <family val="1"/>
      </rPr>
      <t xml:space="preserve">            X</t>
    </r>
  </si>
  <si>
    <t>PK - 3</t>
  </si>
  <si>
    <t>=</t>
  </si>
  <si>
    <r>
      <t xml:space="preserve">Total </t>
    </r>
    <r>
      <rPr>
        <b/>
        <sz val="12"/>
        <color indexed="30"/>
        <rFont val="Times New Roman"/>
        <family val="1"/>
      </rPr>
      <t>*</t>
    </r>
  </si>
  <si>
    <t>Total Class Size Reduction Funds</t>
  </si>
  <si>
    <t>(*Total FTE should equal total in Section 1, column (d).)</t>
  </si>
  <si>
    <t xml:space="preserve">6A.  Divide school's Weighted FTE (WFTE) total computed </t>
  </si>
  <si>
    <t>in (d) above:</t>
  </si>
  <si>
    <t>by district's WFTE:</t>
  </si>
  <si>
    <t xml:space="preserve">to obtain school's WFTE share. </t>
  </si>
  <si>
    <t xml:space="preserve">6B.  Divide school's Unweighted FTE (UFTE) total computed </t>
  </si>
  <si>
    <t>in (b) above:</t>
  </si>
  <si>
    <t>by district's UFTE:</t>
  </si>
  <si>
    <t xml:space="preserve">to obtain school's UFTE share.  </t>
  </si>
  <si>
    <t>Letters Refer to Notes At Bottom:</t>
  </si>
  <si>
    <t>7.  Other FEFP (WFTE share)</t>
  </si>
  <si>
    <t>x</t>
  </si>
  <si>
    <t>Applicable to all Charter Schools:</t>
  </si>
  <si>
    <t>Declining Enrollment</t>
  </si>
  <si>
    <t>Sparsity Supplement</t>
  </si>
  <si>
    <t>Minimum Guarantee</t>
  </si>
  <si>
    <t>Program Related Requirements:</t>
  </si>
  <si>
    <t>Safe Schools</t>
  </si>
  <si>
    <t>Lab School Discretionary</t>
  </si>
  <si>
    <t>8.  Discretionary Local Effort (WFTE share)</t>
  </si>
  <si>
    <t>9.  Discretionary Millage Compression Allocation</t>
  </si>
  <si>
    <t>.748 mills (UFTE share)</t>
  </si>
  <si>
    <t>10.  Proration to Funds Available (WFTE share)</t>
  </si>
  <si>
    <t>11.  Discretionary Lottery (WFTE share)</t>
  </si>
  <si>
    <t>12.  Instructional Materials Allocation (UFTE share)</t>
  </si>
  <si>
    <r>
      <t>Dual Enrollment Instructional Materials Allocation (See footnote i</t>
    </r>
    <r>
      <rPr>
        <b/>
        <i/>
        <sz val="12"/>
        <rFont val="Times New Roman"/>
        <family val="1"/>
      </rPr>
      <t xml:space="preserve"> </t>
    </r>
    <r>
      <rPr>
        <b/>
        <sz val="12"/>
        <rFont val="Times New Roman"/>
        <family val="1"/>
      </rPr>
      <t xml:space="preserve">below) </t>
    </r>
  </si>
  <si>
    <t>13.  Student Transportation</t>
  </si>
  <si>
    <t>Enter</t>
  </si>
  <si>
    <t>All Riders</t>
  </si>
  <si>
    <t xml:space="preserve"> x</t>
  </si>
  <si>
    <t>%,FACCOUNT,VCSFTE,FCLASS_FLD,V7802,FPRODUCT,V100,V,V000,FCURRENCY_CD,V</t>
  </si>
  <si>
    <t>ESE Student Riders</t>
  </si>
  <si>
    <t>%,FACCOUNT,VCSFTE,FCLASS_FLD,V7802,FPRODUCT,V110,FCURRENCY_CD,V</t>
  </si>
  <si>
    <t>14.  Teacher Salary Allocation (WFTE share)</t>
  </si>
  <si>
    <t>(j)</t>
  </si>
  <si>
    <t>15.  Additional Allocation (WFTE share)</t>
  </si>
  <si>
    <t>(k)</t>
  </si>
  <si>
    <t>16.  Florida Teachers Lead Program Stipend</t>
  </si>
  <si>
    <t>17.  Food Service Allocation</t>
  </si>
  <si>
    <t>(g)</t>
  </si>
  <si>
    <t>Total Funding for Calculating the Administrative fee of Charters with More Than 75% ESE Students.</t>
  </si>
  <si>
    <t>Total</t>
  </si>
  <si>
    <t>18. Funding for the purpose of calculating the administrative fee for ESE Charters.</t>
  </si>
  <si>
    <t>(h)</t>
  </si>
  <si>
    <t>Or</t>
  </si>
  <si>
    <t>NOTES:</t>
  </si>
  <si>
    <t>If you have more than a 75% ESE student population please place a 1 in the following box:</t>
  </si>
  <si>
    <t xml:space="preserve">This section is Set up to show estimated funding based on Unweighted FTE for charter schools with ESE </t>
  </si>
  <si>
    <t xml:space="preserve">populations of more that 75% so that the proper administrative fee can be estimated.  It should not be </t>
  </si>
  <si>
    <t>Less: Administrative Fee (5% for up to 250 students of Un-Weighted FTE)</t>
  </si>
  <si>
    <t>To be used for Admin Fee</t>
  </si>
  <si>
    <t>necessary to enter data in this section.</t>
  </si>
  <si>
    <t>Total Estimated Revenue</t>
  </si>
  <si>
    <t>%,FACCOUNT,V539700,FPROGRAM_CODE,V9333,FFUND_CODE,V1000</t>
  </si>
  <si>
    <t>Previous Charter School Payments Made</t>
  </si>
  <si>
    <t>Remaining Estimated Revenue</t>
  </si>
  <si>
    <t>Number of Remaining Months</t>
  </si>
  <si>
    <t>Remaining Months - Monthly Payment</t>
  </si>
  <si>
    <t>Excess of Administrative Fees To Be Allocated to Capital Expenditures</t>
  </si>
  <si>
    <t>NOTES - on separate tab</t>
  </si>
  <si>
    <t>nVision Variables</t>
  </si>
  <si>
    <t>CHARTER</t>
  </si>
  <si>
    <t>Report Name</t>
  </si>
  <si>
    <t>Charter School FEFP Calc</t>
  </si>
  <si>
    <t>Report Title</t>
  </si>
  <si>
    <t>Charter School FEFP4</t>
  </si>
  <si>
    <t>Layout Name</t>
  </si>
  <si>
    <t>SDPBC</t>
  </si>
  <si>
    <t>Requesting Business Unit</t>
  </si>
  <si>
    <t>Requesting Business Unit Description</t>
  </si>
  <si>
    <t>1075590</t>
  </si>
  <si>
    <t>Operator ID</t>
  </si>
  <si>
    <t>D</t>
  </si>
  <si>
    <t>Detail or Summary (nPlosion)</t>
  </si>
  <si>
    <t>1</t>
  </si>
  <si>
    <t>Scope Instance Counter</t>
  </si>
  <si>
    <t>c:\Reports</t>
  </si>
  <si>
    <t xml:space="preserve">Instance directory name </t>
  </si>
  <si>
    <t>CHARTER2014-05-01.xlsm</t>
  </si>
  <si>
    <t>Instance output file name</t>
  </si>
  <si>
    <t>2014-05-01</t>
  </si>
  <si>
    <t>As of Reporting date</t>
  </si>
  <si>
    <t>As of tree date</t>
  </si>
  <si>
    <t>11</t>
  </si>
  <si>
    <t>Accounting Period</t>
  </si>
  <si>
    <t>Period 11 - 2014-05-01</t>
  </si>
  <si>
    <t>Period name</t>
  </si>
  <si>
    <t>Period abbreviation</t>
  </si>
  <si>
    <t>14</t>
  </si>
  <si>
    <t>Year ('96)</t>
  </si>
  <si>
    <t>2014</t>
  </si>
  <si>
    <t>Year (1996)</t>
  </si>
  <si>
    <t>%PEP%</t>
  </si>
  <si>
    <t>Period End Date</t>
  </si>
  <si>
    <t>Scope name</t>
  </si>
  <si>
    <t>Charter Schools</t>
  </si>
  <si>
    <t>Scope description</t>
  </si>
  <si>
    <t>DEPTID</t>
  </si>
  <si>
    <t>Scope field name</t>
  </si>
  <si>
    <t>0054</t>
  </si>
  <si>
    <t>Scope field value</t>
  </si>
  <si>
    <t>Boca Raton Charter School</t>
  </si>
  <si>
    <t>Scope field description</t>
  </si>
  <si>
    <t>Error</t>
  </si>
  <si>
    <t>Scope tree name</t>
  </si>
  <si>
    <t>Scope tree description</t>
  </si>
  <si>
    <t>Scope tree level name</t>
  </si>
  <si>
    <t>Scope tree level desctiption</t>
  </si>
  <si>
    <t>Business Unit</t>
  </si>
  <si>
    <t>School District Palm Beach</t>
  </si>
  <si>
    <t>Business Unit Name</t>
  </si>
  <si>
    <t>Scope descriptive field</t>
  </si>
  <si>
    <t>End time</t>
  </si>
  <si>
    <t>2</t>
  </si>
  <si>
    <t>0642</t>
  </si>
  <si>
    <t>Day Star Acad of Excellence CS</t>
  </si>
  <si>
    <t>3</t>
  </si>
  <si>
    <t>0664</t>
  </si>
  <si>
    <t>Academy for Positve Lrn</t>
  </si>
  <si>
    <t>4</t>
  </si>
  <si>
    <t>1461</t>
  </si>
  <si>
    <t>Inlet Grove Community High</t>
  </si>
  <si>
    <t>5</t>
  </si>
  <si>
    <t>1571</t>
  </si>
  <si>
    <t>South Tech Community High</t>
  </si>
  <si>
    <t>6</t>
  </si>
  <si>
    <t>2521</t>
  </si>
  <si>
    <t>Ed Venture Charter School</t>
  </si>
  <si>
    <t>7</t>
  </si>
  <si>
    <t>2531</t>
  </si>
  <si>
    <t>Potentials Charter School</t>
  </si>
  <si>
    <t>8</t>
  </si>
  <si>
    <t>2641</t>
  </si>
  <si>
    <t>Lakeside Academy Charter</t>
  </si>
  <si>
    <t>9</t>
  </si>
  <si>
    <t>2661</t>
  </si>
  <si>
    <t>JosephLittlesNguzoSaba CSch</t>
  </si>
  <si>
    <t>10</t>
  </si>
  <si>
    <t>2791</t>
  </si>
  <si>
    <t>Renaissance Learning Center</t>
  </si>
  <si>
    <t>2801</t>
  </si>
  <si>
    <t>PB Maritime Academy Charter</t>
  </si>
  <si>
    <t>12</t>
  </si>
  <si>
    <t>2911</t>
  </si>
  <si>
    <t>Western Academy Charter School</t>
  </si>
  <si>
    <t>13</t>
  </si>
  <si>
    <t>2941</t>
  </si>
  <si>
    <t>Palm Beach School for Autism</t>
  </si>
  <si>
    <t>3083</t>
  </si>
  <si>
    <t>Renaissance Learning Academy</t>
  </si>
  <si>
    <t>15</t>
  </si>
  <si>
    <t>3344</t>
  </si>
  <si>
    <t>Tomorrow'sPromiseCommunitySch</t>
  </si>
  <si>
    <t>16</t>
  </si>
  <si>
    <t>3345</t>
  </si>
  <si>
    <t>GulfstreamGoodwil LIFE Academy</t>
  </si>
  <si>
    <t>17</t>
  </si>
  <si>
    <t>3347</t>
  </si>
  <si>
    <t>Leadership Academy West</t>
  </si>
  <si>
    <t>18</t>
  </si>
  <si>
    <t>3381</t>
  </si>
  <si>
    <t>Imagine Sch-Chancellor Campus</t>
  </si>
  <si>
    <t>19</t>
  </si>
  <si>
    <t>3382</t>
  </si>
  <si>
    <t>Glades Acad Elem School, Inc</t>
  </si>
  <si>
    <t>20</t>
  </si>
  <si>
    <t>3384</t>
  </si>
  <si>
    <t>Hope Learning Riviera Beach</t>
  </si>
  <si>
    <t>21</t>
  </si>
  <si>
    <t>3385</t>
  </si>
  <si>
    <t>Bright Futures Academy</t>
  </si>
  <si>
    <t>22</t>
  </si>
  <si>
    <t>3386</t>
  </si>
  <si>
    <t>Toussaint Louverture Arts</t>
  </si>
  <si>
    <t>23</t>
  </si>
  <si>
    <t>3391</t>
  </si>
  <si>
    <t>Seagull Acad-Independent Chart</t>
  </si>
  <si>
    <t>24</t>
  </si>
  <si>
    <t>3392</t>
  </si>
  <si>
    <t>Charter Sch of Boynton Beach</t>
  </si>
  <si>
    <t>25</t>
  </si>
  <si>
    <t>3394</t>
  </si>
  <si>
    <t>Montessori Acad Early Enrich</t>
  </si>
  <si>
    <t>26</t>
  </si>
  <si>
    <t>3395</t>
  </si>
  <si>
    <t>JFK Medical Center Charter Sch</t>
  </si>
  <si>
    <t>27</t>
  </si>
  <si>
    <t>3396</t>
  </si>
  <si>
    <t>G Hauptner G-Star Charter</t>
  </si>
  <si>
    <t>28</t>
  </si>
  <si>
    <t>3398</t>
  </si>
  <si>
    <t>Everglades Prep Academy</t>
  </si>
  <si>
    <t>29</t>
  </si>
  <si>
    <t>3400</t>
  </si>
  <si>
    <t>Believers</t>
  </si>
  <si>
    <t>30</t>
  </si>
  <si>
    <t>3401</t>
  </si>
  <si>
    <t>Quantum High School</t>
  </si>
  <si>
    <t>31</t>
  </si>
  <si>
    <t>3411</t>
  </si>
  <si>
    <t>My Choice Academy</t>
  </si>
  <si>
    <t>32</t>
  </si>
  <si>
    <t>3413</t>
  </si>
  <si>
    <t>Somerset Academy Boca East</t>
  </si>
  <si>
    <t>33</t>
  </si>
  <si>
    <t>3421</t>
  </si>
  <si>
    <t>Worthington High School</t>
  </si>
  <si>
    <t>34</t>
  </si>
  <si>
    <t>3431</t>
  </si>
  <si>
    <t>Renaissance CS @ WPBch</t>
  </si>
  <si>
    <t>3443</t>
  </si>
  <si>
    <t>Riviera Beach Maritime Academy</t>
  </si>
  <si>
    <t>36</t>
  </si>
  <si>
    <t>3941</t>
  </si>
  <si>
    <t>Ben Gamla - Palm Beach</t>
  </si>
  <si>
    <t>38</t>
  </si>
  <si>
    <t>3961</t>
  </si>
  <si>
    <t>Gardens Sch of Tech Arts, Inc</t>
  </si>
  <si>
    <t>39</t>
  </si>
  <si>
    <t>3971</t>
  </si>
  <si>
    <t>Mavericks HS of Palm Springs</t>
  </si>
  <si>
    <t>40</t>
  </si>
  <si>
    <t>4000</t>
  </si>
  <si>
    <t>Renaissance Cht SchPalmsWest</t>
  </si>
  <si>
    <t>41</t>
  </si>
  <si>
    <t>4002</t>
  </si>
  <si>
    <t>Renaissance Cht Sch at Summit</t>
  </si>
  <si>
    <t>42</t>
  </si>
  <si>
    <t>4010</t>
  </si>
  <si>
    <t>Belle Glade Excel Cht School</t>
  </si>
  <si>
    <t>43</t>
  </si>
  <si>
    <t>4012</t>
  </si>
  <si>
    <t>Somerset Acad Canyons Md Sch</t>
  </si>
  <si>
    <t>44</t>
  </si>
  <si>
    <t>4013</t>
  </si>
  <si>
    <t>Somerset Acad Canyons Hg Sch</t>
  </si>
  <si>
    <t>45</t>
  </si>
  <si>
    <t>4020</t>
  </si>
  <si>
    <t>Franklin Academy Cht School B</t>
  </si>
  <si>
    <t>46</t>
  </si>
  <si>
    <t>4037</t>
  </si>
  <si>
    <t>Learning Path Academy</t>
  </si>
  <si>
    <t>Sorted by Number</t>
  </si>
  <si>
    <t>Sorted by Name</t>
  </si>
  <si>
    <t>DeptID</t>
  </si>
  <si>
    <t>Charter Name</t>
  </si>
  <si>
    <t>Believers Academy</t>
  </si>
  <si>
    <t>1572</t>
  </si>
  <si>
    <t>South Tech Adult Education</t>
  </si>
  <si>
    <t>G. Hauptner G-Star Charter</t>
  </si>
  <si>
    <t>Renaissance Ch Sch at Summit</t>
  </si>
  <si>
    <t>Renaissance Cht Sch Palms West</t>
  </si>
  <si>
    <t>Renaissance CS@WPBch</t>
  </si>
  <si>
    <t>Riviera Bch Maritime Academy</t>
  </si>
  <si>
    <t>Notes:</t>
  </si>
  <si>
    <t>(a) District allocations multiplied by percentage from item 6A.</t>
  </si>
  <si>
    <t>(b) District allocations multiplied by percentage from item 6B.</t>
  </si>
  <si>
    <t xml:space="preserve">(d) Proceeds of 0.748 millage levy (s. 1011.71(3)(b), Florida Statutes) multiplied by percentage from item 6A. </t>
  </si>
  <si>
    <t>(e) Consistent with Section 1006.21, Florida Statutes and DOE Student Transportation General Instructions. Numbers entered here will be multiplied by the district level transportation funding per rider. "All Riders" should include both basic and ESE Riders. "ESE Student Riders" should include only ESE Riders.</t>
  </si>
  <si>
    <t>(f) Teacher Lead Program Allocation per Section 1012.71, Florida Statutes</t>
  </si>
  <si>
    <t xml:space="preserve">(g) Funding based on student eligibility and meals provided, if participating in the National School Lunch Program. </t>
  </si>
  <si>
    <t xml:space="preserve">(h) Consistent with Section 1002.33(20)(a), Florida Statutes, for charter schools with a population of 75% or more ESE students, the administrative fee shall be calculated based on unweighted full-time equivalent students. </t>
  </si>
  <si>
    <t xml:space="preserve">(i) As provided in the 2013 General Appropriations Act, school districts are required to pay for instructional materials used for the instruction of public school high school students who are earning credit toward high school graduation under the dual enrollment program as provided in section 1011.62(l)(i), Florida Statutes.  </t>
  </si>
  <si>
    <t xml:space="preserve">(j) The Teacher Salary Allocation is provided pursuant to Specific Appropriation 87, Chapter 2013-40, Laws of Florida, and Section 26 of Chapter 2013-45, Laws of Florida. </t>
  </si>
  <si>
    <t xml:space="preserve">Administrative fees charged by the school district shall be calculated based upon 5 percent of available funds from the FEFP and categorical funding for which charter students may be eligible.  For charter schools with a population of 251 or more students the difference in the fee calculation and the fee withheld may only be used for capital outlay purposes specified in Section 1013.62(2) F.S.  To calculate the administrative fee to be withheld for schools with more than 250 students, divide the school population into 250. Multiply that fraction times the funds available, then times 5%.  </t>
  </si>
  <si>
    <t xml:space="preserve">For high performing charter schools, administrative fees charged by the school district shall be calculated based upon 2 percent of available funds from the FEFP and  categorical funding for which charter students may be eligible.  For charter schools with a population of 251 or more students the difference in the fee calculation and the fee withheld may only be used for capital outlay purposes specified in Section 1013.62(2) F.S.  To calculate the administrative fee to be withheld for schools with more than 250 students, divide the school population into 250. Multiply that fraction times the funds available, then times 2 percent.  </t>
  </si>
  <si>
    <t>FEFP and categorical funding are recalculated during the year to reflect the revised number of full-time equivalent students reported during the survey periods designated by the Commissioner of Education.</t>
  </si>
  <si>
    <t>Revenues flow to districts from state sources and from county tax collectors on various distribution schedules.</t>
  </si>
  <si>
    <t>4041</t>
  </si>
  <si>
    <t>Somerset Academy Boca Middle School</t>
  </si>
  <si>
    <t>Please enter your district number in cell C2.</t>
  </si>
  <si>
    <t>Enter District Number:</t>
  </si>
  <si>
    <t xml:space="preserve"> Revenue Estimate Worksheet for Virtual EducationPrograms </t>
  </si>
  <si>
    <t>Based on the Second Calculation of the FEFP 2013-14</t>
  </si>
  <si>
    <t>School District:</t>
  </si>
  <si>
    <t>District Funding</t>
  </si>
  <si>
    <t>Base Funding</t>
  </si>
  <si>
    <t>Lab School Dicretionary</t>
  </si>
  <si>
    <t>0.748 Discretionary Local Effort</t>
  </si>
  <si>
    <t>0.748 Mills Compression</t>
  </si>
  <si>
    <t>Reading Allocation</t>
  </si>
  <si>
    <t>Instructional Materials</t>
  </si>
  <si>
    <t>Teacher Salary Allocation</t>
  </si>
  <si>
    <t>Additional Allocation</t>
  </si>
  <si>
    <t>Subtotal</t>
  </si>
  <si>
    <t>District FTE</t>
  </si>
  <si>
    <t>Funding Per FTE</t>
  </si>
  <si>
    <t>Virtual Education Contribution Per FTE</t>
  </si>
  <si>
    <t>Total Funding Per FTE</t>
  </si>
  <si>
    <t>Total Virtual Funding Per FTE</t>
  </si>
  <si>
    <t>Total Virtual Funding</t>
  </si>
  <si>
    <t>Estimated Completion Factor</t>
  </si>
  <si>
    <t>based on K12 State-wide Average</t>
  </si>
  <si>
    <t>Total Virtual Funding net of Completion Factor</t>
  </si>
  <si>
    <t>Less: Administrative Fee (5% for Virtual)</t>
  </si>
  <si>
    <t>4040</t>
  </si>
  <si>
    <t>Florida Virtual Academy @ PBC</t>
  </si>
  <si>
    <t>South Tech Prep (Middle)</t>
  </si>
  <si>
    <t xml:space="preserve">Somerset Academy Boca Middle School </t>
  </si>
  <si>
    <t>South Tech Prep</t>
  </si>
  <si>
    <t>School #</t>
  </si>
  <si>
    <t>Description</t>
  </si>
  <si>
    <t xml:space="preserve">Net Payment  </t>
  </si>
  <si>
    <t>NOTE TO ALL CHARTER SCHOOLS</t>
  </si>
  <si>
    <t>Adult/ED</t>
  </si>
  <si>
    <t>School Police</t>
  </si>
  <si>
    <t xml:space="preserve">AT&amp;T </t>
  </si>
  <si>
    <t>Avaya</t>
  </si>
  <si>
    <t>Adult/ESE</t>
  </si>
  <si>
    <t>Adult/Ed</t>
  </si>
  <si>
    <r>
      <t xml:space="preserve">The </t>
    </r>
    <r>
      <rPr>
        <b/>
        <i/>
        <u/>
        <sz val="12"/>
        <color rgb="FF222222"/>
        <rFont val="Arial"/>
        <family val="2"/>
      </rPr>
      <t>Teacher Salary Allocation (</t>
    </r>
    <r>
      <rPr>
        <b/>
        <sz val="12"/>
        <color rgb="FF222222"/>
        <rFont val="Arial"/>
        <family val="2"/>
      </rPr>
      <t>line 14) on the revenue worksheet is the total amount that will need to be disbursed prior to June 30, 2014.  Remember to submit your board approved salary allocation plan to the Charter School Department.</t>
    </r>
  </si>
  <si>
    <t>AG Findings</t>
  </si>
  <si>
    <t>Utilities</t>
  </si>
  <si>
    <t xml:space="preserve">AG Findings </t>
  </si>
  <si>
    <t>Sept. FY13 Overpaid</t>
  </si>
  <si>
    <t>3441</t>
  </si>
  <si>
    <t>South Tech Prepartory Academy</t>
  </si>
  <si>
    <t>H</t>
  </si>
  <si>
    <t>Prior Year Adj</t>
  </si>
  <si>
    <t>June FY2013-2014 Charter School FTE Payment.</t>
  </si>
  <si>
    <t>FTE June 14</t>
  </si>
  <si>
    <t>Less: Administrative Fee (2% for up to 250 students of Un-Weighted FTE)</t>
  </si>
  <si>
    <t>WPB-108014</t>
  </si>
  <si>
    <t>WPB-107861</t>
  </si>
  <si>
    <t>WPB-107862</t>
  </si>
  <si>
    <t>WPB-107864</t>
  </si>
  <si>
    <t>WPB-108016</t>
  </si>
  <si>
    <t>WPB-108018</t>
  </si>
  <si>
    <t>WPB-108019</t>
  </si>
  <si>
    <t>WPB-111899</t>
  </si>
  <si>
    <t>WPB-109456</t>
  </si>
  <si>
    <t>WPB-112117</t>
  </si>
  <si>
    <t>WPB-111826</t>
  </si>
  <si>
    <r>
      <t xml:space="preserve">The June payment reflects the 4th calculation </t>
    </r>
    <r>
      <rPr>
        <b/>
        <u/>
        <sz val="12"/>
        <color rgb="FF222222"/>
        <rFont val="Arial"/>
        <family val="2"/>
      </rPr>
      <t>adjusted October</t>
    </r>
    <r>
      <rPr>
        <b/>
        <sz val="12"/>
        <color rgb="FF222222"/>
        <rFont val="Arial"/>
        <family val="2"/>
      </rPr>
      <t xml:space="preserve"> and reported </t>
    </r>
    <r>
      <rPr>
        <b/>
        <u/>
        <sz val="12"/>
        <color rgb="FF222222"/>
        <rFont val="Arial"/>
        <family val="2"/>
      </rPr>
      <t>February</t>
    </r>
    <r>
      <rPr>
        <b/>
        <sz val="12"/>
        <color rgb="FF222222"/>
        <rFont val="Arial"/>
        <family val="2"/>
      </rPr>
      <t xml:space="preserve"> student FTE and transportation FTE recalibrated by the Florida Department of Education (FLDOE).   </t>
    </r>
    <r>
      <rPr>
        <b/>
        <u/>
        <sz val="12"/>
        <color rgb="FF222222"/>
        <rFont val="Arial"/>
        <family val="2"/>
      </rPr>
      <t>If you identify any discrepancies in student or transportation FTE notify your District FTE contact immediately.</t>
    </r>
  </si>
  <si>
    <t>Amount overpaid and due back to the District</t>
  </si>
  <si>
    <r>
      <t xml:space="preserve">254 ESE Level 4 </t>
    </r>
    <r>
      <rPr>
        <b/>
        <i/>
        <sz val="11"/>
        <rFont val="Times New Roman"/>
        <family val="1"/>
      </rPr>
      <t>(Grade Level PK-3</t>
    </r>
    <r>
      <rPr>
        <b/>
        <sz val="11"/>
        <rFont val="Times New Roman"/>
        <family val="1"/>
      </rPr>
      <t>)</t>
    </r>
  </si>
  <si>
    <r>
      <t xml:space="preserve">254 ESE Level 4 </t>
    </r>
    <r>
      <rPr>
        <b/>
        <i/>
        <sz val="11"/>
        <rFont val="Times New Roman"/>
        <family val="1"/>
      </rPr>
      <t>(Grade Level 4-8)</t>
    </r>
  </si>
  <si>
    <r>
      <t>254 ESE Level 4</t>
    </r>
    <r>
      <rPr>
        <b/>
        <i/>
        <sz val="11"/>
        <rFont val="Times New Roman"/>
        <family val="1"/>
      </rPr>
      <t xml:space="preserve"> (Grade Level 9-12)</t>
    </r>
  </si>
  <si>
    <r>
      <t xml:space="preserve">255 ESE Level 5 </t>
    </r>
    <r>
      <rPr>
        <b/>
        <i/>
        <sz val="11"/>
        <rFont val="Times New Roman"/>
        <family val="1"/>
      </rPr>
      <t>(Grade Level PK-3</t>
    </r>
    <r>
      <rPr>
        <b/>
        <sz val="11"/>
        <rFont val="Times New Roman"/>
        <family val="1"/>
      </rPr>
      <t>)</t>
    </r>
  </si>
  <si>
    <r>
      <t xml:space="preserve">255 ESE Level 5 </t>
    </r>
    <r>
      <rPr>
        <b/>
        <i/>
        <sz val="11"/>
        <rFont val="Times New Roman"/>
        <family val="1"/>
      </rPr>
      <t>(Grade Level 4-8)</t>
    </r>
  </si>
  <si>
    <r>
      <t>255 ESE Level 5</t>
    </r>
    <r>
      <rPr>
        <b/>
        <i/>
        <sz val="11"/>
        <rFont val="Times New Roman"/>
        <family val="1"/>
      </rPr>
      <t xml:space="preserve"> (Grade Level 9-12)</t>
    </r>
  </si>
  <si>
    <r>
      <t xml:space="preserve">130 ESOL </t>
    </r>
    <r>
      <rPr>
        <b/>
        <i/>
        <sz val="11"/>
        <rFont val="Times New Roman"/>
        <family val="1"/>
      </rPr>
      <t>(Grade Level PK-3)</t>
    </r>
  </si>
  <si>
    <r>
      <t xml:space="preserve">130 ESOL </t>
    </r>
    <r>
      <rPr>
        <b/>
        <i/>
        <sz val="11"/>
        <rFont val="Times New Roman"/>
        <family val="1"/>
      </rPr>
      <t>(Grade Level 4-8)</t>
    </r>
  </si>
  <si>
    <r>
      <t xml:space="preserve">130 ESOL </t>
    </r>
    <r>
      <rPr>
        <b/>
        <i/>
        <sz val="11"/>
        <rFont val="Times New Roman"/>
        <family val="1"/>
      </rPr>
      <t>(Grade Level 9-12)</t>
    </r>
  </si>
  <si>
    <r>
      <t xml:space="preserve">300 Career Education </t>
    </r>
    <r>
      <rPr>
        <b/>
        <i/>
        <sz val="11"/>
        <rFont val="Times New Roman"/>
        <family val="1"/>
      </rPr>
      <t>(Grades 9-12)</t>
    </r>
  </si>
  <si>
    <r>
      <rPr>
        <b/>
        <sz val="11"/>
        <rFont val="Times New Roman"/>
        <family val="1"/>
      </rPr>
      <t xml:space="preserve">X     </t>
    </r>
    <r>
      <rPr>
        <b/>
        <u/>
        <sz val="11"/>
        <rFont val="Times New Roman"/>
        <family val="1"/>
      </rPr>
      <t>DCD</t>
    </r>
    <r>
      <rPr>
        <b/>
        <sz val="11"/>
        <rFont val="Times New Roman"/>
        <family val="1"/>
      </rPr>
      <t xml:space="preserve">     X</t>
    </r>
  </si>
  <si>
    <r>
      <rPr>
        <b/>
        <sz val="11"/>
        <rFont val="Times New Roman"/>
        <family val="1"/>
      </rPr>
      <t xml:space="preserve">X             </t>
    </r>
    <r>
      <rPr>
        <b/>
        <u/>
        <sz val="11"/>
        <rFont val="Times New Roman"/>
        <family val="1"/>
      </rPr>
      <t>DCD</t>
    </r>
    <r>
      <rPr>
        <b/>
        <sz val="11"/>
        <rFont val="Times New Roman"/>
        <family val="1"/>
      </rPr>
      <t xml:space="preserve">            X</t>
    </r>
  </si>
  <si>
    <r>
      <t xml:space="preserve">Total </t>
    </r>
    <r>
      <rPr>
        <b/>
        <sz val="11"/>
        <color indexed="30"/>
        <rFont val="Times New Roman"/>
        <family val="1"/>
      </rPr>
      <t>*</t>
    </r>
  </si>
  <si>
    <r>
      <t>Dual Enrollment Instructional Materials Allocation (See footnote i</t>
    </r>
    <r>
      <rPr>
        <b/>
        <i/>
        <sz val="11"/>
        <rFont val="Times New Roman"/>
        <family val="1"/>
      </rPr>
      <t xml:space="preserve"> </t>
    </r>
    <r>
      <rPr>
        <b/>
        <sz val="11"/>
        <rFont val="Times New Roman"/>
        <family val="1"/>
      </rPr>
      <t xml:space="preserve">below)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</si>
</sst>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7" formatCode="&quot;$&quot;#,##0.00_);\(&quot;$&quot;#,##0.00\)"/>
    <numFmt numFmtId="44" formatCode="_(&quot;$&quot;* #,##0.00_);_(&quot;$&quot;* \(#,##0.00\);_(&quot;$&quot;* &quot;-&quot;??_);_(@_)"/>
    <numFmt numFmtId="43" formatCode="_(* #,##0.00_);_(* \(#,##0.00\);_(* &quot;-&quot;??_);_(@_)"/>
    <numFmt numFmtId="164" formatCode="#,###,"/>
    <numFmt numFmtId="165" formatCode="_-&quot;$&quot;* #,##0.00_-;\-&quot;$&quot;* #,##0.00_-;_-&quot;$&quot;* &quot;-&quot;??_-;_-@_-"/>
    <numFmt numFmtId="166" formatCode="_-* #,##0.00_-;\-* #,##0.00_-;_-* &quot;-&quot;??_-;_-@_-"/>
    <numFmt numFmtId="167" formatCode="0.000"/>
    <numFmt numFmtId="168" formatCode="0.0000"/>
    <numFmt numFmtId="169" formatCode="#,##0.0000"/>
    <numFmt numFmtId="170" formatCode="_-&quot;$&quot;* #,##0_-;\-&quot;$&quot;* #,##0_-;_-&quot;$&quot;* &quot;-&quot;??_-;_-@_-"/>
    <numFmt numFmtId="171" formatCode="0.0000%"/>
    <numFmt numFmtId="172" formatCode="_(* #,##0_);_(* \(#,##0\);_(* &quot;-&quot;??_);_(@_)"/>
    <numFmt numFmtId="173" formatCode="0."/>
    <numFmt numFmtId="174" formatCode="m/d/yy\ h:mm\ AM/PM"/>
    <numFmt numFmtId="175" formatCode="#,##0;[Red]\(#,##0\)"/>
    <numFmt numFmtId="176" formatCode="_(&quot;$&quot;* #,##0_);_(&quot;$&quot;* \(#,##0\);_(&quot;$&quot;* &quot;-&quot;??_);_(@_)"/>
  </numFmts>
  <fonts count="80" x14ac:knownFonts="1">
    <font>
      <sz val="10"/>
      <name val="Arial"/>
    </font>
    <font>
      <sz val="11"/>
      <color theme="1"/>
      <name val="Calibri"/>
      <family val="2"/>
      <scheme val="minor"/>
    </font>
    <font>
      <sz val="11"/>
      <color theme="1"/>
      <name val="Calibri"/>
      <family val="2"/>
      <scheme val="minor"/>
    </font>
    <font>
      <sz val="10"/>
      <name val="Arial"/>
      <family val="2"/>
    </font>
    <font>
      <b/>
      <sz val="12"/>
      <name val="Times New Roman"/>
      <family val="1"/>
    </font>
    <font>
      <b/>
      <sz val="12"/>
      <color indexed="10"/>
      <name val="Times New Roman"/>
      <family val="1"/>
    </font>
    <font>
      <b/>
      <sz val="11"/>
      <color indexed="12"/>
      <name val="Times New Roman"/>
      <family val="1"/>
    </font>
    <font>
      <b/>
      <sz val="16"/>
      <name val="Times New Roman"/>
      <family val="1"/>
    </font>
    <font>
      <b/>
      <sz val="14"/>
      <name val="Times New Roman"/>
      <family val="1"/>
    </font>
    <font>
      <b/>
      <sz val="12"/>
      <color indexed="12"/>
      <name val="Times New Roman"/>
      <family val="1"/>
    </font>
    <font>
      <sz val="12"/>
      <name val="Times New Roman"/>
      <family val="1"/>
    </font>
    <font>
      <b/>
      <sz val="12"/>
      <color rgb="FFFF0000"/>
      <name val="Times New Roman"/>
      <family val="1"/>
    </font>
    <font>
      <b/>
      <sz val="12"/>
      <color theme="1"/>
      <name val="Times New Roman"/>
      <family val="1"/>
    </font>
    <font>
      <b/>
      <i/>
      <sz val="12"/>
      <name val="Times New Roman"/>
      <family val="1"/>
    </font>
    <font>
      <b/>
      <sz val="12"/>
      <color indexed="50"/>
      <name val="Times New Roman"/>
      <family val="1"/>
    </font>
    <font>
      <b/>
      <sz val="12"/>
      <color indexed="8"/>
      <name val="Times New Roman"/>
      <family val="1"/>
    </font>
    <font>
      <i/>
      <sz val="12"/>
      <color indexed="12"/>
      <name val="Times New Roman"/>
      <family val="1"/>
    </font>
    <font>
      <b/>
      <sz val="12"/>
      <name val="Arial"/>
      <family val="2"/>
    </font>
    <font>
      <sz val="12"/>
      <name val="Arial"/>
      <family val="2"/>
    </font>
    <font>
      <i/>
      <sz val="11"/>
      <name val="Arial"/>
      <family val="2"/>
    </font>
    <font>
      <b/>
      <i/>
      <sz val="12"/>
      <name val="Arial"/>
      <family val="2"/>
    </font>
    <font>
      <sz val="11"/>
      <name val="Arial"/>
      <family val="2"/>
    </font>
    <font>
      <b/>
      <u/>
      <sz val="12"/>
      <name val="Times New Roman"/>
      <family val="1"/>
    </font>
    <font>
      <b/>
      <sz val="11"/>
      <name val="Times New Roman"/>
      <family val="1"/>
    </font>
    <font>
      <b/>
      <sz val="12"/>
      <color indexed="30"/>
      <name val="Times New Roman"/>
      <family val="1"/>
    </font>
    <font>
      <i/>
      <sz val="12"/>
      <name val="Times New Roman"/>
      <family val="1"/>
    </font>
    <font>
      <b/>
      <sz val="12"/>
      <color theme="0"/>
      <name val="Times New Roman"/>
      <family val="1"/>
    </font>
    <font>
      <b/>
      <sz val="10"/>
      <name val="Times New Roman"/>
      <family val="1"/>
    </font>
    <font>
      <b/>
      <i/>
      <sz val="10"/>
      <name val="Times New Roman"/>
      <family val="1"/>
    </font>
    <font>
      <b/>
      <sz val="8"/>
      <color indexed="81"/>
      <name val="Tahoma"/>
      <family val="2"/>
    </font>
    <font>
      <sz val="8"/>
      <color indexed="81"/>
      <name val="Tahoma"/>
      <family val="2"/>
    </font>
    <font>
      <b/>
      <u/>
      <sz val="11"/>
      <color rgb="FFFF0000"/>
      <name val="Arial"/>
      <family val="2"/>
    </font>
    <font>
      <b/>
      <u/>
      <sz val="12"/>
      <name val="Arial"/>
      <family val="2"/>
    </font>
    <font>
      <b/>
      <sz val="8"/>
      <color theme="1"/>
      <name val="MS Sans Serif"/>
      <family val="2"/>
    </font>
    <font>
      <b/>
      <u/>
      <sz val="10"/>
      <name val="Arial"/>
      <family val="2"/>
    </font>
    <font>
      <b/>
      <sz val="11"/>
      <color theme="1"/>
      <name val="Calibri"/>
      <family val="2"/>
      <scheme val="minor"/>
    </font>
    <font>
      <b/>
      <sz val="11"/>
      <color rgb="FF0000FF"/>
      <name val="Calibri"/>
      <family val="2"/>
      <scheme val="minor"/>
    </font>
    <font>
      <b/>
      <sz val="11"/>
      <color rgb="FFFF0000"/>
      <name val="Calibri"/>
      <family val="2"/>
      <scheme val="minor"/>
    </font>
    <font>
      <b/>
      <sz val="8"/>
      <name val="MS Sans Serif"/>
      <family val="2"/>
    </font>
    <font>
      <sz val="16"/>
      <name val="Arial"/>
      <family val="2"/>
    </font>
    <font>
      <b/>
      <sz val="16"/>
      <name val="Arial"/>
      <family val="2"/>
    </font>
    <font>
      <sz val="16"/>
      <name val="Times New Roman"/>
      <family val="1"/>
    </font>
    <font>
      <sz val="11"/>
      <name val="Times New Roman"/>
      <family val="1"/>
    </font>
    <font>
      <sz val="16"/>
      <color rgb="FFFF0000"/>
      <name val="Arial"/>
      <family val="2"/>
    </font>
    <font>
      <sz val="12"/>
      <color rgb="FF222222"/>
      <name val="Arial"/>
      <family val="2"/>
    </font>
    <font>
      <b/>
      <sz val="16"/>
      <color rgb="FFFF0000"/>
      <name val="Arial"/>
      <family val="2"/>
    </font>
    <font>
      <b/>
      <sz val="12"/>
      <color rgb="FF222222"/>
      <name val="Arial"/>
      <family val="2"/>
    </font>
    <font>
      <b/>
      <i/>
      <u/>
      <sz val="12"/>
      <color rgb="FF222222"/>
      <name val="Arial"/>
      <family val="2"/>
    </font>
    <font>
      <b/>
      <u/>
      <sz val="12"/>
      <color rgb="FF222222"/>
      <name val="Arial"/>
      <family val="2"/>
    </font>
    <font>
      <sz val="10"/>
      <name val="Arial"/>
      <family val="2"/>
    </font>
    <font>
      <b/>
      <sz val="11"/>
      <color indexed="10"/>
      <name val="Times New Roman"/>
      <family val="1"/>
    </font>
    <font>
      <b/>
      <sz val="11"/>
      <color rgb="FFFF0000"/>
      <name val="Times New Roman"/>
      <family val="1"/>
    </font>
    <font>
      <b/>
      <sz val="11"/>
      <color theme="1"/>
      <name val="Times New Roman"/>
      <family val="1"/>
    </font>
    <font>
      <b/>
      <i/>
      <sz val="11"/>
      <name val="Times New Roman"/>
      <family val="1"/>
    </font>
    <font>
      <b/>
      <sz val="11"/>
      <color indexed="50"/>
      <name val="Times New Roman"/>
      <family val="1"/>
    </font>
    <font>
      <b/>
      <sz val="11"/>
      <color indexed="8"/>
      <name val="Times New Roman"/>
      <family val="1"/>
    </font>
    <font>
      <i/>
      <sz val="11"/>
      <color indexed="12"/>
      <name val="Times New Roman"/>
      <family val="1"/>
    </font>
    <font>
      <b/>
      <sz val="11"/>
      <name val="Arial"/>
      <family val="2"/>
    </font>
    <font>
      <b/>
      <i/>
      <sz val="11"/>
      <name val="Arial"/>
      <family val="2"/>
    </font>
    <font>
      <b/>
      <u/>
      <sz val="11"/>
      <name val="Times New Roman"/>
      <family val="1"/>
    </font>
    <font>
      <b/>
      <sz val="11"/>
      <color indexed="30"/>
      <name val="Times New Roman"/>
      <family val="1"/>
    </font>
    <font>
      <i/>
      <sz val="11"/>
      <name val="Times New Roman"/>
      <family val="1"/>
    </font>
    <font>
      <b/>
      <sz val="11"/>
      <color theme="0"/>
      <name val="Times New Roman"/>
      <family val="1"/>
    </font>
    <font>
      <i/>
      <sz val="12"/>
      <name val="Arial"/>
      <family val="2"/>
    </font>
    <font>
      <sz val="10"/>
      <name val="Arial"/>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s>
  <fills count="34">
    <fill>
      <patternFill patternType="none"/>
    </fill>
    <fill>
      <patternFill patternType="gray125"/>
    </fill>
    <fill>
      <patternFill patternType="solid">
        <fgColor rgb="FFFFFF0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s>
  <borders count="37">
    <border>
      <left/>
      <right/>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top/>
      <bottom style="thin">
        <color indexed="64"/>
      </bottom>
      <diagonal/>
    </border>
    <border>
      <left/>
      <right/>
      <top style="thin">
        <color indexed="64"/>
      </top>
      <bottom/>
      <diagonal/>
    </border>
    <border>
      <left/>
      <right/>
      <top style="thin">
        <color indexed="64"/>
      </top>
      <bottom style="medium">
        <color indexed="64"/>
      </bottom>
      <diagonal/>
    </border>
    <border>
      <left/>
      <right/>
      <top style="medium">
        <color indexed="64"/>
      </top>
      <bottom style="thin">
        <color indexed="64"/>
      </bottom>
      <diagonal/>
    </border>
    <border>
      <left/>
      <right style="medium">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
      <left/>
      <right/>
      <top/>
      <bottom style="double">
        <color indexed="64"/>
      </bottom>
      <diagonal/>
    </border>
    <border>
      <left/>
      <right/>
      <top style="thin">
        <color indexed="64"/>
      </top>
      <bottom style="double">
        <color indexed="64"/>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1622">
    <xf numFmtId="0" fontId="0" fillId="0" borderId="0"/>
    <xf numFmtId="164" fontId="3" fillId="0" borderId="1"/>
    <xf numFmtId="0" fontId="3" fillId="0" borderId="0"/>
    <xf numFmtId="43" fontId="3" fillId="0" borderId="0" applyFont="0" applyFill="0" applyBorder="0" applyAlignment="0" applyProtection="0"/>
    <xf numFmtId="9" fontId="3" fillId="0" borderId="0" applyFont="0" applyFill="0" applyBorder="0" applyAlignment="0" applyProtection="0"/>
    <xf numFmtId="165" fontId="3" fillId="0" borderId="0" applyFont="0" applyFill="0" applyBorder="0" applyAlignment="0" applyProtection="0"/>
    <xf numFmtId="166" fontId="3"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49" fillId="0" borderId="0" applyFont="0" applyFill="0" applyBorder="0" applyAlignment="0" applyProtection="0"/>
    <xf numFmtId="0" fontId="65" fillId="0" borderId="0" applyNumberFormat="0" applyFill="0" applyBorder="0" applyAlignment="0" applyProtection="0"/>
    <xf numFmtId="0" fontId="66" fillId="0" borderId="29" applyNumberFormat="0" applyFill="0" applyAlignment="0" applyProtection="0"/>
    <xf numFmtId="0" fontId="67" fillId="0" borderId="30" applyNumberFormat="0" applyFill="0" applyAlignment="0" applyProtection="0"/>
    <xf numFmtId="0" fontId="68" fillId="0" borderId="31" applyNumberFormat="0" applyFill="0" applyAlignment="0" applyProtection="0"/>
    <xf numFmtId="0" fontId="68" fillId="0" borderId="0" applyNumberFormat="0" applyFill="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1" fillId="18" borderId="0" applyNumberFormat="0" applyBorder="0" applyAlignment="0" applyProtection="0"/>
    <xf numFmtId="0" fontId="72" fillId="19" borderId="32" applyNumberFormat="0" applyAlignment="0" applyProtection="0"/>
    <xf numFmtId="0" fontId="73" fillId="20" borderId="33" applyNumberFormat="0" applyAlignment="0" applyProtection="0"/>
    <xf numFmtId="0" fontId="74" fillId="20" borderId="32" applyNumberFormat="0" applyAlignment="0" applyProtection="0"/>
    <xf numFmtId="0" fontId="75" fillId="0" borderId="34" applyNumberFormat="0" applyFill="0" applyAlignment="0" applyProtection="0"/>
    <xf numFmtId="0" fontId="76" fillId="21" borderId="35" applyNumberFormat="0" applyAlignment="0" applyProtection="0"/>
    <xf numFmtId="0" fontId="77" fillId="0" borderId="0" applyNumberFormat="0" applyFill="0" applyBorder="0" applyAlignment="0" applyProtection="0"/>
    <xf numFmtId="0" fontId="78" fillId="0" borderId="0" applyNumberFormat="0" applyFill="0" applyBorder="0" applyAlignment="0" applyProtection="0"/>
    <xf numFmtId="0" fontId="35" fillId="0" borderId="36" applyNumberFormat="0" applyFill="0" applyAlignment="0" applyProtection="0"/>
    <xf numFmtId="0" fontId="79" fillId="22"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79" fillId="25" borderId="0" applyNumberFormat="0" applyBorder="0" applyAlignment="0" applyProtection="0"/>
    <xf numFmtId="0" fontId="79" fillId="26"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79" fillId="29" borderId="0" applyNumberFormat="0" applyBorder="0" applyAlignment="0" applyProtection="0"/>
    <xf numFmtId="0" fontId="79" fillId="30"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79" fillId="33" borderId="0" applyNumberFormat="0" applyBorder="0" applyAlignment="0" applyProtection="0"/>
    <xf numFmtId="43" fontId="3"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3" borderId="18" applyNumberFormat="0" applyFont="0" applyAlignment="0" applyProtection="0"/>
    <xf numFmtId="0" fontId="3"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0" borderId="0"/>
    <xf numFmtId="0" fontId="1" fillId="3" borderId="18" applyNumberFormat="0" applyFont="0" applyAlignment="0" applyProtection="0"/>
    <xf numFmtId="0" fontId="1" fillId="3" borderId="18"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0" borderId="0"/>
    <xf numFmtId="0" fontId="1" fillId="3" borderId="18" applyNumberFormat="0" applyFont="0" applyAlignment="0" applyProtection="0"/>
    <xf numFmtId="0" fontId="1" fillId="3" borderId="18"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0" borderId="0"/>
    <xf numFmtId="0" fontId="1" fillId="3" borderId="18" applyNumberFormat="0" applyFont="0" applyAlignment="0" applyProtection="0"/>
    <xf numFmtId="0" fontId="1" fillId="3" borderId="18"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0" borderId="0"/>
    <xf numFmtId="0" fontId="1" fillId="3" borderId="18" applyNumberFormat="0" applyFont="0" applyAlignment="0" applyProtection="0"/>
    <xf numFmtId="0" fontId="1" fillId="3" borderId="18" applyNumberFormat="0" applyFont="0" applyAlignment="0" applyProtection="0"/>
    <xf numFmtId="0" fontId="3" fillId="0" borderId="0"/>
    <xf numFmtId="43" fontId="3" fillId="0" borderId="0" applyFont="0" applyFill="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64" fillId="0" borderId="0"/>
  </cellStyleXfs>
  <cellXfs count="740">
    <xf numFmtId="0" fontId="0" fillId="0" borderId="0" xfId="0"/>
    <xf numFmtId="0" fontId="4" fillId="0" borderId="0" xfId="0" applyFont="1"/>
    <xf numFmtId="0" fontId="4" fillId="0" borderId="0" xfId="0" applyFont="1" applyAlignment="1">
      <alignment horizontal="left"/>
    </xf>
    <xf numFmtId="167" fontId="4" fillId="0" borderId="0" xfId="0" applyNumberFormat="1" applyFont="1"/>
    <xf numFmtId="0" fontId="5" fillId="0" borderId="2" xfId="0" applyFont="1" applyBorder="1"/>
    <xf numFmtId="0" fontId="6" fillId="0" borderId="3" xfId="0" applyFont="1" applyBorder="1" applyAlignment="1"/>
    <xf numFmtId="0" fontId="6" fillId="0" borderId="0" xfId="0" applyFont="1" applyBorder="1" applyAlignment="1"/>
    <xf numFmtId="0" fontId="6" fillId="0" borderId="0" xfId="0" applyFont="1" applyAlignment="1"/>
    <xf numFmtId="0" fontId="5" fillId="2" borderId="2" xfId="0" applyFont="1" applyFill="1" applyBorder="1"/>
    <xf numFmtId="0" fontId="4" fillId="2" borderId="0" xfId="0" applyFont="1" applyFill="1"/>
    <xf numFmtId="0" fontId="7" fillId="0" borderId="0" xfId="0" applyFont="1" applyAlignment="1"/>
    <xf numFmtId="0" fontId="7" fillId="0" borderId="0" xfId="0" applyFont="1" applyAlignment="1">
      <alignment horizontal="center"/>
    </xf>
    <xf numFmtId="0" fontId="7" fillId="2" borderId="0" xfId="0" applyFont="1" applyFill="1" applyAlignment="1"/>
    <xf numFmtId="0" fontId="4" fillId="0" borderId="0" xfId="0" applyFont="1" applyAlignment="1"/>
    <xf numFmtId="0" fontId="8" fillId="0" borderId="0" xfId="0" applyFont="1" applyAlignment="1"/>
    <xf numFmtId="0" fontId="8" fillId="2" borderId="0" xfId="0" applyFont="1" applyFill="1" applyAlignment="1"/>
    <xf numFmtId="4" fontId="4" fillId="0" borderId="0" xfId="0" applyNumberFormat="1" applyFont="1" applyAlignment="1"/>
    <xf numFmtId="4" fontId="9" fillId="0" borderId="0" xfId="0" applyNumberFormat="1" applyFont="1" applyAlignment="1"/>
    <xf numFmtId="4" fontId="4" fillId="0" borderId="0" xfId="0" applyNumberFormat="1" applyFont="1"/>
    <xf numFmtId="4" fontId="9" fillId="2" borderId="0" xfId="0" applyNumberFormat="1" applyFont="1" applyFill="1" applyAlignment="1"/>
    <xf numFmtId="4" fontId="4" fillId="2" borderId="0" xfId="0" applyNumberFormat="1" applyFont="1" applyFill="1"/>
    <xf numFmtId="4" fontId="4" fillId="0" borderId="0" xfId="0" applyNumberFormat="1" applyFont="1" applyBorder="1"/>
    <xf numFmtId="4" fontId="4" fillId="2" borderId="0" xfId="0" applyNumberFormat="1" applyFont="1" applyFill="1" applyBorder="1"/>
    <xf numFmtId="0" fontId="10" fillId="0" borderId="0" xfId="0" applyFont="1" applyAlignment="1"/>
    <xf numFmtId="7" fontId="0" fillId="0" borderId="0" xfId="0" applyNumberFormat="1" applyBorder="1" applyAlignment="1"/>
    <xf numFmtId="168" fontId="10" fillId="0" borderId="0" xfId="0" applyNumberFormat="1" applyFont="1" applyAlignment="1"/>
    <xf numFmtId="0" fontId="4" fillId="0" borderId="0" xfId="0" applyFont="1" applyAlignment="1">
      <alignment wrapText="1"/>
    </xf>
    <xf numFmtId="0" fontId="11" fillId="0" borderId="0" xfId="0" applyFont="1" applyAlignment="1">
      <alignment horizontal="center" wrapText="1"/>
    </xf>
    <xf numFmtId="0" fontId="12" fillId="0" borderId="0" xfId="0" applyFont="1" applyAlignment="1">
      <alignment horizontal="center" wrapText="1"/>
    </xf>
    <xf numFmtId="0" fontId="5" fillId="0" borderId="0" xfId="0" applyFont="1" applyAlignment="1">
      <alignment wrapText="1"/>
    </xf>
    <xf numFmtId="167" fontId="4" fillId="0" borderId="0" xfId="0" applyNumberFormat="1" applyFont="1" applyAlignment="1">
      <alignment horizontal="center" wrapText="1"/>
    </xf>
    <xf numFmtId="167" fontId="4" fillId="0" borderId="0" xfId="0" applyNumberFormat="1" applyFont="1" applyAlignment="1">
      <alignment wrapText="1"/>
    </xf>
    <xf numFmtId="4" fontId="4" fillId="0" borderId="0" xfId="0" applyNumberFormat="1" applyFont="1" applyAlignment="1">
      <alignment horizontal="center" wrapText="1"/>
    </xf>
    <xf numFmtId="165" fontId="4" fillId="0" borderId="0" xfId="5" applyFont="1" applyAlignment="1">
      <alignment horizontal="center" wrapText="1"/>
    </xf>
    <xf numFmtId="4" fontId="4" fillId="2" borderId="0" xfId="0" applyNumberFormat="1" applyFont="1" applyFill="1" applyAlignment="1">
      <alignment horizontal="center" wrapText="1"/>
    </xf>
    <xf numFmtId="165" fontId="4" fillId="2" borderId="0" xfId="5" applyFont="1" applyFill="1" applyAlignment="1">
      <alignment horizontal="center" wrapText="1"/>
    </xf>
    <xf numFmtId="0" fontId="4" fillId="0" borderId="4" xfId="0" quotePrefix="1" applyFont="1" applyBorder="1" applyAlignment="1"/>
    <xf numFmtId="0" fontId="12" fillId="0" borderId="4" xfId="0" quotePrefix="1" applyFont="1" applyBorder="1" applyAlignment="1">
      <alignment horizontal="center"/>
    </xf>
    <xf numFmtId="0" fontId="5" fillId="0" borderId="0" xfId="0" quotePrefix="1" applyFont="1" applyBorder="1" applyAlignment="1"/>
    <xf numFmtId="167" fontId="4" fillId="0" borderId="4" xfId="0" quotePrefix="1" applyNumberFormat="1" applyFont="1" applyBorder="1" applyAlignment="1">
      <alignment horizontal="center"/>
    </xf>
    <xf numFmtId="167" fontId="4" fillId="0" borderId="4" xfId="0" quotePrefix="1" applyNumberFormat="1" applyFont="1" applyBorder="1" applyAlignment="1"/>
    <xf numFmtId="4" fontId="4" fillId="0" borderId="4" xfId="0" quotePrefix="1" applyNumberFormat="1" applyFont="1" applyBorder="1" applyAlignment="1">
      <alignment horizontal="center"/>
    </xf>
    <xf numFmtId="165" fontId="4" fillId="0" borderId="4" xfId="5" quotePrefix="1" applyFont="1" applyBorder="1" applyAlignment="1">
      <alignment horizontal="center"/>
    </xf>
    <xf numFmtId="4" fontId="4" fillId="2" borderId="4" xfId="0" quotePrefix="1" applyNumberFormat="1" applyFont="1" applyFill="1" applyBorder="1" applyAlignment="1">
      <alignment horizontal="center"/>
    </xf>
    <xf numFmtId="165" fontId="4" fillId="2" borderId="4" xfId="5" quotePrefix="1" applyFont="1" applyFill="1" applyBorder="1" applyAlignment="1">
      <alignment horizontal="center"/>
    </xf>
    <xf numFmtId="0" fontId="4" fillId="0" borderId="5" xfId="0" applyFont="1" applyBorder="1" applyAlignment="1"/>
    <xf numFmtId="2" fontId="12" fillId="0" borderId="1" xfId="0" applyNumberFormat="1" applyFont="1" applyBorder="1" applyAlignment="1"/>
    <xf numFmtId="2" fontId="11" fillId="0" borderId="0" xfId="0" applyNumberFormat="1" applyFont="1" applyBorder="1" applyAlignment="1"/>
    <xf numFmtId="167" fontId="4" fillId="0" borderId="5" xfId="0" applyNumberFormat="1" applyFont="1" applyBorder="1" applyAlignment="1"/>
    <xf numFmtId="169" fontId="4" fillId="0" borderId="4" xfId="0" applyNumberFormat="1" applyFont="1" applyBorder="1"/>
    <xf numFmtId="170" fontId="4" fillId="0" borderId="4" xfId="5" applyNumberFormat="1" applyFont="1" applyBorder="1"/>
    <xf numFmtId="0" fontId="4" fillId="0" borderId="0" xfId="2" applyFont="1" applyAlignment="1">
      <alignment horizontal="center"/>
    </xf>
    <xf numFmtId="0" fontId="3" fillId="0" borderId="0" xfId="2" quotePrefix="1"/>
    <xf numFmtId="0" fontId="4" fillId="0" borderId="0" xfId="2" applyFont="1"/>
    <xf numFmtId="0" fontId="3" fillId="0" borderId="0" xfId="2"/>
    <xf numFmtId="169" fontId="4" fillId="2" borderId="4" xfId="0" applyNumberFormat="1" applyFont="1" applyFill="1" applyBorder="1"/>
    <xf numFmtId="170" fontId="4" fillId="2" borderId="4" xfId="5" applyNumberFormat="1" applyFont="1" applyFill="1" applyBorder="1"/>
    <xf numFmtId="167" fontId="4" fillId="0" borderId="0" xfId="0" applyNumberFormat="1" applyFont="1" applyAlignment="1"/>
    <xf numFmtId="0" fontId="4" fillId="0" borderId="0" xfId="2" quotePrefix="1" applyFont="1"/>
    <xf numFmtId="170" fontId="4" fillId="0" borderId="1" xfId="5" applyNumberFormat="1" applyFont="1" applyBorder="1"/>
    <xf numFmtId="170" fontId="4" fillId="2" borderId="1" xfId="5" applyNumberFormat="1" applyFont="1" applyFill="1" applyBorder="1"/>
    <xf numFmtId="2" fontId="12" fillId="0" borderId="6" xfId="0" applyNumberFormat="1" applyFont="1" applyBorder="1" applyAlignment="1"/>
    <xf numFmtId="0" fontId="4" fillId="0" borderId="0" xfId="0" applyFont="1" applyBorder="1" applyAlignment="1"/>
    <xf numFmtId="2" fontId="4" fillId="0" borderId="7" xfId="0" applyNumberFormat="1" applyFont="1" applyBorder="1" applyAlignment="1"/>
    <xf numFmtId="2" fontId="4" fillId="0" borderId="0" xfId="0" applyNumberFormat="1" applyFont="1" applyBorder="1" applyAlignment="1"/>
    <xf numFmtId="2" fontId="4" fillId="0" borderId="8" xfId="0" applyNumberFormat="1" applyFont="1" applyBorder="1" applyAlignment="1"/>
    <xf numFmtId="168" fontId="14" fillId="0" borderId="2" xfId="0" applyNumberFormat="1" applyFont="1" applyBorder="1"/>
    <xf numFmtId="170" fontId="4" fillId="0" borderId="7" xfId="5" applyNumberFormat="1" applyFont="1" applyBorder="1"/>
    <xf numFmtId="0" fontId="4" fillId="0" borderId="0" xfId="2" applyFont="1" applyBorder="1"/>
    <xf numFmtId="168" fontId="14" fillId="2" borderId="2" xfId="0" applyNumberFormat="1" applyFont="1" applyFill="1" applyBorder="1"/>
    <xf numFmtId="170" fontId="4" fillId="2" borderId="7" xfId="5" applyNumberFormat="1" applyFont="1" applyFill="1" applyBorder="1"/>
    <xf numFmtId="0" fontId="11" fillId="0" borderId="1" xfId="0" applyFont="1" applyBorder="1" applyAlignment="1">
      <alignment horizontal="center" wrapText="1"/>
    </xf>
    <xf numFmtId="2" fontId="12" fillId="0" borderId="1" xfId="0" applyNumberFormat="1" applyFont="1" applyBorder="1" applyAlignment="1">
      <alignment horizontal="center"/>
    </xf>
    <xf numFmtId="2" fontId="5" fillId="0" borderId="0" xfId="0" applyNumberFormat="1" applyFont="1" applyBorder="1" applyAlignment="1"/>
    <xf numFmtId="0" fontId="4" fillId="0" borderId="4" xfId="0" applyFont="1" applyBorder="1" applyAlignment="1">
      <alignment horizontal="center" wrapText="1"/>
    </xf>
    <xf numFmtId="0" fontId="15" fillId="0" borderId="4" xfId="0" applyFont="1" applyBorder="1" applyAlignment="1">
      <alignment horizontal="center" wrapText="1"/>
    </xf>
    <xf numFmtId="0" fontId="4" fillId="2" borderId="4" xfId="0" applyFont="1" applyFill="1" applyBorder="1" applyAlignment="1"/>
    <xf numFmtId="0" fontId="4" fillId="2" borderId="4" xfId="0" applyFont="1" applyFill="1" applyBorder="1" applyAlignment="1">
      <alignment horizontal="center" wrapText="1"/>
    </xf>
    <xf numFmtId="0" fontId="15" fillId="2" borderId="4" xfId="0" applyFont="1" applyFill="1" applyBorder="1" applyAlignment="1">
      <alignment horizontal="center" wrapText="1"/>
    </xf>
    <xf numFmtId="0" fontId="10" fillId="0" borderId="5" xfId="0" applyFont="1" applyBorder="1" applyAlignment="1">
      <alignment horizontal="left" vertical="center" wrapText="1"/>
    </xf>
    <xf numFmtId="4" fontId="11" fillId="0" borderId="0" xfId="0" applyNumberFormat="1" applyFont="1" applyBorder="1" applyAlignment="1">
      <alignment vertical="center" wrapText="1"/>
    </xf>
    <xf numFmtId="0" fontId="4" fillId="0" borderId="5" xfId="0" applyFont="1" applyBorder="1" applyAlignment="1">
      <alignment horizontal="center"/>
    </xf>
    <xf numFmtId="0" fontId="4" fillId="0" borderId="0" xfId="0" applyFont="1" applyAlignment="1">
      <alignment horizontal="center"/>
    </xf>
    <xf numFmtId="170" fontId="15" fillId="0" borderId="4" xfId="5" applyNumberFormat="1" applyFont="1" applyBorder="1"/>
    <xf numFmtId="170" fontId="4" fillId="0" borderId="4" xfId="0" applyNumberFormat="1" applyFont="1" applyBorder="1"/>
    <xf numFmtId="0" fontId="4" fillId="0" borderId="0" xfId="2" applyFont="1" applyAlignment="1">
      <alignment horizontal="left"/>
    </xf>
    <xf numFmtId="0" fontId="4" fillId="0" borderId="0" xfId="2" quotePrefix="1" applyFont="1" applyAlignment="1">
      <alignment horizontal="left"/>
    </xf>
    <xf numFmtId="0" fontId="10" fillId="0" borderId="0" xfId="2" applyFont="1" applyBorder="1"/>
    <xf numFmtId="0" fontId="4" fillId="2" borderId="5" xfId="0" applyFont="1" applyFill="1" applyBorder="1" applyAlignment="1">
      <alignment horizontal="center"/>
    </xf>
    <xf numFmtId="0" fontId="4" fillId="2" borderId="0" xfId="0" applyFont="1" applyFill="1" applyAlignment="1">
      <alignment horizontal="center"/>
    </xf>
    <xf numFmtId="170" fontId="15" fillId="2" borderId="4" xfId="5" applyNumberFormat="1" applyFont="1" applyFill="1" applyBorder="1"/>
    <xf numFmtId="170" fontId="4" fillId="2" borderId="4" xfId="0" applyNumberFormat="1" applyFont="1" applyFill="1" applyBorder="1"/>
    <xf numFmtId="0" fontId="10" fillId="0" borderId="0" xfId="0" applyFont="1" applyBorder="1" applyAlignment="1">
      <alignment horizontal="left" vertical="center" wrapText="1"/>
    </xf>
    <xf numFmtId="0" fontId="4" fillId="0" borderId="0" xfId="0" quotePrefix="1" applyFont="1" applyAlignment="1">
      <alignment horizontal="center"/>
    </xf>
    <xf numFmtId="0" fontId="4" fillId="2" borderId="0" xfId="0" quotePrefix="1" applyFont="1" applyFill="1" applyAlignment="1">
      <alignment horizontal="center"/>
    </xf>
    <xf numFmtId="0" fontId="16" fillId="0" borderId="0" xfId="2" applyFont="1"/>
    <xf numFmtId="170" fontId="4" fillId="0" borderId="6" xfId="5" applyNumberFormat="1" applyFont="1" applyBorder="1"/>
    <xf numFmtId="0" fontId="16" fillId="0" borderId="0" xfId="2" applyFont="1" applyBorder="1" applyAlignment="1">
      <alignment horizontal="left"/>
    </xf>
    <xf numFmtId="170" fontId="4" fillId="2" borderId="6" xfId="5" applyNumberFormat="1" applyFont="1" applyFill="1" applyBorder="1"/>
    <xf numFmtId="0" fontId="17" fillId="0" borderId="0" xfId="0" applyFont="1" applyAlignment="1"/>
    <xf numFmtId="0" fontId="17" fillId="0" borderId="0" xfId="0" applyFont="1" applyBorder="1" applyAlignment="1"/>
    <xf numFmtId="0" fontId="4" fillId="0" borderId="0" xfId="0" applyFont="1" applyBorder="1"/>
    <xf numFmtId="0" fontId="4" fillId="2" borderId="0" xfId="0" applyFont="1" applyFill="1" applyBorder="1"/>
    <xf numFmtId="0" fontId="18" fillId="0" borderId="0" xfId="0" applyFont="1" applyAlignment="1"/>
    <xf numFmtId="170" fontId="4" fillId="0" borderId="0" xfId="5" applyNumberFormat="1" applyFont="1" applyBorder="1" applyAlignment="1"/>
    <xf numFmtId="0" fontId="19" fillId="0" borderId="0" xfId="0" applyFont="1" applyAlignment="1"/>
    <xf numFmtId="4" fontId="4" fillId="0" borderId="0" xfId="0" quotePrefix="1" applyNumberFormat="1" applyFont="1" applyBorder="1" applyAlignment="1"/>
    <xf numFmtId="0" fontId="4" fillId="0" borderId="0" xfId="0" applyFont="1" applyAlignment="1">
      <alignment horizontal="right"/>
    </xf>
    <xf numFmtId="0" fontId="20" fillId="0" borderId="0" xfId="0" applyFont="1" applyAlignment="1"/>
    <xf numFmtId="166" fontId="4" fillId="0" borderId="0" xfId="0" applyNumberFormat="1" applyFont="1" applyBorder="1"/>
    <xf numFmtId="0" fontId="4" fillId="2" borderId="0" xfId="0" applyFont="1" applyFill="1" applyAlignment="1">
      <alignment horizontal="right"/>
    </xf>
    <xf numFmtId="0" fontId="21" fillId="0" borderId="0" xfId="0" applyFont="1" applyAlignment="1"/>
    <xf numFmtId="170" fontId="4" fillId="0" borderId="0" xfId="5" applyNumberFormat="1" applyFont="1" applyBorder="1"/>
    <xf numFmtId="170" fontId="4" fillId="2" borderId="0" xfId="5" applyNumberFormat="1" applyFont="1" applyFill="1" applyBorder="1"/>
    <xf numFmtId="170" fontId="4" fillId="0" borderId="4" xfId="0" applyNumberFormat="1" applyFont="1" applyBorder="1" applyAlignment="1">
      <alignment horizontal="left"/>
    </xf>
    <xf numFmtId="170" fontId="4" fillId="2" borderId="4" xfId="0" applyNumberFormat="1" applyFont="1" applyFill="1" applyBorder="1" applyAlignment="1">
      <alignment horizontal="left"/>
    </xf>
    <xf numFmtId="0" fontId="4" fillId="0" borderId="0" xfId="0" applyFont="1" applyBorder="1" applyAlignment="1">
      <alignment horizontal="left"/>
    </xf>
    <xf numFmtId="0" fontId="4" fillId="2" borderId="0" xfId="0" applyFont="1" applyFill="1" applyBorder="1" applyAlignment="1">
      <alignment horizontal="left"/>
    </xf>
    <xf numFmtId="0" fontId="22" fillId="0" borderId="0" xfId="0" applyFont="1" applyAlignment="1">
      <alignment horizontal="center"/>
    </xf>
    <xf numFmtId="0" fontId="22" fillId="0" borderId="0" xfId="0" applyFont="1" applyAlignment="1"/>
    <xf numFmtId="4" fontId="22" fillId="0" borderId="0" xfId="0" applyNumberFormat="1" applyFont="1" applyAlignment="1">
      <alignment horizontal="center"/>
    </xf>
    <xf numFmtId="4" fontId="22" fillId="0" borderId="0" xfId="0" applyNumberFormat="1" applyFont="1" applyAlignment="1"/>
    <xf numFmtId="165" fontId="4" fillId="0" borderId="0" xfId="5" applyFont="1"/>
    <xf numFmtId="0" fontId="22" fillId="2" borderId="0" xfId="0" applyFont="1" applyFill="1" applyAlignment="1">
      <alignment horizontal="center"/>
    </xf>
    <xf numFmtId="165" fontId="4" fillId="2" borderId="0" xfId="5" applyFont="1" applyFill="1"/>
    <xf numFmtId="168" fontId="4" fillId="0" borderId="0" xfId="0" applyNumberFormat="1" applyFont="1" applyBorder="1" applyAlignment="1">
      <alignment horizontal="center"/>
    </xf>
    <xf numFmtId="168" fontId="23" fillId="0" borderId="0" xfId="0" applyNumberFormat="1" applyFont="1" applyBorder="1" applyAlignment="1"/>
    <xf numFmtId="43" fontId="4" fillId="0" borderId="0" xfId="3" applyFont="1" applyAlignment="1">
      <alignment horizontal="center"/>
    </xf>
    <xf numFmtId="0" fontId="4" fillId="0" borderId="0" xfId="0" quotePrefix="1" applyFont="1" applyBorder="1" applyAlignment="1">
      <alignment horizontal="center"/>
    </xf>
    <xf numFmtId="3" fontId="4" fillId="0" borderId="4" xfId="0" applyNumberFormat="1" applyFont="1" applyBorder="1"/>
    <xf numFmtId="168" fontId="4" fillId="0" borderId="0" xfId="0" applyNumberFormat="1" applyFont="1" applyBorder="1"/>
    <xf numFmtId="168" fontId="4" fillId="2" borderId="0" xfId="0" applyNumberFormat="1" applyFont="1" applyFill="1" applyBorder="1" applyAlignment="1">
      <alignment horizontal="center"/>
    </xf>
    <xf numFmtId="2" fontId="4" fillId="2" borderId="0" xfId="0" applyNumberFormat="1" applyFont="1" applyFill="1" applyAlignment="1">
      <alignment horizontal="center"/>
    </xf>
    <xf numFmtId="0" fontId="4" fillId="2" borderId="0" xfId="0" quotePrefix="1" applyFont="1" applyFill="1" applyBorder="1" applyAlignment="1">
      <alignment horizontal="center"/>
    </xf>
    <xf numFmtId="3" fontId="4" fillId="2" borderId="4" xfId="0" applyNumberFormat="1" applyFont="1" applyFill="1" applyBorder="1"/>
    <xf numFmtId="168" fontId="4" fillId="2" borderId="0" xfId="0" applyNumberFormat="1" applyFont="1" applyFill="1" applyBorder="1"/>
    <xf numFmtId="16" fontId="4" fillId="0" borderId="0" xfId="0" quotePrefix="1" applyNumberFormat="1" applyFont="1" applyAlignment="1">
      <alignment horizontal="right"/>
    </xf>
    <xf numFmtId="16" fontId="4" fillId="2" borderId="0" xfId="0" quotePrefix="1" applyNumberFormat="1" applyFont="1" applyFill="1" applyAlignment="1">
      <alignment horizontal="right"/>
    </xf>
    <xf numFmtId="0" fontId="4" fillId="2" borderId="0" xfId="0" applyFont="1" applyFill="1" applyBorder="1" applyAlignment="1"/>
    <xf numFmtId="0" fontId="4" fillId="0" borderId="0" xfId="0" quotePrefix="1" applyFont="1" applyAlignment="1">
      <alignment horizontal="right"/>
    </xf>
    <xf numFmtId="168" fontId="4" fillId="0" borderId="15" xfId="0" applyNumberFormat="1" applyFont="1" applyBorder="1" applyAlignment="1">
      <alignment horizontal="center"/>
    </xf>
    <xf numFmtId="0" fontId="13" fillId="0" borderId="0" xfId="0" applyFont="1" applyBorder="1"/>
    <xf numFmtId="2" fontId="4" fillId="0" borderId="0" xfId="0" applyNumberFormat="1" applyFont="1" applyBorder="1"/>
    <xf numFmtId="166" fontId="4" fillId="0" borderId="0" xfId="6" applyFont="1" applyBorder="1"/>
    <xf numFmtId="0" fontId="4" fillId="2" borderId="0" xfId="0" quotePrefix="1" applyFont="1" applyFill="1" applyAlignment="1">
      <alignment horizontal="right"/>
    </xf>
    <xf numFmtId="168" fontId="4" fillId="2" borderId="15" xfId="0" applyNumberFormat="1" applyFont="1" applyFill="1" applyBorder="1" applyAlignment="1">
      <alignment horizontal="center"/>
    </xf>
    <xf numFmtId="166" fontId="4" fillId="0" borderId="0" xfId="6" applyFont="1" applyBorder="1" applyAlignment="1">
      <alignment horizontal="right"/>
    </xf>
    <xf numFmtId="168" fontId="14" fillId="0" borderId="2" xfId="0" applyNumberFormat="1" applyFont="1" applyBorder="1" applyAlignment="1">
      <alignment horizontal="center"/>
    </xf>
    <xf numFmtId="168" fontId="14" fillId="0" borderId="3" xfId="0" applyNumberFormat="1" applyFont="1" applyBorder="1" applyAlignment="1">
      <alignment horizontal="center"/>
    </xf>
    <xf numFmtId="168" fontId="14" fillId="0" borderId="0" xfId="0" applyNumberFormat="1" applyFont="1" applyBorder="1" applyAlignment="1">
      <alignment horizontal="center"/>
    </xf>
    <xf numFmtId="166" fontId="4" fillId="0" borderId="0" xfId="6" applyFont="1" applyBorder="1" applyAlignment="1"/>
    <xf numFmtId="166" fontId="4" fillId="2" borderId="0" xfId="6" applyFont="1" applyFill="1" applyBorder="1" applyAlignment="1">
      <alignment horizontal="right"/>
    </xf>
    <xf numFmtId="168" fontId="14" fillId="2" borderId="2" xfId="0" applyNumberFormat="1" applyFont="1" applyFill="1" applyBorder="1" applyAlignment="1">
      <alignment horizontal="center"/>
    </xf>
    <xf numFmtId="2" fontId="25" fillId="0" borderId="0" xfId="0" applyNumberFormat="1" applyFont="1" applyBorder="1" applyAlignment="1"/>
    <xf numFmtId="0" fontId="13" fillId="2" borderId="0" xfId="0" applyFont="1" applyFill="1" applyBorder="1"/>
    <xf numFmtId="169" fontId="17" fillId="0" borderId="4" xfId="0" applyNumberFormat="1" applyFont="1" applyBorder="1" applyAlignment="1">
      <alignment horizontal="center"/>
    </xf>
    <xf numFmtId="4" fontId="22" fillId="0" borderId="0" xfId="0" applyNumberFormat="1" applyFont="1" applyBorder="1" applyAlignment="1"/>
    <xf numFmtId="169" fontId="17" fillId="2" borderId="4" xfId="0" applyNumberFormat="1" applyFont="1" applyFill="1" applyBorder="1" applyAlignment="1">
      <alignment horizontal="center"/>
    </xf>
    <xf numFmtId="171" fontId="4" fillId="0" borderId="0" xfId="0" applyNumberFormat="1" applyFont="1" applyAlignment="1"/>
    <xf numFmtId="4" fontId="17" fillId="0" borderId="4" xfId="0" applyNumberFormat="1" applyFont="1" applyBorder="1" applyAlignment="1">
      <alignment horizontal="center"/>
    </xf>
    <xf numFmtId="4" fontId="17" fillId="2" borderId="4" xfId="0" applyNumberFormat="1" applyFont="1" applyFill="1" applyBorder="1" applyAlignment="1">
      <alignment horizontal="center"/>
    </xf>
    <xf numFmtId="4" fontId="4" fillId="0" borderId="0" xfId="0" applyNumberFormat="1" applyFont="1" applyBorder="1" applyAlignment="1"/>
    <xf numFmtId="0" fontId="4" fillId="2" borderId="0" xfId="0" applyFont="1" applyFill="1" applyBorder="1" applyAlignment="1">
      <alignment horizontal="center"/>
    </xf>
    <xf numFmtId="171" fontId="4" fillId="2" borderId="0" xfId="0" applyNumberFormat="1" applyFont="1" applyFill="1"/>
    <xf numFmtId="4" fontId="4" fillId="0" borderId="0" xfId="0" quotePrefix="1" applyNumberFormat="1" applyFont="1" applyAlignment="1">
      <alignment horizontal="center"/>
    </xf>
    <xf numFmtId="0" fontId="4" fillId="0" borderId="0" xfId="0" applyFont="1" applyBorder="1" applyAlignment="1">
      <alignment horizontal="center"/>
    </xf>
    <xf numFmtId="171" fontId="4" fillId="0" borderId="0" xfId="0" applyNumberFormat="1" applyFont="1"/>
    <xf numFmtId="0" fontId="4" fillId="0" borderId="0" xfId="0" applyFont="1" applyBorder="1" applyAlignment="1">
      <alignment horizontal="left" indent="1"/>
    </xf>
    <xf numFmtId="3" fontId="4" fillId="0" borderId="0" xfId="0" applyNumberFormat="1" applyFont="1" applyBorder="1" applyAlignment="1"/>
    <xf numFmtId="4" fontId="10" fillId="0" borderId="0" xfId="0" applyNumberFormat="1" applyFont="1"/>
    <xf numFmtId="0" fontId="4" fillId="0" borderId="0" xfId="0" applyFont="1" applyAlignment="1">
      <alignment horizontal="left" indent="1"/>
    </xf>
    <xf numFmtId="3" fontId="4" fillId="0" borderId="4" xfId="2" applyNumberFormat="1" applyFont="1" applyBorder="1"/>
    <xf numFmtId="4" fontId="4" fillId="0" borderId="0" xfId="0" quotePrefix="1" applyNumberFormat="1" applyFont="1" applyAlignment="1"/>
    <xf numFmtId="0" fontId="11" fillId="2" borderId="0" xfId="0" applyFont="1" applyFill="1" applyAlignment="1">
      <alignment horizontal="left"/>
    </xf>
    <xf numFmtId="4" fontId="4" fillId="2" borderId="0" xfId="0" quotePrefix="1" applyNumberFormat="1" applyFont="1" applyFill="1" applyAlignment="1">
      <alignment horizontal="left" indent="2"/>
    </xf>
    <xf numFmtId="4" fontId="11" fillId="2" borderId="4" xfId="0" quotePrefix="1" applyNumberFormat="1" applyFont="1" applyFill="1" applyBorder="1" applyAlignment="1">
      <alignment horizontal="left" indent="2"/>
    </xf>
    <xf numFmtId="4" fontId="4" fillId="2" borderId="0" xfId="0" applyNumberFormat="1" applyFont="1" applyFill="1" applyAlignment="1">
      <alignment horizontal="left" indent="2"/>
    </xf>
    <xf numFmtId="3" fontId="4" fillId="2" borderId="0" xfId="0" quotePrefix="1" applyNumberFormat="1" applyFont="1" applyFill="1" applyAlignment="1">
      <alignment horizontal="left" indent="5"/>
    </xf>
    <xf numFmtId="0" fontId="11" fillId="0" borderId="0" xfId="0" applyFont="1" applyAlignment="1"/>
    <xf numFmtId="0" fontId="11" fillId="0" borderId="0" xfId="0" applyFont="1" applyAlignment="1">
      <alignment horizontal="left"/>
    </xf>
    <xf numFmtId="0" fontId="26" fillId="0" borderId="0" xfId="0" applyFont="1"/>
    <xf numFmtId="4" fontId="4" fillId="0" borderId="0" xfId="0" quotePrefix="1" applyNumberFormat="1" applyFont="1" applyAlignment="1">
      <alignment horizontal="left" indent="2"/>
    </xf>
    <xf numFmtId="4" fontId="12" fillId="0" borderId="4" xfId="0" quotePrefix="1" applyNumberFormat="1" applyFont="1" applyBorder="1" applyAlignment="1">
      <alignment horizontal="right" indent="2"/>
    </xf>
    <xf numFmtId="4" fontId="4" fillId="0" borderId="0" xfId="0" applyNumberFormat="1" applyFont="1" applyAlignment="1">
      <alignment horizontal="center"/>
    </xf>
    <xf numFmtId="3" fontId="4" fillId="0" borderId="0" xfId="0" quotePrefix="1" applyNumberFormat="1" applyFont="1" applyAlignment="1">
      <alignment horizontal="left" indent="5"/>
    </xf>
    <xf numFmtId="4" fontId="4" fillId="2" borderId="0" xfId="0" quotePrefix="1" applyNumberFormat="1" applyFont="1" applyFill="1" applyBorder="1" applyAlignment="1">
      <alignment horizontal="left" indent="2"/>
    </xf>
    <xf numFmtId="4" fontId="11" fillId="2" borderId="1" xfId="0" quotePrefix="1" applyNumberFormat="1" applyFont="1" applyFill="1" applyBorder="1" applyAlignment="1">
      <alignment horizontal="left" indent="2"/>
    </xf>
    <xf numFmtId="3" fontId="4" fillId="2" borderId="0" xfId="0" quotePrefix="1" applyNumberFormat="1" applyFont="1" applyFill="1" applyAlignment="1">
      <alignment horizontal="left" indent="4"/>
    </xf>
    <xf numFmtId="3" fontId="4" fillId="0" borderId="0" xfId="0" quotePrefix="1" applyNumberFormat="1" applyFont="1" applyAlignment="1">
      <alignment horizontal="left" indent="4"/>
    </xf>
    <xf numFmtId="38" fontId="4" fillId="0" borderId="4" xfId="0" applyNumberFormat="1" applyFont="1" applyBorder="1"/>
    <xf numFmtId="38" fontId="4" fillId="0" borderId="1" xfId="0" applyNumberFormat="1" applyFont="1" applyBorder="1"/>
    <xf numFmtId="0" fontId="4" fillId="2" borderId="0" xfId="0" applyFont="1" applyFill="1" applyAlignment="1"/>
    <xf numFmtId="167" fontId="4" fillId="0" borderId="0" xfId="0" applyNumberFormat="1" applyFont="1" applyFill="1"/>
    <xf numFmtId="0" fontId="4" fillId="2" borderId="1" xfId="0" applyFont="1" applyFill="1" applyBorder="1"/>
    <xf numFmtId="3" fontId="4" fillId="0" borderId="0" xfId="0" quotePrefix="1" applyNumberFormat="1" applyFont="1" applyAlignment="1">
      <alignment horizontal="center"/>
    </xf>
    <xf numFmtId="3" fontId="4" fillId="0" borderId="0" xfId="0" quotePrefix="1" applyNumberFormat="1" applyFont="1" applyAlignment="1"/>
    <xf numFmtId="0" fontId="4" fillId="0" borderId="1" xfId="0" applyFont="1" applyBorder="1"/>
    <xf numFmtId="167" fontId="4" fillId="0" borderId="0" xfId="0" quotePrefix="1" applyNumberFormat="1" applyFont="1" applyFill="1"/>
    <xf numFmtId="0" fontId="4" fillId="0" borderId="0" xfId="0" applyFont="1" applyFill="1"/>
    <xf numFmtId="170" fontId="4" fillId="2" borderId="16" xfId="0" applyNumberFormat="1" applyFont="1" applyFill="1" applyBorder="1"/>
    <xf numFmtId="170" fontId="4" fillId="2" borderId="0" xfId="0" applyNumberFormat="1" applyFont="1" applyFill="1"/>
    <xf numFmtId="170" fontId="4" fillId="0" borderId="16" xfId="0" applyNumberFormat="1" applyFont="1" applyBorder="1"/>
    <xf numFmtId="170" fontId="4" fillId="0" borderId="0" xfId="0" applyNumberFormat="1" applyFont="1" applyFill="1"/>
    <xf numFmtId="43" fontId="4" fillId="0" borderId="0" xfId="3" quotePrefix="1" applyFont="1" applyFill="1"/>
    <xf numFmtId="170" fontId="4" fillId="2" borderId="0" xfId="0" applyNumberFormat="1" applyFont="1" applyFill="1" applyBorder="1"/>
    <xf numFmtId="170" fontId="4" fillId="0" borderId="0" xfId="0" applyNumberFormat="1" applyFont="1" applyBorder="1"/>
    <xf numFmtId="0" fontId="27" fillId="2" borderId="0" xfId="0" applyFont="1" applyFill="1"/>
    <xf numFmtId="0" fontId="11" fillId="0" borderId="4" xfId="0" applyFont="1" applyBorder="1" applyAlignment="1"/>
    <xf numFmtId="0" fontId="27" fillId="2" borderId="0" xfId="0" applyFont="1" applyFill="1" applyAlignment="1"/>
    <xf numFmtId="0" fontId="26" fillId="0" borderId="0" xfId="0" applyFont="1" applyBorder="1" applyAlignment="1">
      <alignment horizontal="center"/>
    </xf>
    <xf numFmtId="170" fontId="26" fillId="0" borderId="0" xfId="0" applyNumberFormat="1" applyFont="1" applyBorder="1"/>
    <xf numFmtId="170" fontId="4" fillId="0" borderId="4" xfId="2" applyNumberFormat="1" applyFont="1" applyBorder="1"/>
    <xf numFmtId="170" fontId="4" fillId="0" borderId="0" xfId="2" applyNumberFormat="1" applyFont="1" applyFill="1"/>
    <xf numFmtId="0" fontId="11" fillId="0" borderId="0" xfId="0" applyFont="1" applyBorder="1" applyAlignment="1"/>
    <xf numFmtId="0" fontId="27" fillId="0" borderId="0" xfId="0" applyFont="1" applyFill="1"/>
    <xf numFmtId="0" fontId="3" fillId="0" borderId="0" xfId="0" applyFont="1" applyFill="1"/>
    <xf numFmtId="0" fontId="27" fillId="0" borderId="0" xfId="0" applyFont="1" applyFill="1" applyAlignment="1">
      <alignment vertical="top"/>
    </xf>
    <xf numFmtId="170" fontId="4" fillId="0" borderId="17" xfId="0" applyNumberFormat="1" applyFont="1" applyBorder="1"/>
    <xf numFmtId="0" fontId="27" fillId="0" borderId="0" xfId="0" applyFont="1" applyAlignment="1">
      <alignment vertical="top"/>
    </xf>
    <xf numFmtId="0" fontId="27" fillId="0" borderId="0" xfId="0" applyFont="1"/>
    <xf numFmtId="167" fontId="27" fillId="0" borderId="0" xfId="0" applyNumberFormat="1" applyFont="1"/>
    <xf numFmtId="4" fontId="4" fillId="0" borderId="0" xfId="0" applyNumberFormat="1" applyFont="1" applyAlignment="1">
      <alignment horizontal="left"/>
    </xf>
    <xf numFmtId="172" fontId="4" fillId="0" borderId="16" xfId="3" applyNumberFormat="1" applyFont="1" applyBorder="1"/>
    <xf numFmtId="0" fontId="28" fillId="0" borderId="0" xfId="0" applyFont="1" applyAlignment="1">
      <alignment vertical="top"/>
    </xf>
    <xf numFmtId="0" fontId="27" fillId="0" borderId="0" xfId="0" applyFont="1" applyAlignment="1"/>
    <xf numFmtId="173" fontId="4" fillId="0" borderId="0" xfId="0" applyNumberFormat="1" applyFont="1" applyAlignment="1">
      <alignment horizontal="left"/>
    </xf>
    <xf numFmtId="40" fontId="10" fillId="0" borderId="0" xfId="0" applyNumberFormat="1" applyFont="1" applyFill="1"/>
    <xf numFmtId="40" fontId="10" fillId="0" borderId="0" xfId="0" applyNumberFormat="1" applyFont="1" applyFill="1" applyBorder="1" applyAlignment="1"/>
    <xf numFmtId="0" fontId="28" fillId="0" borderId="0" xfId="0" applyFont="1" applyAlignment="1"/>
    <xf numFmtId="40" fontId="4" fillId="0" borderId="0" xfId="0" applyNumberFormat="1" applyFont="1" applyFill="1" applyBorder="1"/>
    <xf numFmtId="40" fontId="10" fillId="0" borderId="0" xfId="0" quotePrefix="1" applyNumberFormat="1" applyFont="1" applyFill="1" applyBorder="1"/>
    <xf numFmtId="0" fontId="18" fillId="0" borderId="0" xfId="0" applyFont="1"/>
    <xf numFmtId="40" fontId="10" fillId="0" borderId="0" xfId="0" applyNumberFormat="1" applyFont="1" applyFill="1" applyBorder="1"/>
    <xf numFmtId="174" fontId="10" fillId="0" borderId="0" xfId="0" applyNumberFormat="1" applyFont="1" applyFill="1" applyBorder="1"/>
    <xf numFmtId="37" fontId="0" fillId="0" borderId="0" xfId="0" applyNumberFormat="1"/>
    <xf numFmtId="0" fontId="31" fillId="0" borderId="0" xfId="0" applyFont="1"/>
    <xf numFmtId="0" fontId="32" fillId="0" borderId="0" xfId="0" applyFont="1"/>
    <xf numFmtId="175" fontId="33" fillId="0" borderId="0" xfId="0" applyNumberFormat="1" applyFont="1" applyFill="1"/>
    <xf numFmtId="49" fontId="33" fillId="0" borderId="0" xfId="0" applyNumberFormat="1" applyFont="1" applyFill="1"/>
    <xf numFmtId="0" fontId="34" fillId="0" borderId="0" xfId="0" applyFont="1"/>
    <xf numFmtId="0" fontId="27" fillId="0" borderId="0" xfId="0" applyFont="1" applyAlignment="1">
      <alignment wrapText="1"/>
    </xf>
    <xf numFmtId="0" fontId="27" fillId="0" borderId="0" xfId="0" applyFont="1" applyFill="1" applyAlignment="1">
      <alignment vertical="center" wrapText="1"/>
    </xf>
    <xf numFmtId="0" fontId="27" fillId="0" borderId="0" xfId="0" applyFont="1" applyAlignment="1">
      <alignment vertical="top" wrapText="1"/>
    </xf>
    <xf numFmtId="0" fontId="28" fillId="0" borderId="0" xfId="0" applyFont="1" applyAlignment="1">
      <alignment vertical="top" wrapText="1"/>
    </xf>
    <xf numFmtId="0" fontId="4" fillId="2" borderId="0" xfId="0" applyFont="1" applyFill="1" applyAlignment="1">
      <alignment horizontal="center"/>
    </xf>
    <xf numFmtId="4" fontId="4" fillId="2" borderId="0" xfId="0" applyNumberFormat="1" applyFont="1" applyFill="1" applyAlignment="1">
      <alignment horizontal="left" indent="2"/>
    </xf>
    <xf numFmtId="0" fontId="4" fillId="2" borderId="0" xfId="0" applyFont="1" applyFill="1" applyBorder="1" applyAlignment="1">
      <alignment horizontal="center"/>
    </xf>
    <xf numFmtId="0" fontId="4" fillId="2" borderId="0" xfId="0" applyFont="1" applyFill="1" applyBorder="1" applyAlignment="1">
      <alignment horizontal="left"/>
    </xf>
    <xf numFmtId="0" fontId="4" fillId="2" borderId="0" xfId="0" applyFont="1" applyFill="1" applyAlignment="1">
      <alignment horizontal="right"/>
    </xf>
    <xf numFmtId="166" fontId="4" fillId="2" borderId="0" xfId="6" applyFont="1" applyFill="1" applyBorder="1" applyAlignment="1">
      <alignment horizontal="right"/>
    </xf>
    <xf numFmtId="0" fontId="22" fillId="2" borderId="0" xfId="0" applyFont="1" applyFill="1" applyAlignment="1">
      <alignment horizontal="center"/>
    </xf>
    <xf numFmtId="0" fontId="4" fillId="0" borderId="0" xfId="2" applyFont="1" applyAlignment="1">
      <alignment horizontal="left"/>
    </xf>
    <xf numFmtId="0" fontId="2" fillId="0" borderId="0" xfId="7"/>
    <xf numFmtId="0" fontId="36" fillId="0" borderId="19" xfId="7" applyFont="1" applyBorder="1" applyAlignment="1">
      <alignment horizontal="right"/>
    </xf>
    <xf numFmtId="0" fontId="37" fillId="0" borderId="20" xfId="7" applyFont="1" applyFill="1" applyBorder="1"/>
    <xf numFmtId="0" fontId="7" fillId="0" borderId="0" xfId="7" applyFont="1" applyAlignment="1"/>
    <xf numFmtId="0" fontId="4" fillId="0" borderId="0" xfId="7" applyFont="1" applyAlignment="1"/>
    <xf numFmtId="0" fontId="35" fillId="0" borderId="0" xfId="7" applyFont="1" applyBorder="1" applyAlignment="1"/>
    <xf numFmtId="0" fontId="37" fillId="0" borderId="4" xfId="7" applyFont="1" applyFill="1" applyBorder="1" applyAlignment="1">
      <alignment horizontal="center"/>
    </xf>
    <xf numFmtId="0" fontId="35" fillId="0" borderId="19" xfId="7" applyFont="1" applyBorder="1"/>
    <xf numFmtId="0" fontId="35" fillId="0" borderId="20" xfId="7" applyFont="1" applyBorder="1" applyAlignment="1">
      <alignment horizontal="center"/>
    </xf>
    <xf numFmtId="0" fontId="35" fillId="0" borderId="11" xfId="7" applyFont="1" applyBorder="1"/>
    <xf numFmtId="0" fontId="2" fillId="0" borderId="11" xfId="7" applyBorder="1"/>
    <xf numFmtId="0" fontId="2" fillId="0" borderId="0" xfId="7" applyBorder="1"/>
    <xf numFmtId="0" fontId="35" fillId="0" borderId="5" xfId="7" applyFont="1" applyBorder="1"/>
    <xf numFmtId="176" fontId="35" fillId="0" borderId="1" xfId="8" applyNumberFormat="1" applyFont="1" applyBorder="1"/>
    <xf numFmtId="0" fontId="35" fillId="0" borderId="0" xfId="7" applyFont="1" applyBorder="1"/>
    <xf numFmtId="40" fontId="35" fillId="0" borderId="0" xfId="8" applyNumberFormat="1" applyFont="1" applyBorder="1"/>
    <xf numFmtId="44" fontId="35" fillId="0" borderId="0" xfId="8" applyNumberFormat="1" applyFont="1" applyBorder="1"/>
    <xf numFmtId="44" fontId="35" fillId="0" borderId="0" xfId="8" applyFont="1" applyBorder="1"/>
    <xf numFmtId="44" fontId="35" fillId="0" borderId="16" xfId="8" applyFont="1" applyBorder="1"/>
    <xf numFmtId="44" fontId="2" fillId="0" borderId="0" xfId="7" applyNumberFormat="1"/>
    <xf numFmtId="0" fontId="35" fillId="0" borderId="0" xfId="7" applyFont="1" applyFill="1" applyBorder="1"/>
    <xf numFmtId="43" fontId="37" fillId="0" borderId="4" xfId="9" applyFont="1" applyBorder="1"/>
    <xf numFmtId="9" fontId="0" fillId="0" borderId="4" xfId="10" applyFont="1" applyBorder="1"/>
    <xf numFmtId="43" fontId="0" fillId="0" borderId="4" xfId="9" applyFont="1" applyBorder="1"/>
    <xf numFmtId="44" fontId="2" fillId="0" borderId="4" xfId="7" applyNumberFormat="1" applyBorder="1"/>
    <xf numFmtId="0" fontId="35" fillId="0" borderId="0" xfId="7" applyFont="1"/>
    <xf numFmtId="44" fontId="2" fillId="0" borderId="17" xfId="7" applyNumberFormat="1" applyBorder="1"/>
    <xf numFmtId="172" fontId="0" fillId="0" borderId="0" xfId="3" applyNumberFormat="1" applyFont="1"/>
    <xf numFmtId="43" fontId="0" fillId="0" borderId="0" xfId="3" applyNumberFormat="1" applyFont="1"/>
    <xf numFmtId="43" fontId="0" fillId="0" borderId="0" xfId="3" applyFont="1"/>
    <xf numFmtId="175" fontId="33" fillId="0" borderId="0" xfId="0" quotePrefix="1" applyNumberFormat="1" applyFont="1" applyFill="1"/>
    <xf numFmtId="0" fontId="33" fillId="0" borderId="0" xfId="0" applyNumberFormat="1" applyFont="1" applyFill="1" applyAlignment="1">
      <alignment horizontal="left"/>
    </xf>
    <xf numFmtId="1" fontId="38" fillId="0" borderId="0" xfId="3" quotePrefix="1" applyNumberFormat="1" applyFont="1" applyAlignment="1">
      <alignment horizontal="left"/>
    </xf>
    <xf numFmtId="0" fontId="39" fillId="0" borderId="0" xfId="0" applyFont="1"/>
    <xf numFmtId="0" fontId="41" fillId="0" borderId="0" xfId="0" applyFont="1"/>
    <xf numFmtId="0" fontId="39" fillId="0" borderId="0" xfId="0" applyFont="1" applyFill="1"/>
    <xf numFmtId="0" fontId="39" fillId="0" borderId="0" xfId="0" applyFont="1" applyAlignment="1">
      <alignment horizontal="center"/>
    </xf>
    <xf numFmtId="0" fontId="42" fillId="0" borderId="21" xfId="0" applyFont="1" applyFill="1" applyBorder="1" applyAlignment="1">
      <alignment horizontal="center"/>
    </xf>
    <xf numFmtId="0" fontId="41" fillId="0" borderId="22" xfId="0" quotePrefix="1" applyFont="1" applyFill="1" applyBorder="1" applyAlignment="1">
      <alignment horizontal="center"/>
    </xf>
    <xf numFmtId="0" fontId="0" fillId="0" borderId="0" xfId="0" applyFill="1"/>
    <xf numFmtId="0" fontId="41" fillId="0" borderId="21" xfId="0" quotePrefix="1" applyFont="1" applyFill="1" applyBorder="1" applyAlignment="1">
      <alignment horizontal="center"/>
    </xf>
    <xf numFmtId="0" fontId="41" fillId="0" borderId="22" xfId="0" applyFont="1" applyFill="1" applyBorder="1" applyAlignment="1">
      <alignment horizontal="center"/>
    </xf>
    <xf numFmtId="43" fontId="7" fillId="0" borderId="21" xfId="0" applyNumberFormat="1" applyFont="1" applyFill="1" applyBorder="1"/>
    <xf numFmtId="0" fontId="43" fillId="0" borderId="0" xfId="0" applyFont="1" applyFill="1" applyBorder="1" applyAlignment="1"/>
    <xf numFmtId="0" fontId="41" fillId="0" borderId="21" xfId="0" quotePrefix="1" applyNumberFormat="1" applyFont="1" applyFill="1" applyBorder="1" applyAlignment="1">
      <alignment horizontal="center"/>
    </xf>
    <xf numFmtId="0" fontId="39" fillId="0" borderId="0" xfId="0" applyFont="1" applyFill="1" applyBorder="1"/>
    <xf numFmtId="0" fontId="44" fillId="0" borderId="0" xfId="0" applyFont="1" applyFill="1" applyBorder="1" applyAlignment="1">
      <alignment vertical="top" wrapText="1"/>
    </xf>
    <xf numFmtId="0" fontId="41" fillId="0" borderId="21" xfId="0" applyFont="1" applyFill="1" applyBorder="1" applyAlignment="1">
      <alignment horizontal="center"/>
    </xf>
    <xf numFmtId="43" fontId="41" fillId="0" borderId="21" xfId="0" applyNumberFormat="1" applyFont="1" applyFill="1" applyBorder="1"/>
    <xf numFmtId="0" fontId="41" fillId="0" borderId="20" xfId="0" applyFont="1" applyFill="1" applyBorder="1" applyAlignment="1">
      <alignment horizontal="center"/>
    </xf>
    <xf numFmtId="0" fontId="41" fillId="0" borderId="13" xfId="0" applyFont="1" applyFill="1" applyBorder="1" applyAlignment="1">
      <alignment horizontal="center"/>
    </xf>
    <xf numFmtId="43" fontId="41" fillId="0" borderId="21" xfId="3" applyFont="1" applyFill="1" applyBorder="1"/>
    <xf numFmtId="43" fontId="7" fillId="0" borderId="21" xfId="3" applyFont="1" applyFill="1" applyBorder="1"/>
    <xf numFmtId="0" fontId="41" fillId="0" borderId="13" xfId="0" applyFont="1" applyFill="1" applyBorder="1" applyAlignment="1">
      <alignment horizontal="left"/>
    </xf>
    <xf numFmtId="0" fontId="42" fillId="0" borderId="0" xfId="0" applyFont="1" applyFill="1" applyBorder="1" applyAlignment="1">
      <alignment horizontal="center"/>
    </xf>
    <xf numFmtId="0" fontId="41" fillId="0" borderId="0" xfId="0" applyFont="1" applyFill="1" applyBorder="1" applyAlignment="1">
      <alignment horizontal="center"/>
    </xf>
    <xf numFmtId="43" fontId="41" fillId="0" borderId="28" xfId="0" applyNumberFormat="1" applyFont="1" applyFill="1" applyBorder="1"/>
    <xf numFmtId="176" fontId="35" fillId="0" borderId="12" xfId="8" applyNumberFormat="1" applyFont="1" applyFill="1" applyBorder="1"/>
    <xf numFmtId="176" fontId="35" fillId="0" borderId="0" xfId="8" applyNumberFormat="1" applyFont="1" applyFill="1" applyBorder="1"/>
    <xf numFmtId="176" fontId="35" fillId="0" borderId="14" xfId="8" applyNumberFormat="1" applyFont="1" applyFill="1" applyBorder="1"/>
    <xf numFmtId="2" fontId="4" fillId="0" borderId="0" xfId="0" applyNumberFormat="1" applyFont="1" applyAlignment="1"/>
    <xf numFmtId="43" fontId="7" fillId="0" borderId="28" xfId="0" applyNumberFormat="1" applyFont="1" applyFill="1" applyBorder="1"/>
    <xf numFmtId="0" fontId="41" fillId="0" borderId="13" xfId="0" quotePrefix="1" applyFont="1" applyFill="1" applyBorder="1" applyAlignment="1">
      <alignment horizontal="center"/>
    </xf>
    <xf numFmtId="0" fontId="40" fillId="0" borderId="0" xfId="0" applyFont="1" applyFill="1"/>
    <xf numFmtId="0" fontId="41" fillId="0" borderId="0" xfId="0" applyFont="1" applyFill="1"/>
    <xf numFmtId="0" fontId="40" fillId="0" borderId="21" xfId="0" applyFont="1" applyFill="1" applyBorder="1" applyAlignment="1">
      <alignment horizontal="center"/>
    </xf>
    <xf numFmtId="0" fontId="40" fillId="0" borderId="21" xfId="0" applyFont="1" applyFill="1" applyBorder="1" applyAlignment="1">
      <alignment horizontal="center" wrapText="1"/>
    </xf>
    <xf numFmtId="39" fontId="7" fillId="0" borderId="21" xfId="0" applyNumberFormat="1" applyFont="1" applyFill="1" applyBorder="1"/>
    <xf numFmtId="43" fontId="41" fillId="0" borderId="0" xfId="0" applyNumberFormat="1" applyFont="1" applyFill="1"/>
    <xf numFmtId="0" fontId="4" fillId="0" borderId="0" xfId="2" applyFont="1" applyAlignment="1">
      <alignment horizontal="left"/>
    </xf>
    <xf numFmtId="0" fontId="4" fillId="2" borderId="0" xfId="0" applyFont="1" applyFill="1" applyBorder="1" applyAlignment="1">
      <alignment horizontal="left"/>
    </xf>
    <xf numFmtId="166" fontId="4" fillId="2" borderId="0" xfId="6" applyFont="1" applyFill="1" applyBorder="1" applyAlignment="1">
      <alignment horizontal="right"/>
    </xf>
    <xf numFmtId="0" fontId="22" fillId="2" borderId="0" xfId="0" applyFont="1" applyFill="1" applyAlignment="1">
      <alignment horizontal="center"/>
    </xf>
    <xf numFmtId="0" fontId="4" fillId="2" borderId="0" xfId="0" applyFont="1" applyFill="1" applyAlignment="1">
      <alignment horizontal="right"/>
    </xf>
    <xf numFmtId="0" fontId="4" fillId="2" borderId="0" xfId="0" applyFont="1" applyFill="1" applyBorder="1" applyAlignment="1">
      <alignment horizontal="center"/>
    </xf>
    <xf numFmtId="0" fontId="4" fillId="2" borderId="0" xfId="0" applyFont="1" applyFill="1" applyAlignment="1">
      <alignment horizontal="center"/>
    </xf>
    <xf numFmtId="4" fontId="4" fillId="2" borderId="0" xfId="0" applyNumberFormat="1" applyFont="1" applyFill="1" applyAlignment="1">
      <alignment horizontal="left" indent="2"/>
    </xf>
    <xf numFmtId="168" fontId="23" fillId="2" borderId="0" xfId="0" applyNumberFormat="1" applyFont="1" applyFill="1" applyBorder="1" applyAlignment="1">
      <alignment horizontal="center"/>
    </xf>
    <xf numFmtId="0" fontId="4" fillId="2" borderId="0" xfId="0" applyFont="1" applyFill="1" applyAlignment="1">
      <alignment horizontal="center"/>
    </xf>
    <xf numFmtId="4" fontId="4" fillId="2" borderId="0" xfId="0" applyNumberFormat="1" applyFont="1" applyFill="1" applyAlignment="1">
      <alignment horizontal="left" indent="2"/>
    </xf>
    <xf numFmtId="0" fontId="4" fillId="2" borderId="0" xfId="0" applyFont="1" applyFill="1" applyBorder="1" applyAlignment="1">
      <alignment horizontal="center"/>
    </xf>
    <xf numFmtId="0" fontId="4" fillId="2" borderId="0" xfId="0" applyFont="1" applyFill="1" applyBorder="1" applyAlignment="1">
      <alignment horizontal="left"/>
    </xf>
    <xf numFmtId="0" fontId="4" fillId="2" borderId="0" xfId="0" applyFont="1" applyFill="1" applyAlignment="1">
      <alignment horizontal="right"/>
    </xf>
    <xf numFmtId="166" fontId="4" fillId="2" borderId="0" xfId="6" applyFont="1" applyFill="1" applyBorder="1" applyAlignment="1">
      <alignment horizontal="right"/>
    </xf>
    <xf numFmtId="0" fontId="22" fillId="2" borderId="0" xfId="0" applyFont="1" applyFill="1" applyAlignment="1">
      <alignment horizontal="center"/>
    </xf>
    <xf numFmtId="0" fontId="4" fillId="0" borderId="0" xfId="2" applyFont="1" applyAlignment="1">
      <alignment horizontal="left"/>
    </xf>
    <xf numFmtId="0" fontId="23" fillId="0" borderId="0" xfId="0" applyFont="1"/>
    <xf numFmtId="0" fontId="23" fillId="0" borderId="0" xfId="0" applyFont="1" applyAlignment="1">
      <alignment horizontal="left"/>
    </xf>
    <xf numFmtId="167" fontId="23" fillId="0" borderId="0" xfId="0" applyNumberFormat="1" applyFont="1"/>
    <xf numFmtId="0" fontId="50" fillId="0" borderId="2" xfId="0" applyFont="1" applyBorder="1"/>
    <xf numFmtId="0" fontId="50" fillId="2" borderId="2" xfId="0" applyFont="1" applyFill="1" applyBorder="1"/>
    <xf numFmtId="0" fontId="23" fillId="2" borderId="0" xfId="0" applyFont="1" applyFill="1"/>
    <xf numFmtId="0" fontId="23" fillId="0" borderId="0" xfId="0" applyFont="1" applyAlignment="1"/>
    <xf numFmtId="0" fontId="23" fillId="0" borderId="0" xfId="0" applyFont="1" applyAlignment="1">
      <alignment horizontal="center"/>
    </xf>
    <xf numFmtId="0" fontId="23" fillId="2" borderId="0" xfId="0" applyFont="1" applyFill="1" applyAlignment="1"/>
    <xf numFmtId="4" fontId="23" fillId="0" borderId="0" xfId="0" applyNumberFormat="1" applyFont="1" applyAlignment="1"/>
    <xf numFmtId="4" fontId="6" fillId="0" borderId="0" xfId="0" applyNumberFormat="1" applyFont="1" applyAlignment="1"/>
    <xf numFmtId="4" fontId="23" fillId="0" borderId="0" xfId="0" applyNumberFormat="1" applyFont="1"/>
    <xf numFmtId="4" fontId="6" fillId="2" borderId="0" xfId="0" applyNumberFormat="1" applyFont="1" applyFill="1" applyAlignment="1"/>
    <xf numFmtId="4" fontId="23" fillId="2" borderId="0" xfId="0" applyNumberFormat="1" applyFont="1" applyFill="1"/>
    <xf numFmtId="4" fontId="23" fillId="0" borderId="0" xfId="0" applyNumberFormat="1" applyFont="1" applyBorder="1"/>
    <xf numFmtId="4" fontId="23" fillId="2" borderId="0" xfId="0" applyNumberFormat="1" applyFont="1" applyFill="1" applyBorder="1"/>
    <xf numFmtId="0" fontId="42" fillId="0" borderId="0" xfId="0" applyFont="1" applyAlignment="1"/>
    <xf numFmtId="7" fontId="21" fillId="0" borderId="0" xfId="0" applyNumberFormat="1" applyFont="1" applyBorder="1" applyAlignment="1"/>
    <xf numFmtId="168" fontId="42" fillId="0" borderId="0" xfId="0" applyNumberFormat="1" applyFont="1" applyAlignment="1"/>
    <xf numFmtId="0" fontId="23" fillId="0" borderId="0" xfId="0" applyFont="1" applyAlignment="1">
      <alignment wrapText="1"/>
    </xf>
    <xf numFmtId="0" fontId="51" fillId="0" borderId="0" xfId="0" applyFont="1" applyAlignment="1">
      <alignment horizontal="center" wrapText="1"/>
    </xf>
    <xf numFmtId="0" fontId="52" fillId="0" borderId="0" xfId="0" applyFont="1" applyAlignment="1">
      <alignment horizontal="center" wrapText="1"/>
    </xf>
    <xf numFmtId="0" fontId="50" fillId="0" borderId="0" xfId="0" applyFont="1" applyAlignment="1">
      <alignment wrapText="1"/>
    </xf>
    <xf numFmtId="167" fontId="23" fillId="0" borderId="0" xfId="0" applyNumberFormat="1" applyFont="1" applyAlignment="1">
      <alignment horizontal="center" wrapText="1"/>
    </xf>
    <xf numFmtId="167" fontId="23" fillId="0" borderId="0" xfId="0" applyNumberFormat="1" applyFont="1" applyAlignment="1">
      <alignment wrapText="1"/>
    </xf>
    <xf numFmtId="4" fontId="23" fillId="0" borderId="0" xfId="0" applyNumberFormat="1" applyFont="1" applyAlignment="1">
      <alignment horizontal="center" wrapText="1"/>
    </xf>
    <xf numFmtId="165" fontId="23" fillId="0" borderId="0" xfId="5" applyFont="1" applyAlignment="1">
      <alignment horizontal="center" wrapText="1"/>
    </xf>
    <xf numFmtId="4" fontId="23" fillId="2" borderId="0" xfId="0" applyNumberFormat="1" applyFont="1" applyFill="1" applyAlignment="1">
      <alignment horizontal="center" wrapText="1"/>
    </xf>
    <xf numFmtId="165" fontId="23" fillId="2" borderId="0" xfId="5" applyFont="1" applyFill="1" applyAlignment="1">
      <alignment horizontal="center" wrapText="1"/>
    </xf>
    <xf numFmtId="0" fontId="23" fillId="0" borderId="4" xfId="0" quotePrefix="1" applyFont="1" applyBorder="1" applyAlignment="1"/>
    <xf numFmtId="0" fontId="52" fillId="0" borderId="4" xfId="0" quotePrefix="1" applyFont="1" applyBorder="1" applyAlignment="1">
      <alignment horizontal="center"/>
    </xf>
    <xf numFmtId="0" fontId="50" fillId="0" borderId="0" xfId="0" quotePrefix="1" applyFont="1" applyBorder="1" applyAlignment="1"/>
    <xf numFmtId="167" fontId="23" fillId="0" borderId="4" xfId="0" quotePrefix="1" applyNumberFormat="1" applyFont="1" applyBorder="1" applyAlignment="1">
      <alignment horizontal="center"/>
    </xf>
    <xf numFmtId="167" fontId="23" fillId="0" borderId="4" xfId="0" quotePrefix="1" applyNumberFormat="1" applyFont="1" applyBorder="1" applyAlignment="1"/>
    <xf numFmtId="4" fontId="23" fillId="0" borderId="4" xfId="0" quotePrefix="1" applyNumberFormat="1" applyFont="1" applyBorder="1" applyAlignment="1">
      <alignment horizontal="center"/>
    </xf>
    <xf numFmtId="165" fontId="23" fillId="0" borderId="4" xfId="5" quotePrefix="1" applyFont="1" applyBorder="1" applyAlignment="1">
      <alignment horizontal="center"/>
    </xf>
    <xf numFmtId="4" fontId="23" fillId="2" borderId="4" xfId="0" quotePrefix="1" applyNumberFormat="1" applyFont="1" applyFill="1" applyBorder="1" applyAlignment="1">
      <alignment horizontal="center"/>
    </xf>
    <xf numFmtId="165" fontId="23" fillId="2" borderId="4" xfId="5" quotePrefix="1" applyFont="1" applyFill="1" applyBorder="1" applyAlignment="1">
      <alignment horizontal="center"/>
    </xf>
    <xf numFmtId="0" fontId="23" fillId="0" borderId="5" xfId="0" applyFont="1" applyBorder="1" applyAlignment="1"/>
    <xf numFmtId="2" fontId="52" fillId="0" borderId="1" xfId="0" applyNumberFormat="1" applyFont="1" applyBorder="1" applyAlignment="1"/>
    <xf numFmtId="2" fontId="51" fillId="0" borderId="0" xfId="0" applyNumberFormat="1" applyFont="1" applyBorder="1" applyAlignment="1"/>
    <xf numFmtId="167" fontId="23" fillId="0" borderId="5" xfId="0" applyNumberFormat="1" applyFont="1" applyBorder="1" applyAlignment="1"/>
    <xf numFmtId="169" fontId="23" fillId="0" borderId="4" xfId="0" applyNumberFormat="1" applyFont="1" applyBorder="1"/>
    <xf numFmtId="170" fontId="23" fillId="0" borderId="4" xfId="5" applyNumberFormat="1" applyFont="1" applyBorder="1"/>
    <xf numFmtId="0" fontId="23" fillId="0" borderId="0" xfId="2" applyFont="1" applyAlignment="1">
      <alignment horizontal="center"/>
    </xf>
    <xf numFmtId="0" fontId="21" fillId="0" borderId="0" xfId="2" quotePrefix="1" applyFont="1"/>
    <xf numFmtId="0" fontId="23" fillId="0" borderId="0" xfId="2" applyFont="1"/>
    <xf numFmtId="0" fontId="21" fillId="0" borderId="0" xfId="2" applyFont="1"/>
    <xf numFmtId="169" fontId="23" fillId="2" borderId="4" xfId="0" applyNumberFormat="1" applyFont="1" applyFill="1" applyBorder="1"/>
    <xf numFmtId="170" fontId="23" fillId="2" borderId="4" xfId="5" applyNumberFormat="1" applyFont="1" applyFill="1" applyBorder="1"/>
    <xf numFmtId="167" fontId="23" fillId="0" borderId="0" xfId="0" applyNumberFormat="1" applyFont="1" applyAlignment="1"/>
    <xf numFmtId="0" fontId="23" fillId="0" borderId="0" xfId="2" quotePrefix="1" applyFont="1"/>
    <xf numFmtId="170" fontId="23" fillId="0" borderId="1" xfId="5" applyNumberFormat="1" applyFont="1" applyBorder="1"/>
    <xf numFmtId="170" fontId="23" fillId="2" borderId="1" xfId="5" applyNumberFormat="1" applyFont="1" applyFill="1" applyBorder="1"/>
    <xf numFmtId="0" fontId="23" fillId="0" borderId="0" xfId="0" applyFont="1" applyBorder="1" applyAlignment="1"/>
    <xf numFmtId="2" fontId="23" fillId="0" borderId="7" xfId="0" applyNumberFormat="1" applyFont="1" applyBorder="1" applyAlignment="1"/>
    <xf numFmtId="2" fontId="23" fillId="0" borderId="0" xfId="0" applyNumberFormat="1" applyFont="1" applyBorder="1" applyAlignment="1"/>
    <xf numFmtId="2" fontId="23" fillId="0" borderId="8" xfId="0" applyNumberFormat="1" applyFont="1" applyBorder="1" applyAlignment="1"/>
    <xf numFmtId="168" fontId="54" fillId="0" borderId="2" xfId="0" applyNumberFormat="1" applyFont="1" applyBorder="1"/>
    <xf numFmtId="170" fontId="23" fillId="0" borderId="7" xfId="5" applyNumberFormat="1" applyFont="1" applyBorder="1"/>
    <xf numFmtId="0" fontId="23" fillId="0" borderId="0" xfId="2" applyFont="1" applyBorder="1"/>
    <xf numFmtId="168" fontId="54" fillId="2" borderId="2" xfId="0" applyNumberFormat="1" applyFont="1" applyFill="1" applyBorder="1"/>
    <xf numFmtId="170" fontId="23" fillId="2" borderId="7" xfId="5" applyNumberFormat="1" applyFont="1" applyFill="1" applyBorder="1"/>
    <xf numFmtId="0" fontId="51" fillId="0" borderId="1" xfId="0" applyFont="1" applyBorder="1" applyAlignment="1">
      <alignment horizontal="center" wrapText="1"/>
    </xf>
    <xf numFmtId="2" fontId="52" fillId="0" borderId="1" xfId="0" applyNumberFormat="1" applyFont="1" applyBorder="1" applyAlignment="1">
      <alignment horizontal="center"/>
    </xf>
    <xf numFmtId="2" fontId="50" fillId="0" borderId="0" xfId="0" applyNumberFormat="1" applyFont="1" applyBorder="1" applyAlignment="1"/>
    <xf numFmtId="0" fontId="23" fillId="0" borderId="4" xfId="0" applyFont="1" applyBorder="1" applyAlignment="1">
      <alignment horizontal="center" wrapText="1"/>
    </xf>
    <xf numFmtId="0" fontId="55" fillId="0" borderId="4" xfId="0" applyFont="1" applyBorder="1" applyAlignment="1">
      <alignment horizontal="center" wrapText="1"/>
    </xf>
    <xf numFmtId="0" fontId="23" fillId="2" borderId="4" xfId="0" applyFont="1" applyFill="1" applyBorder="1" applyAlignment="1"/>
    <xf numFmtId="0" fontId="23" fillId="2" borderId="4" xfId="0" applyFont="1" applyFill="1" applyBorder="1" applyAlignment="1">
      <alignment horizontal="center" wrapText="1"/>
    </xf>
    <xf numFmtId="0" fontId="55" fillId="2" borderId="4" xfId="0" applyFont="1" applyFill="1" applyBorder="1" applyAlignment="1">
      <alignment horizontal="center" wrapText="1"/>
    </xf>
    <xf numFmtId="0" fontId="42" fillId="0" borderId="5" xfId="0" applyFont="1" applyBorder="1" applyAlignment="1">
      <alignment horizontal="left" vertical="center" wrapText="1"/>
    </xf>
    <xf numFmtId="4" fontId="51" fillId="0" borderId="0" xfId="0" applyNumberFormat="1" applyFont="1" applyBorder="1" applyAlignment="1">
      <alignment vertical="center" wrapText="1"/>
    </xf>
    <xf numFmtId="0" fontId="23" fillId="0" borderId="5" xfId="0" applyFont="1" applyBorder="1" applyAlignment="1">
      <alignment horizontal="center"/>
    </xf>
    <xf numFmtId="170" fontId="55" fillId="0" borderId="4" xfId="5" applyNumberFormat="1" applyFont="1" applyBorder="1"/>
    <xf numFmtId="170" fontId="23" fillId="0" borderId="4" xfId="0" applyNumberFormat="1" applyFont="1" applyBorder="1"/>
    <xf numFmtId="0" fontId="23" fillId="0" borderId="0" xfId="2" applyFont="1" applyAlignment="1">
      <alignment horizontal="left"/>
    </xf>
    <xf numFmtId="0" fontId="23" fillId="0" borderId="0" xfId="2" quotePrefix="1" applyFont="1" applyAlignment="1">
      <alignment horizontal="left"/>
    </xf>
    <xf numFmtId="0" fontId="42" fillId="0" borderId="0" xfId="2" applyFont="1" applyBorder="1"/>
    <xf numFmtId="0" fontId="23" fillId="2" borderId="5" xfId="0" applyFont="1" applyFill="1" applyBorder="1" applyAlignment="1">
      <alignment horizontal="center"/>
    </xf>
    <xf numFmtId="0" fontId="23" fillId="2" borderId="0" xfId="0" applyFont="1" applyFill="1" applyAlignment="1">
      <alignment horizontal="center"/>
    </xf>
    <xf numFmtId="170" fontId="55" fillId="2" borderId="4" xfId="5" applyNumberFormat="1" applyFont="1" applyFill="1" applyBorder="1"/>
    <xf numFmtId="170" fontId="23" fillId="2" borderId="4" xfId="0" applyNumberFormat="1" applyFont="1" applyFill="1" applyBorder="1"/>
    <xf numFmtId="0" fontId="42" fillId="0" borderId="0" xfId="0" applyFont="1" applyBorder="1" applyAlignment="1">
      <alignment horizontal="left" vertical="center" wrapText="1"/>
    </xf>
    <xf numFmtId="0" fontId="23" fillId="0" borderId="0" xfId="0" quotePrefix="1" applyFont="1" applyAlignment="1">
      <alignment horizontal="center"/>
    </xf>
    <xf numFmtId="0" fontId="23" fillId="2" borderId="0" xfId="0" quotePrefix="1" applyFont="1" applyFill="1" applyAlignment="1">
      <alignment horizontal="center"/>
    </xf>
    <xf numFmtId="0" fontId="56" fillId="0" borderId="0" xfId="2" applyFont="1"/>
    <xf numFmtId="170" fontId="23" fillId="0" borderId="6" xfId="5" applyNumberFormat="1" applyFont="1" applyBorder="1"/>
    <xf numFmtId="0" fontId="56" fillId="0" borderId="0" xfId="2" applyFont="1" applyBorder="1" applyAlignment="1">
      <alignment horizontal="left"/>
    </xf>
    <xf numFmtId="170" fontId="23" fillId="2" borderId="6" xfId="5" applyNumberFormat="1" applyFont="1" applyFill="1" applyBorder="1"/>
    <xf numFmtId="0" fontId="57" fillId="0" borderId="0" xfId="0" applyFont="1" applyAlignment="1"/>
    <xf numFmtId="0" fontId="57" fillId="0" borderId="0" xfId="0" applyFont="1" applyBorder="1" applyAlignment="1"/>
    <xf numFmtId="0" fontId="23" fillId="0" borderId="0" xfId="0" applyFont="1" applyBorder="1"/>
    <xf numFmtId="0" fontId="23" fillId="2" borderId="0" xfId="0" applyFont="1" applyFill="1" applyBorder="1"/>
    <xf numFmtId="170" fontId="23" fillId="0" borderId="0" xfId="5" applyNumberFormat="1" applyFont="1" applyBorder="1" applyAlignment="1"/>
    <xf numFmtId="4" fontId="23" fillId="0" borderId="0" xfId="0" quotePrefix="1" applyNumberFormat="1" applyFont="1" applyBorder="1" applyAlignment="1"/>
    <xf numFmtId="0" fontId="23" fillId="0" borderId="0" xfId="0" applyFont="1" applyAlignment="1">
      <alignment horizontal="right"/>
    </xf>
    <xf numFmtId="0" fontId="58" fillId="0" borderId="0" xfId="0" applyFont="1" applyAlignment="1"/>
    <xf numFmtId="166" fontId="23" fillId="0" borderId="0" xfId="0" applyNumberFormat="1" applyFont="1" applyBorder="1"/>
    <xf numFmtId="0" fontId="23" fillId="2" borderId="0" xfId="0" applyFont="1" applyFill="1" applyAlignment="1">
      <alignment horizontal="right"/>
    </xf>
    <xf numFmtId="170" fontId="23" fillId="0" borderId="0" xfId="5" applyNumberFormat="1" applyFont="1" applyBorder="1"/>
    <xf numFmtId="170" fontId="23" fillId="2" borderId="0" xfId="5" applyNumberFormat="1" applyFont="1" applyFill="1" applyBorder="1"/>
    <xf numFmtId="170" fontId="23" fillId="0" borderId="4" xfId="0" applyNumberFormat="1" applyFont="1" applyBorder="1" applyAlignment="1">
      <alignment horizontal="left"/>
    </xf>
    <xf numFmtId="170" fontId="23" fillId="2" borderId="4" xfId="0" applyNumberFormat="1" applyFont="1" applyFill="1" applyBorder="1" applyAlignment="1">
      <alignment horizontal="left"/>
    </xf>
    <xf numFmtId="0" fontId="23" fillId="0" borderId="0" xfId="0" applyFont="1" applyBorder="1" applyAlignment="1">
      <alignment horizontal="left"/>
    </xf>
    <xf numFmtId="0" fontId="23" fillId="2" borderId="0" xfId="0" applyFont="1" applyFill="1" applyBorder="1" applyAlignment="1">
      <alignment horizontal="left"/>
    </xf>
    <xf numFmtId="0" fontId="59" fillId="0" borderId="0" xfId="0" applyFont="1" applyAlignment="1">
      <alignment horizontal="center"/>
    </xf>
    <xf numFmtId="0" fontId="59" fillId="0" borderId="0" xfId="0" applyFont="1" applyAlignment="1"/>
    <xf numFmtId="4" fontId="59" fillId="0" borderId="0" xfId="0" applyNumberFormat="1" applyFont="1" applyAlignment="1">
      <alignment horizontal="center"/>
    </xf>
    <xf numFmtId="4" fontId="59" fillId="0" borderId="0" xfId="0" applyNumberFormat="1" applyFont="1" applyAlignment="1"/>
    <xf numFmtId="165" fontId="23" fillId="0" borderId="0" xfId="5" applyFont="1"/>
    <xf numFmtId="0" fontId="59" fillId="2" borderId="0" xfId="0" applyFont="1" applyFill="1" applyAlignment="1">
      <alignment horizontal="center"/>
    </xf>
    <xf numFmtId="165" fontId="23" fillId="2" borderId="0" xfId="5" applyFont="1" applyFill="1"/>
    <xf numFmtId="168" fontId="23" fillId="0" borderId="0" xfId="0" applyNumberFormat="1" applyFont="1" applyBorder="1" applyAlignment="1">
      <alignment horizontal="center"/>
    </xf>
    <xf numFmtId="43" fontId="23" fillId="0" borderId="0" xfId="3" applyFont="1" applyAlignment="1">
      <alignment horizontal="center"/>
    </xf>
    <xf numFmtId="0" fontId="23" fillId="0" borderId="0" xfId="0" quotePrefix="1" applyFont="1" applyBorder="1" applyAlignment="1">
      <alignment horizontal="center"/>
    </xf>
    <xf numFmtId="3" fontId="23" fillId="0" borderId="4" xfId="0" applyNumberFormat="1" applyFont="1" applyBorder="1"/>
    <xf numFmtId="168" fontId="23" fillId="0" borderId="0" xfId="0" applyNumberFormat="1" applyFont="1" applyBorder="1"/>
    <xf numFmtId="2" fontId="23" fillId="2" borderId="0" xfId="0" applyNumberFormat="1" applyFont="1" applyFill="1" applyAlignment="1">
      <alignment horizontal="center"/>
    </xf>
    <xf numFmtId="0" fontId="23" fillId="2" borderId="0" xfId="0" quotePrefix="1" applyFont="1" applyFill="1" applyBorder="1" applyAlignment="1">
      <alignment horizontal="center"/>
    </xf>
    <xf numFmtId="3" fontId="23" fillId="2" borderId="4" xfId="0" applyNumberFormat="1" applyFont="1" applyFill="1" applyBorder="1"/>
    <xf numFmtId="168" fontId="23" fillId="2" borderId="0" xfId="0" applyNumberFormat="1" applyFont="1" applyFill="1" applyBorder="1"/>
    <xf numFmtId="16" fontId="23" fillId="0" borderId="0" xfId="0" quotePrefix="1" applyNumberFormat="1" applyFont="1" applyAlignment="1">
      <alignment horizontal="right"/>
    </xf>
    <xf numFmtId="16" fontId="23" fillId="2" borderId="0" xfId="0" quotePrefix="1" applyNumberFormat="1" applyFont="1" applyFill="1" applyAlignment="1">
      <alignment horizontal="right"/>
    </xf>
    <xf numFmtId="0" fontId="23" fillId="2" borderId="0" xfId="0" applyFont="1" applyFill="1" applyBorder="1" applyAlignment="1"/>
    <xf numFmtId="0" fontId="23" fillId="0" borderId="0" xfId="0" quotePrefix="1" applyFont="1" applyAlignment="1">
      <alignment horizontal="right"/>
    </xf>
    <xf numFmtId="168" fontId="23" fillId="0" borderId="15" xfId="0" applyNumberFormat="1" applyFont="1" applyBorder="1" applyAlignment="1">
      <alignment horizontal="center"/>
    </xf>
    <xf numFmtId="0" fontId="53" fillId="0" borderId="0" xfId="0" applyFont="1" applyBorder="1"/>
    <xf numFmtId="2" fontId="23" fillId="0" borderId="0" xfId="0" applyNumberFormat="1" applyFont="1" applyBorder="1"/>
    <xf numFmtId="166" fontId="23" fillId="0" borderId="0" xfId="6" applyFont="1" applyBorder="1"/>
    <xf numFmtId="0" fontId="23" fillId="2" borderId="0" xfId="0" quotePrefix="1" applyFont="1" applyFill="1" applyAlignment="1">
      <alignment horizontal="right"/>
    </xf>
    <xf numFmtId="168" fontId="23" fillId="2" borderId="15" xfId="0" applyNumberFormat="1" applyFont="1" applyFill="1" applyBorder="1" applyAlignment="1">
      <alignment horizontal="center"/>
    </xf>
    <xf numFmtId="166" fontId="23" fillId="0" borderId="0" xfId="6" applyFont="1" applyBorder="1" applyAlignment="1">
      <alignment horizontal="right"/>
    </xf>
    <xf numFmtId="168" fontId="54" fillId="0" borderId="2" xfId="0" applyNumberFormat="1" applyFont="1" applyBorder="1" applyAlignment="1">
      <alignment horizontal="center"/>
    </xf>
    <xf numFmtId="168" fontId="54" fillId="0" borderId="3" xfId="0" applyNumberFormat="1" applyFont="1" applyBorder="1" applyAlignment="1">
      <alignment horizontal="center"/>
    </xf>
    <xf numFmtId="168" fontId="54" fillId="0" borderId="0" xfId="0" applyNumberFormat="1" applyFont="1" applyBorder="1" applyAlignment="1">
      <alignment horizontal="center"/>
    </xf>
    <xf numFmtId="166" fontId="23" fillId="0" borderId="0" xfId="6" applyFont="1" applyBorder="1" applyAlignment="1"/>
    <xf numFmtId="166" fontId="23" fillId="2" borderId="0" xfId="6" applyFont="1" applyFill="1" applyBorder="1" applyAlignment="1">
      <alignment horizontal="right"/>
    </xf>
    <xf numFmtId="168" fontId="54" fillId="2" borderId="2" xfId="0" applyNumberFormat="1" applyFont="1" applyFill="1" applyBorder="1" applyAlignment="1">
      <alignment horizontal="center"/>
    </xf>
    <xf numFmtId="2" fontId="61" fillId="0" borderId="0" xfId="0" applyNumberFormat="1" applyFont="1" applyBorder="1" applyAlignment="1"/>
    <xf numFmtId="0" fontId="53" fillId="2" borderId="0" xfId="0" applyFont="1" applyFill="1" applyBorder="1"/>
    <xf numFmtId="169" fontId="57" fillId="0" borderId="4" xfId="0" applyNumberFormat="1" applyFont="1" applyBorder="1" applyAlignment="1">
      <alignment horizontal="center"/>
    </xf>
    <xf numFmtId="4" fontId="59" fillId="0" borderId="0" xfId="0" applyNumberFormat="1" applyFont="1" applyBorder="1" applyAlignment="1"/>
    <xf numFmtId="169" fontId="57" fillId="2" borderId="4" xfId="0" applyNumberFormat="1" applyFont="1" applyFill="1" applyBorder="1" applyAlignment="1">
      <alignment horizontal="center"/>
    </xf>
    <xf numFmtId="171" fontId="23" fillId="0" borderId="0" xfId="0" applyNumberFormat="1" applyFont="1" applyAlignment="1"/>
    <xf numFmtId="4" fontId="57" fillId="0" borderId="4" xfId="0" applyNumberFormat="1" applyFont="1" applyBorder="1" applyAlignment="1">
      <alignment horizontal="center"/>
    </xf>
    <xf numFmtId="4" fontId="57" fillId="2" borderId="4" xfId="0" applyNumberFormat="1" applyFont="1" applyFill="1" applyBorder="1" applyAlignment="1">
      <alignment horizontal="center"/>
    </xf>
    <xf numFmtId="4" fontId="23" fillId="0" borderId="0" xfId="0" applyNumberFormat="1" applyFont="1" applyBorder="1" applyAlignment="1"/>
    <xf numFmtId="0" fontId="23" fillId="2" borderId="0" xfId="0" applyFont="1" applyFill="1" applyBorder="1" applyAlignment="1">
      <alignment horizontal="center"/>
    </xf>
    <xf numFmtId="171" fontId="23" fillId="2" borderId="0" xfId="0" applyNumberFormat="1" applyFont="1" applyFill="1"/>
    <xf numFmtId="4" fontId="23" fillId="0" borderId="0" xfId="0" quotePrefix="1" applyNumberFormat="1" applyFont="1" applyAlignment="1">
      <alignment horizontal="center"/>
    </xf>
    <xf numFmtId="0" fontId="23" fillId="0" borderId="0" xfId="0" applyFont="1" applyBorder="1" applyAlignment="1">
      <alignment horizontal="center"/>
    </xf>
    <xf numFmtId="171" fontId="23" fillId="0" borderId="0" xfId="0" applyNumberFormat="1" applyFont="1"/>
    <xf numFmtId="0" fontId="23" fillId="0" borderId="0" xfId="0" applyFont="1" applyBorder="1" applyAlignment="1">
      <alignment horizontal="left" indent="1"/>
    </xf>
    <xf numFmtId="3" fontId="23" fillId="0" borderId="0" xfId="0" applyNumberFormat="1" applyFont="1" applyBorder="1" applyAlignment="1"/>
    <xf numFmtId="4" fontId="42" fillId="0" borderId="0" xfId="0" applyNumberFormat="1" applyFont="1"/>
    <xf numFmtId="0" fontId="23" fillId="0" borderId="0" xfId="0" applyFont="1" applyAlignment="1">
      <alignment horizontal="left" indent="1"/>
    </xf>
    <xf numFmtId="3" fontId="23" fillId="0" borderId="4" xfId="2" applyNumberFormat="1" applyFont="1" applyBorder="1"/>
    <xf numFmtId="4" fontId="23" fillId="0" borderId="0" xfId="0" quotePrefix="1" applyNumberFormat="1" applyFont="1" applyAlignment="1"/>
    <xf numFmtId="0" fontId="51" fillId="2" borderId="0" xfId="0" applyFont="1" applyFill="1" applyAlignment="1">
      <alignment horizontal="left"/>
    </xf>
    <xf numFmtId="4" fontId="23" fillId="2" borderId="0" xfId="0" quotePrefix="1" applyNumberFormat="1" applyFont="1" applyFill="1" applyAlignment="1">
      <alignment horizontal="left" indent="2"/>
    </xf>
    <xf numFmtId="4" fontId="51" fillId="2" borderId="4" xfId="0" quotePrefix="1" applyNumberFormat="1" applyFont="1" applyFill="1" applyBorder="1" applyAlignment="1">
      <alignment horizontal="left" indent="2"/>
    </xf>
    <xf numFmtId="4" fontId="23" fillId="2" borderId="0" xfId="0" applyNumberFormat="1" applyFont="1" applyFill="1" applyAlignment="1">
      <alignment horizontal="left" indent="2"/>
    </xf>
    <xf numFmtId="3" fontId="23" fillId="2" borderId="0" xfId="0" quotePrefix="1" applyNumberFormat="1" applyFont="1" applyFill="1" applyAlignment="1">
      <alignment horizontal="left" indent="5"/>
    </xf>
    <xf numFmtId="0" fontId="51" fillId="0" borderId="0" xfId="0" applyFont="1" applyAlignment="1"/>
    <xf numFmtId="0" fontId="51" fillId="0" borderId="0" xfId="0" applyFont="1" applyAlignment="1">
      <alignment horizontal="left"/>
    </xf>
    <xf numFmtId="0" fontId="62" fillId="0" borderId="0" xfId="0" applyFont="1"/>
    <xf numFmtId="4" fontId="23" fillId="0" borderId="0" xfId="0" quotePrefix="1" applyNumberFormat="1" applyFont="1" applyAlignment="1">
      <alignment horizontal="left" indent="2"/>
    </xf>
    <xf numFmtId="4" fontId="52" fillId="0" borderId="4" xfId="0" quotePrefix="1" applyNumberFormat="1" applyFont="1" applyBorder="1" applyAlignment="1">
      <alignment horizontal="right" indent="2"/>
    </xf>
    <xf numFmtId="4" fontId="23" fillId="0" borderId="0" xfId="0" applyNumberFormat="1" applyFont="1" applyAlignment="1">
      <alignment horizontal="center"/>
    </xf>
    <xf numFmtId="3" fontId="23" fillId="0" borderId="0" xfId="0" quotePrefix="1" applyNumberFormat="1" applyFont="1" applyAlignment="1">
      <alignment horizontal="left" indent="5"/>
    </xf>
    <xf numFmtId="4" fontId="23" fillId="2" borderId="0" xfId="0" quotePrefix="1" applyNumberFormat="1" applyFont="1" applyFill="1" applyBorder="1" applyAlignment="1">
      <alignment horizontal="left" indent="2"/>
    </xf>
    <xf numFmtId="4" fontId="51" fillId="2" borderId="1" xfId="0" quotePrefix="1" applyNumberFormat="1" applyFont="1" applyFill="1" applyBorder="1" applyAlignment="1">
      <alignment horizontal="left" indent="2"/>
    </xf>
    <xf numFmtId="3" fontId="23" fillId="2" borderId="0" xfId="0" quotePrefix="1" applyNumberFormat="1" applyFont="1" applyFill="1" applyAlignment="1">
      <alignment horizontal="left" indent="4"/>
    </xf>
    <xf numFmtId="3" fontId="23" fillId="0" borderId="0" xfId="0" quotePrefix="1" applyNumberFormat="1" applyFont="1" applyAlignment="1">
      <alignment horizontal="left" indent="4"/>
    </xf>
    <xf numFmtId="38" fontId="23" fillId="0" borderId="4" xfId="0" applyNumberFormat="1" applyFont="1" applyBorder="1"/>
    <xf numFmtId="38" fontId="23" fillId="0" borderId="1" xfId="0" applyNumberFormat="1" applyFont="1" applyBorder="1"/>
    <xf numFmtId="167" fontId="23" fillId="0" borderId="0" xfId="0" applyNumberFormat="1" applyFont="1" applyFill="1"/>
    <xf numFmtId="0" fontId="23" fillId="2" borderId="1" xfId="0" applyFont="1" applyFill="1" applyBorder="1"/>
    <xf numFmtId="3" fontId="23" fillId="0" borderId="0" xfId="0" quotePrefix="1" applyNumberFormat="1" applyFont="1" applyAlignment="1">
      <alignment horizontal="center"/>
    </xf>
    <xf numFmtId="3" fontId="23" fillId="0" borderId="0" xfId="0" quotePrefix="1" applyNumberFormat="1" applyFont="1" applyAlignment="1"/>
    <xf numFmtId="0" fontId="23" fillId="0" borderId="1" xfId="0" applyFont="1" applyBorder="1"/>
    <xf numFmtId="167" fontId="23" fillId="0" borderId="0" xfId="0" quotePrefix="1" applyNumberFormat="1" applyFont="1" applyFill="1"/>
    <xf numFmtId="0" fontId="23" fillId="0" borderId="0" xfId="0" applyFont="1" applyFill="1"/>
    <xf numFmtId="170" fontId="23" fillId="2" borderId="16" xfId="0" applyNumberFormat="1" applyFont="1" applyFill="1" applyBorder="1"/>
    <xf numFmtId="170" fontId="23" fillId="2" borderId="0" xfId="0" applyNumberFormat="1" applyFont="1" applyFill="1"/>
    <xf numFmtId="170" fontId="23" fillId="0" borderId="16" xfId="0" applyNumberFormat="1" applyFont="1" applyBorder="1"/>
    <xf numFmtId="170" fontId="23" fillId="0" borderId="0" xfId="0" applyNumberFormat="1" applyFont="1" applyFill="1"/>
    <xf numFmtId="43" fontId="23" fillId="0" borderId="0" xfId="3" quotePrefix="1" applyFont="1" applyFill="1"/>
    <xf numFmtId="170" fontId="23" fillId="2" borderId="0" xfId="0" applyNumberFormat="1" applyFont="1" applyFill="1" applyBorder="1"/>
    <xf numFmtId="170" fontId="23" fillId="0" borderId="0" xfId="0" applyNumberFormat="1" applyFont="1" applyBorder="1"/>
    <xf numFmtId="0" fontId="51" fillId="0" borderId="4" xfId="0" applyFont="1" applyBorder="1" applyAlignment="1"/>
    <xf numFmtId="0" fontId="62" fillId="0" borderId="0" xfId="0" applyFont="1" applyBorder="1" applyAlignment="1">
      <alignment horizontal="center"/>
    </xf>
    <xf numFmtId="170" fontId="62" fillId="0" borderId="0" xfId="0" applyNumberFormat="1" applyFont="1" applyBorder="1"/>
    <xf numFmtId="170" fontId="23" fillId="0" borderId="4" xfId="2" applyNumberFormat="1" applyFont="1" applyBorder="1"/>
    <xf numFmtId="170" fontId="23" fillId="0" borderId="0" xfId="2" applyNumberFormat="1" applyFont="1" applyFill="1"/>
    <xf numFmtId="0" fontId="51" fillId="0" borderId="0" xfId="0" applyFont="1" applyBorder="1" applyAlignment="1"/>
    <xf numFmtId="0" fontId="21" fillId="0" borderId="0" xfId="0" applyFont="1" applyFill="1"/>
    <xf numFmtId="0" fontId="23" fillId="0" borderId="0" xfId="0" applyFont="1" applyFill="1" applyAlignment="1">
      <alignment vertical="top"/>
    </xf>
    <xf numFmtId="170" fontId="23" fillId="0" borderId="17" xfId="0" applyNumberFormat="1" applyFont="1" applyBorder="1"/>
    <xf numFmtId="0" fontId="23" fillId="0" borderId="0" xfId="0" applyFont="1" applyAlignment="1">
      <alignment vertical="top"/>
    </xf>
    <xf numFmtId="4" fontId="23" fillId="0" borderId="0" xfId="0" applyNumberFormat="1" applyFont="1" applyAlignment="1">
      <alignment horizontal="left"/>
    </xf>
    <xf numFmtId="172" fontId="23" fillId="0" borderId="16" xfId="3" applyNumberFormat="1" applyFont="1" applyBorder="1"/>
    <xf numFmtId="0" fontId="53" fillId="0" borderId="0" xfId="0" applyFont="1" applyAlignment="1">
      <alignment vertical="top"/>
    </xf>
    <xf numFmtId="173" fontId="23" fillId="0" borderId="0" xfId="0" applyNumberFormat="1" applyFont="1" applyAlignment="1">
      <alignment horizontal="left"/>
    </xf>
    <xf numFmtId="40" fontId="42" fillId="0" borderId="0" xfId="0" applyNumberFormat="1" applyFont="1" applyFill="1"/>
    <xf numFmtId="40" fontId="42" fillId="0" borderId="0" xfId="0" applyNumberFormat="1" applyFont="1" applyFill="1" applyBorder="1" applyAlignment="1"/>
    <xf numFmtId="0" fontId="53" fillId="0" borderId="0" xfId="0" applyFont="1" applyAlignment="1"/>
    <xf numFmtId="40" fontId="23" fillId="0" borderId="0" xfId="0" applyNumberFormat="1" applyFont="1" applyFill="1" applyBorder="1"/>
    <xf numFmtId="40" fontId="42" fillId="0" borderId="0" xfId="0" quotePrefix="1" applyNumberFormat="1" applyFont="1" applyFill="1" applyBorder="1"/>
    <xf numFmtId="0" fontId="21" fillId="0" borderId="0" xfId="0" applyFont="1"/>
    <xf numFmtId="40" fontId="42" fillId="0" borderId="0" xfId="0" applyNumberFormat="1" applyFont="1" applyFill="1" applyBorder="1"/>
    <xf numFmtId="174" fontId="42" fillId="0" borderId="0" xfId="0" applyNumberFormat="1" applyFont="1" applyFill="1" applyBorder="1"/>
    <xf numFmtId="37" fontId="21" fillId="0" borderId="0" xfId="0" applyNumberFormat="1" applyFont="1"/>
    <xf numFmtId="0" fontId="4" fillId="0" borderId="0" xfId="2" applyFont="1" applyAlignment="1">
      <alignment horizontal="left"/>
    </xf>
    <xf numFmtId="0" fontId="4" fillId="2" borderId="0" xfId="0" applyFont="1" applyFill="1" applyBorder="1" applyAlignment="1">
      <alignment horizontal="left"/>
    </xf>
    <xf numFmtId="166" fontId="4" fillId="2" borderId="0" xfId="6" applyFont="1" applyFill="1" applyBorder="1" applyAlignment="1">
      <alignment horizontal="right"/>
    </xf>
    <xf numFmtId="0" fontId="22" fillId="2" borderId="0" xfId="0" applyFont="1" applyFill="1" applyAlignment="1">
      <alignment horizontal="center"/>
    </xf>
    <xf numFmtId="0" fontId="4" fillId="2" borderId="0" xfId="0" applyFont="1" applyFill="1" applyAlignment="1">
      <alignment horizontal="right"/>
    </xf>
    <xf numFmtId="0" fontId="4" fillId="2" borderId="0" xfId="0" applyFont="1" applyFill="1" applyBorder="1" applyAlignment="1">
      <alignment horizontal="center"/>
    </xf>
    <xf numFmtId="0" fontId="4" fillId="2" borderId="0" xfId="0" applyFont="1" applyFill="1" applyAlignment="1">
      <alignment horizontal="center"/>
    </xf>
    <xf numFmtId="4" fontId="4" fillId="2" borderId="0" xfId="0" applyNumberFormat="1" applyFont="1" applyFill="1" applyAlignment="1">
      <alignment horizontal="left" indent="2"/>
    </xf>
    <xf numFmtId="0" fontId="9" fillId="0" borderId="3" xfId="0" applyFont="1" applyBorder="1" applyAlignment="1"/>
    <xf numFmtId="0" fontId="9" fillId="0" borderId="0" xfId="0" applyFont="1" applyBorder="1" applyAlignment="1"/>
    <xf numFmtId="0" fontId="9" fillId="0" borderId="0" xfId="0" applyFont="1" applyAlignment="1"/>
    <xf numFmtId="7" fontId="18" fillId="0" borderId="0" xfId="0" applyNumberFormat="1" applyFont="1" applyBorder="1" applyAlignment="1"/>
    <xf numFmtId="0" fontId="18" fillId="0" borderId="0" xfId="2" quotePrefix="1" applyFont="1"/>
    <xf numFmtId="0" fontId="18" fillId="0" borderId="0" xfId="2" applyFont="1"/>
    <xf numFmtId="0" fontId="63" fillId="0" borderId="0" xfId="0" applyFont="1" applyAlignment="1"/>
    <xf numFmtId="168" fontId="4" fillId="0" borderId="0" xfId="0" applyNumberFormat="1" applyFont="1" applyBorder="1" applyAlignment="1"/>
    <xf numFmtId="0" fontId="18" fillId="0" borderId="0" xfId="0" applyFont="1" applyFill="1"/>
    <xf numFmtId="0" fontId="4" fillId="0" borderId="0" xfId="0" applyFont="1" applyFill="1" applyAlignment="1">
      <alignment vertical="top"/>
    </xf>
    <xf numFmtId="0" fontId="4" fillId="0" borderId="0" xfId="0" applyFont="1" applyAlignment="1">
      <alignment vertical="top"/>
    </xf>
    <xf numFmtId="0" fontId="13" fillId="0" borderId="0" xfId="0" applyFont="1" applyAlignment="1">
      <alignment vertical="top"/>
    </xf>
    <xf numFmtId="0" fontId="13" fillId="0" borderId="0" xfId="0" applyFont="1" applyAlignment="1"/>
    <xf numFmtId="37" fontId="18" fillId="0" borderId="0" xfId="0" applyNumberFormat="1" applyFont="1"/>
    <xf numFmtId="170" fontId="13" fillId="0" borderId="0" xfId="0" applyNumberFormat="1" applyFont="1" applyBorder="1"/>
    <xf numFmtId="43" fontId="4" fillId="0" borderId="0" xfId="398" applyFont="1"/>
    <xf numFmtId="168" fontId="4" fillId="0" borderId="0" xfId="0" applyNumberFormat="1" applyFont="1"/>
    <xf numFmtId="0" fontId="4" fillId="0" borderId="0" xfId="0" applyFont="1" applyFill="1" applyAlignment="1"/>
    <xf numFmtId="0" fontId="4" fillId="0" borderId="0" xfId="2" applyFont="1" applyAlignment="1"/>
    <xf numFmtId="0" fontId="4" fillId="0" borderId="0" xfId="2" applyFont="1" applyAlignment="1"/>
    <xf numFmtId="0" fontId="4" fillId="0" borderId="0" xfId="2" applyFont="1" applyAlignment="1"/>
    <xf numFmtId="0" fontId="4" fillId="0" borderId="0" xfId="2" applyFont="1" applyAlignment="1"/>
    <xf numFmtId="0" fontId="4" fillId="0" borderId="0" xfId="2" applyFont="1" applyAlignment="1"/>
    <xf numFmtId="0" fontId="4" fillId="0" borderId="0" xfId="2" applyFont="1" applyAlignment="1"/>
    <xf numFmtId="0" fontId="4" fillId="0" borderId="0" xfId="2" applyFont="1" applyAlignment="1"/>
    <xf numFmtId="0" fontId="45" fillId="0" borderId="0" xfId="0" applyFont="1" applyFill="1" applyBorder="1" applyAlignment="1">
      <alignment horizontal="center"/>
    </xf>
    <xf numFmtId="0" fontId="46" fillId="2" borderId="9" xfId="0" applyFont="1" applyFill="1" applyBorder="1" applyAlignment="1">
      <alignment horizontal="left" vertical="top" wrapText="1"/>
    </xf>
    <xf numFmtId="0" fontId="46" fillId="2" borderId="5" xfId="0" applyFont="1" applyFill="1" applyBorder="1" applyAlignment="1">
      <alignment horizontal="left" vertical="top" wrapText="1"/>
    </xf>
    <xf numFmtId="0" fontId="46" fillId="2" borderId="10" xfId="0" applyFont="1" applyFill="1" applyBorder="1" applyAlignment="1">
      <alignment horizontal="left" vertical="top" wrapText="1"/>
    </xf>
    <xf numFmtId="0" fontId="46" fillId="2" borderId="11" xfId="0" applyFont="1" applyFill="1" applyBorder="1" applyAlignment="1">
      <alignment horizontal="left" vertical="top" wrapText="1"/>
    </xf>
    <xf numFmtId="0" fontId="46" fillId="2" borderId="0" xfId="0" applyFont="1" applyFill="1" applyBorder="1" applyAlignment="1">
      <alignment horizontal="left" vertical="top" wrapText="1"/>
    </xf>
    <xf numFmtId="0" fontId="46" fillId="2" borderId="12" xfId="0" applyFont="1" applyFill="1" applyBorder="1" applyAlignment="1">
      <alignment horizontal="left" vertical="top" wrapText="1"/>
    </xf>
    <xf numFmtId="0" fontId="46" fillId="2" borderId="23" xfId="0" applyFont="1" applyFill="1" applyBorder="1" applyAlignment="1">
      <alignment horizontal="left" vertical="top" wrapText="1"/>
    </xf>
    <xf numFmtId="0" fontId="46" fillId="2" borderId="15" xfId="0" applyFont="1" applyFill="1" applyBorder="1" applyAlignment="1">
      <alignment horizontal="left" vertical="top" wrapText="1"/>
    </xf>
    <xf numFmtId="0" fontId="46" fillId="2" borderId="24" xfId="0" applyFont="1" applyFill="1" applyBorder="1" applyAlignment="1">
      <alignment horizontal="left" vertical="top" wrapText="1"/>
    </xf>
    <xf numFmtId="0" fontId="46" fillId="2" borderId="25" xfId="0" applyFont="1" applyFill="1" applyBorder="1" applyAlignment="1">
      <alignment horizontal="left" vertical="top" wrapText="1"/>
    </xf>
    <xf numFmtId="0" fontId="46" fillId="2" borderId="26" xfId="0" applyFont="1" applyFill="1" applyBorder="1" applyAlignment="1">
      <alignment horizontal="left" vertical="top" wrapText="1"/>
    </xf>
    <xf numFmtId="0" fontId="46" fillId="2" borderId="27" xfId="0" applyFont="1" applyFill="1" applyBorder="1" applyAlignment="1">
      <alignment horizontal="left" vertical="top" wrapText="1"/>
    </xf>
    <xf numFmtId="0" fontId="46" fillId="2" borderId="13" xfId="0" applyFont="1" applyFill="1" applyBorder="1" applyAlignment="1">
      <alignment horizontal="left" vertical="top" wrapText="1"/>
    </xf>
    <xf numFmtId="0" fontId="46" fillId="2" borderId="4" xfId="0" applyFont="1" applyFill="1" applyBorder="1" applyAlignment="1">
      <alignment horizontal="left" vertical="top" wrapText="1"/>
    </xf>
    <xf numFmtId="0" fontId="46" fillId="2" borderId="14" xfId="0" applyFont="1" applyFill="1" applyBorder="1" applyAlignment="1">
      <alignment horizontal="left" vertical="top" wrapText="1"/>
    </xf>
    <xf numFmtId="43" fontId="39" fillId="0" borderId="0" xfId="0" applyNumberFormat="1" applyFont="1" applyAlignment="1">
      <alignment horizontal="center"/>
    </xf>
    <xf numFmtId="168" fontId="10" fillId="2" borderId="0" xfId="0" applyNumberFormat="1" applyFont="1" applyFill="1" applyAlignment="1">
      <alignment horizontal="left"/>
    </xf>
    <xf numFmtId="0" fontId="4" fillId="2" borderId="0" xfId="0" applyFont="1" applyFill="1" applyAlignment="1">
      <alignment horizontal="left" wrapText="1"/>
    </xf>
    <xf numFmtId="0" fontId="5" fillId="2" borderId="0" xfId="0" applyFont="1" applyFill="1" applyAlignment="1">
      <alignment horizontal="center" wrapText="1"/>
    </xf>
    <xf numFmtId="167" fontId="4" fillId="2" borderId="0" xfId="0" applyNumberFormat="1" applyFont="1" applyFill="1" applyAlignment="1">
      <alignment horizontal="center" wrapText="1"/>
    </xf>
    <xf numFmtId="0" fontId="6" fillId="2" borderId="3" xfId="0" applyFont="1" applyFill="1" applyBorder="1" applyAlignment="1">
      <alignment horizontal="left"/>
    </xf>
    <xf numFmtId="0" fontId="6" fillId="2" borderId="0" xfId="0" applyFont="1" applyFill="1" applyBorder="1" applyAlignment="1">
      <alignment horizontal="left"/>
    </xf>
    <xf numFmtId="0" fontId="6" fillId="2" borderId="0" xfId="0" applyFont="1" applyFill="1" applyAlignment="1">
      <alignment horizontal="left"/>
    </xf>
    <xf numFmtId="0" fontId="7" fillId="2" borderId="0" xfId="0" applyFont="1" applyFill="1" applyAlignment="1">
      <alignment horizontal="center"/>
    </xf>
    <xf numFmtId="0" fontId="4" fillId="2" borderId="0" xfId="0" applyFont="1" applyFill="1" applyAlignment="1">
      <alignment horizontal="center"/>
    </xf>
    <xf numFmtId="4" fontId="4" fillId="2" borderId="0" xfId="0" applyNumberFormat="1" applyFont="1" applyFill="1" applyAlignment="1">
      <alignment horizontal="left" indent="2"/>
    </xf>
    <xf numFmtId="4" fontId="9" fillId="2" borderId="0" xfId="0" applyNumberFormat="1" applyFont="1" applyFill="1" applyAlignment="1">
      <alignment horizontal="left"/>
    </xf>
    <xf numFmtId="4" fontId="4" fillId="2" borderId="0" xfId="0" applyNumberFormat="1" applyFont="1" applyFill="1" applyAlignment="1">
      <alignment horizontal="left"/>
    </xf>
    <xf numFmtId="0" fontId="4" fillId="2" borderId="4" xfId="0" quotePrefix="1" applyFont="1" applyFill="1" applyBorder="1" applyAlignment="1">
      <alignment horizontal="left" indent="2"/>
    </xf>
    <xf numFmtId="0" fontId="5" fillId="2" borderId="4" xfId="0" quotePrefix="1" applyFont="1" applyFill="1" applyBorder="1" applyAlignment="1">
      <alignment horizontal="center"/>
    </xf>
    <xf numFmtId="167" fontId="4" fillId="2" borderId="4" xfId="0" quotePrefix="1" applyNumberFormat="1" applyFont="1" applyFill="1" applyBorder="1" applyAlignment="1">
      <alignment horizontal="center"/>
    </xf>
    <xf numFmtId="0" fontId="4" fillId="2" borderId="5" xfId="0" applyFont="1" applyFill="1" applyBorder="1" applyAlignment="1">
      <alignment horizontal="left" indent="3"/>
    </xf>
    <xf numFmtId="2" fontId="11" fillId="2" borderId="1" xfId="0" applyNumberFormat="1" applyFont="1" applyFill="1" applyBorder="1" applyAlignment="1">
      <alignment horizontal="center"/>
    </xf>
    <xf numFmtId="167" fontId="4" fillId="2" borderId="5" xfId="0" applyNumberFormat="1" applyFont="1" applyFill="1" applyBorder="1" applyAlignment="1">
      <alignment horizontal="center"/>
    </xf>
    <xf numFmtId="0" fontId="10" fillId="2" borderId="0" xfId="0" applyFont="1" applyFill="1" applyAlignment="1">
      <alignment horizontal="center"/>
    </xf>
    <xf numFmtId="7" fontId="0" fillId="2" borderId="0" xfId="0" applyNumberFormat="1" applyFill="1" applyBorder="1" applyAlignment="1">
      <alignment horizontal="center"/>
    </xf>
    <xf numFmtId="0" fontId="10" fillId="2" borderId="0" xfId="0" applyFont="1" applyFill="1" applyAlignment="1">
      <alignment horizontal="left"/>
    </xf>
    <xf numFmtId="0" fontId="4" fillId="2" borderId="0" xfId="0" applyFont="1" applyFill="1" applyAlignment="1">
      <alignment horizontal="left" indent="3"/>
    </xf>
    <xf numFmtId="167" fontId="4" fillId="2" borderId="0" xfId="0" applyNumberFormat="1" applyFont="1" applyFill="1" applyAlignment="1">
      <alignment horizontal="center"/>
    </xf>
    <xf numFmtId="0" fontId="4" fillId="2" borderId="0" xfId="0" applyFont="1" applyFill="1" applyBorder="1" applyAlignment="1">
      <alignment horizontal="center"/>
    </xf>
    <xf numFmtId="2" fontId="4" fillId="2" borderId="7" xfId="0" applyNumberFormat="1" applyFont="1" applyFill="1" applyBorder="1" applyAlignment="1">
      <alignment horizontal="center"/>
    </xf>
    <xf numFmtId="2" fontId="4" fillId="2" borderId="0" xfId="0" applyNumberFormat="1" applyFont="1" applyFill="1" applyBorder="1" applyAlignment="1">
      <alignment horizontal="center"/>
    </xf>
    <xf numFmtId="2" fontId="4" fillId="2" borderId="8" xfId="0" applyNumberFormat="1" applyFont="1" applyFill="1" applyBorder="1" applyAlignment="1">
      <alignment horizontal="center"/>
    </xf>
    <xf numFmtId="0" fontId="4" fillId="2" borderId="0" xfId="0" applyFont="1" applyFill="1" applyBorder="1" applyAlignment="1">
      <alignment horizontal="left"/>
    </xf>
    <xf numFmtId="2" fontId="5" fillId="2" borderId="1" xfId="0" applyNumberFormat="1" applyFont="1" applyFill="1" applyBorder="1" applyAlignment="1">
      <alignment horizontal="center"/>
    </xf>
    <xf numFmtId="0" fontId="10" fillId="0" borderId="9" xfId="0" applyFont="1" applyBorder="1" applyAlignment="1">
      <alignment horizontal="left" vertical="center" wrapText="1"/>
    </xf>
    <xf numFmtId="0" fontId="10" fillId="0" borderId="10" xfId="0" applyFont="1" applyBorder="1" applyAlignment="1">
      <alignment horizontal="left" vertical="center" wrapText="1"/>
    </xf>
    <xf numFmtId="0" fontId="10" fillId="0" borderId="11" xfId="0" applyFont="1" applyBorder="1" applyAlignment="1">
      <alignment horizontal="left" vertical="center" wrapText="1"/>
    </xf>
    <xf numFmtId="0" fontId="10" fillId="0" borderId="12" xfId="0" applyFont="1" applyBorder="1" applyAlignment="1">
      <alignment horizontal="left" vertical="center" wrapText="1"/>
    </xf>
    <xf numFmtId="0" fontId="10" fillId="0" borderId="13" xfId="0" applyFont="1" applyBorder="1" applyAlignment="1">
      <alignment horizontal="left" vertical="center" wrapText="1"/>
    </xf>
    <xf numFmtId="0" fontId="10" fillId="0" borderId="14" xfId="0" applyFont="1" applyBorder="1" applyAlignment="1">
      <alignment horizontal="left" vertical="center" wrapText="1"/>
    </xf>
    <xf numFmtId="0" fontId="10" fillId="2" borderId="0" xfId="0" applyFont="1" applyFill="1" applyBorder="1" applyAlignment="1">
      <alignment horizontal="left" vertical="center" wrapText="1" indent="6"/>
    </xf>
    <xf numFmtId="4" fontId="11" fillId="2" borderId="1" xfId="0" applyNumberFormat="1" applyFont="1" applyFill="1" applyBorder="1" applyAlignment="1">
      <alignment horizontal="center" vertical="center" wrapText="1"/>
    </xf>
    <xf numFmtId="0" fontId="17" fillId="2" borderId="0" xfId="0" applyFont="1" applyFill="1" applyAlignment="1">
      <alignment horizontal="left"/>
    </xf>
    <xf numFmtId="0" fontId="18" fillId="2" borderId="0" xfId="0" applyFont="1" applyFill="1" applyAlignment="1">
      <alignment horizontal="center"/>
    </xf>
    <xf numFmtId="170" fontId="4" fillId="2" borderId="0" xfId="5" applyNumberFormat="1" applyFont="1" applyFill="1" applyBorder="1" applyAlignment="1">
      <alignment horizontal="left" indent="4"/>
    </xf>
    <xf numFmtId="0" fontId="4" fillId="2" borderId="0" xfId="0" applyFont="1" applyFill="1" applyAlignment="1">
      <alignment horizontal="left" indent="16"/>
    </xf>
    <xf numFmtId="0" fontId="19" fillId="2" borderId="0" xfId="0" applyFont="1" applyFill="1" applyAlignment="1">
      <alignment horizontal="center"/>
    </xf>
    <xf numFmtId="4" fontId="4" fillId="2" borderId="0" xfId="0" quotePrefix="1" applyNumberFormat="1" applyFont="1" applyFill="1" applyBorder="1" applyAlignment="1">
      <alignment horizontal="left" indent="7"/>
    </xf>
    <xf numFmtId="4" fontId="11" fillId="2" borderId="6" xfId="0" applyNumberFormat="1" applyFont="1" applyFill="1" applyBorder="1" applyAlignment="1">
      <alignment horizontal="center" vertical="center" wrapText="1"/>
    </xf>
    <xf numFmtId="0" fontId="4" fillId="2" borderId="0" xfId="0" applyFont="1" applyFill="1" applyAlignment="1">
      <alignment horizontal="right"/>
    </xf>
    <xf numFmtId="168" fontId="23" fillId="2" borderId="0" xfId="0" applyNumberFormat="1" applyFont="1" applyFill="1" applyBorder="1" applyAlignment="1">
      <alignment horizontal="center"/>
    </xf>
    <xf numFmtId="166" fontId="4" fillId="2" borderId="3" xfId="6" applyFont="1" applyFill="1" applyBorder="1" applyAlignment="1">
      <alignment horizontal="right"/>
    </xf>
    <xf numFmtId="166" fontId="4" fillId="2" borderId="0" xfId="6" applyFont="1" applyFill="1" applyBorder="1" applyAlignment="1">
      <alignment horizontal="right"/>
    </xf>
    <xf numFmtId="2" fontId="25" fillId="2" borderId="0" xfId="0" applyNumberFormat="1" applyFont="1" applyFill="1" applyBorder="1" applyAlignment="1">
      <alignment horizontal="left" indent="6"/>
    </xf>
    <xf numFmtId="0" fontId="4" fillId="2" borderId="0" xfId="0" applyFont="1" applyFill="1" applyAlignment="1">
      <alignment horizontal="left"/>
    </xf>
    <xf numFmtId="0" fontId="20" fillId="2" borderId="0" xfId="0" applyFont="1" applyFill="1" applyAlignment="1">
      <alignment horizontal="left" indent="6"/>
    </xf>
    <xf numFmtId="0" fontId="21" fillId="2" borderId="0" xfId="0" applyFont="1" applyFill="1" applyAlignment="1">
      <alignment horizontal="left"/>
    </xf>
    <xf numFmtId="0" fontId="4" fillId="2" borderId="0" xfId="0" applyFont="1" applyFill="1" applyBorder="1" applyAlignment="1">
      <alignment horizontal="right"/>
    </xf>
    <xf numFmtId="0" fontId="22" fillId="2" borderId="0" xfId="0" applyFont="1" applyFill="1" applyAlignment="1">
      <alignment horizontal="center"/>
    </xf>
    <xf numFmtId="4" fontId="22" fillId="2" borderId="0" xfId="0" applyNumberFormat="1" applyFont="1" applyFill="1" applyAlignment="1">
      <alignment horizontal="left"/>
    </xf>
    <xf numFmtId="0" fontId="4" fillId="2" borderId="0" xfId="0" applyFont="1" applyFill="1" applyAlignment="1">
      <alignment horizontal="left" indent="6"/>
    </xf>
    <xf numFmtId="167" fontId="4" fillId="2" borderId="0" xfId="0" applyNumberFormat="1" applyFont="1" applyFill="1" applyAlignment="1">
      <alignment horizontal="left"/>
    </xf>
    <xf numFmtId="4" fontId="22" fillId="2" borderId="0" xfId="0" applyNumberFormat="1" applyFont="1" applyFill="1" applyBorder="1" applyAlignment="1">
      <alignment horizontal="left" indent="2"/>
    </xf>
    <xf numFmtId="171" fontId="4" fillId="2" borderId="0" xfId="0" applyNumberFormat="1" applyFont="1" applyFill="1" applyAlignment="1">
      <alignment horizontal="left" indent="2"/>
    </xf>
    <xf numFmtId="3" fontId="4" fillId="2" borderId="4" xfId="0" applyNumberFormat="1" applyFont="1" applyFill="1" applyBorder="1" applyAlignment="1">
      <alignment horizontal="right"/>
    </xf>
    <xf numFmtId="0" fontId="4" fillId="2" borderId="0" xfId="0" applyFont="1" applyFill="1" applyBorder="1" applyAlignment="1">
      <alignment horizontal="left" indent="2"/>
    </xf>
    <xf numFmtId="0" fontId="4" fillId="2" borderId="0" xfId="0" applyFont="1" applyFill="1" applyBorder="1" applyAlignment="1">
      <alignment horizontal="left" indent="6"/>
    </xf>
    <xf numFmtId="3" fontId="4" fillId="2" borderId="0" xfId="0" applyNumberFormat="1" applyFont="1" applyFill="1" applyBorder="1" applyAlignment="1">
      <alignment horizontal="left"/>
    </xf>
    <xf numFmtId="3" fontId="4" fillId="2" borderId="1" xfId="0" applyNumberFormat="1" applyFont="1" applyFill="1" applyBorder="1" applyAlignment="1">
      <alignment horizontal="right"/>
    </xf>
    <xf numFmtId="0" fontId="11" fillId="2" borderId="0" xfId="0" applyFont="1" applyFill="1" applyAlignment="1">
      <alignment horizontal="right"/>
    </xf>
    <xf numFmtId="0" fontId="4" fillId="2" borderId="0" xfId="0" applyFont="1" applyFill="1" applyAlignment="1">
      <alignment horizontal="left" indent="2"/>
    </xf>
    <xf numFmtId="38" fontId="4" fillId="2" borderId="1" xfId="0" applyNumberFormat="1" applyFont="1" applyFill="1" applyBorder="1" applyAlignment="1">
      <alignment horizontal="right"/>
    </xf>
    <xf numFmtId="0" fontId="4" fillId="0" borderId="0" xfId="2" applyFont="1" applyAlignment="1">
      <alignment horizontal="left"/>
    </xf>
    <xf numFmtId="0" fontId="9" fillId="2" borderId="3" xfId="0" applyFont="1" applyFill="1" applyBorder="1" applyAlignment="1">
      <alignment horizontal="left"/>
    </xf>
    <xf numFmtId="0" fontId="9" fillId="2" borderId="0" xfId="0" applyFont="1" applyFill="1" applyBorder="1" applyAlignment="1">
      <alignment horizontal="left"/>
    </xf>
    <xf numFmtId="0" fontId="9" fillId="2" borderId="0" xfId="0" applyFont="1" applyFill="1" applyAlignment="1">
      <alignment horizontal="left"/>
    </xf>
    <xf numFmtId="7" fontId="18" fillId="2" borderId="0" xfId="0" applyNumberFormat="1" applyFont="1" applyFill="1" applyBorder="1" applyAlignment="1">
      <alignment horizontal="center"/>
    </xf>
    <xf numFmtId="0" fontId="63" fillId="2" borderId="0" xfId="0" applyFont="1" applyFill="1" applyAlignment="1">
      <alignment horizontal="center"/>
    </xf>
    <xf numFmtId="168" fontId="4" fillId="2" borderId="0" xfId="0" applyNumberFormat="1" applyFont="1" applyFill="1" applyBorder="1" applyAlignment="1">
      <alignment horizontal="center"/>
    </xf>
    <xf numFmtId="0" fontId="18" fillId="2" borderId="0" xfId="0" applyFont="1" applyFill="1" applyAlignment="1">
      <alignment horizontal="left"/>
    </xf>
    <xf numFmtId="168" fontId="42" fillId="2" borderId="0" xfId="0" applyNumberFormat="1" applyFont="1" applyFill="1" applyAlignment="1">
      <alignment horizontal="left"/>
    </xf>
    <xf numFmtId="0" fontId="23" fillId="2" borderId="0" xfId="0" applyFont="1" applyFill="1" applyAlignment="1">
      <alignment horizontal="left" wrapText="1"/>
    </xf>
    <xf numFmtId="0" fontId="50" fillId="2" borderId="0" xfId="0" applyFont="1" applyFill="1" applyAlignment="1">
      <alignment horizontal="center" wrapText="1"/>
    </xf>
    <xf numFmtId="167" fontId="23" fillId="2" borderId="0" xfId="0" applyNumberFormat="1" applyFont="1" applyFill="1" applyAlignment="1">
      <alignment horizontal="center" wrapText="1"/>
    </xf>
    <xf numFmtId="0" fontId="23" fillId="2" borderId="0" xfId="0" applyFont="1" applyFill="1" applyAlignment="1">
      <alignment horizontal="center"/>
    </xf>
    <xf numFmtId="4" fontId="23" fillId="2" borderId="0" xfId="0" applyNumberFormat="1" applyFont="1" applyFill="1" applyAlignment="1">
      <alignment horizontal="left" indent="2"/>
    </xf>
    <xf numFmtId="4" fontId="6" fillId="2" borderId="0" xfId="0" applyNumberFormat="1" applyFont="1" applyFill="1" applyAlignment="1">
      <alignment horizontal="left"/>
    </xf>
    <xf numFmtId="4" fontId="23" fillId="2" borderId="0" xfId="0" applyNumberFormat="1" applyFont="1" applyFill="1" applyAlignment="1">
      <alignment horizontal="left"/>
    </xf>
    <xf numFmtId="0" fontId="23" fillId="2" borderId="4" xfId="0" quotePrefix="1" applyFont="1" applyFill="1" applyBorder="1" applyAlignment="1">
      <alignment horizontal="left" indent="2"/>
    </xf>
    <xf numFmtId="0" fontId="50" fillId="2" borderId="4" xfId="0" quotePrefix="1" applyFont="1" applyFill="1" applyBorder="1" applyAlignment="1">
      <alignment horizontal="center"/>
    </xf>
    <xf numFmtId="167" fontId="23" fillId="2" borderId="4" xfId="0" quotePrefix="1" applyNumberFormat="1" applyFont="1" applyFill="1" applyBorder="1" applyAlignment="1">
      <alignment horizontal="center"/>
    </xf>
    <xf numFmtId="0" fontId="23" fillId="2" borderId="5" xfId="0" applyFont="1" applyFill="1" applyBorder="1" applyAlignment="1">
      <alignment horizontal="left" indent="3"/>
    </xf>
    <xf numFmtId="2" fontId="51" fillId="2" borderId="1" xfId="0" applyNumberFormat="1" applyFont="1" applyFill="1" applyBorder="1" applyAlignment="1">
      <alignment horizontal="center"/>
    </xf>
    <xf numFmtId="167" fontId="23" fillId="2" borderId="5" xfId="0" applyNumberFormat="1" applyFont="1" applyFill="1" applyBorder="1" applyAlignment="1">
      <alignment horizontal="center"/>
    </xf>
    <xf numFmtId="0" fontId="42" fillId="2" borderId="0" xfId="0" applyFont="1" applyFill="1" applyAlignment="1">
      <alignment horizontal="center"/>
    </xf>
    <xf numFmtId="7" fontId="21" fillId="2" borderId="0" xfId="0" applyNumberFormat="1" applyFont="1" applyFill="1" applyBorder="1" applyAlignment="1">
      <alignment horizontal="center"/>
    </xf>
    <xf numFmtId="0" fontId="42" fillId="2" borderId="0" xfId="0" applyFont="1" applyFill="1" applyAlignment="1">
      <alignment horizontal="left"/>
    </xf>
    <xf numFmtId="0" fontId="23" fillId="2" borderId="0" xfId="0" applyFont="1" applyFill="1" applyAlignment="1">
      <alignment horizontal="left" indent="3"/>
    </xf>
    <xf numFmtId="167" fontId="23" fillId="2" borderId="0" xfId="0" applyNumberFormat="1" applyFont="1" applyFill="1" applyAlignment="1">
      <alignment horizontal="center"/>
    </xf>
    <xf numFmtId="0" fontId="23" fillId="2" borderId="0" xfId="0" applyFont="1" applyFill="1" applyBorder="1" applyAlignment="1">
      <alignment horizontal="center"/>
    </xf>
    <xf numFmtId="2" fontId="23" fillId="2" borderId="7" xfId="0" applyNumberFormat="1" applyFont="1" applyFill="1" applyBorder="1" applyAlignment="1">
      <alignment horizontal="center"/>
    </xf>
    <xf numFmtId="2" fontId="23" fillId="2" borderId="0" xfId="0" applyNumberFormat="1" applyFont="1" applyFill="1" applyBorder="1" applyAlignment="1">
      <alignment horizontal="center"/>
    </xf>
    <xf numFmtId="2" fontId="23" fillId="2" borderId="8" xfId="0" applyNumberFormat="1" applyFont="1" applyFill="1" applyBorder="1" applyAlignment="1">
      <alignment horizontal="center"/>
    </xf>
    <xf numFmtId="0" fontId="23" fillId="2" borderId="0" xfId="0" applyFont="1" applyFill="1" applyBorder="1" applyAlignment="1">
      <alignment horizontal="left"/>
    </xf>
    <xf numFmtId="2" fontId="50" fillId="2" borderId="1" xfId="0" applyNumberFormat="1" applyFont="1" applyFill="1" applyBorder="1" applyAlignment="1">
      <alignment horizontal="center"/>
    </xf>
    <xf numFmtId="0" fontId="42" fillId="0" borderId="9" xfId="0" applyFont="1" applyBorder="1" applyAlignment="1">
      <alignment horizontal="left" vertical="center" wrapText="1"/>
    </xf>
    <xf numFmtId="0" fontId="42" fillId="0" borderId="10" xfId="0" applyFont="1" applyBorder="1" applyAlignment="1">
      <alignment horizontal="left" vertical="center" wrapText="1"/>
    </xf>
    <xf numFmtId="0" fontId="42" fillId="0" borderId="11" xfId="0" applyFont="1" applyBorder="1" applyAlignment="1">
      <alignment horizontal="left" vertical="center" wrapText="1"/>
    </xf>
    <xf numFmtId="0" fontId="42" fillId="0" borderId="12" xfId="0" applyFont="1" applyBorder="1" applyAlignment="1">
      <alignment horizontal="left" vertical="center" wrapText="1"/>
    </xf>
    <xf numFmtId="0" fontId="42" fillId="0" borderId="13" xfId="0" applyFont="1" applyBorder="1" applyAlignment="1">
      <alignment horizontal="left" vertical="center" wrapText="1"/>
    </xf>
    <xf numFmtId="0" fontId="42" fillId="0" borderId="14" xfId="0" applyFont="1" applyBorder="1" applyAlignment="1">
      <alignment horizontal="left" vertical="center" wrapText="1"/>
    </xf>
    <xf numFmtId="0" fontId="42" fillId="2" borderId="0" xfId="0" applyFont="1" applyFill="1" applyBorder="1" applyAlignment="1">
      <alignment horizontal="left" vertical="center" wrapText="1" indent="6"/>
    </xf>
    <xf numFmtId="4" fontId="51" fillId="2" borderId="1" xfId="0" applyNumberFormat="1" applyFont="1" applyFill="1" applyBorder="1" applyAlignment="1">
      <alignment horizontal="center" vertical="center" wrapText="1"/>
    </xf>
    <xf numFmtId="0" fontId="57" fillId="2" borderId="0" xfId="0" applyFont="1" applyFill="1" applyAlignment="1">
      <alignment horizontal="left"/>
    </xf>
    <xf numFmtId="0" fontId="21" fillId="2" borderId="0" xfId="0" applyFont="1" applyFill="1" applyAlignment="1">
      <alignment horizontal="center"/>
    </xf>
    <xf numFmtId="170" fontId="23" fillId="2" borderId="0" xfId="5" applyNumberFormat="1" applyFont="1" applyFill="1" applyBorder="1" applyAlignment="1">
      <alignment horizontal="left" indent="4"/>
    </xf>
    <xf numFmtId="0" fontId="23" fillId="2" borderId="0" xfId="0" applyFont="1" applyFill="1" applyAlignment="1">
      <alignment horizontal="left" indent="16"/>
    </xf>
    <xf numFmtId="4" fontId="23" fillId="2" borderId="0" xfId="0" quotePrefix="1" applyNumberFormat="1" applyFont="1" applyFill="1" applyBorder="1" applyAlignment="1">
      <alignment horizontal="left" indent="7"/>
    </xf>
    <xf numFmtId="4" fontId="51" fillId="2" borderId="6" xfId="0" applyNumberFormat="1" applyFont="1" applyFill="1" applyBorder="1" applyAlignment="1">
      <alignment horizontal="center" vertical="center" wrapText="1"/>
    </xf>
    <xf numFmtId="0" fontId="23" fillId="2" borderId="0" xfId="0" applyFont="1" applyFill="1" applyAlignment="1">
      <alignment horizontal="right"/>
    </xf>
    <xf numFmtId="166" fontId="23" fillId="2" borderId="3" xfId="6" applyFont="1" applyFill="1" applyBorder="1" applyAlignment="1">
      <alignment horizontal="right"/>
    </xf>
    <xf numFmtId="166" fontId="23" fillId="2" borderId="0" xfId="6" applyFont="1" applyFill="1" applyBorder="1" applyAlignment="1">
      <alignment horizontal="right"/>
    </xf>
    <xf numFmtId="2" fontId="61" fillId="2" borderId="0" xfId="0" applyNumberFormat="1" applyFont="1" applyFill="1" applyBorder="1" applyAlignment="1">
      <alignment horizontal="left" indent="6"/>
    </xf>
    <xf numFmtId="0" fontId="23" fillId="2" borderId="0" xfId="0" applyFont="1" applyFill="1" applyAlignment="1">
      <alignment horizontal="left"/>
    </xf>
    <xf numFmtId="0" fontId="58" fillId="2" borderId="0" xfId="0" applyFont="1" applyFill="1" applyAlignment="1">
      <alignment horizontal="left" indent="6"/>
    </xf>
    <xf numFmtId="0" fontId="23" fillId="2" borderId="0" xfId="0" applyFont="1" applyFill="1" applyBorder="1" applyAlignment="1">
      <alignment horizontal="right"/>
    </xf>
    <xf numFmtId="0" fontId="59" fillId="2" borderId="0" xfId="0" applyFont="1" applyFill="1" applyAlignment="1">
      <alignment horizontal="center"/>
    </xf>
    <xf numFmtId="4" fontId="59" fillId="2" borderId="0" xfId="0" applyNumberFormat="1" applyFont="1" applyFill="1" applyAlignment="1">
      <alignment horizontal="left"/>
    </xf>
    <xf numFmtId="0" fontId="23" fillId="2" borderId="0" xfId="0" applyFont="1" applyFill="1" applyAlignment="1">
      <alignment horizontal="left" indent="6"/>
    </xf>
    <xf numFmtId="167" fontId="23" fillId="2" borderId="0" xfId="0" applyNumberFormat="1" applyFont="1" applyFill="1" applyAlignment="1">
      <alignment horizontal="left"/>
    </xf>
    <xf numFmtId="4" fontId="59" fillId="2" borderId="0" xfId="0" applyNumberFormat="1" applyFont="1" applyFill="1" applyBorder="1" applyAlignment="1">
      <alignment horizontal="left" indent="2"/>
    </xf>
    <xf numFmtId="171" fontId="23" fillId="2" borderId="0" xfId="0" applyNumberFormat="1" applyFont="1" applyFill="1" applyAlignment="1">
      <alignment horizontal="left" indent="2"/>
    </xf>
    <xf numFmtId="3" fontId="23" fillId="2" borderId="4" xfId="0" applyNumberFormat="1" applyFont="1" applyFill="1" applyBorder="1" applyAlignment="1">
      <alignment horizontal="right"/>
    </xf>
    <xf numFmtId="0" fontId="23" fillId="2" borderId="0" xfId="0" applyFont="1" applyFill="1" applyBorder="1" applyAlignment="1">
      <alignment horizontal="left" indent="2"/>
    </xf>
    <xf numFmtId="0" fontId="23" fillId="2" borderId="0" xfId="0" applyFont="1" applyFill="1" applyBorder="1" applyAlignment="1">
      <alignment horizontal="left" indent="6"/>
    </xf>
    <xf numFmtId="3" fontId="23" fillId="2" borderId="0" xfId="0" applyNumberFormat="1" applyFont="1" applyFill="1" applyBorder="1" applyAlignment="1">
      <alignment horizontal="left"/>
    </xf>
    <xf numFmtId="3" fontId="23" fillId="2" borderId="1" xfId="0" applyNumberFormat="1" applyFont="1" applyFill="1" applyBorder="1" applyAlignment="1">
      <alignment horizontal="right"/>
    </xf>
    <xf numFmtId="0" fontId="51" fillId="2" borderId="0" xfId="0" applyFont="1" applyFill="1" applyAlignment="1">
      <alignment horizontal="right"/>
    </xf>
    <xf numFmtId="0" fontId="23" fillId="2" borderId="0" xfId="0" applyFont="1" applyFill="1" applyAlignment="1">
      <alignment horizontal="left" indent="2"/>
    </xf>
    <xf numFmtId="38" fontId="23" fillId="2" borderId="1" xfId="0" applyNumberFormat="1" applyFont="1" applyFill="1" applyBorder="1" applyAlignment="1">
      <alignment horizontal="right"/>
    </xf>
    <xf numFmtId="0" fontId="23" fillId="0" borderId="0" xfId="2" applyFont="1" applyAlignment="1">
      <alignment horizontal="left"/>
    </xf>
    <xf numFmtId="0" fontId="8" fillId="0" borderId="0" xfId="7" applyFont="1" applyAlignment="1">
      <alignment horizontal="center"/>
    </xf>
    <xf numFmtId="0" fontId="4" fillId="0" borderId="0" xfId="7" applyFont="1" applyAlignment="1">
      <alignment horizontal="center"/>
    </xf>
  </cellXfs>
  <cellStyles count="1622">
    <cellStyle name="20% - Accent1" xfId="416" builtinId="30" customBuiltin="1"/>
    <cellStyle name="20% - Accent1 2" xfId="11"/>
    <cellStyle name="20% - Accent1 2 2" xfId="12"/>
    <cellStyle name="20% - Accent1 2 2 2" xfId="13"/>
    <cellStyle name="20% - Accent1 2 2 2 2" xfId="14"/>
    <cellStyle name="20% - Accent1 2 2 2 2 2" xfId="15"/>
    <cellStyle name="20% - Accent1 2 2 2 2 2 2" xfId="449"/>
    <cellStyle name="20% - Accent1 2 2 2 2 2 3" xfId="1308"/>
    <cellStyle name="20% - Accent1 2 2 2 2 2 4" xfId="448"/>
    <cellStyle name="20% - Accent1 2 2 2 2 3" xfId="450"/>
    <cellStyle name="20% - Accent1 2 2 2 2 4" xfId="1307"/>
    <cellStyle name="20% - Accent1 2 2 2 2 5" xfId="447"/>
    <cellStyle name="20% - Accent1 2 2 2 3" xfId="16"/>
    <cellStyle name="20% - Accent1 2 2 2 3 2" xfId="452"/>
    <cellStyle name="20% - Accent1 2 2 2 3 3" xfId="1309"/>
    <cellStyle name="20% - Accent1 2 2 2 3 4" xfId="451"/>
    <cellStyle name="20% - Accent1 2 2 2 4" xfId="17"/>
    <cellStyle name="20% - Accent1 2 2 2 4 2" xfId="454"/>
    <cellStyle name="20% - Accent1 2 2 2 4 3" xfId="1310"/>
    <cellStyle name="20% - Accent1 2 2 2 4 4" xfId="453"/>
    <cellStyle name="20% - Accent1 2 2 2 5" xfId="455"/>
    <cellStyle name="20% - Accent1 2 2 2 6" xfId="1290"/>
    <cellStyle name="20% - Accent1 2 2 2 7" xfId="446"/>
    <cellStyle name="20% - Accent1 2 2 3" xfId="18"/>
    <cellStyle name="20% - Accent1 2 2 3 2" xfId="19"/>
    <cellStyle name="20% - Accent1 2 2 3 2 2" xfId="458"/>
    <cellStyle name="20% - Accent1 2 2 3 2 3" xfId="1312"/>
    <cellStyle name="20% - Accent1 2 2 3 2 4" xfId="457"/>
    <cellStyle name="20% - Accent1 2 2 3 3" xfId="459"/>
    <cellStyle name="20% - Accent1 2 2 3 4" xfId="1311"/>
    <cellStyle name="20% - Accent1 2 2 3 5" xfId="456"/>
    <cellStyle name="20% - Accent1 2 2 4" xfId="20"/>
    <cellStyle name="20% - Accent1 2 2 4 2" xfId="461"/>
    <cellStyle name="20% - Accent1 2 2 4 3" xfId="1313"/>
    <cellStyle name="20% - Accent1 2 2 4 4" xfId="460"/>
    <cellStyle name="20% - Accent1 2 2 5" xfId="21"/>
    <cellStyle name="20% - Accent1 2 2 5 2" xfId="463"/>
    <cellStyle name="20% - Accent1 2 2 5 3" xfId="1314"/>
    <cellStyle name="20% - Accent1 2 2 5 4" xfId="462"/>
    <cellStyle name="20% - Accent1 2 2 6" xfId="464"/>
    <cellStyle name="20% - Accent1 2 2 7" xfId="1252"/>
    <cellStyle name="20% - Accent1 2 2 8" xfId="445"/>
    <cellStyle name="20% - Accent1 2 3" xfId="22"/>
    <cellStyle name="20% - Accent1 2 3 2" xfId="23"/>
    <cellStyle name="20% - Accent1 2 3 2 2" xfId="24"/>
    <cellStyle name="20% - Accent1 2 3 2 2 2" xfId="468"/>
    <cellStyle name="20% - Accent1 2 3 2 2 3" xfId="1316"/>
    <cellStyle name="20% - Accent1 2 3 2 2 4" xfId="467"/>
    <cellStyle name="20% - Accent1 2 3 2 3" xfId="469"/>
    <cellStyle name="20% - Accent1 2 3 2 4" xfId="1315"/>
    <cellStyle name="20% - Accent1 2 3 2 5" xfId="466"/>
    <cellStyle name="20% - Accent1 2 3 3" xfId="25"/>
    <cellStyle name="20% - Accent1 2 3 3 2" xfId="471"/>
    <cellStyle name="20% - Accent1 2 3 3 3" xfId="1317"/>
    <cellStyle name="20% - Accent1 2 3 3 4" xfId="470"/>
    <cellStyle name="20% - Accent1 2 3 4" xfId="26"/>
    <cellStyle name="20% - Accent1 2 3 4 2" xfId="473"/>
    <cellStyle name="20% - Accent1 2 3 4 3" xfId="1318"/>
    <cellStyle name="20% - Accent1 2 3 4 4" xfId="472"/>
    <cellStyle name="20% - Accent1 2 3 5" xfId="474"/>
    <cellStyle name="20% - Accent1 2 3 6" xfId="1271"/>
    <cellStyle name="20% - Accent1 2 3 7" xfId="465"/>
    <cellStyle name="20% - Accent1 2 4" xfId="27"/>
    <cellStyle name="20% - Accent1 2 4 2" xfId="28"/>
    <cellStyle name="20% - Accent1 2 4 2 2" xfId="477"/>
    <cellStyle name="20% - Accent1 2 4 2 3" xfId="1320"/>
    <cellStyle name="20% - Accent1 2 4 2 4" xfId="476"/>
    <cellStyle name="20% - Accent1 2 4 3" xfId="478"/>
    <cellStyle name="20% - Accent1 2 4 4" xfId="1319"/>
    <cellStyle name="20% - Accent1 2 4 5" xfId="475"/>
    <cellStyle name="20% - Accent1 2 5" xfId="29"/>
    <cellStyle name="20% - Accent1 2 5 2" xfId="480"/>
    <cellStyle name="20% - Accent1 2 5 3" xfId="1321"/>
    <cellStyle name="20% - Accent1 2 5 4" xfId="479"/>
    <cellStyle name="20% - Accent1 2 6" xfId="30"/>
    <cellStyle name="20% - Accent1 2 6 2" xfId="482"/>
    <cellStyle name="20% - Accent1 2 6 3" xfId="1322"/>
    <cellStyle name="20% - Accent1 2 6 4" xfId="481"/>
    <cellStyle name="20% - Accent1 2 7" xfId="483"/>
    <cellStyle name="20% - Accent1 2 8" xfId="1233"/>
    <cellStyle name="20% - Accent1 2 9" xfId="444"/>
    <cellStyle name="20% - Accent2" xfId="420" builtinId="34" customBuiltin="1"/>
    <cellStyle name="20% - Accent2 2" xfId="31"/>
    <cellStyle name="20% - Accent2 2 2" xfId="32"/>
    <cellStyle name="20% - Accent2 2 2 2" xfId="33"/>
    <cellStyle name="20% - Accent2 2 2 2 2" xfId="34"/>
    <cellStyle name="20% - Accent2 2 2 2 2 2" xfId="35"/>
    <cellStyle name="20% - Accent2 2 2 2 2 2 2" xfId="489"/>
    <cellStyle name="20% - Accent2 2 2 2 2 2 3" xfId="1324"/>
    <cellStyle name="20% - Accent2 2 2 2 2 2 4" xfId="488"/>
    <cellStyle name="20% - Accent2 2 2 2 2 3" xfId="490"/>
    <cellStyle name="20% - Accent2 2 2 2 2 4" xfId="1323"/>
    <cellStyle name="20% - Accent2 2 2 2 2 5" xfId="487"/>
    <cellStyle name="20% - Accent2 2 2 2 3" xfId="36"/>
    <cellStyle name="20% - Accent2 2 2 2 3 2" xfId="492"/>
    <cellStyle name="20% - Accent2 2 2 2 3 3" xfId="1325"/>
    <cellStyle name="20% - Accent2 2 2 2 3 4" xfId="491"/>
    <cellStyle name="20% - Accent2 2 2 2 4" xfId="37"/>
    <cellStyle name="20% - Accent2 2 2 2 4 2" xfId="494"/>
    <cellStyle name="20% - Accent2 2 2 2 4 3" xfId="1326"/>
    <cellStyle name="20% - Accent2 2 2 2 4 4" xfId="493"/>
    <cellStyle name="20% - Accent2 2 2 2 5" xfId="495"/>
    <cellStyle name="20% - Accent2 2 2 2 6" xfId="1291"/>
    <cellStyle name="20% - Accent2 2 2 2 7" xfId="486"/>
    <cellStyle name="20% - Accent2 2 2 3" xfId="38"/>
    <cellStyle name="20% - Accent2 2 2 3 2" xfId="39"/>
    <cellStyle name="20% - Accent2 2 2 3 2 2" xfId="498"/>
    <cellStyle name="20% - Accent2 2 2 3 2 3" xfId="1328"/>
    <cellStyle name="20% - Accent2 2 2 3 2 4" xfId="497"/>
    <cellStyle name="20% - Accent2 2 2 3 3" xfId="499"/>
    <cellStyle name="20% - Accent2 2 2 3 4" xfId="1327"/>
    <cellStyle name="20% - Accent2 2 2 3 5" xfId="496"/>
    <cellStyle name="20% - Accent2 2 2 4" xfId="40"/>
    <cellStyle name="20% - Accent2 2 2 4 2" xfId="501"/>
    <cellStyle name="20% - Accent2 2 2 4 3" xfId="1329"/>
    <cellStyle name="20% - Accent2 2 2 4 4" xfId="500"/>
    <cellStyle name="20% - Accent2 2 2 5" xfId="41"/>
    <cellStyle name="20% - Accent2 2 2 5 2" xfId="503"/>
    <cellStyle name="20% - Accent2 2 2 5 3" xfId="1330"/>
    <cellStyle name="20% - Accent2 2 2 5 4" xfId="502"/>
    <cellStyle name="20% - Accent2 2 2 6" xfId="504"/>
    <cellStyle name="20% - Accent2 2 2 7" xfId="1253"/>
    <cellStyle name="20% - Accent2 2 2 8" xfId="485"/>
    <cellStyle name="20% - Accent2 2 3" xfId="42"/>
    <cellStyle name="20% - Accent2 2 3 2" xfId="43"/>
    <cellStyle name="20% - Accent2 2 3 2 2" xfId="44"/>
    <cellStyle name="20% - Accent2 2 3 2 2 2" xfId="508"/>
    <cellStyle name="20% - Accent2 2 3 2 2 3" xfId="1332"/>
    <cellStyle name="20% - Accent2 2 3 2 2 4" xfId="507"/>
    <cellStyle name="20% - Accent2 2 3 2 3" xfId="509"/>
    <cellStyle name="20% - Accent2 2 3 2 4" xfId="1331"/>
    <cellStyle name="20% - Accent2 2 3 2 5" xfId="506"/>
    <cellStyle name="20% - Accent2 2 3 3" xfId="45"/>
    <cellStyle name="20% - Accent2 2 3 3 2" xfId="511"/>
    <cellStyle name="20% - Accent2 2 3 3 3" xfId="1333"/>
    <cellStyle name="20% - Accent2 2 3 3 4" xfId="510"/>
    <cellStyle name="20% - Accent2 2 3 4" xfId="46"/>
    <cellStyle name="20% - Accent2 2 3 4 2" xfId="513"/>
    <cellStyle name="20% - Accent2 2 3 4 3" xfId="1334"/>
    <cellStyle name="20% - Accent2 2 3 4 4" xfId="512"/>
    <cellStyle name="20% - Accent2 2 3 5" xfId="514"/>
    <cellStyle name="20% - Accent2 2 3 6" xfId="1272"/>
    <cellStyle name="20% - Accent2 2 3 7" xfId="505"/>
    <cellStyle name="20% - Accent2 2 4" xfId="47"/>
    <cellStyle name="20% - Accent2 2 4 2" xfId="48"/>
    <cellStyle name="20% - Accent2 2 4 2 2" xfId="517"/>
    <cellStyle name="20% - Accent2 2 4 2 3" xfId="1336"/>
    <cellStyle name="20% - Accent2 2 4 2 4" xfId="516"/>
    <cellStyle name="20% - Accent2 2 4 3" xfId="518"/>
    <cellStyle name="20% - Accent2 2 4 4" xfId="1335"/>
    <cellStyle name="20% - Accent2 2 4 5" xfId="515"/>
    <cellStyle name="20% - Accent2 2 5" xfId="49"/>
    <cellStyle name="20% - Accent2 2 5 2" xfId="520"/>
    <cellStyle name="20% - Accent2 2 5 3" xfId="1337"/>
    <cellStyle name="20% - Accent2 2 5 4" xfId="519"/>
    <cellStyle name="20% - Accent2 2 6" xfId="50"/>
    <cellStyle name="20% - Accent2 2 6 2" xfId="522"/>
    <cellStyle name="20% - Accent2 2 6 3" xfId="1338"/>
    <cellStyle name="20% - Accent2 2 6 4" xfId="521"/>
    <cellStyle name="20% - Accent2 2 7" xfId="523"/>
    <cellStyle name="20% - Accent2 2 8" xfId="1234"/>
    <cellStyle name="20% - Accent2 2 9" xfId="484"/>
    <cellStyle name="20% - Accent3" xfId="424" builtinId="38" customBuiltin="1"/>
    <cellStyle name="20% - Accent3 2" xfId="51"/>
    <cellStyle name="20% - Accent3 2 2" xfId="52"/>
    <cellStyle name="20% - Accent3 2 2 2" xfId="53"/>
    <cellStyle name="20% - Accent3 2 2 2 2" xfId="54"/>
    <cellStyle name="20% - Accent3 2 2 2 2 2" xfId="55"/>
    <cellStyle name="20% - Accent3 2 2 2 2 2 2" xfId="529"/>
    <cellStyle name="20% - Accent3 2 2 2 2 2 3" xfId="1340"/>
    <cellStyle name="20% - Accent3 2 2 2 2 2 4" xfId="528"/>
    <cellStyle name="20% - Accent3 2 2 2 2 3" xfId="530"/>
    <cellStyle name="20% - Accent3 2 2 2 2 4" xfId="1339"/>
    <cellStyle name="20% - Accent3 2 2 2 2 5" xfId="527"/>
    <cellStyle name="20% - Accent3 2 2 2 3" xfId="56"/>
    <cellStyle name="20% - Accent3 2 2 2 3 2" xfId="532"/>
    <cellStyle name="20% - Accent3 2 2 2 3 3" xfId="1341"/>
    <cellStyle name="20% - Accent3 2 2 2 3 4" xfId="531"/>
    <cellStyle name="20% - Accent3 2 2 2 4" xfId="57"/>
    <cellStyle name="20% - Accent3 2 2 2 4 2" xfId="534"/>
    <cellStyle name="20% - Accent3 2 2 2 4 3" xfId="1342"/>
    <cellStyle name="20% - Accent3 2 2 2 4 4" xfId="533"/>
    <cellStyle name="20% - Accent3 2 2 2 5" xfId="535"/>
    <cellStyle name="20% - Accent3 2 2 2 6" xfId="1292"/>
    <cellStyle name="20% - Accent3 2 2 2 7" xfId="526"/>
    <cellStyle name="20% - Accent3 2 2 3" xfId="58"/>
    <cellStyle name="20% - Accent3 2 2 3 2" xfId="59"/>
    <cellStyle name="20% - Accent3 2 2 3 2 2" xfId="538"/>
    <cellStyle name="20% - Accent3 2 2 3 2 3" xfId="1344"/>
    <cellStyle name="20% - Accent3 2 2 3 2 4" xfId="537"/>
    <cellStyle name="20% - Accent3 2 2 3 3" xfId="539"/>
    <cellStyle name="20% - Accent3 2 2 3 4" xfId="1343"/>
    <cellStyle name="20% - Accent3 2 2 3 5" xfId="536"/>
    <cellStyle name="20% - Accent3 2 2 4" xfId="60"/>
    <cellStyle name="20% - Accent3 2 2 4 2" xfId="541"/>
    <cellStyle name="20% - Accent3 2 2 4 3" xfId="1345"/>
    <cellStyle name="20% - Accent3 2 2 4 4" xfId="540"/>
    <cellStyle name="20% - Accent3 2 2 5" xfId="61"/>
    <cellStyle name="20% - Accent3 2 2 5 2" xfId="543"/>
    <cellStyle name="20% - Accent3 2 2 5 3" xfId="1346"/>
    <cellStyle name="20% - Accent3 2 2 5 4" xfId="542"/>
    <cellStyle name="20% - Accent3 2 2 6" xfId="544"/>
    <cellStyle name="20% - Accent3 2 2 7" xfId="1254"/>
    <cellStyle name="20% - Accent3 2 2 8" xfId="525"/>
    <cellStyle name="20% - Accent3 2 3" xfId="62"/>
    <cellStyle name="20% - Accent3 2 3 2" xfId="63"/>
    <cellStyle name="20% - Accent3 2 3 2 2" xfId="64"/>
    <cellStyle name="20% - Accent3 2 3 2 2 2" xfId="548"/>
    <cellStyle name="20% - Accent3 2 3 2 2 3" xfId="1348"/>
    <cellStyle name="20% - Accent3 2 3 2 2 4" xfId="547"/>
    <cellStyle name="20% - Accent3 2 3 2 3" xfId="549"/>
    <cellStyle name="20% - Accent3 2 3 2 4" xfId="1347"/>
    <cellStyle name="20% - Accent3 2 3 2 5" xfId="546"/>
    <cellStyle name="20% - Accent3 2 3 3" xfId="65"/>
    <cellStyle name="20% - Accent3 2 3 3 2" xfId="551"/>
    <cellStyle name="20% - Accent3 2 3 3 3" xfId="1349"/>
    <cellStyle name="20% - Accent3 2 3 3 4" xfId="550"/>
    <cellStyle name="20% - Accent3 2 3 4" xfId="66"/>
    <cellStyle name="20% - Accent3 2 3 4 2" xfId="553"/>
    <cellStyle name="20% - Accent3 2 3 4 3" xfId="1350"/>
    <cellStyle name="20% - Accent3 2 3 4 4" xfId="552"/>
    <cellStyle name="20% - Accent3 2 3 5" xfId="554"/>
    <cellStyle name="20% - Accent3 2 3 6" xfId="1273"/>
    <cellStyle name="20% - Accent3 2 3 7" xfId="545"/>
    <cellStyle name="20% - Accent3 2 4" xfId="67"/>
    <cellStyle name="20% - Accent3 2 4 2" xfId="68"/>
    <cellStyle name="20% - Accent3 2 4 2 2" xfId="557"/>
    <cellStyle name="20% - Accent3 2 4 2 3" xfId="1352"/>
    <cellStyle name="20% - Accent3 2 4 2 4" xfId="556"/>
    <cellStyle name="20% - Accent3 2 4 3" xfId="558"/>
    <cellStyle name="20% - Accent3 2 4 4" xfId="1351"/>
    <cellStyle name="20% - Accent3 2 4 5" xfId="555"/>
    <cellStyle name="20% - Accent3 2 5" xfId="69"/>
    <cellStyle name="20% - Accent3 2 5 2" xfId="560"/>
    <cellStyle name="20% - Accent3 2 5 3" xfId="1353"/>
    <cellStyle name="20% - Accent3 2 5 4" xfId="559"/>
    <cellStyle name="20% - Accent3 2 6" xfId="70"/>
    <cellStyle name="20% - Accent3 2 6 2" xfId="562"/>
    <cellStyle name="20% - Accent3 2 6 3" xfId="1354"/>
    <cellStyle name="20% - Accent3 2 6 4" xfId="561"/>
    <cellStyle name="20% - Accent3 2 7" xfId="563"/>
    <cellStyle name="20% - Accent3 2 8" xfId="1235"/>
    <cellStyle name="20% - Accent3 2 9" xfId="524"/>
    <cellStyle name="20% - Accent4" xfId="428" builtinId="42" customBuiltin="1"/>
    <cellStyle name="20% - Accent4 2" xfId="71"/>
    <cellStyle name="20% - Accent4 2 2" xfId="72"/>
    <cellStyle name="20% - Accent4 2 2 2" xfId="73"/>
    <cellStyle name="20% - Accent4 2 2 2 2" xfId="74"/>
    <cellStyle name="20% - Accent4 2 2 2 2 2" xfId="75"/>
    <cellStyle name="20% - Accent4 2 2 2 2 2 2" xfId="569"/>
    <cellStyle name="20% - Accent4 2 2 2 2 2 3" xfId="1356"/>
    <cellStyle name="20% - Accent4 2 2 2 2 2 4" xfId="568"/>
    <cellStyle name="20% - Accent4 2 2 2 2 3" xfId="570"/>
    <cellStyle name="20% - Accent4 2 2 2 2 4" xfId="1355"/>
    <cellStyle name="20% - Accent4 2 2 2 2 5" xfId="567"/>
    <cellStyle name="20% - Accent4 2 2 2 3" xfId="76"/>
    <cellStyle name="20% - Accent4 2 2 2 3 2" xfId="572"/>
    <cellStyle name="20% - Accent4 2 2 2 3 3" xfId="1357"/>
    <cellStyle name="20% - Accent4 2 2 2 3 4" xfId="571"/>
    <cellStyle name="20% - Accent4 2 2 2 4" xfId="77"/>
    <cellStyle name="20% - Accent4 2 2 2 4 2" xfId="574"/>
    <cellStyle name="20% - Accent4 2 2 2 4 3" xfId="1358"/>
    <cellStyle name="20% - Accent4 2 2 2 4 4" xfId="573"/>
    <cellStyle name="20% - Accent4 2 2 2 5" xfId="575"/>
    <cellStyle name="20% - Accent4 2 2 2 6" xfId="1293"/>
    <cellStyle name="20% - Accent4 2 2 2 7" xfId="566"/>
    <cellStyle name="20% - Accent4 2 2 3" xfId="78"/>
    <cellStyle name="20% - Accent4 2 2 3 2" xfId="79"/>
    <cellStyle name="20% - Accent4 2 2 3 2 2" xfId="578"/>
    <cellStyle name="20% - Accent4 2 2 3 2 3" xfId="1360"/>
    <cellStyle name="20% - Accent4 2 2 3 2 4" xfId="577"/>
    <cellStyle name="20% - Accent4 2 2 3 3" xfId="579"/>
    <cellStyle name="20% - Accent4 2 2 3 4" xfId="1359"/>
    <cellStyle name="20% - Accent4 2 2 3 5" xfId="576"/>
    <cellStyle name="20% - Accent4 2 2 4" xfId="80"/>
    <cellStyle name="20% - Accent4 2 2 4 2" xfId="581"/>
    <cellStyle name="20% - Accent4 2 2 4 3" xfId="1361"/>
    <cellStyle name="20% - Accent4 2 2 4 4" xfId="580"/>
    <cellStyle name="20% - Accent4 2 2 5" xfId="81"/>
    <cellStyle name="20% - Accent4 2 2 5 2" xfId="583"/>
    <cellStyle name="20% - Accent4 2 2 5 3" xfId="1362"/>
    <cellStyle name="20% - Accent4 2 2 5 4" xfId="582"/>
    <cellStyle name="20% - Accent4 2 2 6" xfId="584"/>
    <cellStyle name="20% - Accent4 2 2 7" xfId="1255"/>
    <cellStyle name="20% - Accent4 2 2 8" xfId="565"/>
    <cellStyle name="20% - Accent4 2 3" xfId="82"/>
    <cellStyle name="20% - Accent4 2 3 2" xfId="83"/>
    <cellStyle name="20% - Accent4 2 3 2 2" xfId="84"/>
    <cellStyle name="20% - Accent4 2 3 2 2 2" xfId="588"/>
    <cellStyle name="20% - Accent4 2 3 2 2 3" xfId="1364"/>
    <cellStyle name="20% - Accent4 2 3 2 2 4" xfId="587"/>
    <cellStyle name="20% - Accent4 2 3 2 3" xfId="589"/>
    <cellStyle name="20% - Accent4 2 3 2 4" xfId="1363"/>
    <cellStyle name="20% - Accent4 2 3 2 5" xfId="586"/>
    <cellStyle name="20% - Accent4 2 3 3" xfId="85"/>
    <cellStyle name="20% - Accent4 2 3 3 2" xfId="591"/>
    <cellStyle name="20% - Accent4 2 3 3 3" xfId="1365"/>
    <cellStyle name="20% - Accent4 2 3 3 4" xfId="590"/>
    <cellStyle name="20% - Accent4 2 3 4" xfId="86"/>
    <cellStyle name="20% - Accent4 2 3 4 2" xfId="593"/>
    <cellStyle name="20% - Accent4 2 3 4 3" xfId="1366"/>
    <cellStyle name="20% - Accent4 2 3 4 4" xfId="592"/>
    <cellStyle name="20% - Accent4 2 3 5" xfId="594"/>
    <cellStyle name="20% - Accent4 2 3 6" xfId="1274"/>
    <cellStyle name="20% - Accent4 2 3 7" xfId="585"/>
    <cellStyle name="20% - Accent4 2 4" xfId="87"/>
    <cellStyle name="20% - Accent4 2 4 2" xfId="88"/>
    <cellStyle name="20% - Accent4 2 4 2 2" xfId="597"/>
    <cellStyle name="20% - Accent4 2 4 2 3" xfId="1368"/>
    <cellStyle name="20% - Accent4 2 4 2 4" xfId="596"/>
    <cellStyle name="20% - Accent4 2 4 3" xfId="598"/>
    <cellStyle name="20% - Accent4 2 4 4" xfId="1367"/>
    <cellStyle name="20% - Accent4 2 4 5" xfId="595"/>
    <cellStyle name="20% - Accent4 2 5" xfId="89"/>
    <cellStyle name="20% - Accent4 2 5 2" xfId="600"/>
    <cellStyle name="20% - Accent4 2 5 3" xfId="1369"/>
    <cellStyle name="20% - Accent4 2 5 4" xfId="599"/>
    <cellStyle name="20% - Accent4 2 6" xfId="90"/>
    <cellStyle name="20% - Accent4 2 6 2" xfId="602"/>
    <cellStyle name="20% - Accent4 2 6 3" xfId="1370"/>
    <cellStyle name="20% - Accent4 2 6 4" xfId="601"/>
    <cellStyle name="20% - Accent4 2 7" xfId="603"/>
    <cellStyle name="20% - Accent4 2 8" xfId="1236"/>
    <cellStyle name="20% - Accent4 2 9" xfId="564"/>
    <cellStyle name="20% - Accent5" xfId="432" builtinId="46" customBuiltin="1"/>
    <cellStyle name="20% - Accent5 2" xfId="91"/>
    <cellStyle name="20% - Accent5 2 2" xfId="92"/>
    <cellStyle name="20% - Accent5 2 2 2" xfId="93"/>
    <cellStyle name="20% - Accent5 2 2 2 2" xfId="94"/>
    <cellStyle name="20% - Accent5 2 2 2 2 2" xfId="95"/>
    <cellStyle name="20% - Accent5 2 2 2 2 2 2" xfId="609"/>
    <cellStyle name="20% - Accent5 2 2 2 2 2 3" xfId="1372"/>
    <cellStyle name="20% - Accent5 2 2 2 2 2 4" xfId="608"/>
    <cellStyle name="20% - Accent5 2 2 2 2 3" xfId="610"/>
    <cellStyle name="20% - Accent5 2 2 2 2 4" xfId="1371"/>
    <cellStyle name="20% - Accent5 2 2 2 2 5" xfId="607"/>
    <cellStyle name="20% - Accent5 2 2 2 3" xfId="96"/>
    <cellStyle name="20% - Accent5 2 2 2 3 2" xfId="612"/>
    <cellStyle name="20% - Accent5 2 2 2 3 3" xfId="1373"/>
    <cellStyle name="20% - Accent5 2 2 2 3 4" xfId="611"/>
    <cellStyle name="20% - Accent5 2 2 2 4" xfId="97"/>
    <cellStyle name="20% - Accent5 2 2 2 4 2" xfId="614"/>
    <cellStyle name="20% - Accent5 2 2 2 4 3" xfId="1374"/>
    <cellStyle name="20% - Accent5 2 2 2 4 4" xfId="613"/>
    <cellStyle name="20% - Accent5 2 2 2 5" xfId="615"/>
    <cellStyle name="20% - Accent5 2 2 2 6" xfId="1294"/>
    <cellStyle name="20% - Accent5 2 2 2 7" xfId="606"/>
    <cellStyle name="20% - Accent5 2 2 3" xfId="98"/>
    <cellStyle name="20% - Accent5 2 2 3 2" xfId="99"/>
    <cellStyle name="20% - Accent5 2 2 3 2 2" xfId="618"/>
    <cellStyle name="20% - Accent5 2 2 3 2 3" xfId="1376"/>
    <cellStyle name="20% - Accent5 2 2 3 2 4" xfId="617"/>
    <cellStyle name="20% - Accent5 2 2 3 3" xfId="619"/>
    <cellStyle name="20% - Accent5 2 2 3 4" xfId="1375"/>
    <cellStyle name="20% - Accent5 2 2 3 5" xfId="616"/>
    <cellStyle name="20% - Accent5 2 2 4" xfId="100"/>
    <cellStyle name="20% - Accent5 2 2 4 2" xfId="621"/>
    <cellStyle name="20% - Accent5 2 2 4 3" xfId="1377"/>
    <cellStyle name="20% - Accent5 2 2 4 4" xfId="620"/>
    <cellStyle name="20% - Accent5 2 2 5" xfId="101"/>
    <cellStyle name="20% - Accent5 2 2 5 2" xfId="623"/>
    <cellStyle name="20% - Accent5 2 2 5 3" xfId="1378"/>
    <cellStyle name="20% - Accent5 2 2 5 4" xfId="622"/>
    <cellStyle name="20% - Accent5 2 2 6" xfId="624"/>
    <cellStyle name="20% - Accent5 2 2 7" xfId="1256"/>
    <cellStyle name="20% - Accent5 2 2 8" xfId="605"/>
    <cellStyle name="20% - Accent5 2 3" xfId="102"/>
    <cellStyle name="20% - Accent5 2 3 2" xfId="103"/>
    <cellStyle name="20% - Accent5 2 3 2 2" xfId="104"/>
    <cellStyle name="20% - Accent5 2 3 2 2 2" xfId="628"/>
    <cellStyle name="20% - Accent5 2 3 2 2 3" xfId="1380"/>
    <cellStyle name="20% - Accent5 2 3 2 2 4" xfId="627"/>
    <cellStyle name="20% - Accent5 2 3 2 3" xfId="629"/>
    <cellStyle name="20% - Accent5 2 3 2 4" xfId="1379"/>
    <cellStyle name="20% - Accent5 2 3 2 5" xfId="626"/>
    <cellStyle name="20% - Accent5 2 3 3" xfId="105"/>
    <cellStyle name="20% - Accent5 2 3 3 2" xfId="631"/>
    <cellStyle name="20% - Accent5 2 3 3 3" xfId="1381"/>
    <cellStyle name="20% - Accent5 2 3 3 4" xfId="630"/>
    <cellStyle name="20% - Accent5 2 3 4" xfId="106"/>
    <cellStyle name="20% - Accent5 2 3 4 2" xfId="633"/>
    <cellStyle name="20% - Accent5 2 3 4 3" xfId="1382"/>
    <cellStyle name="20% - Accent5 2 3 4 4" xfId="632"/>
    <cellStyle name="20% - Accent5 2 3 5" xfId="634"/>
    <cellStyle name="20% - Accent5 2 3 6" xfId="1275"/>
    <cellStyle name="20% - Accent5 2 3 7" xfId="625"/>
    <cellStyle name="20% - Accent5 2 4" xfId="107"/>
    <cellStyle name="20% - Accent5 2 4 2" xfId="108"/>
    <cellStyle name="20% - Accent5 2 4 2 2" xfId="637"/>
    <cellStyle name="20% - Accent5 2 4 2 3" xfId="1384"/>
    <cellStyle name="20% - Accent5 2 4 2 4" xfId="636"/>
    <cellStyle name="20% - Accent5 2 4 3" xfId="638"/>
    <cellStyle name="20% - Accent5 2 4 4" xfId="1383"/>
    <cellStyle name="20% - Accent5 2 4 5" xfId="635"/>
    <cellStyle name="20% - Accent5 2 5" xfId="109"/>
    <cellStyle name="20% - Accent5 2 5 2" xfId="640"/>
    <cellStyle name="20% - Accent5 2 5 3" xfId="1385"/>
    <cellStyle name="20% - Accent5 2 5 4" xfId="639"/>
    <cellStyle name="20% - Accent5 2 6" xfId="110"/>
    <cellStyle name="20% - Accent5 2 6 2" xfId="642"/>
    <cellStyle name="20% - Accent5 2 6 3" xfId="1386"/>
    <cellStyle name="20% - Accent5 2 6 4" xfId="641"/>
    <cellStyle name="20% - Accent5 2 7" xfId="643"/>
    <cellStyle name="20% - Accent5 2 8" xfId="1237"/>
    <cellStyle name="20% - Accent5 2 9" xfId="604"/>
    <cellStyle name="20% - Accent6" xfId="436" builtinId="50" customBuiltin="1"/>
    <cellStyle name="20% - Accent6 2" xfId="111"/>
    <cellStyle name="20% - Accent6 2 2" xfId="112"/>
    <cellStyle name="20% - Accent6 2 2 2" xfId="113"/>
    <cellStyle name="20% - Accent6 2 2 2 2" xfId="114"/>
    <cellStyle name="20% - Accent6 2 2 2 2 2" xfId="115"/>
    <cellStyle name="20% - Accent6 2 2 2 2 2 2" xfId="649"/>
    <cellStyle name="20% - Accent6 2 2 2 2 2 3" xfId="1388"/>
    <cellStyle name="20% - Accent6 2 2 2 2 2 4" xfId="648"/>
    <cellStyle name="20% - Accent6 2 2 2 2 3" xfId="650"/>
    <cellStyle name="20% - Accent6 2 2 2 2 4" xfId="1387"/>
    <cellStyle name="20% - Accent6 2 2 2 2 5" xfId="647"/>
    <cellStyle name="20% - Accent6 2 2 2 3" xfId="116"/>
    <cellStyle name="20% - Accent6 2 2 2 3 2" xfId="652"/>
    <cellStyle name="20% - Accent6 2 2 2 3 3" xfId="1389"/>
    <cellStyle name="20% - Accent6 2 2 2 3 4" xfId="651"/>
    <cellStyle name="20% - Accent6 2 2 2 4" xfId="117"/>
    <cellStyle name="20% - Accent6 2 2 2 4 2" xfId="654"/>
    <cellStyle name="20% - Accent6 2 2 2 4 3" xfId="1390"/>
    <cellStyle name="20% - Accent6 2 2 2 4 4" xfId="653"/>
    <cellStyle name="20% - Accent6 2 2 2 5" xfId="655"/>
    <cellStyle name="20% - Accent6 2 2 2 6" xfId="1295"/>
    <cellStyle name="20% - Accent6 2 2 2 7" xfId="646"/>
    <cellStyle name="20% - Accent6 2 2 3" xfId="118"/>
    <cellStyle name="20% - Accent6 2 2 3 2" xfId="119"/>
    <cellStyle name="20% - Accent6 2 2 3 2 2" xfId="658"/>
    <cellStyle name="20% - Accent6 2 2 3 2 3" xfId="1392"/>
    <cellStyle name="20% - Accent6 2 2 3 2 4" xfId="657"/>
    <cellStyle name="20% - Accent6 2 2 3 3" xfId="659"/>
    <cellStyle name="20% - Accent6 2 2 3 4" xfId="1391"/>
    <cellStyle name="20% - Accent6 2 2 3 5" xfId="656"/>
    <cellStyle name="20% - Accent6 2 2 4" xfId="120"/>
    <cellStyle name="20% - Accent6 2 2 4 2" xfId="661"/>
    <cellStyle name="20% - Accent6 2 2 4 3" xfId="1393"/>
    <cellStyle name="20% - Accent6 2 2 4 4" xfId="660"/>
    <cellStyle name="20% - Accent6 2 2 5" xfId="121"/>
    <cellStyle name="20% - Accent6 2 2 5 2" xfId="663"/>
    <cellStyle name="20% - Accent6 2 2 5 3" xfId="1394"/>
    <cellStyle name="20% - Accent6 2 2 5 4" xfId="662"/>
    <cellStyle name="20% - Accent6 2 2 6" xfId="664"/>
    <cellStyle name="20% - Accent6 2 2 7" xfId="1257"/>
    <cellStyle name="20% - Accent6 2 2 8" xfId="645"/>
    <cellStyle name="20% - Accent6 2 3" xfId="122"/>
    <cellStyle name="20% - Accent6 2 3 2" xfId="123"/>
    <cellStyle name="20% - Accent6 2 3 2 2" xfId="124"/>
    <cellStyle name="20% - Accent6 2 3 2 2 2" xfId="668"/>
    <cellStyle name="20% - Accent6 2 3 2 2 3" xfId="1396"/>
    <cellStyle name="20% - Accent6 2 3 2 2 4" xfId="667"/>
    <cellStyle name="20% - Accent6 2 3 2 3" xfId="669"/>
    <cellStyle name="20% - Accent6 2 3 2 4" xfId="1395"/>
    <cellStyle name="20% - Accent6 2 3 2 5" xfId="666"/>
    <cellStyle name="20% - Accent6 2 3 3" xfId="125"/>
    <cellStyle name="20% - Accent6 2 3 3 2" xfId="671"/>
    <cellStyle name="20% - Accent6 2 3 3 3" xfId="1397"/>
    <cellStyle name="20% - Accent6 2 3 3 4" xfId="670"/>
    <cellStyle name="20% - Accent6 2 3 4" xfId="126"/>
    <cellStyle name="20% - Accent6 2 3 4 2" xfId="673"/>
    <cellStyle name="20% - Accent6 2 3 4 3" xfId="1398"/>
    <cellStyle name="20% - Accent6 2 3 4 4" xfId="672"/>
    <cellStyle name="20% - Accent6 2 3 5" xfId="674"/>
    <cellStyle name="20% - Accent6 2 3 6" xfId="1276"/>
    <cellStyle name="20% - Accent6 2 3 7" xfId="665"/>
    <cellStyle name="20% - Accent6 2 4" xfId="127"/>
    <cellStyle name="20% - Accent6 2 4 2" xfId="128"/>
    <cellStyle name="20% - Accent6 2 4 2 2" xfId="677"/>
    <cellStyle name="20% - Accent6 2 4 2 3" xfId="1400"/>
    <cellStyle name="20% - Accent6 2 4 2 4" xfId="676"/>
    <cellStyle name="20% - Accent6 2 4 3" xfId="678"/>
    <cellStyle name="20% - Accent6 2 4 4" xfId="1399"/>
    <cellStyle name="20% - Accent6 2 4 5" xfId="675"/>
    <cellStyle name="20% - Accent6 2 5" xfId="129"/>
    <cellStyle name="20% - Accent6 2 5 2" xfId="680"/>
    <cellStyle name="20% - Accent6 2 5 3" xfId="1401"/>
    <cellStyle name="20% - Accent6 2 5 4" xfId="679"/>
    <cellStyle name="20% - Accent6 2 6" xfId="130"/>
    <cellStyle name="20% - Accent6 2 6 2" xfId="682"/>
    <cellStyle name="20% - Accent6 2 6 3" xfId="1402"/>
    <cellStyle name="20% - Accent6 2 6 4" xfId="681"/>
    <cellStyle name="20% - Accent6 2 7" xfId="683"/>
    <cellStyle name="20% - Accent6 2 8" xfId="1238"/>
    <cellStyle name="20% - Accent6 2 9" xfId="644"/>
    <cellStyle name="40% - Accent1" xfId="417" builtinId="31" customBuiltin="1"/>
    <cellStyle name="40% - Accent1 2" xfId="131"/>
    <cellStyle name="40% - Accent1 2 2" xfId="132"/>
    <cellStyle name="40% - Accent1 2 2 2" xfId="133"/>
    <cellStyle name="40% - Accent1 2 2 2 2" xfId="134"/>
    <cellStyle name="40% - Accent1 2 2 2 2 2" xfId="135"/>
    <cellStyle name="40% - Accent1 2 2 2 2 2 2" xfId="689"/>
    <cellStyle name="40% - Accent1 2 2 2 2 2 3" xfId="1404"/>
    <cellStyle name="40% - Accent1 2 2 2 2 2 4" xfId="688"/>
    <cellStyle name="40% - Accent1 2 2 2 2 3" xfId="690"/>
    <cellStyle name="40% - Accent1 2 2 2 2 4" xfId="1403"/>
    <cellStyle name="40% - Accent1 2 2 2 2 5" xfId="687"/>
    <cellStyle name="40% - Accent1 2 2 2 3" xfId="136"/>
    <cellStyle name="40% - Accent1 2 2 2 3 2" xfId="692"/>
    <cellStyle name="40% - Accent1 2 2 2 3 3" xfId="1405"/>
    <cellStyle name="40% - Accent1 2 2 2 3 4" xfId="691"/>
    <cellStyle name="40% - Accent1 2 2 2 4" xfId="137"/>
    <cellStyle name="40% - Accent1 2 2 2 4 2" xfId="694"/>
    <cellStyle name="40% - Accent1 2 2 2 4 3" xfId="1406"/>
    <cellStyle name="40% - Accent1 2 2 2 4 4" xfId="693"/>
    <cellStyle name="40% - Accent1 2 2 2 5" xfId="695"/>
    <cellStyle name="40% - Accent1 2 2 2 6" xfId="1296"/>
    <cellStyle name="40% - Accent1 2 2 2 7" xfId="686"/>
    <cellStyle name="40% - Accent1 2 2 3" xfId="138"/>
    <cellStyle name="40% - Accent1 2 2 3 2" xfId="139"/>
    <cellStyle name="40% - Accent1 2 2 3 2 2" xfId="698"/>
    <cellStyle name="40% - Accent1 2 2 3 2 3" xfId="1408"/>
    <cellStyle name="40% - Accent1 2 2 3 2 4" xfId="697"/>
    <cellStyle name="40% - Accent1 2 2 3 3" xfId="699"/>
    <cellStyle name="40% - Accent1 2 2 3 4" xfId="1407"/>
    <cellStyle name="40% - Accent1 2 2 3 5" xfId="696"/>
    <cellStyle name="40% - Accent1 2 2 4" xfId="140"/>
    <cellStyle name="40% - Accent1 2 2 4 2" xfId="701"/>
    <cellStyle name="40% - Accent1 2 2 4 3" xfId="1409"/>
    <cellStyle name="40% - Accent1 2 2 4 4" xfId="700"/>
    <cellStyle name="40% - Accent1 2 2 5" xfId="141"/>
    <cellStyle name="40% - Accent1 2 2 5 2" xfId="703"/>
    <cellStyle name="40% - Accent1 2 2 5 3" xfId="1410"/>
    <cellStyle name="40% - Accent1 2 2 5 4" xfId="702"/>
    <cellStyle name="40% - Accent1 2 2 6" xfId="704"/>
    <cellStyle name="40% - Accent1 2 2 7" xfId="1258"/>
    <cellStyle name="40% - Accent1 2 2 8" xfId="685"/>
    <cellStyle name="40% - Accent1 2 3" xfId="142"/>
    <cellStyle name="40% - Accent1 2 3 2" xfId="143"/>
    <cellStyle name="40% - Accent1 2 3 2 2" xfId="144"/>
    <cellStyle name="40% - Accent1 2 3 2 2 2" xfId="708"/>
    <cellStyle name="40% - Accent1 2 3 2 2 3" xfId="1412"/>
    <cellStyle name="40% - Accent1 2 3 2 2 4" xfId="707"/>
    <cellStyle name="40% - Accent1 2 3 2 3" xfId="709"/>
    <cellStyle name="40% - Accent1 2 3 2 4" xfId="1411"/>
    <cellStyle name="40% - Accent1 2 3 2 5" xfId="706"/>
    <cellStyle name="40% - Accent1 2 3 3" xfId="145"/>
    <cellStyle name="40% - Accent1 2 3 3 2" xfId="711"/>
    <cellStyle name="40% - Accent1 2 3 3 3" xfId="1413"/>
    <cellStyle name="40% - Accent1 2 3 3 4" xfId="710"/>
    <cellStyle name="40% - Accent1 2 3 4" xfId="146"/>
    <cellStyle name="40% - Accent1 2 3 4 2" xfId="713"/>
    <cellStyle name="40% - Accent1 2 3 4 3" xfId="1414"/>
    <cellStyle name="40% - Accent1 2 3 4 4" xfId="712"/>
    <cellStyle name="40% - Accent1 2 3 5" xfId="714"/>
    <cellStyle name="40% - Accent1 2 3 6" xfId="1277"/>
    <cellStyle name="40% - Accent1 2 3 7" xfId="705"/>
    <cellStyle name="40% - Accent1 2 4" xfId="147"/>
    <cellStyle name="40% - Accent1 2 4 2" xfId="148"/>
    <cellStyle name="40% - Accent1 2 4 2 2" xfId="717"/>
    <cellStyle name="40% - Accent1 2 4 2 3" xfId="1416"/>
    <cellStyle name="40% - Accent1 2 4 2 4" xfId="716"/>
    <cellStyle name="40% - Accent1 2 4 3" xfId="718"/>
    <cellStyle name="40% - Accent1 2 4 4" xfId="1415"/>
    <cellStyle name="40% - Accent1 2 4 5" xfId="715"/>
    <cellStyle name="40% - Accent1 2 5" xfId="149"/>
    <cellStyle name="40% - Accent1 2 5 2" xfId="720"/>
    <cellStyle name="40% - Accent1 2 5 3" xfId="1417"/>
    <cellStyle name="40% - Accent1 2 5 4" xfId="719"/>
    <cellStyle name="40% - Accent1 2 6" xfId="150"/>
    <cellStyle name="40% - Accent1 2 6 2" xfId="722"/>
    <cellStyle name="40% - Accent1 2 6 3" xfId="1418"/>
    <cellStyle name="40% - Accent1 2 6 4" xfId="721"/>
    <cellStyle name="40% - Accent1 2 7" xfId="723"/>
    <cellStyle name="40% - Accent1 2 8" xfId="1239"/>
    <cellStyle name="40% - Accent1 2 9" xfId="684"/>
    <cellStyle name="40% - Accent2" xfId="421" builtinId="35" customBuiltin="1"/>
    <cellStyle name="40% - Accent2 2" xfId="151"/>
    <cellStyle name="40% - Accent2 2 2" xfId="152"/>
    <cellStyle name="40% - Accent2 2 2 2" xfId="153"/>
    <cellStyle name="40% - Accent2 2 2 2 2" xfId="154"/>
    <cellStyle name="40% - Accent2 2 2 2 2 2" xfId="155"/>
    <cellStyle name="40% - Accent2 2 2 2 2 2 2" xfId="729"/>
    <cellStyle name="40% - Accent2 2 2 2 2 2 3" xfId="1420"/>
    <cellStyle name="40% - Accent2 2 2 2 2 2 4" xfId="728"/>
    <cellStyle name="40% - Accent2 2 2 2 2 3" xfId="730"/>
    <cellStyle name="40% - Accent2 2 2 2 2 4" xfId="1419"/>
    <cellStyle name="40% - Accent2 2 2 2 2 5" xfId="727"/>
    <cellStyle name="40% - Accent2 2 2 2 3" xfId="156"/>
    <cellStyle name="40% - Accent2 2 2 2 3 2" xfId="732"/>
    <cellStyle name="40% - Accent2 2 2 2 3 3" xfId="1421"/>
    <cellStyle name="40% - Accent2 2 2 2 3 4" xfId="731"/>
    <cellStyle name="40% - Accent2 2 2 2 4" xfId="157"/>
    <cellStyle name="40% - Accent2 2 2 2 4 2" xfId="734"/>
    <cellStyle name="40% - Accent2 2 2 2 4 3" xfId="1422"/>
    <cellStyle name="40% - Accent2 2 2 2 4 4" xfId="733"/>
    <cellStyle name="40% - Accent2 2 2 2 5" xfId="735"/>
    <cellStyle name="40% - Accent2 2 2 2 6" xfId="1297"/>
    <cellStyle name="40% - Accent2 2 2 2 7" xfId="726"/>
    <cellStyle name="40% - Accent2 2 2 3" xfId="158"/>
    <cellStyle name="40% - Accent2 2 2 3 2" xfId="159"/>
    <cellStyle name="40% - Accent2 2 2 3 2 2" xfId="738"/>
    <cellStyle name="40% - Accent2 2 2 3 2 3" xfId="1424"/>
    <cellStyle name="40% - Accent2 2 2 3 2 4" xfId="737"/>
    <cellStyle name="40% - Accent2 2 2 3 3" xfId="739"/>
    <cellStyle name="40% - Accent2 2 2 3 4" xfId="1423"/>
    <cellStyle name="40% - Accent2 2 2 3 5" xfId="736"/>
    <cellStyle name="40% - Accent2 2 2 4" xfId="160"/>
    <cellStyle name="40% - Accent2 2 2 4 2" xfId="741"/>
    <cellStyle name="40% - Accent2 2 2 4 3" xfId="1425"/>
    <cellStyle name="40% - Accent2 2 2 4 4" xfId="740"/>
    <cellStyle name="40% - Accent2 2 2 5" xfId="161"/>
    <cellStyle name="40% - Accent2 2 2 5 2" xfId="743"/>
    <cellStyle name="40% - Accent2 2 2 5 3" xfId="1426"/>
    <cellStyle name="40% - Accent2 2 2 5 4" xfId="742"/>
    <cellStyle name="40% - Accent2 2 2 6" xfId="744"/>
    <cellStyle name="40% - Accent2 2 2 7" xfId="1259"/>
    <cellStyle name="40% - Accent2 2 2 8" xfId="725"/>
    <cellStyle name="40% - Accent2 2 3" xfId="162"/>
    <cellStyle name="40% - Accent2 2 3 2" xfId="163"/>
    <cellStyle name="40% - Accent2 2 3 2 2" xfId="164"/>
    <cellStyle name="40% - Accent2 2 3 2 2 2" xfId="748"/>
    <cellStyle name="40% - Accent2 2 3 2 2 3" xfId="1428"/>
    <cellStyle name="40% - Accent2 2 3 2 2 4" xfId="747"/>
    <cellStyle name="40% - Accent2 2 3 2 3" xfId="749"/>
    <cellStyle name="40% - Accent2 2 3 2 4" xfId="1427"/>
    <cellStyle name="40% - Accent2 2 3 2 5" xfId="746"/>
    <cellStyle name="40% - Accent2 2 3 3" xfId="165"/>
    <cellStyle name="40% - Accent2 2 3 3 2" xfId="751"/>
    <cellStyle name="40% - Accent2 2 3 3 3" xfId="1429"/>
    <cellStyle name="40% - Accent2 2 3 3 4" xfId="750"/>
    <cellStyle name="40% - Accent2 2 3 4" xfId="166"/>
    <cellStyle name="40% - Accent2 2 3 4 2" xfId="753"/>
    <cellStyle name="40% - Accent2 2 3 4 3" xfId="1430"/>
    <cellStyle name="40% - Accent2 2 3 4 4" xfId="752"/>
    <cellStyle name="40% - Accent2 2 3 5" xfId="754"/>
    <cellStyle name="40% - Accent2 2 3 6" xfId="1278"/>
    <cellStyle name="40% - Accent2 2 3 7" xfId="745"/>
    <cellStyle name="40% - Accent2 2 4" xfId="167"/>
    <cellStyle name="40% - Accent2 2 4 2" xfId="168"/>
    <cellStyle name="40% - Accent2 2 4 2 2" xfId="757"/>
    <cellStyle name="40% - Accent2 2 4 2 3" xfId="1432"/>
    <cellStyle name="40% - Accent2 2 4 2 4" xfId="756"/>
    <cellStyle name="40% - Accent2 2 4 3" xfId="758"/>
    <cellStyle name="40% - Accent2 2 4 4" xfId="1431"/>
    <cellStyle name="40% - Accent2 2 4 5" xfId="755"/>
    <cellStyle name="40% - Accent2 2 5" xfId="169"/>
    <cellStyle name="40% - Accent2 2 5 2" xfId="760"/>
    <cellStyle name="40% - Accent2 2 5 3" xfId="1433"/>
    <cellStyle name="40% - Accent2 2 5 4" xfId="759"/>
    <cellStyle name="40% - Accent2 2 6" xfId="170"/>
    <cellStyle name="40% - Accent2 2 6 2" xfId="762"/>
    <cellStyle name="40% - Accent2 2 6 3" xfId="1434"/>
    <cellStyle name="40% - Accent2 2 6 4" xfId="761"/>
    <cellStyle name="40% - Accent2 2 7" xfId="763"/>
    <cellStyle name="40% - Accent2 2 8" xfId="1240"/>
    <cellStyle name="40% - Accent2 2 9" xfId="724"/>
    <cellStyle name="40% - Accent3" xfId="425" builtinId="39" customBuiltin="1"/>
    <cellStyle name="40% - Accent3 2" xfId="171"/>
    <cellStyle name="40% - Accent3 2 2" xfId="172"/>
    <cellStyle name="40% - Accent3 2 2 2" xfId="173"/>
    <cellStyle name="40% - Accent3 2 2 2 2" xfId="174"/>
    <cellStyle name="40% - Accent3 2 2 2 2 2" xfId="175"/>
    <cellStyle name="40% - Accent3 2 2 2 2 2 2" xfId="769"/>
    <cellStyle name="40% - Accent3 2 2 2 2 2 3" xfId="1436"/>
    <cellStyle name="40% - Accent3 2 2 2 2 2 4" xfId="768"/>
    <cellStyle name="40% - Accent3 2 2 2 2 3" xfId="770"/>
    <cellStyle name="40% - Accent3 2 2 2 2 4" xfId="1435"/>
    <cellStyle name="40% - Accent3 2 2 2 2 5" xfId="767"/>
    <cellStyle name="40% - Accent3 2 2 2 3" xfId="176"/>
    <cellStyle name="40% - Accent3 2 2 2 3 2" xfId="772"/>
    <cellStyle name="40% - Accent3 2 2 2 3 3" xfId="1437"/>
    <cellStyle name="40% - Accent3 2 2 2 3 4" xfId="771"/>
    <cellStyle name="40% - Accent3 2 2 2 4" xfId="177"/>
    <cellStyle name="40% - Accent3 2 2 2 4 2" xfId="774"/>
    <cellStyle name="40% - Accent3 2 2 2 4 3" xfId="1438"/>
    <cellStyle name="40% - Accent3 2 2 2 4 4" xfId="773"/>
    <cellStyle name="40% - Accent3 2 2 2 5" xfId="775"/>
    <cellStyle name="40% - Accent3 2 2 2 6" xfId="1298"/>
    <cellStyle name="40% - Accent3 2 2 2 7" xfId="766"/>
    <cellStyle name="40% - Accent3 2 2 3" xfId="178"/>
    <cellStyle name="40% - Accent3 2 2 3 2" xfId="179"/>
    <cellStyle name="40% - Accent3 2 2 3 2 2" xfId="778"/>
    <cellStyle name="40% - Accent3 2 2 3 2 3" xfId="1440"/>
    <cellStyle name="40% - Accent3 2 2 3 2 4" xfId="777"/>
    <cellStyle name="40% - Accent3 2 2 3 3" xfId="779"/>
    <cellStyle name="40% - Accent3 2 2 3 4" xfId="1439"/>
    <cellStyle name="40% - Accent3 2 2 3 5" xfId="776"/>
    <cellStyle name="40% - Accent3 2 2 4" xfId="180"/>
    <cellStyle name="40% - Accent3 2 2 4 2" xfId="781"/>
    <cellStyle name="40% - Accent3 2 2 4 3" xfId="1441"/>
    <cellStyle name="40% - Accent3 2 2 4 4" xfId="780"/>
    <cellStyle name="40% - Accent3 2 2 5" xfId="181"/>
    <cellStyle name="40% - Accent3 2 2 5 2" xfId="783"/>
    <cellStyle name="40% - Accent3 2 2 5 3" xfId="1442"/>
    <cellStyle name="40% - Accent3 2 2 5 4" xfId="782"/>
    <cellStyle name="40% - Accent3 2 2 6" xfId="784"/>
    <cellStyle name="40% - Accent3 2 2 7" xfId="1260"/>
    <cellStyle name="40% - Accent3 2 2 8" xfId="765"/>
    <cellStyle name="40% - Accent3 2 3" xfId="182"/>
    <cellStyle name="40% - Accent3 2 3 2" xfId="183"/>
    <cellStyle name="40% - Accent3 2 3 2 2" xfId="184"/>
    <cellStyle name="40% - Accent3 2 3 2 2 2" xfId="788"/>
    <cellStyle name="40% - Accent3 2 3 2 2 3" xfId="1444"/>
    <cellStyle name="40% - Accent3 2 3 2 2 4" xfId="787"/>
    <cellStyle name="40% - Accent3 2 3 2 3" xfId="789"/>
    <cellStyle name="40% - Accent3 2 3 2 4" xfId="1443"/>
    <cellStyle name="40% - Accent3 2 3 2 5" xfId="786"/>
    <cellStyle name="40% - Accent3 2 3 3" xfId="185"/>
    <cellStyle name="40% - Accent3 2 3 3 2" xfId="791"/>
    <cellStyle name="40% - Accent3 2 3 3 3" xfId="1445"/>
    <cellStyle name="40% - Accent3 2 3 3 4" xfId="790"/>
    <cellStyle name="40% - Accent3 2 3 4" xfId="186"/>
    <cellStyle name="40% - Accent3 2 3 4 2" xfId="793"/>
    <cellStyle name="40% - Accent3 2 3 4 3" xfId="1446"/>
    <cellStyle name="40% - Accent3 2 3 4 4" xfId="792"/>
    <cellStyle name="40% - Accent3 2 3 5" xfId="794"/>
    <cellStyle name="40% - Accent3 2 3 6" xfId="1279"/>
    <cellStyle name="40% - Accent3 2 3 7" xfId="785"/>
    <cellStyle name="40% - Accent3 2 4" xfId="187"/>
    <cellStyle name="40% - Accent3 2 4 2" xfId="188"/>
    <cellStyle name="40% - Accent3 2 4 2 2" xfId="797"/>
    <cellStyle name="40% - Accent3 2 4 2 3" xfId="1448"/>
    <cellStyle name="40% - Accent3 2 4 2 4" xfId="796"/>
    <cellStyle name="40% - Accent3 2 4 3" xfId="798"/>
    <cellStyle name="40% - Accent3 2 4 4" xfId="1447"/>
    <cellStyle name="40% - Accent3 2 4 5" xfId="795"/>
    <cellStyle name="40% - Accent3 2 5" xfId="189"/>
    <cellStyle name="40% - Accent3 2 5 2" xfId="800"/>
    <cellStyle name="40% - Accent3 2 5 3" xfId="1449"/>
    <cellStyle name="40% - Accent3 2 5 4" xfId="799"/>
    <cellStyle name="40% - Accent3 2 6" xfId="190"/>
    <cellStyle name="40% - Accent3 2 6 2" xfId="802"/>
    <cellStyle name="40% - Accent3 2 6 3" xfId="1450"/>
    <cellStyle name="40% - Accent3 2 6 4" xfId="801"/>
    <cellStyle name="40% - Accent3 2 7" xfId="803"/>
    <cellStyle name="40% - Accent3 2 8" xfId="1241"/>
    <cellStyle name="40% - Accent3 2 9" xfId="764"/>
    <cellStyle name="40% - Accent4" xfId="429" builtinId="43" customBuiltin="1"/>
    <cellStyle name="40% - Accent4 2" xfId="191"/>
    <cellStyle name="40% - Accent4 2 2" xfId="192"/>
    <cellStyle name="40% - Accent4 2 2 2" xfId="193"/>
    <cellStyle name="40% - Accent4 2 2 2 2" xfId="194"/>
    <cellStyle name="40% - Accent4 2 2 2 2 2" xfId="195"/>
    <cellStyle name="40% - Accent4 2 2 2 2 2 2" xfId="809"/>
    <cellStyle name="40% - Accent4 2 2 2 2 2 3" xfId="1452"/>
    <cellStyle name="40% - Accent4 2 2 2 2 2 4" xfId="808"/>
    <cellStyle name="40% - Accent4 2 2 2 2 3" xfId="810"/>
    <cellStyle name="40% - Accent4 2 2 2 2 4" xfId="1451"/>
    <cellStyle name="40% - Accent4 2 2 2 2 5" xfId="807"/>
    <cellStyle name="40% - Accent4 2 2 2 3" xfId="196"/>
    <cellStyle name="40% - Accent4 2 2 2 3 2" xfId="812"/>
    <cellStyle name="40% - Accent4 2 2 2 3 3" xfId="1453"/>
    <cellStyle name="40% - Accent4 2 2 2 3 4" xfId="811"/>
    <cellStyle name="40% - Accent4 2 2 2 4" xfId="197"/>
    <cellStyle name="40% - Accent4 2 2 2 4 2" xfId="814"/>
    <cellStyle name="40% - Accent4 2 2 2 4 3" xfId="1454"/>
    <cellStyle name="40% - Accent4 2 2 2 4 4" xfId="813"/>
    <cellStyle name="40% - Accent4 2 2 2 5" xfId="815"/>
    <cellStyle name="40% - Accent4 2 2 2 6" xfId="1299"/>
    <cellStyle name="40% - Accent4 2 2 2 7" xfId="806"/>
    <cellStyle name="40% - Accent4 2 2 3" xfId="198"/>
    <cellStyle name="40% - Accent4 2 2 3 2" xfId="199"/>
    <cellStyle name="40% - Accent4 2 2 3 2 2" xfId="818"/>
    <cellStyle name="40% - Accent4 2 2 3 2 3" xfId="1456"/>
    <cellStyle name="40% - Accent4 2 2 3 2 4" xfId="817"/>
    <cellStyle name="40% - Accent4 2 2 3 3" xfId="819"/>
    <cellStyle name="40% - Accent4 2 2 3 4" xfId="1455"/>
    <cellStyle name="40% - Accent4 2 2 3 5" xfId="816"/>
    <cellStyle name="40% - Accent4 2 2 4" xfId="200"/>
    <cellStyle name="40% - Accent4 2 2 4 2" xfId="821"/>
    <cellStyle name="40% - Accent4 2 2 4 3" xfId="1457"/>
    <cellStyle name="40% - Accent4 2 2 4 4" xfId="820"/>
    <cellStyle name="40% - Accent4 2 2 5" xfId="201"/>
    <cellStyle name="40% - Accent4 2 2 5 2" xfId="823"/>
    <cellStyle name="40% - Accent4 2 2 5 3" xfId="1458"/>
    <cellStyle name="40% - Accent4 2 2 5 4" xfId="822"/>
    <cellStyle name="40% - Accent4 2 2 6" xfId="824"/>
    <cellStyle name="40% - Accent4 2 2 7" xfId="1261"/>
    <cellStyle name="40% - Accent4 2 2 8" xfId="805"/>
    <cellStyle name="40% - Accent4 2 3" xfId="202"/>
    <cellStyle name="40% - Accent4 2 3 2" xfId="203"/>
    <cellStyle name="40% - Accent4 2 3 2 2" xfId="204"/>
    <cellStyle name="40% - Accent4 2 3 2 2 2" xfId="828"/>
    <cellStyle name="40% - Accent4 2 3 2 2 3" xfId="1460"/>
    <cellStyle name="40% - Accent4 2 3 2 2 4" xfId="827"/>
    <cellStyle name="40% - Accent4 2 3 2 3" xfId="829"/>
    <cellStyle name="40% - Accent4 2 3 2 4" xfId="1459"/>
    <cellStyle name="40% - Accent4 2 3 2 5" xfId="826"/>
    <cellStyle name="40% - Accent4 2 3 3" xfId="205"/>
    <cellStyle name="40% - Accent4 2 3 3 2" xfId="831"/>
    <cellStyle name="40% - Accent4 2 3 3 3" xfId="1461"/>
    <cellStyle name="40% - Accent4 2 3 3 4" xfId="830"/>
    <cellStyle name="40% - Accent4 2 3 4" xfId="206"/>
    <cellStyle name="40% - Accent4 2 3 4 2" xfId="833"/>
    <cellStyle name="40% - Accent4 2 3 4 3" xfId="1462"/>
    <cellStyle name="40% - Accent4 2 3 4 4" xfId="832"/>
    <cellStyle name="40% - Accent4 2 3 5" xfId="834"/>
    <cellStyle name="40% - Accent4 2 3 6" xfId="1280"/>
    <cellStyle name="40% - Accent4 2 3 7" xfId="825"/>
    <cellStyle name="40% - Accent4 2 4" xfId="207"/>
    <cellStyle name="40% - Accent4 2 4 2" xfId="208"/>
    <cellStyle name="40% - Accent4 2 4 2 2" xfId="837"/>
    <cellStyle name="40% - Accent4 2 4 2 3" xfId="1464"/>
    <cellStyle name="40% - Accent4 2 4 2 4" xfId="836"/>
    <cellStyle name="40% - Accent4 2 4 3" xfId="838"/>
    <cellStyle name="40% - Accent4 2 4 4" xfId="1463"/>
    <cellStyle name="40% - Accent4 2 4 5" xfId="835"/>
    <cellStyle name="40% - Accent4 2 5" xfId="209"/>
    <cellStyle name="40% - Accent4 2 5 2" xfId="840"/>
    <cellStyle name="40% - Accent4 2 5 3" xfId="1465"/>
    <cellStyle name="40% - Accent4 2 5 4" xfId="839"/>
    <cellStyle name="40% - Accent4 2 6" xfId="210"/>
    <cellStyle name="40% - Accent4 2 6 2" xfId="842"/>
    <cellStyle name="40% - Accent4 2 6 3" xfId="1466"/>
    <cellStyle name="40% - Accent4 2 6 4" xfId="841"/>
    <cellStyle name="40% - Accent4 2 7" xfId="843"/>
    <cellStyle name="40% - Accent4 2 8" xfId="1242"/>
    <cellStyle name="40% - Accent4 2 9" xfId="804"/>
    <cellStyle name="40% - Accent5" xfId="433" builtinId="47" customBuiltin="1"/>
    <cellStyle name="40% - Accent5 2" xfId="211"/>
    <cellStyle name="40% - Accent5 2 2" xfId="212"/>
    <cellStyle name="40% - Accent5 2 2 2" xfId="213"/>
    <cellStyle name="40% - Accent5 2 2 2 2" xfId="214"/>
    <cellStyle name="40% - Accent5 2 2 2 2 2" xfId="215"/>
    <cellStyle name="40% - Accent5 2 2 2 2 2 2" xfId="849"/>
    <cellStyle name="40% - Accent5 2 2 2 2 2 3" xfId="1468"/>
    <cellStyle name="40% - Accent5 2 2 2 2 2 4" xfId="848"/>
    <cellStyle name="40% - Accent5 2 2 2 2 3" xfId="850"/>
    <cellStyle name="40% - Accent5 2 2 2 2 4" xfId="1467"/>
    <cellStyle name="40% - Accent5 2 2 2 2 5" xfId="847"/>
    <cellStyle name="40% - Accent5 2 2 2 3" xfId="216"/>
    <cellStyle name="40% - Accent5 2 2 2 3 2" xfId="852"/>
    <cellStyle name="40% - Accent5 2 2 2 3 3" xfId="1469"/>
    <cellStyle name="40% - Accent5 2 2 2 3 4" xfId="851"/>
    <cellStyle name="40% - Accent5 2 2 2 4" xfId="217"/>
    <cellStyle name="40% - Accent5 2 2 2 4 2" xfId="854"/>
    <cellStyle name="40% - Accent5 2 2 2 4 3" xfId="1470"/>
    <cellStyle name="40% - Accent5 2 2 2 4 4" xfId="853"/>
    <cellStyle name="40% - Accent5 2 2 2 5" xfId="855"/>
    <cellStyle name="40% - Accent5 2 2 2 6" xfId="1300"/>
    <cellStyle name="40% - Accent5 2 2 2 7" xfId="846"/>
    <cellStyle name="40% - Accent5 2 2 3" xfId="218"/>
    <cellStyle name="40% - Accent5 2 2 3 2" xfId="219"/>
    <cellStyle name="40% - Accent5 2 2 3 2 2" xfId="858"/>
    <cellStyle name="40% - Accent5 2 2 3 2 3" xfId="1472"/>
    <cellStyle name="40% - Accent5 2 2 3 2 4" xfId="857"/>
    <cellStyle name="40% - Accent5 2 2 3 3" xfId="859"/>
    <cellStyle name="40% - Accent5 2 2 3 4" xfId="1471"/>
    <cellStyle name="40% - Accent5 2 2 3 5" xfId="856"/>
    <cellStyle name="40% - Accent5 2 2 4" xfId="220"/>
    <cellStyle name="40% - Accent5 2 2 4 2" xfId="861"/>
    <cellStyle name="40% - Accent5 2 2 4 3" xfId="1473"/>
    <cellStyle name="40% - Accent5 2 2 4 4" xfId="860"/>
    <cellStyle name="40% - Accent5 2 2 5" xfId="221"/>
    <cellStyle name="40% - Accent5 2 2 5 2" xfId="863"/>
    <cellStyle name="40% - Accent5 2 2 5 3" xfId="1474"/>
    <cellStyle name="40% - Accent5 2 2 5 4" xfId="862"/>
    <cellStyle name="40% - Accent5 2 2 6" xfId="864"/>
    <cellStyle name="40% - Accent5 2 2 7" xfId="1262"/>
    <cellStyle name="40% - Accent5 2 2 8" xfId="845"/>
    <cellStyle name="40% - Accent5 2 3" xfId="222"/>
    <cellStyle name="40% - Accent5 2 3 2" xfId="223"/>
    <cellStyle name="40% - Accent5 2 3 2 2" xfId="224"/>
    <cellStyle name="40% - Accent5 2 3 2 2 2" xfId="868"/>
    <cellStyle name="40% - Accent5 2 3 2 2 3" xfId="1476"/>
    <cellStyle name="40% - Accent5 2 3 2 2 4" xfId="867"/>
    <cellStyle name="40% - Accent5 2 3 2 3" xfId="869"/>
    <cellStyle name="40% - Accent5 2 3 2 4" xfId="1475"/>
    <cellStyle name="40% - Accent5 2 3 2 5" xfId="866"/>
    <cellStyle name="40% - Accent5 2 3 3" xfId="225"/>
    <cellStyle name="40% - Accent5 2 3 3 2" xfId="871"/>
    <cellStyle name="40% - Accent5 2 3 3 3" xfId="1477"/>
    <cellStyle name="40% - Accent5 2 3 3 4" xfId="870"/>
    <cellStyle name="40% - Accent5 2 3 4" xfId="226"/>
    <cellStyle name="40% - Accent5 2 3 4 2" xfId="873"/>
    <cellStyle name="40% - Accent5 2 3 4 3" xfId="1478"/>
    <cellStyle name="40% - Accent5 2 3 4 4" xfId="872"/>
    <cellStyle name="40% - Accent5 2 3 5" xfId="874"/>
    <cellStyle name="40% - Accent5 2 3 6" xfId="1281"/>
    <cellStyle name="40% - Accent5 2 3 7" xfId="865"/>
    <cellStyle name="40% - Accent5 2 4" xfId="227"/>
    <cellStyle name="40% - Accent5 2 4 2" xfId="228"/>
    <cellStyle name="40% - Accent5 2 4 2 2" xfId="877"/>
    <cellStyle name="40% - Accent5 2 4 2 3" xfId="1480"/>
    <cellStyle name="40% - Accent5 2 4 2 4" xfId="876"/>
    <cellStyle name="40% - Accent5 2 4 3" xfId="878"/>
    <cellStyle name="40% - Accent5 2 4 4" xfId="1479"/>
    <cellStyle name="40% - Accent5 2 4 5" xfId="875"/>
    <cellStyle name="40% - Accent5 2 5" xfId="229"/>
    <cellStyle name="40% - Accent5 2 5 2" xfId="880"/>
    <cellStyle name="40% - Accent5 2 5 3" xfId="1481"/>
    <cellStyle name="40% - Accent5 2 5 4" xfId="879"/>
    <cellStyle name="40% - Accent5 2 6" xfId="230"/>
    <cellStyle name="40% - Accent5 2 6 2" xfId="882"/>
    <cellStyle name="40% - Accent5 2 6 3" xfId="1482"/>
    <cellStyle name="40% - Accent5 2 6 4" xfId="881"/>
    <cellStyle name="40% - Accent5 2 7" xfId="883"/>
    <cellStyle name="40% - Accent5 2 8" xfId="1243"/>
    <cellStyle name="40% - Accent5 2 9" xfId="844"/>
    <cellStyle name="40% - Accent6" xfId="437" builtinId="51" customBuiltin="1"/>
    <cellStyle name="40% - Accent6 2" xfId="231"/>
    <cellStyle name="40% - Accent6 2 2" xfId="232"/>
    <cellStyle name="40% - Accent6 2 2 2" xfId="233"/>
    <cellStyle name="40% - Accent6 2 2 2 2" xfId="234"/>
    <cellStyle name="40% - Accent6 2 2 2 2 2" xfId="235"/>
    <cellStyle name="40% - Accent6 2 2 2 2 2 2" xfId="889"/>
    <cellStyle name="40% - Accent6 2 2 2 2 2 3" xfId="1484"/>
    <cellStyle name="40% - Accent6 2 2 2 2 2 4" xfId="888"/>
    <cellStyle name="40% - Accent6 2 2 2 2 3" xfId="890"/>
    <cellStyle name="40% - Accent6 2 2 2 2 4" xfId="1483"/>
    <cellStyle name="40% - Accent6 2 2 2 2 5" xfId="887"/>
    <cellStyle name="40% - Accent6 2 2 2 3" xfId="236"/>
    <cellStyle name="40% - Accent6 2 2 2 3 2" xfId="892"/>
    <cellStyle name="40% - Accent6 2 2 2 3 3" xfId="1485"/>
    <cellStyle name="40% - Accent6 2 2 2 3 4" xfId="891"/>
    <cellStyle name="40% - Accent6 2 2 2 4" xfId="237"/>
    <cellStyle name="40% - Accent6 2 2 2 4 2" xfId="894"/>
    <cellStyle name="40% - Accent6 2 2 2 4 3" xfId="1486"/>
    <cellStyle name="40% - Accent6 2 2 2 4 4" xfId="893"/>
    <cellStyle name="40% - Accent6 2 2 2 5" xfId="895"/>
    <cellStyle name="40% - Accent6 2 2 2 6" xfId="1301"/>
    <cellStyle name="40% - Accent6 2 2 2 7" xfId="886"/>
    <cellStyle name="40% - Accent6 2 2 3" xfId="238"/>
    <cellStyle name="40% - Accent6 2 2 3 2" xfId="239"/>
    <cellStyle name="40% - Accent6 2 2 3 2 2" xfId="898"/>
    <cellStyle name="40% - Accent6 2 2 3 2 3" xfId="1488"/>
    <cellStyle name="40% - Accent6 2 2 3 2 4" xfId="897"/>
    <cellStyle name="40% - Accent6 2 2 3 3" xfId="899"/>
    <cellStyle name="40% - Accent6 2 2 3 4" xfId="1487"/>
    <cellStyle name="40% - Accent6 2 2 3 5" xfId="896"/>
    <cellStyle name="40% - Accent6 2 2 4" xfId="240"/>
    <cellStyle name="40% - Accent6 2 2 4 2" xfId="901"/>
    <cellStyle name="40% - Accent6 2 2 4 3" xfId="1489"/>
    <cellStyle name="40% - Accent6 2 2 4 4" xfId="900"/>
    <cellStyle name="40% - Accent6 2 2 5" xfId="241"/>
    <cellStyle name="40% - Accent6 2 2 5 2" xfId="903"/>
    <cellStyle name="40% - Accent6 2 2 5 3" xfId="1490"/>
    <cellStyle name="40% - Accent6 2 2 5 4" xfId="902"/>
    <cellStyle name="40% - Accent6 2 2 6" xfId="904"/>
    <cellStyle name="40% - Accent6 2 2 7" xfId="1263"/>
    <cellStyle name="40% - Accent6 2 2 8" xfId="885"/>
    <cellStyle name="40% - Accent6 2 3" xfId="242"/>
    <cellStyle name="40% - Accent6 2 3 2" xfId="243"/>
    <cellStyle name="40% - Accent6 2 3 2 2" xfId="244"/>
    <cellStyle name="40% - Accent6 2 3 2 2 2" xfId="908"/>
    <cellStyle name="40% - Accent6 2 3 2 2 3" xfId="1492"/>
    <cellStyle name="40% - Accent6 2 3 2 2 4" xfId="907"/>
    <cellStyle name="40% - Accent6 2 3 2 3" xfId="909"/>
    <cellStyle name="40% - Accent6 2 3 2 4" xfId="1491"/>
    <cellStyle name="40% - Accent6 2 3 2 5" xfId="906"/>
    <cellStyle name="40% - Accent6 2 3 3" xfId="245"/>
    <cellStyle name="40% - Accent6 2 3 3 2" xfId="911"/>
    <cellStyle name="40% - Accent6 2 3 3 3" xfId="1493"/>
    <cellStyle name="40% - Accent6 2 3 3 4" xfId="910"/>
    <cellStyle name="40% - Accent6 2 3 4" xfId="246"/>
    <cellStyle name="40% - Accent6 2 3 4 2" xfId="913"/>
    <cellStyle name="40% - Accent6 2 3 4 3" xfId="1494"/>
    <cellStyle name="40% - Accent6 2 3 4 4" xfId="912"/>
    <cellStyle name="40% - Accent6 2 3 5" xfId="914"/>
    <cellStyle name="40% - Accent6 2 3 6" xfId="1282"/>
    <cellStyle name="40% - Accent6 2 3 7" xfId="905"/>
    <cellStyle name="40% - Accent6 2 4" xfId="247"/>
    <cellStyle name="40% - Accent6 2 4 2" xfId="248"/>
    <cellStyle name="40% - Accent6 2 4 2 2" xfId="917"/>
    <cellStyle name="40% - Accent6 2 4 2 3" xfId="1496"/>
    <cellStyle name="40% - Accent6 2 4 2 4" xfId="916"/>
    <cellStyle name="40% - Accent6 2 4 3" xfId="918"/>
    <cellStyle name="40% - Accent6 2 4 4" xfId="1495"/>
    <cellStyle name="40% - Accent6 2 4 5" xfId="915"/>
    <cellStyle name="40% - Accent6 2 5" xfId="249"/>
    <cellStyle name="40% - Accent6 2 5 2" xfId="920"/>
    <cellStyle name="40% - Accent6 2 5 3" xfId="1497"/>
    <cellStyle name="40% - Accent6 2 5 4" xfId="919"/>
    <cellStyle name="40% - Accent6 2 6" xfId="250"/>
    <cellStyle name="40% - Accent6 2 6 2" xfId="922"/>
    <cellStyle name="40% - Accent6 2 6 3" xfId="1498"/>
    <cellStyle name="40% - Accent6 2 6 4" xfId="921"/>
    <cellStyle name="40% - Accent6 2 7" xfId="923"/>
    <cellStyle name="40% - Accent6 2 8" xfId="1244"/>
    <cellStyle name="40% - Accent6 2 9" xfId="884"/>
    <cellStyle name="60% - Accent1" xfId="418" builtinId="32" customBuiltin="1"/>
    <cellStyle name="60% - Accent2" xfId="422" builtinId="36" customBuiltin="1"/>
    <cellStyle name="60% - Accent3" xfId="426" builtinId="40" customBuiltin="1"/>
    <cellStyle name="60% - Accent4" xfId="430" builtinId="44" customBuiltin="1"/>
    <cellStyle name="60% - Accent5" xfId="434" builtinId="48" customBuiltin="1"/>
    <cellStyle name="60% - Accent6" xfId="438" builtinId="52" customBuiltin="1"/>
    <cellStyle name="Accent1" xfId="415" builtinId="29" customBuiltin="1"/>
    <cellStyle name="Accent2" xfId="419" builtinId="33" customBuiltin="1"/>
    <cellStyle name="Accent3" xfId="423" builtinId="37" customBuiltin="1"/>
    <cellStyle name="Accent4" xfId="427" builtinId="41" customBuiltin="1"/>
    <cellStyle name="Accent5" xfId="431" builtinId="45" customBuiltin="1"/>
    <cellStyle name="Accent6" xfId="435" builtinId="49" customBuiltin="1"/>
    <cellStyle name="Bad" xfId="405" builtinId="27" customBuiltin="1"/>
    <cellStyle name="Calculation" xfId="409" builtinId="22" customBuiltin="1"/>
    <cellStyle name="Check Cell" xfId="411" builtinId="23" customBuiltin="1"/>
    <cellStyle name="Comma" xfId="398" builtinId="3"/>
    <cellStyle name="Comma 2" xfId="3"/>
    <cellStyle name="Comma 3" xfId="9"/>
    <cellStyle name="Comma 3 10" xfId="442"/>
    <cellStyle name="Comma 3 2" xfId="251"/>
    <cellStyle name="Comma 3 2 2" xfId="252"/>
    <cellStyle name="Comma 3 2 2 2" xfId="253"/>
    <cellStyle name="Comma 3 2 2 2 2" xfId="254"/>
    <cellStyle name="Comma 3 2 2 2 2 2" xfId="928"/>
    <cellStyle name="Comma 3 2 2 2 2 3" xfId="1500"/>
    <cellStyle name="Comma 3 2 2 2 2 4" xfId="927"/>
    <cellStyle name="Comma 3 2 2 2 3" xfId="929"/>
    <cellStyle name="Comma 3 2 2 2 4" xfId="1499"/>
    <cellStyle name="Comma 3 2 2 2 5" xfId="926"/>
    <cellStyle name="Comma 3 2 2 3" xfId="255"/>
    <cellStyle name="Comma 3 2 2 3 2" xfId="931"/>
    <cellStyle name="Comma 3 2 2 3 3" xfId="1501"/>
    <cellStyle name="Comma 3 2 2 3 4" xfId="930"/>
    <cellStyle name="Comma 3 2 2 4" xfId="256"/>
    <cellStyle name="Comma 3 2 2 4 2" xfId="933"/>
    <cellStyle name="Comma 3 2 2 4 3" xfId="1502"/>
    <cellStyle name="Comma 3 2 2 4 4" xfId="932"/>
    <cellStyle name="Comma 3 2 2 5" xfId="934"/>
    <cellStyle name="Comma 3 2 2 6" xfId="1288"/>
    <cellStyle name="Comma 3 2 2 7" xfId="925"/>
    <cellStyle name="Comma 3 2 3" xfId="257"/>
    <cellStyle name="Comma 3 2 3 2" xfId="258"/>
    <cellStyle name="Comma 3 2 3 2 2" xfId="937"/>
    <cellStyle name="Comma 3 2 3 2 3" xfId="1504"/>
    <cellStyle name="Comma 3 2 3 2 4" xfId="936"/>
    <cellStyle name="Comma 3 2 3 3" xfId="938"/>
    <cellStyle name="Comma 3 2 3 4" xfId="1503"/>
    <cellStyle name="Comma 3 2 3 5" xfId="935"/>
    <cellStyle name="Comma 3 2 4" xfId="259"/>
    <cellStyle name="Comma 3 2 4 2" xfId="940"/>
    <cellStyle name="Comma 3 2 4 3" xfId="1505"/>
    <cellStyle name="Comma 3 2 4 4" xfId="939"/>
    <cellStyle name="Comma 3 2 5" xfId="260"/>
    <cellStyle name="Comma 3 2 5 2" xfId="942"/>
    <cellStyle name="Comma 3 2 5 3" xfId="1506"/>
    <cellStyle name="Comma 3 2 5 4" xfId="941"/>
    <cellStyle name="Comma 3 2 6" xfId="943"/>
    <cellStyle name="Comma 3 2 7" xfId="1250"/>
    <cellStyle name="Comma 3 2 8" xfId="924"/>
    <cellStyle name="Comma 3 3" xfId="261"/>
    <cellStyle name="Comma 3 3 2" xfId="262"/>
    <cellStyle name="Comma 3 3 2 2" xfId="263"/>
    <cellStyle name="Comma 3 3 2 2 2" xfId="947"/>
    <cellStyle name="Comma 3 3 2 2 3" xfId="1508"/>
    <cellStyle name="Comma 3 3 2 2 4" xfId="946"/>
    <cellStyle name="Comma 3 3 2 3" xfId="948"/>
    <cellStyle name="Comma 3 3 2 4" xfId="1507"/>
    <cellStyle name="Comma 3 3 2 5" xfId="945"/>
    <cellStyle name="Comma 3 3 3" xfId="264"/>
    <cellStyle name="Comma 3 3 3 2" xfId="950"/>
    <cellStyle name="Comma 3 3 3 3" xfId="1509"/>
    <cellStyle name="Comma 3 3 3 4" xfId="949"/>
    <cellStyle name="Comma 3 3 4" xfId="265"/>
    <cellStyle name="Comma 3 3 4 2" xfId="952"/>
    <cellStyle name="Comma 3 3 4 3" xfId="1510"/>
    <cellStyle name="Comma 3 3 4 4" xfId="951"/>
    <cellStyle name="Comma 3 3 5" xfId="953"/>
    <cellStyle name="Comma 3 3 6" xfId="1269"/>
    <cellStyle name="Comma 3 3 7" xfId="944"/>
    <cellStyle name="Comma 3 4" xfId="266"/>
    <cellStyle name="Comma 3 4 2" xfId="267"/>
    <cellStyle name="Comma 3 4 2 2" xfId="956"/>
    <cellStyle name="Comma 3 4 2 3" xfId="1512"/>
    <cellStyle name="Comma 3 4 2 4" xfId="955"/>
    <cellStyle name="Comma 3 4 3" xfId="957"/>
    <cellStyle name="Comma 3 4 4" xfId="1511"/>
    <cellStyle name="Comma 3 4 5" xfId="954"/>
    <cellStyle name="Comma 3 5" xfId="268"/>
    <cellStyle name="Comma 3 5 2" xfId="959"/>
    <cellStyle name="Comma 3 5 3" xfId="1513"/>
    <cellStyle name="Comma 3 5 4" xfId="958"/>
    <cellStyle name="Comma 3 6" xfId="269"/>
    <cellStyle name="Comma 3 6 2" xfId="961"/>
    <cellStyle name="Comma 3 6 3" xfId="1514"/>
    <cellStyle name="Comma 3 6 4" xfId="960"/>
    <cellStyle name="Comma 3 7" xfId="962"/>
    <cellStyle name="Comma 3 8" xfId="1223"/>
    <cellStyle name="Comma 3 9" xfId="1231"/>
    <cellStyle name="Comma 4" xfId="439"/>
    <cellStyle name="Comma 5" xfId="1306"/>
    <cellStyle name="Comma 6" xfId="1226"/>
    <cellStyle name="Comma_charter school revenue frame" xfId="6"/>
    <cellStyle name="Currency 2" xfId="8"/>
    <cellStyle name="Currency 2 10" xfId="441"/>
    <cellStyle name="Currency 2 2" xfId="270"/>
    <cellStyle name="Currency 2 2 2" xfId="271"/>
    <cellStyle name="Currency 2 2 2 2" xfId="272"/>
    <cellStyle name="Currency 2 2 2 2 2" xfId="273"/>
    <cellStyle name="Currency 2 2 2 2 2 2" xfId="967"/>
    <cellStyle name="Currency 2 2 2 2 2 3" xfId="1516"/>
    <cellStyle name="Currency 2 2 2 2 2 4" xfId="966"/>
    <cellStyle name="Currency 2 2 2 2 3" xfId="968"/>
    <cellStyle name="Currency 2 2 2 2 4" xfId="1515"/>
    <cellStyle name="Currency 2 2 2 2 5" xfId="965"/>
    <cellStyle name="Currency 2 2 2 3" xfId="274"/>
    <cellStyle name="Currency 2 2 2 3 2" xfId="970"/>
    <cellStyle name="Currency 2 2 2 3 3" xfId="1517"/>
    <cellStyle name="Currency 2 2 2 3 4" xfId="969"/>
    <cellStyle name="Currency 2 2 2 4" xfId="275"/>
    <cellStyle name="Currency 2 2 2 4 2" xfId="972"/>
    <cellStyle name="Currency 2 2 2 4 3" xfId="1518"/>
    <cellStyle name="Currency 2 2 2 4 4" xfId="971"/>
    <cellStyle name="Currency 2 2 2 5" xfId="973"/>
    <cellStyle name="Currency 2 2 2 6" xfId="1287"/>
    <cellStyle name="Currency 2 2 2 7" xfId="964"/>
    <cellStyle name="Currency 2 2 3" xfId="276"/>
    <cellStyle name="Currency 2 2 3 2" xfId="277"/>
    <cellStyle name="Currency 2 2 3 2 2" xfId="976"/>
    <cellStyle name="Currency 2 2 3 2 3" xfId="1520"/>
    <cellStyle name="Currency 2 2 3 2 4" xfId="975"/>
    <cellStyle name="Currency 2 2 3 3" xfId="977"/>
    <cellStyle name="Currency 2 2 3 4" xfId="1519"/>
    <cellStyle name="Currency 2 2 3 5" xfId="974"/>
    <cellStyle name="Currency 2 2 4" xfId="278"/>
    <cellStyle name="Currency 2 2 4 2" xfId="979"/>
    <cellStyle name="Currency 2 2 4 3" xfId="1521"/>
    <cellStyle name="Currency 2 2 4 4" xfId="978"/>
    <cellStyle name="Currency 2 2 5" xfId="279"/>
    <cellStyle name="Currency 2 2 5 2" xfId="981"/>
    <cellStyle name="Currency 2 2 5 3" xfId="1522"/>
    <cellStyle name="Currency 2 2 5 4" xfId="980"/>
    <cellStyle name="Currency 2 2 6" xfId="982"/>
    <cellStyle name="Currency 2 2 7" xfId="1249"/>
    <cellStyle name="Currency 2 2 8" xfId="963"/>
    <cellStyle name="Currency 2 3" xfId="280"/>
    <cellStyle name="Currency 2 3 2" xfId="281"/>
    <cellStyle name="Currency 2 3 2 2" xfId="282"/>
    <cellStyle name="Currency 2 3 2 2 2" xfId="986"/>
    <cellStyle name="Currency 2 3 2 2 3" xfId="1524"/>
    <cellStyle name="Currency 2 3 2 2 4" xfId="985"/>
    <cellStyle name="Currency 2 3 2 3" xfId="987"/>
    <cellStyle name="Currency 2 3 2 4" xfId="1523"/>
    <cellStyle name="Currency 2 3 2 5" xfId="984"/>
    <cellStyle name="Currency 2 3 3" xfId="283"/>
    <cellStyle name="Currency 2 3 3 2" xfId="989"/>
    <cellStyle name="Currency 2 3 3 3" xfId="1525"/>
    <cellStyle name="Currency 2 3 3 4" xfId="988"/>
    <cellStyle name="Currency 2 3 4" xfId="284"/>
    <cellStyle name="Currency 2 3 4 2" xfId="991"/>
    <cellStyle name="Currency 2 3 4 3" xfId="1526"/>
    <cellStyle name="Currency 2 3 4 4" xfId="990"/>
    <cellStyle name="Currency 2 3 5" xfId="992"/>
    <cellStyle name="Currency 2 3 6" xfId="1268"/>
    <cellStyle name="Currency 2 3 7" xfId="983"/>
    <cellStyle name="Currency 2 4" xfId="285"/>
    <cellStyle name="Currency 2 4 2" xfId="286"/>
    <cellStyle name="Currency 2 4 2 2" xfId="995"/>
    <cellStyle name="Currency 2 4 2 3" xfId="1528"/>
    <cellStyle name="Currency 2 4 2 4" xfId="994"/>
    <cellStyle name="Currency 2 4 3" xfId="996"/>
    <cellStyle name="Currency 2 4 4" xfId="1527"/>
    <cellStyle name="Currency 2 4 5" xfId="993"/>
    <cellStyle name="Currency 2 5" xfId="287"/>
    <cellStyle name="Currency 2 5 2" xfId="998"/>
    <cellStyle name="Currency 2 5 3" xfId="1529"/>
    <cellStyle name="Currency 2 5 4" xfId="997"/>
    <cellStyle name="Currency 2 6" xfId="288"/>
    <cellStyle name="Currency 2 6 2" xfId="1000"/>
    <cellStyle name="Currency 2 6 3" xfId="1530"/>
    <cellStyle name="Currency 2 6 4" xfId="999"/>
    <cellStyle name="Currency 2 7" xfId="1001"/>
    <cellStyle name="Currency 2 8" xfId="1222"/>
    <cellStyle name="Currency 2 9" xfId="1230"/>
    <cellStyle name="Currency 3" xfId="289"/>
    <cellStyle name="Currency 4" xfId="290"/>
    <cellStyle name="Currency 4 2" xfId="291"/>
    <cellStyle name="Currency 4 2 2" xfId="292"/>
    <cellStyle name="Currency 4 2 2 2" xfId="1005"/>
    <cellStyle name="Currency 4 2 2 3" xfId="1533"/>
    <cellStyle name="Currency 4 2 2 4" xfId="1004"/>
    <cellStyle name="Currency 4 2 3" xfId="1006"/>
    <cellStyle name="Currency 4 2 4" xfId="1532"/>
    <cellStyle name="Currency 4 2 5" xfId="1003"/>
    <cellStyle name="Currency 4 3" xfId="293"/>
    <cellStyle name="Currency 4 3 2" xfId="1008"/>
    <cellStyle name="Currency 4 3 3" xfId="1534"/>
    <cellStyle name="Currency 4 3 4" xfId="1007"/>
    <cellStyle name="Currency 4 4" xfId="294"/>
    <cellStyle name="Currency 4 4 2" xfId="1010"/>
    <cellStyle name="Currency 4 4 3" xfId="1535"/>
    <cellStyle name="Currency 4 4 4" xfId="1009"/>
    <cellStyle name="Currency 4 5" xfId="1011"/>
    <cellStyle name="Currency 4 6" xfId="1531"/>
    <cellStyle name="Currency 4 7" xfId="1002"/>
    <cellStyle name="Currency_charter school revenue frame" xfId="5"/>
    <cellStyle name="Explanatory Text" xfId="413" builtinId="53" customBuiltin="1"/>
    <cellStyle name="Good" xfId="404" builtinId="26" customBuiltin="1"/>
    <cellStyle name="Heading 1" xfId="400" builtinId="16" customBuiltin="1"/>
    <cellStyle name="Heading 2" xfId="401" builtinId="17" customBuiltin="1"/>
    <cellStyle name="Heading 3" xfId="402" builtinId="18" customBuiltin="1"/>
    <cellStyle name="Heading 4" xfId="403" builtinId="19" customBuiltin="1"/>
    <cellStyle name="Input" xfId="407" builtinId="20" customBuiltin="1"/>
    <cellStyle name="Linked Cell" xfId="410" builtinId="24" customBuiltin="1"/>
    <cellStyle name="n_nvision1" xfId="1"/>
    <cellStyle name="Neutral" xfId="406" builtinId="28" customBuiltin="1"/>
    <cellStyle name="Normal" xfId="0" builtinId="0"/>
    <cellStyle name="Normal 2" xfId="2"/>
    <cellStyle name="Normal 3" xfId="7"/>
    <cellStyle name="Normal 3 10" xfId="440"/>
    <cellStyle name="Normal 3 2" xfId="295"/>
    <cellStyle name="Normal 3 2 2" xfId="296"/>
    <cellStyle name="Normal 3 2 2 2" xfId="297"/>
    <cellStyle name="Normal 3 2 2 2 2" xfId="298"/>
    <cellStyle name="Normal 3 2 2 2 2 2" xfId="1016"/>
    <cellStyle name="Normal 3 2 2 2 2 3" xfId="1537"/>
    <cellStyle name="Normal 3 2 2 2 2 4" xfId="1015"/>
    <cellStyle name="Normal 3 2 2 2 3" xfId="1017"/>
    <cellStyle name="Normal 3 2 2 2 4" xfId="1536"/>
    <cellStyle name="Normal 3 2 2 2 5" xfId="1014"/>
    <cellStyle name="Normal 3 2 2 3" xfId="299"/>
    <cellStyle name="Normal 3 2 2 3 2" xfId="1019"/>
    <cellStyle name="Normal 3 2 2 3 3" xfId="1538"/>
    <cellStyle name="Normal 3 2 2 3 4" xfId="1018"/>
    <cellStyle name="Normal 3 2 2 4" xfId="300"/>
    <cellStyle name="Normal 3 2 2 4 2" xfId="1021"/>
    <cellStyle name="Normal 3 2 2 4 3" xfId="1539"/>
    <cellStyle name="Normal 3 2 2 4 4" xfId="1020"/>
    <cellStyle name="Normal 3 2 2 5" xfId="1022"/>
    <cellStyle name="Normal 3 2 2 6" xfId="1286"/>
    <cellStyle name="Normal 3 2 2 7" xfId="1013"/>
    <cellStyle name="Normal 3 2 3" xfId="301"/>
    <cellStyle name="Normal 3 2 3 2" xfId="302"/>
    <cellStyle name="Normal 3 2 3 2 2" xfId="1025"/>
    <cellStyle name="Normal 3 2 3 2 3" xfId="1541"/>
    <cellStyle name="Normal 3 2 3 2 4" xfId="1024"/>
    <cellStyle name="Normal 3 2 3 3" xfId="1026"/>
    <cellStyle name="Normal 3 2 3 4" xfId="1540"/>
    <cellStyle name="Normal 3 2 3 5" xfId="1023"/>
    <cellStyle name="Normal 3 2 4" xfId="303"/>
    <cellStyle name="Normal 3 2 4 2" xfId="1028"/>
    <cellStyle name="Normal 3 2 4 3" xfId="1542"/>
    <cellStyle name="Normal 3 2 4 4" xfId="1027"/>
    <cellStyle name="Normal 3 2 5" xfId="304"/>
    <cellStyle name="Normal 3 2 5 2" xfId="1030"/>
    <cellStyle name="Normal 3 2 5 3" xfId="1543"/>
    <cellStyle name="Normal 3 2 5 4" xfId="1029"/>
    <cellStyle name="Normal 3 2 6" xfId="1031"/>
    <cellStyle name="Normal 3 2 7" xfId="1248"/>
    <cellStyle name="Normal 3 2 8" xfId="1012"/>
    <cellStyle name="Normal 3 3" xfId="305"/>
    <cellStyle name="Normal 3 3 2" xfId="306"/>
    <cellStyle name="Normal 3 3 2 2" xfId="307"/>
    <cellStyle name="Normal 3 3 2 2 2" xfId="1035"/>
    <cellStyle name="Normal 3 3 2 2 3" xfId="1545"/>
    <cellStyle name="Normal 3 3 2 2 4" xfId="1034"/>
    <cellStyle name="Normal 3 3 2 3" xfId="1036"/>
    <cellStyle name="Normal 3 3 2 4" xfId="1544"/>
    <cellStyle name="Normal 3 3 2 5" xfId="1033"/>
    <cellStyle name="Normal 3 3 3" xfId="308"/>
    <cellStyle name="Normal 3 3 3 2" xfId="1038"/>
    <cellStyle name="Normal 3 3 3 3" xfId="1546"/>
    <cellStyle name="Normal 3 3 3 4" xfId="1037"/>
    <cellStyle name="Normal 3 3 4" xfId="309"/>
    <cellStyle name="Normal 3 3 4 2" xfId="1040"/>
    <cellStyle name="Normal 3 3 4 3" xfId="1547"/>
    <cellStyle name="Normal 3 3 4 4" xfId="1039"/>
    <cellStyle name="Normal 3 3 5" xfId="1041"/>
    <cellStyle name="Normal 3 3 6" xfId="1267"/>
    <cellStyle name="Normal 3 3 7" xfId="1032"/>
    <cellStyle name="Normal 3 4" xfId="310"/>
    <cellStyle name="Normal 3 4 2" xfId="311"/>
    <cellStyle name="Normal 3 4 2 2" xfId="1044"/>
    <cellStyle name="Normal 3 4 2 3" xfId="1549"/>
    <cellStyle name="Normal 3 4 2 4" xfId="1043"/>
    <cellStyle name="Normal 3 4 3" xfId="1045"/>
    <cellStyle name="Normal 3 4 4" xfId="1548"/>
    <cellStyle name="Normal 3 4 5" xfId="1042"/>
    <cellStyle name="Normal 3 5" xfId="312"/>
    <cellStyle name="Normal 3 5 2" xfId="1047"/>
    <cellStyle name="Normal 3 5 3" xfId="1550"/>
    <cellStyle name="Normal 3 5 4" xfId="1046"/>
    <cellStyle name="Normal 3 6" xfId="313"/>
    <cellStyle name="Normal 3 6 2" xfId="1049"/>
    <cellStyle name="Normal 3 6 3" xfId="1551"/>
    <cellStyle name="Normal 3 6 4" xfId="1048"/>
    <cellStyle name="Normal 3 7" xfId="1050"/>
    <cellStyle name="Normal 3 8" xfId="1221"/>
    <cellStyle name="Normal 3 9" xfId="1229"/>
    <cellStyle name="Normal 4" xfId="314"/>
    <cellStyle name="Normal 4 2" xfId="315"/>
    <cellStyle name="Normal 4 2 2" xfId="316"/>
    <cellStyle name="Normal 4 2 2 2" xfId="317"/>
    <cellStyle name="Normal 4 2 2 2 2" xfId="318"/>
    <cellStyle name="Normal 4 2 2 2 2 2" xfId="1056"/>
    <cellStyle name="Normal 4 2 2 2 2 3" xfId="1553"/>
    <cellStyle name="Normal 4 2 2 2 2 4" xfId="1055"/>
    <cellStyle name="Normal 4 2 2 2 3" xfId="1057"/>
    <cellStyle name="Normal 4 2 2 2 4" xfId="1552"/>
    <cellStyle name="Normal 4 2 2 2 5" xfId="1054"/>
    <cellStyle name="Normal 4 2 2 3" xfId="319"/>
    <cellStyle name="Normal 4 2 2 3 2" xfId="1059"/>
    <cellStyle name="Normal 4 2 2 3 3" xfId="1554"/>
    <cellStyle name="Normal 4 2 2 3 4" xfId="1058"/>
    <cellStyle name="Normal 4 2 2 4" xfId="320"/>
    <cellStyle name="Normal 4 2 2 4 2" xfId="1061"/>
    <cellStyle name="Normal 4 2 2 4 3" xfId="1555"/>
    <cellStyle name="Normal 4 2 2 4 4" xfId="1060"/>
    <cellStyle name="Normal 4 2 2 5" xfId="1062"/>
    <cellStyle name="Normal 4 2 2 6" xfId="1302"/>
    <cellStyle name="Normal 4 2 2 7" xfId="1053"/>
    <cellStyle name="Normal 4 2 3" xfId="321"/>
    <cellStyle name="Normal 4 2 3 2" xfId="322"/>
    <cellStyle name="Normal 4 2 3 2 2" xfId="1065"/>
    <cellStyle name="Normal 4 2 3 2 3" xfId="1557"/>
    <cellStyle name="Normal 4 2 3 2 4" xfId="1064"/>
    <cellStyle name="Normal 4 2 3 3" xfId="1066"/>
    <cellStyle name="Normal 4 2 3 4" xfId="1556"/>
    <cellStyle name="Normal 4 2 3 5" xfId="1063"/>
    <cellStyle name="Normal 4 2 4" xfId="323"/>
    <cellStyle name="Normal 4 2 4 2" xfId="1068"/>
    <cellStyle name="Normal 4 2 4 3" xfId="1558"/>
    <cellStyle name="Normal 4 2 4 4" xfId="1067"/>
    <cellStyle name="Normal 4 2 5" xfId="324"/>
    <cellStyle name="Normal 4 2 5 2" xfId="1070"/>
    <cellStyle name="Normal 4 2 5 3" xfId="1559"/>
    <cellStyle name="Normal 4 2 5 4" xfId="1069"/>
    <cellStyle name="Normal 4 2 6" xfId="1071"/>
    <cellStyle name="Normal 4 2 7" xfId="1264"/>
    <cellStyle name="Normal 4 2 8" xfId="1052"/>
    <cellStyle name="Normal 4 3" xfId="325"/>
    <cellStyle name="Normal 4 3 2" xfId="326"/>
    <cellStyle name="Normal 4 3 2 2" xfId="327"/>
    <cellStyle name="Normal 4 3 2 2 2" xfId="1075"/>
    <cellStyle name="Normal 4 3 2 2 3" xfId="1561"/>
    <cellStyle name="Normal 4 3 2 2 4" xfId="1074"/>
    <cellStyle name="Normal 4 3 2 3" xfId="1076"/>
    <cellStyle name="Normal 4 3 2 4" xfId="1560"/>
    <cellStyle name="Normal 4 3 2 5" xfId="1073"/>
    <cellStyle name="Normal 4 3 3" xfId="328"/>
    <cellStyle name="Normal 4 3 3 2" xfId="1078"/>
    <cellStyle name="Normal 4 3 3 3" xfId="1562"/>
    <cellStyle name="Normal 4 3 3 4" xfId="1077"/>
    <cellStyle name="Normal 4 3 4" xfId="329"/>
    <cellStyle name="Normal 4 3 4 2" xfId="1080"/>
    <cellStyle name="Normal 4 3 4 3" xfId="1563"/>
    <cellStyle name="Normal 4 3 4 4" xfId="1079"/>
    <cellStyle name="Normal 4 3 5" xfId="1081"/>
    <cellStyle name="Normal 4 3 6" xfId="1283"/>
    <cellStyle name="Normal 4 3 7" xfId="1072"/>
    <cellStyle name="Normal 4 4" xfId="330"/>
    <cellStyle name="Normal 4 4 2" xfId="331"/>
    <cellStyle name="Normal 4 4 2 2" xfId="1084"/>
    <cellStyle name="Normal 4 4 2 3" xfId="1565"/>
    <cellStyle name="Normal 4 4 2 4" xfId="1083"/>
    <cellStyle name="Normal 4 4 3" xfId="1085"/>
    <cellStyle name="Normal 4 4 4" xfId="1564"/>
    <cellStyle name="Normal 4 4 5" xfId="1082"/>
    <cellStyle name="Normal 4 5" xfId="332"/>
    <cellStyle name="Normal 4 5 2" xfId="1087"/>
    <cellStyle name="Normal 4 5 3" xfId="1566"/>
    <cellStyle name="Normal 4 5 4" xfId="1086"/>
    <cellStyle name="Normal 4 6" xfId="333"/>
    <cellStyle name="Normal 4 6 2" xfId="1089"/>
    <cellStyle name="Normal 4 6 3" xfId="1567"/>
    <cellStyle name="Normal 4 6 4" xfId="1088"/>
    <cellStyle name="Normal 4 7" xfId="1090"/>
    <cellStyle name="Normal 4 8" xfId="1245"/>
    <cellStyle name="Normal 4 9" xfId="1051"/>
    <cellStyle name="Normal 5" xfId="334"/>
    <cellStyle name="Normal 5 2" xfId="335"/>
    <cellStyle name="Normal 5 2 2" xfId="336"/>
    <cellStyle name="Normal 5 2 2 2" xfId="1094"/>
    <cellStyle name="Normal 5 2 2 3" xfId="1570"/>
    <cellStyle name="Normal 5 2 2 4" xfId="1093"/>
    <cellStyle name="Normal 5 2 3" xfId="1095"/>
    <cellStyle name="Normal 5 2 4" xfId="1569"/>
    <cellStyle name="Normal 5 2 5" xfId="1092"/>
    <cellStyle name="Normal 5 3" xfId="337"/>
    <cellStyle name="Normal 5 3 2" xfId="1097"/>
    <cellStyle name="Normal 5 3 3" xfId="1571"/>
    <cellStyle name="Normal 5 3 4" xfId="1096"/>
    <cellStyle name="Normal 5 4" xfId="338"/>
    <cellStyle name="Normal 5 4 2" xfId="1099"/>
    <cellStyle name="Normal 5 4 3" xfId="1572"/>
    <cellStyle name="Normal 5 4 4" xfId="1098"/>
    <cellStyle name="Normal 5 5" xfId="1100"/>
    <cellStyle name="Normal 5 5 2" xfId="1568"/>
    <cellStyle name="Normal 5 6" xfId="1228"/>
    <cellStyle name="Normal 5 7" xfId="1091"/>
    <cellStyle name="Normal 6" xfId="1305"/>
    <cellStyle name="Normal 7" xfId="1621"/>
    <cellStyle name="Normal 8" xfId="1225"/>
    <cellStyle name="Note 2" xfId="339"/>
    <cellStyle name="Note 2 2" xfId="340"/>
    <cellStyle name="Note 2 2 2" xfId="341"/>
    <cellStyle name="Note 2 2 2 2" xfId="342"/>
    <cellStyle name="Note 2 2 2 2 2" xfId="343"/>
    <cellStyle name="Note 2 2 2 2 2 2" xfId="1106"/>
    <cellStyle name="Note 2 2 2 2 2 3" xfId="1574"/>
    <cellStyle name="Note 2 2 2 2 2 4" xfId="1105"/>
    <cellStyle name="Note 2 2 2 2 3" xfId="1107"/>
    <cellStyle name="Note 2 2 2 2 4" xfId="1573"/>
    <cellStyle name="Note 2 2 2 2 5" xfId="1104"/>
    <cellStyle name="Note 2 2 2 3" xfId="344"/>
    <cellStyle name="Note 2 2 2 3 2" xfId="1109"/>
    <cellStyle name="Note 2 2 2 3 3" xfId="1575"/>
    <cellStyle name="Note 2 2 2 3 4" xfId="1108"/>
    <cellStyle name="Note 2 2 2 4" xfId="345"/>
    <cellStyle name="Note 2 2 2 4 2" xfId="1111"/>
    <cellStyle name="Note 2 2 2 4 3" xfId="1576"/>
    <cellStyle name="Note 2 2 2 4 4" xfId="1110"/>
    <cellStyle name="Note 2 2 2 5" xfId="1112"/>
    <cellStyle name="Note 2 2 2 6" xfId="1303"/>
    <cellStyle name="Note 2 2 2 7" xfId="1103"/>
    <cellStyle name="Note 2 2 3" xfId="346"/>
    <cellStyle name="Note 2 2 3 2" xfId="347"/>
    <cellStyle name="Note 2 2 3 2 2" xfId="1115"/>
    <cellStyle name="Note 2 2 3 2 3" xfId="1578"/>
    <cellStyle name="Note 2 2 3 2 4" xfId="1114"/>
    <cellStyle name="Note 2 2 3 3" xfId="1116"/>
    <cellStyle name="Note 2 2 3 4" xfId="1577"/>
    <cellStyle name="Note 2 2 3 5" xfId="1113"/>
    <cellStyle name="Note 2 2 4" xfId="348"/>
    <cellStyle name="Note 2 2 4 2" xfId="1118"/>
    <cellStyle name="Note 2 2 4 3" xfId="1579"/>
    <cellStyle name="Note 2 2 4 4" xfId="1117"/>
    <cellStyle name="Note 2 2 5" xfId="349"/>
    <cellStyle name="Note 2 2 5 2" xfId="1120"/>
    <cellStyle name="Note 2 2 5 3" xfId="1580"/>
    <cellStyle name="Note 2 2 5 4" xfId="1119"/>
    <cellStyle name="Note 2 2 6" xfId="1121"/>
    <cellStyle name="Note 2 2 7" xfId="1265"/>
    <cellStyle name="Note 2 2 8" xfId="1102"/>
    <cellStyle name="Note 2 3" xfId="350"/>
    <cellStyle name="Note 2 3 2" xfId="351"/>
    <cellStyle name="Note 2 3 2 2" xfId="352"/>
    <cellStyle name="Note 2 3 2 2 2" xfId="1125"/>
    <cellStyle name="Note 2 3 2 2 3" xfId="1582"/>
    <cellStyle name="Note 2 3 2 2 4" xfId="1124"/>
    <cellStyle name="Note 2 3 2 3" xfId="1126"/>
    <cellStyle name="Note 2 3 2 4" xfId="1581"/>
    <cellStyle name="Note 2 3 2 5" xfId="1123"/>
    <cellStyle name="Note 2 3 3" xfId="353"/>
    <cellStyle name="Note 2 3 3 2" xfId="1128"/>
    <cellStyle name="Note 2 3 3 3" xfId="1583"/>
    <cellStyle name="Note 2 3 3 4" xfId="1127"/>
    <cellStyle name="Note 2 3 4" xfId="354"/>
    <cellStyle name="Note 2 3 4 2" xfId="1130"/>
    <cellStyle name="Note 2 3 4 3" xfId="1584"/>
    <cellStyle name="Note 2 3 4 4" xfId="1129"/>
    <cellStyle name="Note 2 3 5" xfId="1131"/>
    <cellStyle name="Note 2 3 6" xfId="1284"/>
    <cellStyle name="Note 2 3 7" xfId="1122"/>
    <cellStyle name="Note 2 4" xfId="355"/>
    <cellStyle name="Note 2 4 2" xfId="356"/>
    <cellStyle name="Note 2 4 2 2" xfId="1134"/>
    <cellStyle name="Note 2 4 2 3" xfId="1586"/>
    <cellStyle name="Note 2 4 2 4" xfId="1133"/>
    <cellStyle name="Note 2 4 3" xfId="1135"/>
    <cellStyle name="Note 2 4 4" xfId="1585"/>
    <cellStyle name="Note 2 4 5" xfId="1132"/>
    <cellStyle name="Note 2 5" xfId="357"/>
    <cellStyle name="Note 2 5 2" xfId="1137"/>
    <cellStyle name="Note 2 5 3" xfId="1587"/>
    <cellStyle name="Note 2 5 4" xfId="1136"/>
    <cellStyle name="Note 2 6" xfId="358"/>
    <cellStyle name="Note 2 6 2" xfId="1139"/>
    <cellStyle name="Note 2 6 3" xfId="1588"/>
    <cellStyle name="Note 2 6 4" xfId="1138"/>
    <cellStyle name="Note 2 7" xfId="1140"/>
    <cellStyle name="Note 2 8" xfId="1246"/>
    <cellStyle name="Note 2 9" xfId="1101"/>
    <cellStyle name="Note 3" xfId="359"/>
    <cellStyle name="Note 3 2" xfId="360"/>
    <cellStyle name="Note 3 2 2" xfId="361"/>
    <cellStyle name="Note 3 2 2 2" xfId="362"/>
    <cellStyle name="Note 3 2 2 2 2" xfId="363"/>
    <cellStyle name="Note 3 2 2 2 2 2" xfId="1146"/>
    <cellStyle name="Note 3 2 2 2 2 3" xfId="1590"/>
    <cellStyle name="Note 3 2 2 2 2 4" xfId="1145"/>
    <cellStyle name="Note 3 2 2 2 3" xfId="1147"/>
    <cellStyle name="Note 3 2 2 2 4" xfId="1589"/>
    <cellStyle name="Note 3 2 2 2 5" xfId="1144"/>
    <cellStyle name="Note 3 2 2 3" xfId="364"/>
    <cellStyle name="Note 3 2 2 3 2" xfId="1149"/>
    <cellStyle name="Note 3 2 2 3 3" xfId="1591"/>
    <cellStyle name="Note 3 2 2 3 4" xfId="1148"/>
    <cellStyle name="Note 3 2 2 4" xfId="365"/>
    <cellStyle name="Note 3 2 2 4 2" xfId="1151"/>
    <cellStyle name="Note 3 2 2 4 3" xfId="1592"/>
    <cellStyle name="Note 3 2 2 4 4" xfId="1150"/>
    <cellStyle name="Note 3 2 2 5" xfId="1152"/>
    <cellStyle name="Note 3 2 2 6" xfId="1304"/>
    <cellStyle name="Note 3 2 2 7" xfId="1143"/>
    <cellStyle name="Note 3 2 3" xfId="366"/>
    <cellStyle name="Note 3 2 3 2" xfId="367"/>
    <cellStyle name="Note 3 2 3 2 2" xfId="1155"/>
    <cellStyle name="Note 3 2 3 2 3" xfId="1594"/>
    <cellStyle name="Note 3 2 3 2 4" xfId="1154"/>
    <cellStyle name="Note 3 2 3 3" xfId="1156"/>
    <cellStyle name="Note 3 2 3 4" xfId="1593"/>
    <cellStyle name="Note 3 2 3 5" xfId="1153"/>
    <cellStyle name="Note 3 2 4" xfId="368"/>
    <cellStyle name="Note 3 2 4 2" xfId="1158"/>
    <cellStyle name="Note 3 2 4 3" xfId="1595"/>
    <cellStyle name="Note 3 2 4 4" xfId="1157"/>
    <cellStyle name="Note 3 2 5" xfId="369"/>
    <cellStyle name="Note 3 2 5 2" xfId="1160"/>
    <cellStyle name="Note 3 2 5 3" xfId="1596"/>
    <cellStyle name="Note 3 2 5 4" xfId="1159"/>
    <cellStyle name="Note 3 2 6" xfId="1161"/>
    <cellStyle name="Note 3 2 7" xfId="1266"/>
    <cellStyle name="Note 3 2 8" xfId="1142"/>
    <cellStyle name="Note 3 3" xfId="370"/>
    <cellStyle name="Note 3 3 2" xfId="371"/>
    <cellStyle name="Note 3 3 2 2" xfId="372"/>
    <cellStyle name="Note 3 3 2 2 2" xfId="1165"/>
    <cellStyle name="Note 3 3 2 2 3" xfId="1598"/>
    <cellStyle name="Note 3 3 2 2 4" xfId="1164"/>
    <cellStyle name="Note 3 3 2 3" xfId="1166"/>
    <cellStyle name="Note 3 3 2 4" xfId="1597"/>
    <cellStyle name="Note 3 3 2 5" xfId="1163"/>
    <cellStyle name="Note 3 3 3" xfId="373"/>
    <cellStyle name="Note 3 3 3 2" xfId="1168"/>
    <cellStyle name="Note 3 3 3 3" xfId="1599"/>
    <cellStyle name="Note 3 3 3 4" xfId="1167"/>
    <cellStyle name="Note 3 3 4" xfId="374"/>
    <cellStyle name="Note 3 3 4 2" xfId="1170"/>
    <cellStyle name="Note 3 3 4 3" xfId="1600"/>
    <cellStyle name="Note 3 3 4 4" xfId="1169"/>
    <cellStyle name="Note 3 3 5" xfId="1171"/>
    <cellStyle name="Note 3 3 6" xfId="1285"/>
    <cellStyle name="Note 3 3 7" xfId="1162"/>
    <cellStyle name="Note 3 4" xfId="375"/>
    <cellStyle name="Note 3 4 2" xfId="376"/>
    <cellStyle name="Note 3 4 2 2" xfId="1174"/>
    <cellStyle name="Note 3 4 2 3" xfId="1602"/>
    <cellStyle name="Note 3 4 2 4" xfId="1173"/>
    <cellStyle name="Note 3 4 3" xfId="1175"/>
    <cellStyle name="Note 3 4 4" xfId="1601"/>
    <cellStyle name="Note 3 4 5" xfId="1172"/>
    <cellStyle name="Note 3 5" xfId="377"/>
    <cellStyle name="Note 3 5 2" xfId="1177"/>
    <cellStyle name="Note 3 5 3" xfId="1603"/>
    <cellStyle name="Note 3 5 4" xfId="1176"/>
    <cellStyle name="Note 3 6" xfId="378"/>
    <cellStyle name="Note 3 6 2" xfId="1179"/>
    <cellStyle name="Note 3 6 3" xfId="1604"/>
    <cellStyle name="Note 3 6 4" xfId="1178"/>
    <cellStyle name="Note 3 7" xfId="1180"/>
    <cellStyle name="Note 3 8" xfId="1247"/>
    <cellStyle name="Note 3 9" xfId="1141"/>
    <cellStyle name="Note 4" xfId="1227"/>
    <cellStyle name="Output" xfId="408" builtinId="21" customBuiltin="1"/>
    <cellStyle name="Percent 2" xfId="4"/>
    <cellStyle name="Percent 3" xfId="10"/>
    <cellStyle name="Percent 3 10" xfId="443"/>
    <cellStyle name="Percent 3 2" xfId="379"/>
    <cellStyle name="Percent 3 2 2" xfId="380"/>
    <cellStyle name="Percent 3 2 2 2" xfId="381"/>
    <cellStyle name="Percent 3 2 2 2 2" xfId="382"/>
    <cellStyle name="Percent 3 2 2 2 2 2" xfId="1185"/>
    <cellStyle name="Percent 3 2 2 2 2 3" xfId="1606"/>
    <cellStyle name="Percent 3 2 2 2 2 4" xfId="1184"/>
    <cellStyle name="Percent 3 2 2 2 3" xfId="1186"/>
    <cellStyle name="Percent 3 2 2 2 4" xfId="1605"/>
    <cellStyle name="Percent 3 2 2 2 5" xfId="1183"/>
    <cellStyle name="Percent 3 2 2 3" xfId="383"/>
    <cellStyle name="Percent 3 2 2 3 2" xfId="1188"/>
    <cellStyle name="Percent 3 2 2 3 3" xfId="1607"/>
    <cellStyle name="Percent 3 2 2 3 4" xfId="1187"/>
    <cellStyle name="Percent 3 2 2 4" xfId="384"/>
    <cellStyle name="Percent 3 2 2 4 2" xfId="1190"/>
    <cellStyle name="Percent 3 2 2 4 3" xfId="1608"/>
    <cellStyle name="Percent 3 2 2 4 4" xfId="1189"/>
    <cellStyle name="Percent 3 2 2 5" xfId="1191"/>
    <cellStyle name="Percent 3 2 2 6" xfId="1289"/>
    <cellStyle name="Percent 3 2 2 7" xfId="1182"/>
    <cellStyle name="Percent 3 2 3" xfId="385"/>
    <cellStyle name="Percent 3 2 3 2" xfId="386"/>
    <cellStyle name="Percent 3 2 3 2 2" xfId="1194"/>
    <cellStyle name="Percent 3 2 3 2 3" xfId="1610"/>
    <cellStyle name="Percent 3 2 3 2 4" xfId="1193"/>
    <cellStyle name="Percent 3 2 3 3" xfId="1195"/>
    <cellStyle name="Percent 3 2 3 4" xfId="1609"/>
    <cellStyle name="Percent 3 2 3 5" xfId="1192"/>
    <cellStyle name="Percent 3 2 4" xfId="387"/>
    <cellStyle name="Percent 3 2 4 2" xfId="1197"/>
    <cellStyle name="Percent 3 2 4 3" xfId="1611"/>
    <cellStyle name="Percent 3 2 4 4" xfId="1196"/>
    <cellStyle name="Percent 3 2 5" xfId="388"/>
    <cellStyle name="Percent 3 2 5 2" xfId="1199"/>
    <cellStyle name="Percent 3 2 5 3" xfId="1612"/>
    <cellStyle name="Percent 3 2 5 4" xfId="1198"/>
    <cellStyle name="Percent 3 2 6" xfId="1200"/>
    <cellStyle name="Percent 3 2 7" xfId="1251"/>
    <cellStyle name="Percent 3 2 8" xfId="1181"/>
    <cellStyle name="Percent 3 3" xfId="389"/>
    <cellStyle name="Percent 3 3 2" xfId="390"/>
    <cellStyle name="Percent 3 3 2 2" xfId="391"/>
    <cellStyle name="Percent 3 3 2 2 2" xfId="1204"/>
    <cellStyle name="Percent 3 3 2 2 3" xfId="1614"/>
    <cellStyle name="Percent 3 3 2 2 4" xfId="1203"/>
    <cellStyle name="Percent 3 3 2 3" xfId="1205"/>
    <cellStyle name="Percent 3 3 2 4" xfId="1613"/>
    <cellStyle name="Percent 3 3 2 5" xfId="1202"/>
    <cellStyle name="Percent 3 3 3" xfId="392"/>
    <cellStyle name="Percent 3 3 3 2" xfId="1207"/>
    <cellStyle name="Percent 3 3 3 3" xfId="1615"/>
    <cellStyle name="Percent 3 3 3 4" xfId="1206"/>
    <cellStyle name="Percent 3 3 4" xfId="393"/>
    <cellStyle name="Percent 3 3 4 2" xfId="1209"/>
    <cellStyle name="Percent 3 3 4 3" xfId="1616"/>
    <cellStyle name="Percent 3 3 4 4" xfId="1208"/>
    <cellStyle name="Percent 3 3 5" xfId="1210"/>
    <cellStyle name="Percent 3 3 6" xfId="1270"/>
    <cellStyle name="Percent 3 3 7" xfId="1201"/>
    <cellStyle name="Percent 3 4" xfId="394"/>
    <cellStyle name="Percent 3 4 2" xfId="395"/>
    <cellStyle name="Percent 3 4 2 2" xfId="1213"/>
    <cellStyle name="Percent 3 4 2 3" xfId="1618"/>
    <cellStyle name="Percent 3 4 2 4" xfId="1212"/>
    <cellStyle name="Percent 3 4 3" xfId="1214"/>
    <cellStyle name="Percent 3 4 4" xfId="1617"/>
    <cellStyle name="Percent 3 4 5" xfId="1211"/>
    <cellStyle name="Percent 3 5" xfId="396"/>
    <cellStyle name="Percent 3 5 2" xfId="1216"/>
    <cellStyle name="Percent 3 5 3" xfId="1619"/>
    <cellStyle name="Percent 3 5 4" xfId="1215"/>
    <cellStyle name="Percent 3 6" xfId="397"/>
    <cellStyle name="Percent 3 6 2" xfId="1218"/>
    <cellStyle name="Percent 3 6 3" xfId="1620"/>
    <cellStyle name="Percent 3 6 4" xfId="1217"/>
    <cellStyle name="Percent 3 7" xfId="1219"/>
    <cellStyle name="Percent 3 8" xfId="1224"/>
    <cellStyle name="Percent 3 9" xfId="1232"/>
    <cellStyle name="Percent 4" xfId="1220"/>
    <cellStyle name="Title" xfId="399" builtinId="15" customBuiltin="1"/>
    <cellStyle name="Total" xfId="414" builtinId="25" customBuiltin="1"/>
    <cellStyle name="Warning Text" xfId="412"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1.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M:\1075590\Layouts\Charter%20School%20FEFP4.xnv"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harter Schools"/>
      <sheetName val="Notes"/>
      <sheetName val="Instructions"/>
    </sheetNames>
    <sheetDataSet>
      <sheetData sheetId="0">
        <row r="4">
          <cell r="B4" t="str">
            <v>Based on the Fourth Calculation of the FEFP 2013-14</v>
          </cell>
        </row>
      </sheetData>
      <sheetData sheetId="1"/>
      <sheetData sheetId="2"/>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6.v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8.v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49.xml"/><Relationship Id="rId2" Type="http://schemas.openxmlformats.org/officeDocument/2006/relationships/vmlDrawing" Target="../drawings/vmlDrawing49.v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50.xml"/><Relationship Id="rId2" Type="http://schemas.openxmlformats.org/officeDocument/2006/relationships/vmlDrawing" Target="../drawings/vmlDrawing50.v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51.xml"/><Relationship Id="rId2" Type="http://schemas.openxmlformats.org/officeDocument/2006/relationships/vmlDrawing" Target="../drawings/vmlDrawing51.v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52.xml"/><Relationship Id="rId2" Type="http://schemas.openxmlformats.org/officeDocument/2006/relationships/vmlDrawing" Target="../drawings/vmlDrawing52.v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53.xml"/><Relationship Id="rId2" Type="http://schemas.openxmlformats.org/officeDocument/2006/relationships/vmlDrawing" Target="../drawings/vmlDrawing53.v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54.xml"/><Relationship Id="rId2" Type="http://schemas.openxmlformats.org/officeDocument/2006/relationships/vmlDrawing" Target="../drawings/vmlDrawing54.v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55.xml"/><Relationship Id="rId2" Type="http://schemas.openxmlformats.org/officeDocument/2006/relationships/vmlDrawing" Target="../drawings/vmlDrawing55.v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56.xml"/><Relationship Id="rId2" Type="http://schemas.openxmlformats.org/officeDocument/2006/relationships/vmlDrawing" Target="../drawings/vmlDrawing56.v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57.xml"/><Relationship Id="rId2" Type="http://schemas.openxmlformats.org/officeDocument/2006/relationships/vmlDrawing" Target="../drawings/vmlDrawing57.v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58.xml"/><Relationship Id="rId2" Type="http://schemas.openxmlformats.org/officeDocument/2006/relationships/vmlDrawing" Target="../drawings/vmlDrawing58.v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3" Type="http://schemas.openxmlformats.org/officeDocument/2006/relationships/comments" Target="../comments59.xml"/><Relationship Id="rId2" Type="http://schemas.openxmlformats.org/officeDocument/2006/relationships/vmlDrawing" Target="../drawings/vmlDrawing59.v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60.xml"/><Relationship Id="rId2" Type="http://schemas.openxmlformats.org/officeDocument/2006/relationships/vmlDrawing" Target="../drawings/vmlDrawing60.v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3" Type="http://schemas.openxmlformats.org/officeDocument/2006/relationships/comments" Target="../comments61.xml"/><Relationship Id="rId2" Type="http://schemas.openxmlformats.org/officeDocument/2006/relationships/vmlDrawing" Target="../drawings/vmlDrawing61.v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3" Type="http://schemas.openxmlformats.org/officeDocument/2006/relationships/comments" Target="../comments62.xml"/><Relationship Id="rId2" Type="http://schemas.openxmlformats.org/officeDocument/2006/relationships/vmlDrawing" Target="../drawings/vmlDrawing62.vml"/><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3" Type="http://schemas.openxmlformats.org/officeDocument/2006/relationships/comments" Target="../comments63.xml"/><Relationship Id="rId2" Type="http://schemas.openxmlformats.org/officeDocument/2006/relationships/vmlDrawing" Target="../drawings/vmlDrawing63.vml"/><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3" Type="http://schemas.openxmlformats.org/officeDocument/2006/relationships/comments" Target="../comments64.xml"/><Relationship Id="rId2" Type="http://schemas.openxmlformats.org/officeDocument/2006/relationships/vmlDrawing" Target="../drawings/vmlDrawing64.vml"/><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3" Type="http://schemas.openxmlformats.org/officeDocument/2006/relationships/comments" Target="../comments65.xml"/><Relationship Id="rId2" Type="http://schemas.openxmlformats.org/officeDocument/2006/relationships/vmlDrawing" Target="../drawings/vmlDrawing65.vml"/><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3" Type="http://schemas.openxmlformats.org/officeDocument/2006/relationships/comments" Target="../comments66.xml"/><Relationship Id="rId2" Type="http://schemas.openxmlformats.org/officeDocument/2006/relationships/vmlDrawing" Target="../drawings/vmlDrawing66.v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3" Type="http://schemas.openxmlformats.org/officeDocument/2006/relationships/comments" Target="../comments67.xml"/><Relationship Id="rId2" Type="http://schemas.openxmlformats.org/officeDocument/2006/relationships/vmlDrawing" Target="../drawings/vmlDrawing67.vml"/><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3" Type="http://schemas.openxmlformats.org/officeDocument/2006/relationships/comments" Target="../comments68.xml"/><Relationship Id="rId2" Type="http://schemas.openxmlformats.org/officeDocument/2006/relationships/vmlDrawing" Target="../drawings/vmlDrawing68.v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3" Type="http://schemas.openxmlformats.org/officeDocument/2006/relationships/comments" Target="../comments69.xml"/><Relationship Id="rId2" Type="http://schemas.openxmlformats.org/officeDocument/2006/relationships/vmlDrawing" Target="../drawings/vmlDrawing69.vml"/><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3" Type="http://schemas.openxmlformats.org/officeDocument/2006/relationships/comments" Target="../comments70.xml"/><Relationship Id="rId2" Type="http://schemas.openxmlformats.org/officeDocument/2006/relationships/vmlDrawing" Target="../drawings/vmlDrawing70.vml"/><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3" Type="http://schemas.openxmlformats.org/officeDocument/2006/relationships/comments" Target="../comments71.xml"/><Relationship Id="rId2" Type="http://schemas.openxmlformats.org/officeDocument/2006/relationships/vmlDrawing" Target="../drawings/vmlDrawing71.vml"/><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3" Type="http://schemas.openxmlformats.org/officeDocument/2006/relationships/comments" Target="../comments72.xml"/><Relationship Id="rId2" Type="http://schemas.openxmlformats.org/officeDocument/2006/relationships/vmlDrawing" Target="../drawings/vmlDrawing72.vml"/><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3" Type="http://schemas.openxmlformats.org/officeDocument/2006/relationships/comments" Target="../comments73.xml"/><Relationship Id="rId2" Type="http://schemas.openxmlformats.org/officeDocument/2006/relationships/vmlDrawing" Target="../drawings/vmlDrawing73.vml"/><Relationship Id="rId1" Type="http://schemas.openxmlformats.org/officeDocument/2006/relationships/printerSettings" Target="../printerSettings/printerSettings7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S145"/>
  <sheetViews>
    <sheetView tabSelected="1" zoomScale="75" zoomScaleNormal="75" workbookViewId="0">
      <pane ySplit="3" topLeftCell="A4" activePane="bottomLeft" state="frozen"/>
      <selection pane="bottomLeft" activeCell="A4" sqref="A4"/>
    </sheetView>
  </sheetViews>
  <sheetFormatPr defaultColWidth="9.140625" defaultRowHeight="20.25" x14ac:dyDescent="0.3"/>
  <cols>
    <col min="1" max="1" width="5.5703125" style="285" customWidth="1"/>
    <col min="2" max="2" width="18.5703125" style="285" customWidth="1"/>
    <col min="3" max="3" width="27.42578125" style="285" bestFit="1" customWidth="1"/>
    <col min="4" max="4" width="21.42578125" style="286" bestFit="1" customWidth="1"/>
    <col min="5" max="5" width="9.140625" style="291"/>
    <col min="6" max="6" width="10.5703125" style="287" bestFit="1" customWidth="1"/>
    <col min="7" max="226" width="9.140625" style="285"/>
    <col min="227" max="227" width="9.140625" customWidth="1"/>
    <col min="228" max="16384" width="9.140625" style="285"/>
  </cols>
  <sheetData>
    <row r="1" spans="1:227" ht="26.25" customHeight="1" x14ac:dyDescent="0.3">
      <c r="B1" s="315" t="s">
        <v>419</v>
      </c>
      <c r="C1" s="287"/>
      <c r="D1" s="316"/>
      <c r="E1" s="287"/>
    </row>
    <row r="2" spans="1:227" ht="15" customHeight="1" x14ac:dyDescent="0.3">
      <c r="B2" s="287"/>
      <c r="C2" s="287"/>
      <c r="D2" s="316"/>
      <c r="E2" s="287"/>
    </row>
    <row r="3" spans="1:227" ht="40.5" customHeight="1" x14ac:dyDescent="0.3">
      <c r="A3" s="288"/>
      <c r="B3" s="317" t="s">
        <v>400</v>
      </c>
      <c r="C3" s="317" t="s">
        <v>401</v>
      </c>
      <c r="D3" s="318" t="s">
        <v>402</v>
      </c>
      <c r="E3" s="287"/>
    </row>
    <row r="4" spans="1:227" s="287" customFormat="1" x14ac:dyDescent="0.3">
      <c r="A4" s="289">
        <v>1</v>
      </c>
      <c r="B4" s="296" t="s">
        <v>199</v>
      </c>
      <c r="C4" s="290" t="s">
        <v>420</v>
      </c>
      <c r="D4" s="294">
        <v>51620</v>
      </c>
      <c r="HS4" s="291"/>
    </row>
    <row r="5" spans="1:227" s="287" customFormat="1" x14ac:dyDescent="0.3">
      <c r="A5" s="289"/>
      <c r="B5" s="296" t="s">
        <v>199</v>
      </c>
      <c r="C5" s="290" t="s">
        <v>418</v>
      </c>
      <c r="D5" s="294">
        <v>-409</v>
      </c>
      <c r="G5" s="295"/>
      <c r="H5" s="295"/>
      <c r="I5" s="295"/>
      <c r="J5" s="295"/>
      <c r="K5" s="295"/>
      <c r="L5" s="295"/>
      <c r="M5" s="295"/>
      <c r="N5" s="295"/>
      <c r="O5" s="295"/>
      <c r="HS5" s="291"/>
    </row>
    <row r="6" spans="1:227" s="287" customFormat="1" x14ac:dyDescent="0.3">
      <c r="A6" s="289">
        <v>2</v>
      </c>
      <c r="B6" s="292" t="s">
        <v>214</v>
      </c>
      <c r="C6" s="293" t="str">
        <f>+C4</f>
        <v>FTE June 14</v>
      </c>
      <c r="D6" s="294">
        <v>28215</v>
      </c>
      <c r="G6" s="295"/>
      <c r="H6" s="295"/>
      <c r="I6" s="295"/>
      <c r="J6" s="295"/>
      <c r="K6" s="295"/>
      <c r="L6" s="295"/>
      <c r="M6" s="295"/>
      <c r="N6" s="295"/>
      <c r="O6" s="295"/>
      <c r="HS6" s="291"/>
    </row>
    <row r="7" spans="1:227" s="287" customFormat="1" ht="20.25" customHeight="1" x14ac:dyDescent="0.3">
      <c r="A7" s="289"/>
      <c r="B7" s="292" t="s">
        <v>214</v>
      </c>
      <c r="C7" s="290" t="s">
        <v>418</v>
      </c>
      <c r="D7" s="294">
        <v>-450</v>
      </c>
      <c r="F7" s="297"/>
      <c r="G7" s="298"/>
      <c r="H7" s="298"/>
      <c r="I7" s="298"/>
      <c r="J7" s="298"/>
      <c r="K7" s="298"/>
      <c r="L7" s="298"/>
      <c r="M7" s="298"/>
      <c r="N7" s="298"/>
      <c r="O7" s="298"/>
      <c r="HS7" s="291"/>
    </row>
    <row r="8" spans="1:227" s="287" customFormat="1" x14ac:dyDescent="0.3">
      <c r="A8" s="289">
        <v>3</v>
      </c>
      <c r="B8" s="296" t="s">
        <v>217</v>
      </c>
      <c r="C8" s="293" t="str">
        <f>+C4</f>
        <v>FTE June 14</v>
      </c>
      <c r="D8" s="294">
        <v>62480</v>
      </c>
      <c r="F8" s="297"/>
      <c r="G8" s="298"/>
      <c r="H8" s="585" t="s">
        <v>403</v>
      </c>
      <c r="I8" s="585"/>
      <c r="J8" s="585"/>
      <c r="K8" s="585"/>
      <c r="L8" s="585"/>
      <c r="M8" s="585"/>
      <c r="N8" s="585"/>
      <c r="O8" s="585"/>
      <c r="P8" s="585"/>
      <c r="HS8" s="291"/>
    </row>
    <row r="9" spans="1:227" x14ac:dyDescent="0.3">
      <c r="A9" s="289"/>
      <c r="B9" s="296" t="s">
        <v>217</v>
      </c>
      <c r="C9" s="290" t="s">
        <v>418</v>
      </c>
      <c r="D9" s="294">
        <v>-479</v>
      </c>
      <c r="E9" s="287"/>
      <c r="F9" s="297"/>
      <c r="G9" s="298"/>
      <c r="H9" s="586" t="s">
        <v>433</v>
      </c>
      <c r="I9" s="587"/>
      <c r="J9" s="587"/>
      <c r="K9" s="587"/>
      <c r="L9" s="587"/>
      <c r="M9" s="587"/>
      <c r="N9" s="587"/>
      <c r="O9" s="587"/>
      <c r="P9" s="588"/>
    </row>
    <row r="10" spans="1:227" x14ac:dyDescent="0.3">
      <c r="A10" s="289">
        <v>4</v>
      </c>
      <c r="B10" s="299">
        <v>1461</v>
      </c>
      <c r="C10" s="293" t="str">
        <f>+C8</f>
        <v>FTE June 14</v>
      </c>
      <c r="D10" s="294">
        <v>337243</v>
      </c>
      <c r="E10" s="287"/>
      <c r="F10" s="297"/>
      <c r="G10" s="298"/>
      <c r="H10" s="589"/>
      <c r="I10" s="590"/>
      <c r="J10" s="590"/>
      <c r="K10" s="590"/>
      <c r="L10" s="590"/>
      <c r="M10" s="590"/>
      <c r="N10" s="590"/>
      <c r="O10" s="590"/>
      <c r="P10" s="591"/>
    </row>
    <row r="11" spans="1:227" x14ac:dyDescent="0.3">
      <c r="A11" s="289"/>
      <c r="B11" s="299">
        <v>1461</v>
      </c>
      <c r="C11" s="290" t="s">
        <v>418</v>
      </c>
      <c r="D11" s="294">
        <v>-2852</v>
      </c>
      <c r="E11" s="287"/>
      <c r="F11" s="297"/>
      <c r="G11" s="298"/>
      <c r="H11" s="589"/>
      <c r="I11" s="590"/>
      <c r="J11" s="590"/>
      <c r="K11" s="590"/>
      <c r="L11" s="590"/>
      <c r="M11" s="590"/>
      <c r="N11" s="590"/>
      <c r="O11" s="590"/>
      <c r="P11" s="591"/>
    </row>
    <row r="12" spans="1:227" s="287" customFormat="1" x14ac:dyDescent="0.3">
      <c r="A12" s="289"/>
      <c r="B12" s="299">
        <v>1462</v>
      </c>
      <c r="C12" s="293" t="s">
        <v>404</v>
      </c>
      <c r="D12" s="300">
        <v>20833.330000000002</v>
      </c>
      <c r="F12" s="297"/>
      <c r="G12" s="298"/>
      <c r="H12" s="589"/>
      <c r="I12" s="590"/>
      <c r="J12" s="590"/>
      <c r="K12" s="590"/>
      <c r="L12" s="590"/>
      <c r="M12" s="590"/>
      <c r="N12" s="590"/>
      <c r="O12" s="590"/>
      <c r="P12" s="591"/>
      <c r="HS12" s="291"/>
    </row>
    <row r="13" spans="1:227" s="287" customFormat="1" x14ac:dyDescent="0.3">
      <c r="A13" s="289"/>
      <c r="B13" s="299">
        <v>9100</v>
      </c>
      <c r="C13" s="293" t="s">
        <v>405</v>
      </c>
      <c r="D13" s="300">
        <v>-6031.16</v>
      </c>
      <c r="G13" s="298"/>
      <c r="H13" s="589"/>
      <c r="I13" s="590"/>
      <c r="J13" s="590"/>
      <c r="K13" s="590"/>
      <c r="L13" s="590"/>
      <c r="M13" s="590"/>
      <c r="N13" s="590"/>
      <c r="O13" s="590"/>
      <c r="P13" s="591"/>
      <c r="HS13" s="291"/>
    </row>
    <row r="14" spans="1:227" s="287" customFormat="1" x14ac:dyDescent="0.3">
      <c r="A14" s="289"/>
      <c r="B14" s="299">
        <v>9100</v>
      </c>
      <c r="C14" s="293" t="s">
        <v>406</v>
      </c>
      <c r="D14" s="300">
        <v>-459.82</v>
      </c>
      <c r="G14" s="298"/>
      <c r="H14" s="589"/>
      <c r="I14" s="590"/>
      <c r="J14" s="590"/>
      <c r="K14" s="590"/>
      <c r="L14" s="590"/>
      <c r="M14" s="590"/>
      <c r="N14" s="590"/>
      <c r="O14" s="590"/>
      <c r="P14" s="591"/>
      <c r="HS14" s="291"/>
    </row>
    <row r="15" spans="1:227" s="287" customFormat="1" x14ac:dyDescent="0.3">
      <c r="A15" s="289"/>
      <c r="B15" s="301">
        <v>9100</v>
      </c>
      <c r="C15" s="302" t="s">
        <v>407</v>
      </c>
      <c r="D15" s="300">
        <v>-119.47</v>
      </c>
      <c r="G15" s="298"/>
      <c r="H15" s="589"/>
      <c r="I15" s="590"/>
      <c r="J15" s="590"/>
      <c r="K15" s="590"/>
      <c r="L15" s="590"/>
      <c r="M15" s="590"/>
      <c r="N15" s="590"/>
      <c r="O15" s="590"/>
      <c r="P15" s="591"/>
      <c r="HS15" s="291"/>
    </row>
    <row r="16" spans="1:227" s="287" customFormat="1" ht="21" thickBot="1" x14ac:dyDescent="0.35">
      <c r="A16" s="289">
        <v>5</v>
      </c>
      <c r="B16" s="299">
        <v>1571</v>
      </c>
      <c r="C16" s="293" t="str">
        <f>+C6</f>
        <v>FTE June 14</v>
      </c>
      <c r="D16" s="294">
        <v>605897</v>
      </c>
      <c r="G16" s="298"/>
      <c r="H16" s="592"/>
      <c r="I16" s="593"/>
      <c r="J16" s="593"/>
      <c r="K16" s="593"/>
      <c r="L16" s="593"/>
      <c r="M16" s="593"/>
      <c r="N16" s="593"/>
      <c r="O16" s="593"/>
      <c r="P16" s="594"/>
      <c r="HS16" s="291"/>
    </row>
    <row r="17" spans="1:227" s="287" customFormat="1" x14ac:dyDescent="0.3">
      <c r="A17" s="289"/>
      <c r="B17" s="299">
        <v>1571</v>
      </c>
      <c r="C17" s="290" t="s">
        <v>418</v>
      </c>
      <c r="D17" s="294">
        <v>-4395</v>
      </c>
      <c r="G17" s="298"/>
      <c r="H17" s="595" t="s">
        <v>410</v>
      </c>
      <c r="I17" s="596"/>
      <c r="J17" s="596"/>
      <c r="K17" s="596"/>
      <c r="L17" s="596"/>
      <c r="M17" s="596"/>
      <c r="N17" s="596"/>
      <c r="O17" s="596"/>
      <c r="P17" s="597"/>
      <c r="HS17" s="291"/>
    </row>
    <row r="18" spans="1:227" s="287" customFormat="1" x14ac:dyDescent="0.3">
      <c r="A18" s="289"/>
      <c r="B18" s="299">
        <v>1571</v>
      </c>
      <c r="C18" s="293" t="s">
        <v>408</v>
      </c>
      <c r="D18" s="300">
        <v>53867.4</v>
      </c>
      <c r="G18" s="298"/>
      <c r="H18" s="589"/>
      <c r="I18" s="590"/>
      <c r="J18" s="590"/>
      <c r="K18" s="590"/>
      <c r="L18" s="590"/>
      <c r="M18" s="590"/>
      <c r="N18" s="590"/>
      <c r="O18" s="590"/>
      <c r="P18" s="591"/>
      <c r="HS18" s="291"/>
    </row>
    <row r="19" spans="1:227" s="287" customFormat="1" x14ac:dyDescent="0.3">
      <c r="A19" s="289"/>
      <c r="B19" s="299">
        <v>1572</v>
      </c>
      <c r="C19" s="293" t="s">
        <v>409</v>
      </c>
      <c r="D19" s="300">
        <v>31250</v>
      </c>
      <c r="G19" s="298"/>
      <c r="H19" s="589"/>
      <c r="I19" s="590"/>
      <c r="J19" s="590"/>
      <c r="K19" s="590"/>
      <c r="L19" s="590"/>
      <c r="M19" s="590"/>
      <c r="N19" s="590"/>
      <c r="O19" s="590"/>
      <c r="P19" s="591"/>
      <c r="HS19" s="291"/>
    </row>
    <row r="20" spans="1:227" s="287" customFormat="1" x14ac:dyDescent="0.3">
      <c r="A20" s="289"/>
      <c r="B20" s="299">
        <v>9100</v>
      </c>
      <c r="C20" s="293" t="s">
        <v>405</v>
      </c>
      <c r="D20" s="300">
        <v>-8603.25</v>
      </c>
      <c r="G20" s="298"/>
      <c r="H20" s="589"/>
      <c r="I20" s="590"/>
      <c r="J20" s="590"/>
      <c r="K20" s="590"/>
      <c r="L20" s="590"/>
      <c r="M20" s="590"/>
      <c r="N20" s="590"/>
      <c r="O20" s="590"/>
      <c r="P20" s="591"/>
      <c r="HS20" s="291"/>
    </row>
    <row r="21" spans="1:227" s="287" customFormat="1" x14ac:dyDescent="0.3">
      <c r="A21" s="289">
        <v>6</v>
      </c>
      <c r="B21" s="299">
        <v>2521</v>
      </c>
      <c r="C21" s="293" t="str">
        <f>+C4</f>
        <v>FTE June 14</v>
      </c>
      <c r="D21" s="294">
        <v>144382</v>
      </c>
      <c r="H21" s="589"/>
      <c r="I21" s="590"/>
      <c r="J21" s="590"/>
      <c r="K21" s="590"/>
      <c r="L21" s="590"/>
      <c r="M21" s="590"/>
      <c r="N21" s="590"/>
      <c r="O21" s="590"/>
      <c r="P21" s="591"/>
      <c r="HS21" s="291"/>
    </row>
    <row r="22" spans="1:227" s="287" customFormat="1" x14ac:dyDescent="0.3">
      <c r="A22" s="289"/>
      <c r="B22" s="299">
        <v>2521</v>
      </c>
      <c r="C22" s="290" t="s">
        <v>418</v>
      </c>
      <c r="D22" s="294">
        <v>-673</v>
      </c>
      <c r="H22" s="598"/>
      <c r="I22" s="599"/>
      <c r="J22" s="599"/>
      <c r="K22" s="599"/>
      <c r="L22" s="599"/>
      <c r="M22" s="599"/>
      <c r="N22" s="599"/>
      <c r="O22" s="599"/>
      <c r="P22" s="600"/>
      <c r="HS22" s="291"/>
    </row>
    <row r="23" spans="1:227" s="287" customFormat="1" x14ac:dyDescent="0.3">
      <c r="A23" s="289">
        <v>7</v>
      </c>
      <c r="B23" s="299">
        <v>2531</v>
      </c>
      <c r="C23" s="293" t="str">
        <f>+C4</f>
        <v>FTE June 14</v>
      </c>
      <c r="D23" s="294">
        <v>66357</v>
      </c>
      <c r="HS23" s="291"/>
    </row>
    <row r="24" spans="1:227" s="287" customFormat="1" x14ac:dyDescent="0.3">
      <c r="A24" s="289"/>
      <c r="B24" s="299">
        <v>2531</v>
      </c>
      <c r="C24" s="290" t="s">
        <v>418</v>
      </c>
      <c r="D24" s="294">
        <v>-550</v>
      </c>
      <c r="HS24" s="291"/>
    </row>
    <row r="25" spans="1:227" s="287" customFormat="1" x14ac:dyDescent="0.3">
      <c r="A25" s="289"/>
      <c r="B25" s="299">
        <v>2531</v>
      </c>
      <c r="C25" s="293" t="s">
        <v>411</v>
      </c>
      <c r="D25" s="300">
        <v>-625</v>
      </c>
      <c r="HS25" s="291"/>
    </row>
    <row r="26" spans="1:227" s="287" customFormat="1" x14ac:dyDescent="0.3">
      <c r="A26" s="289">
        <v>8</v>
      </c>
      <c r="B26" s="299">
        <v>2641</v>
      </c>
      <c r="C26" s="293" t="str">
        <f>+C4</f>
        <v>FTE June 14</v>
      </c>
      <c r="D26" s="294">
        <v>48450</v>
      </c>
      <c r="HS26" s="291"/>
    </row>
    <row r="27" spans="1:227" s="287" customFormat="1" x14ac:dyDescent="0.3">
      <c r="A27" s="289"/>
      <c r="B27" s="299">
        <v>2641</v>
      </c>
      <c r="C27" s="290" t="s">
        <v>418</v>
      </c>
      <c r="D27" s="294">
        <v>-425</v>
      </c>
      <c r="HS27" s="291"/>
    </row>
    <row r="28" spans="1:227" s="287" customFormat="1" x14ac:dyDescent="0.3">
      <c r="A28" s="289">
        <v>9</v>
      </c>
      <c r="B28" s="299">
        <v>2661</v>
      </c>
      <c r="C28" s="293" t="str">
        <f>+C4</f>
        <v>FTE June 14</v>
      </c>
      <c r="D28" s="294">
        <v>85010</v>
      </c>
      <c r="HS28" s="291"/>
    </row>
    <row r="29" spans="1:227" s="287" customFormat="1" x14ac:dyDescent="0.3">
      <c r="A29" s="289"/>
      <c r="B29" s="299">
        <v>2661</v>
      </c>
      <c r="C29" s="290" t="s">
        <v>418</v>
      </c>
      <c r="D29" s="294">
        <v>-656</v>
      </c>
      <c r="HS29" s="291"/>
    </row>
    <row r="30" spans="1:227" s="287" customFormat="1" x14ac:dyDescent="0.3">
      <c r="A30" s="289"/>
      <c r="B30" s="299">
        <v>9100</v>
      </c>
      <c r="C30" s="293" t="s">
        <v>412</v>
      </c>
      <c r="D30" s="300">
        <v>-5685</v>
      </c>
      <c r="HS30" s="291"/>
    </row>
    <row r="31" spans="1:227" s="287" customFormat="1" x14ac:dyDescent="0.3">
      <c r="A31" s="289"/>
      <c r="B31" s="301">
        <v>9100</v>
      </c>
      <c r="C31" s="302" t="s">
        <v>406</v>
      </c>
      <c r="D31" s="300">
        <v>-230.39</v>
      </c>
      <c r="HS31" s="291"/>
    </row>
    <row r="32" spans="1:227" s="287" customFormat="1" x14ac:dyDescent="0.3">
      <c r="A32" s="289"/>
      <c r="B32" s="301">
        <v>9100</v>
      </c>
      <c r="C32" s="302" t="s">
        <v>407</v>
      </c>
      <c r="D32" s="300">
        <v>-49.32</v>
      </c>
      <c r="HS32" s="291"/>
    </row>
    <row r="33" spans="1:227" s="287" customFormat="1" x14ac:dyDescent="0.3">
      <c r="A33" s="289"/>
      <c r="B33" s="301">
        <v>9100</v>
      </c>
      <c r="C33" s="302" t="s">
        <v>432</v>
      </c>
      <c r="D33" s="300">
        <v>-238.75</v>
      </c>
      <c r="HS33" s="291"/>
    </row>
    <row r="34" spans="1:227" s="287" customFormat="1" x14ac:dyDescent="0.3">
      <c r="A34" s="289">
        <v>10</v>
      </c>
      <c r="B34" s="299">
        <v>2791</v>
      </c>
      <c r="C34" s="293" t="str">
        <f>+C4</f>
        <v>FTE June 14</v>
      </c>
      <c r="D34" s="294">
        <v>244329</v>
      </c>
      <c r="HS34" s="291"/>
    </row>
    <row r="35" spans="1:227" s="287" customFormat="1" x14ac:dyDescent="0.3">
      <c r="A35" s="289"/>
      <c r="B35" s="299">
        <v>2791</v>
      </c>
      <c r="C35" s="290" t="s">
        <v>418</v>
      </c>
      <c r="D35" s="294">
        <v>-1655</v>
      </c>
      <c r="HS35" s="291"/>
    </row>
    <row r="36" spans="1:227" s="287" customFormat="1" x14ac:dyDescent="0.3">
      <c r="A36" s="289"/>
      <c r="B36" s="299">
        <v>2791</v>
      </c>
      <c r="C36" s="293" t="s">
        <v>413</v>
      </c>
      <c r="D36" s="300">
        <v>-590</v>
      </c>
      <c r="HS36" s="291"/>
    </row>
    <row r="37" spans="1:227" s="287" customFormat="1" x14ac:dyDescent="0.3">
      <c r="A37" s="289">
        <v>11</v>
      </c>
      <c r="B37" s="299">
        <v>2801</v>
      </c>
      <c r="C37" s="293" t="str">
        <f>+C4</f>
        <v>FTE June 14</v>
      </c>
      <c r="D37" s="294">
        <v>499254</v>
      </c>
      <c r="HS37" s="291"/>
    </row>
    <row r="38" spans="1:227" s="287" customFormat="1" x14ac:dyDescent="0.3">
      <c r="A38" s="289"/>
      <c r="B38" s="299">
        <v>2801</v>
      </c>
      <c r="C38" s="290" t="s">
        <v>418</v>
      </c>
      <c r="D38" s="294">
        <v>-3036</v>
      </c>
      <c r="HS38" s="291"/>
    </row>
    <row r="39" spans="1:227" s="287" customFormat="1" x14ac:dyDescent="0.3">
      <c r="A39" s="289">
        <v>12</v>
      </c>
      <c r="B39" s="299">
        <v>2911</v>
      </c>
      <c r="C39" s="293" t="str">
        <f>+C4</f>
        <v>FTE June 14</v>
      </c>
      <c r="D39" s="294">
        <v>209718</v>
      </c>
      <c r="HS39" s="291"/>
    </row>
    <row r="40" spans="1:227" s="287" customFormat="1" x14ac:dyDescent="0.3">
      <c r="A40" s="289"/>
      <c r="B40" s="299">
        <v>2911</v>
      </c>
      <c r="C40" s="290" t="s">
        <v>418</v>
      </c>
      <c r="D40" s="294">
        <v>-1501</v>
      </c>
      <c r="HS40" s="291"/>
    </row>
    <row r="41" spans="1:227" s="287" customFormat="1" x14ac:dyDescent="0.3">
      <c r="A41" s="289">
        <v>13</v>
      </c>
      <c r="B41" s="299">
        <v>2941</v>
      </c>
      <c r="C41" s="293" t="str">
        <f>+C4</f>
        <v>FTE June 14</v>
      </c>
      <c r="D41" s="294">
        <v>492611</v>
      </c>
      <c r="HS41" s="291"/>
    </row>
    <row r="42" spans="1:227" s="287" customFormat="1" x14ac:dyDescent="0.3">
      <c r="A42" s="289"/>
      <c r="B42" s="299">
        <v>2941</v>
      </c>
      <c r="C42" s="290" t="s">
        <v>418</v>
      </c>
      <c r="D42" s="294">
        <v>-2343</v>
      </c>
      <c r="HS42" s="291"/>
    </row>
    <row r="43" spans="1:227" s="287" customFormat="1" x14ac:dyDescent="0.3">
      <c r="A43" s="289"/>
      <c r="B43" s="299">
        <v>2941</v>
      </c>
      <c r="C43" s="293" t="s">
        <v>413</v>
      </c>
      <c r="D43" s="300">
        <v>-17965</v>
      </c>
      <c r="HS43" s="291"/>
    </row>
    <row r="44" spans="1:227" s="287" customFormat="1" x14ac:dyDescent="0.3">
      <c r="A44" s="289">
        <v>14</v>
      </c>
      <c r="B44" s="292">
        <v>3083</v>
      </c>
      <c r="C44" s="293" t="str">
        <f>+C4</f>
        <v>FTE June 14</v>
      </c>
      <c r="D44" s="294">
        <v>130509</v>
      </c>
      <c r="HS44" s="291"/>
    </row>
    <row r="45" spans="1:227" s="287" customFormat="1" x14ac:dyDescent="0.3">
      <c r="A45" s="289"/>
      <c r="B45" s="292">
        <v>3083</v>
      </c>
      <c r="C45" s="290" t="s">
        <v>418</v>
      </c>
      <c r="D45" s="294">
        <v>-1000</v>
      </c>
      <c r="HS45" s="291"/>
    </row>
    <row r="46" spans="1:227" s="287" customFormat="1" x14ac:dyDescent="0.3">
      <c r="A46" s="289"/>
      <c r="B46" s="292">
        <v>9100</v>
      </c>
      <c r="C46" s="290" t="s">
        <v>422</v>
      </c>
      <c r="D46" s="300">
        <v>-23.77</v>
      </c>
      <c r="HS46" s="291"/>
    </row>
    <row r="47" spans="1:227" s="287" customFormat="1" x14ac:dyDescent="0.3">
      <c r="A47" s="289">
        <v>15</v>
      </c>
      <c r="B47" s="299">
        <v>3344</v>
      </c>
      <c r="C47" s="293" t="str">
        <f>+C4</f>
        <v>FTE June 14</v>
      </c>
      <c r="D47" s="294">
        <v>9590</v>
      </c>
      <c r="HS47" s="291"/>
    </row>
    <row r="48" spans="1:227" s="287" customFormat="1" x14ac:dyDescent="0.3">
      <c r="A48" s="289"/>
      <c r="B48" s="299">
        <v>3344</v>
      </c>
      <c r="C48" s="290" t="s">
        <v>418</v>
      </c>
      <c r="D48" s="294">
        <v>-380</v>
      </c>
      <c r="HS48" s="291"/>
    </row>
    <row r="49" spans="1:227" s="287" customFormat="1" x14ac:dyDescent="0.3">
      <c r="A49" s="289">
        <v>16</v>
      </c>
      <c r="B49" s="292">
        <v>3345</v>
      </c>
      <c r="C49" s="293" t="str">
        <f>+C4</f>
        <v>FTE June 14</v>
      </c>
      <c r="D49" s="294">
        <v>112183</v>
      </c>
      <c r="HS49" s="291"/>
    </row>
    <row r="50" spans="1:227" s="287" customFormat="1" x14ac:dyDescent="0.3">
      <c r="A50" s="289"/>
      <c r="B50" s="292">
        <v>3345</v>
      </c>
      <c r="C50" s="290" t="s">
        <v>418</v>
      </c>
      <c r="D50" s="294">
        <v>-381</v>
      </c>
      <c r="HS50" s="291"/>
    </row>
    <row r="51" spans="1:227" s="287" customFormat="1" x14ac:dyDescent="0.3">
      <c r="A51" s="289">
        <v>17</v>
      </c>
      <c r="B51" s="301">
        <v>3347</v>
      </c>
      <c r="C51" s="302" t="str">
        <f>+C4</f>
        <v>FTE June 14</v>
      </c>
      <c r="D51" s="294">
        <v>71120</v>
      </c>
      <c r="HS51" s="291"/>
    </row>
    <row r="52" spans="1:227" s="287" customFormat="1" x14ac:dyDescent="0.3">
      <c r="A52" s="289"/>
      <c r="B52" s="301">
        <v>3347</v>
      </c>
      <c r="C52" s="290" t="s">
        <v>418</v>
      </c>
      <c r="D52" s="294">
        <v>-550</v>
      </c>
      <c r="HS52" s="291"/>
    </row>
    <row r="53" spans="1:227" s="287" customFormat="1" x14ac:dyDescent="0.3">
      <c r="A53" s="289"/>
      <c r="B53" s="301">
        <v>9100</v>
      </c>
      <c r="C53" s="314" t="s">
        <v>423</v>
      </c>
      <c r="D53" s="300">
        <v>-1037.8900000000001</v>
      </c>
      <c r="HS53" s="291"/>
    </row>
    <row r="54" spans="1:227" s="287" customFormat="1" x14ac:dyDescent="0.3">
      <c r="A54" s="289">
        <v>18</v>
      </c>
      <c r="B54" s="301">
        <v>3381</v>
      </c>
      <c r="C54" s="302" t="str">
        <f>+C4</f>
        <v>FTE June 14</v>
      </c>
      <c r="D54" s="294">
        <v>522053</v>
      </c>
      <c r="HS54" s="291"/>
    </row>
    <row r="55" spans="1:227" s="287" customFormat="1" x14ac:dyDescent="0.3">
      <c r="A55" s="289"/>
      <c r="B55" s="301">
        <v>3381</v>
      </c>
      <c r="C55" s="290" t="s">
        <v>418</v>
      </c>
      <c r="D55" s="294">
        <v>-3943</v>
      </c>
      <c r="HS55" s="291"/>
    </row>
    <row r="56" spans="1:227" s="287" customFormat="1" x14ac:dyDescent="0.3">
      <c r="A56" s="289">
        <v>19</v>
      </c>
      <c r="B56" s="301">
        <v>3382</v>
      </c>
      <c r="C56" s="302" t="str">
        <f>+C4</f>
        <v>FTE June 14</v>
      </c>
      <c r="D56" s="294">
        <v>59896</v>
      </c>
      <c r="HS56" s="291"/>
    </row>
    <row r="57" spans="1:227" s="287" customFormat="1" x14ac:dyDescent="0.3">
      <c r="A57" s="289"/>
      <c r="B57" s="301">
        <v>3382</v>
      </c>
      <c r="C57" s="290" t="s">
        <v>418</v>
      </c>
      <c r="D57" s="294">
        <v>-442</v>
      </c>
      <c r="HS57" s="291"/>
    </row>
    <row r="58" spans="1:227" s="287" customFormat="1" x14ac:dyDescent="0.3">
      <c r="A58" s="289"/>
      <c r="B58" s="301">
        <v>3382</v>
      </c>
      <c r="C58" s="314" t="s">
        <v>429</v>
      </c>
      <c r="D58" s="319">
        <v>-9680</v>
      </c>
      <c r="HS58" s="291"/>
    </row>
    <row r="59" spans="1:227" s="287" customFormat="1" x14ac:dyDescent="0.3">
      <c r="A59" s="289"/>
      <c r="B59" s="301">
        <v>3382</v>
      </c>
      <c r="C59" s="314" t="s">
        <v>430</v>
      </c>
      <c r="D59" s="319">
        <v>-707.25</v>
      </c>
      <c r="HS59" s="291"/>
    </row>
    <row r="60" spans="1:227" s="287" customFormat="1" x14ac:dyDescent="0.3">
      <c r="A60" s="289"/>
      <c r="B60" s="301">
        <v>3382</v>
      </c>
      <c r="C60" s="314" t="s">
        <v>431</v>
      </c>
      <c r="D60" s="319">
        <v>-385.5</v>
      </c>
      <c r="HS60" s="291"/>
    </row>
    <row r="61" spans="1:227" s="287" customFormat="1" x14ac:dyDescent="0.3">
      <c r="A61" s="289">
        <v>20</v>
      </c>
      <c r="B61" s="301">
        <v>3384</v>
      </c>
      <c r="C61" s="302" t="str">
        <f>+C4</f>
        <v>FTE June 14</v>
      </c>
      <c r="D61" s="294">
        <v>8018</v>
      </c>
      <c r="HS61" s="291"/>
    </row>
    <row r="62" spans="1:227" s="287" customFormat="1" x14ac:dyDescent="0.3">
      <c r="A62" s="289"/>
      <c r="B62" s="301">
        <v>3384</v>
      </c>
      <c r="C62" s="290" t="s">
        <v>418</v>
      </c>
      <c r="D62" s="294">
        <v>-163</v>
      </c>
      <c r="HS62" s="291"/>
    </row>
    <row r="63" spans="1:227" s="287" customFormat="1" x14ac:dyDescent="0.3">
      <c r="A63" s="289"/>
      <c r="B63" s="301">
        <v>9100</v>
      </c>
      <c r="C63" s="290" t="s">
        <v>424</v>
      </c>
      <c r="D63" s="300">
        <v>-522.9</v>
      </c>
      <c r="HS63" s="291"/>
    </row>
    <row r="64" spans="1:227" s="287" customFormat="1" x14ac:dyDescent="0.3">
      <c r="A64" s="289">
        <v>21</v>
      </c>
      <c r="B64" s="299">
        <v>3385</v>
      </c>
      <c r="C64" s="293" t="str">
        <f>+C4</f>
        <v>FTE June 14</v>
      </c>
      <c r="D64" s="294">
        <v>349290</v>
      </c>
      <c r="HS64" s="291"/>
    </row>
    <row r="65" spans="1:227" s="287" customFormat="1" x14ac:dyDescent="0.3">
      <c r="A65" s="289"/>
      <c r="B65" s="299">
        <v>3385</v>
      </c>
      <c r="C65" s="290" t="s">
        <v>418</v>
      </c>
      <c r="D65" s="294">
        <v>-2841</v>
      </c>
      <c r="HS65" s="291"/>
    </row>
    <row r="66" spans="1:227" s="287" customFormat="1" x14ac:dyDescent="0.3">
      <c r="A66" s="289">
        <v>22</v>
      </c>
      <c r="B66" s="299">
        <v>3386</v>
      </c>
      <c r="C66" s="293" t="str">
        <f>+C4</f>
        <v>FTE June 14</v>
      </c>
      <c r="D66" s="294">
        <v>83427</v>
      </c>
      <c r="HS66" s="291"/>
    </row>
    <row r="67" spans="1:227" s="287" customFormat="1" x14ac:dyDescent="0.3">
      <c r="A67" s="289"/>
      <c r="B67" s="299">
        <v>3386</v>
      </c>
      <c r="C67" s="290" t="s">
        <v>418</v>
      </c>
      <c r="D67" s="294">
        <v>-802</v>
      </c>
      <c r="HS67" s="291"/>
    </row>
    <row r="68" spans="1:227" s="287" customFormat="1" x14ac:dyDescent="0.3">
      <c r="A68" s="289"/>
      <c r="B68" s="299">
        <v>9100</v>
      </c>
      <c r="C68" s="293" t="s">
        <v>412</v>
      </c>
      <c r="D68" s="300">
        <v>-3823.75</v>
      </c>
      <c r="HS68" s="291"/>
    </row>
    <row r="69" spans="1:227" s="287" customFormat="1" x14ac:dyDescent="0.3">
      <c r="A69" s="289"/>
      <c r="B69" s="299">
        <v>9100</v>
      </c>
      <c r="C69" s="302" t="s">
        <v>406</v>
      </c>
      <c r="D69" s="303">
        <v>-91.36</v>
      </c>
      <c r="HS69" s="291"/>
    </row>
    <row r="70" spans="1:227" s="287" customFormat="1" x14ac:dyDescent="0.3">
      <c r="A70" s="289"/>
      <c r="B70" s="299">
        <v>9100</v>
      </c>
      <c r="C70" s="302" t="s">
        <v>407</v>
      </c>
      <c r="D70" s="303">
        <v>-19.73</v>
      </c>
      <c r="HS70" s="291"/>
    </row>
    <row r="71" spans="1:227" s="287" customFormat="1" x14ac:dyDescent="0.3">
      <c r="A71" s="289"/>
      <c r="B71" s="299">
        <v>3386</v>
      </c>
      <c r="C71" s="302" t="s">
        <v>411</v>
      </c>
      <c r="D71" s="303">
        <v>-2180</v>
      </c>
      <c r="HS71" s="291"/>
    </row>
    <row r="72" spans="1:227" s="287" customFormat="1" x14ac:dyDescent="0.3">
      <c r="A72" s="306">
        <v>23</v>
      </c>
      <c r="B72" s="299">
        <v>3391</v>
      </c>
      <c r="C72" s="293" t="str">
        <f>+C4</f>
        <v>FTE June 14</v>
      </c>
      <c r="D72" s="294">
        <v>61295</v>
      </c>
      <c r="HS72" s="291"/>
    </row>
    <row r="73" spans="1:227" s="287" customFormat="1" x14ac:dyDescent="0.3">
      <c r="A73" s="289"/>
      <c r="B73" s="299">
        <v>3391</v>
      </c>
      <c r="C73" s="290" t="s">
        <v>418</v>
      </c>
      <c r="D73" s="294">
        <v>-235</v>
      </c>
      <c r="HS73" s="291"/>
    </row>
    <row r="74" spans="1:227" s="287" customFormat="1" x14ac:dyDescent="0.3">
      <c r="A74" s="289">
        <v>24</v>
      </c>
      <c r="B74" s="299">
        <v>3392</v>
      </c>
      <c r="C74" s="293" t="str">
        <f>+C4</f>
        <v>FTE June 14</v>
      </c>
      <c r="D74" s="294">
        <v>332048</v>
      </c>
      <c r="HS74" s="291"/>
    </row>
    <row r="75" spans="1:227" s="287" customFormat="1" x14ac:dyDescent="0.3">
      <c r="A75" s="289"/>
      <c r="B75" s="299">
        <v>3392</v>
      </c>
      <c r="C75" s="290" t="s">
        <v>418</v>
      </c>
      <c r="D75" s="294">
        <v>-3392</v>
      </c>
      <c r="HS75" s="291"/>
    </row>
    <row r="76" spans="1:227" s="287" customFormat="1" x14ac:dyDescent="0.3">
      <c r="A76" s="289"/>
      <c r="B76" s="299">
        <v>3392</v>
      </c>
      <c r="C76" s="302" t="s">
        <v>413</v>
      </c>
      <c r="D76" s="300">
        <v>-6515</v>
      </c>
      <c r="HS76" s="291"/>
    </row>
    <row r="77" spans="1:227" s="287" customFormat="1" x14ac:dyDescent="0.3">
      <c r="A77" s="289">
        <v>25</v>
      </c>
      <c r="B77" s="299">
        <v>3394</v>
      </c>
      <c r="C77" s="293" t="str">
        <f>+C4</f>
        <v>FTE June 14</v>
      </c>
      <c r="D77" s="294">
        <v>132861</v>
      </c>
      <c r="HS77" s="291"/>
    </row>
    <row r="78" spans="1:227" s="287" customFormat="1" x14ac:dyDescent="0.3">
      <c r="A78" s="289"/>
      <c r="B78" s="299">
        <v>3394</v>
      </c>
      <c r="C78" s="290" t="s">
        <v>418</v>
      </c>
      <c r="D78" s="294">
        <v>-601</v>
      </c>
      <c r="HS78" s="291"/>
    </row>
    <row r="79" spans="1:227" s="287" customFormat="1" x14ac:dyDescent="0.3">
      <c r="A79" s="289"/>
      <c r="B79" s="301">
        <v>9100</v>
      </c>
      <c r="C79" s="314" t="s">
        <v>425</v>
      </c>
      <c r="D79" s="300">
        <v>-111.09</v>
      </c>
      <c r="HS79" s="291"/>
    </row>
    <row r="80" spans="1:227" s="287" customFormat="1" x14ac:dyDescent="0.3">
      <c r="A80" s="289">
        <v>26</v>
      </c>
      <c r="B80" s="301">
        <v>3395</v>
      </c>
      <c r="C80" s="302" t="str">
        <f>+C4</f>
        <v>FTE June 14</v>
      </c>
      <c r="D80" s="294">
        <v>278586</v>
      </c>
      <c r="HS80" s="291"/>
    </row>
    <row r="81" spans="1:227" s="287" customFormat="1" x14ac:dyDescent="0.3">
      <c r="A81" s="289"/>
      <c r="B81" s="301">
        <v>3395</v>
      </c>
      <c r="C81" s="290" t="s">
        <v>418</v>
      </c>
      <c r="D81" s="294">
        <v>-2158</v>
      </c>
      <c r="HS81" s="291"/>
    </row>
    <row r="82" spans="1:227" s="287" customFormat="1" x14ac:dyDescent="0.3">
      <c r="A82" s="285">
        <v>27</v>
      </c>
      <c r="B82" s="301">
        <v>3396</v>
      </c>
      <c r="C82" s="302" t="str">
        <f>+C4</f>
        <v>FTE June 14</v>
      </c>
      <c r="D82" s="294">
        <v>532430</v>
      </c>
      <c r="HS82" s="291"/>
    </row>
    <row r="83" spans="1:227" s="287" customFormat="1" x14ac:dyDescent="0.3">
      <c r="A83" s="285"/>
      <c r="B83" s="301">
        <v>3396</v>
      </c>
      <c r="C83" s="290" t="s">
        <v>418</v>
      </c>
      <c r="D83" s="294">
        <v>-4292</v>
      </c>
      <c r="HS83" s="291"/>
    </row>
    <row r="84" spans="1:227" x14ac:dyDescent="0.3">
      <c r="A84" s="285">
        <v>28</v>
      </c>
      <c r="B84" s="301">
        <v>3398</v>
      </c>
      <c r="C84" s="302" t="str">
        <f>+C4</f>
        <v>FTE June 14</v>
      </c>
      <c r="D84" s="294">
        <v>54138</v>
      </c>
      <c r="E84" s="287"/>
      <c r="HS84" s="285"/>
    </row>
    <row r="85" spans="1:227" x14ac:dyDescent="0.3">
      <c r="B85" s="301">
        <v>3398</v>
      </c>
      <c r="C85" s="290" t="s">
        <v>418</v>
      </c>
      <c r="D85" s="294">
        <v>-348</v>
      </c>
      <c r="E85" s="287"/>
      <c r="HS85" s="285"/>
    </row>
    <row r="86" spans="1:227" x14ac:dyDescent="0.3">
      <c r="A86" s="285">
        <v>29</v>
      </c>
      <c r="B86" s="301">
        <v>3400</v>
      </c>
      <c r="C86" s="302" t="str">
        <f>+C4</f>
        <v>FTE June 14</v>
      </c>
      <c r="D86" s="294">
        <v>139456</v>
      </c>
      <c r="E86" s="287"/>
    </row>
    <row r="87" spans="1:227" x14ac:dyDescent="0.3">
      <c r="B87" s="301">
        <v>3400</v>
      </c>
      <c r="C87" s="290" t="s">
        <v>418</v>
      </c>
      <c r="D87" s="294">
        <v>-457</v>
      </c>
      <c r="E87" s="287"/>
    </row>
    <row r="88" spans="1:227" x14ac:dyDescent="0.3">
      <c r="A88" s="285">
        <v>30</v>
      </c>
      <c r="B88" s="299">
        <v>3401</v>
      </c>
      <c r="C88" s="302" t="str">
        <f>+C4</f>
        <v>FTE June 14</v>
      </c>
      <c r="D88" s="304">
        <v>378583</v>
      </c>
      <c r="E88" s="287"/>
    </row>
    <row r="89" spans="1:227" x14ac:dyDescent="0.3">
      <c r="B89" s="299">
        <v>3401</v>
      </c>
      <c r="C89" s="290" t="s">
        <v>418</v>
      </c>
      <c r="D89" s="304">
        <v>-829</v>
      </c>
      <c r="E89" s="287"/>
      <c r="F89" s="285"/>
      <c r="HS89" s="285"/>
    </row>
    <row r="90" spans="1:227" x14ac:dyDescent="0.3">
      <c r="A90" s="285">
        <v>31</v>
      </c>
      <c r="B90" s="299">
        <v>3411</v>
      </c>
      <c r="C90" s="302" t="str">
        <f>+C4</f>
        <v>FTE June 14</v>
      </c>
      <c r="D90" s="304">
        <v>0</v>
      </c>
      <c r="E90" s="287"/>
      <c r="F90" s="285"/>
      <c r="HS90" s="285"/>
    </row>
    <row r="91" spans="1:227" x14ac:dyDescent="0.3">
      <c r="B91" s="299">
        <v>9100</v>
      </c>
      <c r="C91" s="305" t="s">
        <v>414</v>
      </c>
      <c r="D91" s="304">
        <v>0</v>
      </c>
      <c r="E91" s="287"/>
      <c r="F91" s="285"/>
      <c r="HS91" s="285"/>
    </row>
    <row r="92" spans="1:227" x14ac:dyDescent="0.3">
      <c r="A92" s="285">
        <v>32</v>
      </c>
      <c r="B92" s="299">
        <v>3413</v>
      </c>
      <c r="C92" s="302" t="str">
        <f>+C4</f>
        <v>FTE June 14</v>
      </c>
      <c r="D92" s="304">
        <v>171462</v>
      </c>
      <c r="E92" s="287"/>
      <c r="F92" s="285"/>
      <c r="HS92" s="285"/>
    </row>
    <row r="93" spans="1:227" x14ac:dyDescent="0.3">
      <c r="B93" s="299">
        <v>3413</v>
      </c>
      <c r="C93" s="290" t="s">
        <v>418</v>
      </c>
      <c r="D93" s="304">
        <v>-669</v>
      </c>
    </row>
    <row r="94" spans="1:227" x14ac:dyDescent="0.3">
      <c r="B94" s="299">
        <v>9100</v>
      </c>
      <c r="C94" s="314" t="s">
        <v>426</v>
      </c>
      <c r="D94" s="303">
        <v>-47.55</v>
      </c>
    </row>
    <row r="95" spans="1:227" x14ac:dyDescent="0.3">
      <c r="A95" s="285">
        <v>33</v>
      </c>
      <c r="B95" s="299">
        <v>3421</v>
      </c>
      <c r="C95" s="302" t="str">
        <f>+C4</f>
        <v>FTE June 14</v>
      </c>
      <c r="D95" s="304">
        <v>240760</v>
      </c>
    </row>
    <row r="96" spans="1:227" x14ac:dyDescent="0.3">
      <c r="B96" s="299">
        <v>3421</v>
      </c>
      <c r="C96" s="290" t="s">
        <v>418</v>
      </c>
      <c r="D96" s="304">
        <v>-1127</v>
      </c>
    </row>
    <row r="97" spans="1:4" x14ac:dyDescent="0.3">
      <c r="A97" s="285">
        <v>34</v>
      </c>
      <c r="B97" s="299">
        <v>3431</v>
      </c>
      <c r="C97" s="302" t="str">
        <f>+C4</f>
        <v>FTE June 14</v>
      </c>
      <c r="D97" s="304">
        <v>478497</v>
      </c>
    </row>
    <row r="98" spans="1:4" x14ac:dyDescent="0.3">
      <c r="B98" s="299">
        <v>3431</v>
      </c>
      <c r="C98" s="290" t="s">
        <v>418</v>
      </c>
      <c r="D98" s="304">
        <v>-2478</v>
      </c>
    </row>
    <row r="99" spans="1:4" x14ac:dyDescent="0.3">
      <c r="A99" s="285">
        <v>35</v>
      </c>
      <c r="B99" s="299">
        <v>3441</v>
      </c>
      <c r="C99" s="302" t="str">
        <f>+C4</f>
        <v>FTE June 14</v>
      </c>
      <c r="D99" s="304">
        <v>44057</v>
      </c>
    </row>
    <row r="100" spans="1:4" x14ac:dyDescent="0.3">
      <c r="A100" s="285">
        <v>36</v>
      </c>
      <c r="B100" s="299">
        <v>3443</v>
      </c>
      <c r="C100" s="302" t="str">
        <f>+C4</f>
        <v>FTE June 14</v>
      </c>
      <c r="D100" s="294">
        <v>93739</v>
      </c>
    </row>
    <row r="101" spans="1:4" x14ac:dyDescent="0.3">
      <c r="B101" s="299">
        <v>3443</v>
      </c>
      <c r="C101" s="290" t="s">
        <v>418</v>
      </c>
      <c r="D101" s="294">
        <v>-787</v>
      </c>
    </row>
    <row r="102" spans="1:4" x14ac:dyDescent="0.3">
      <c r="A102" s="285">
        <v>37</v>
      </c>
      <c r="B102" s="299">
        <v>3941</v>
      </c>
      <c r="C102" s="302" t="str">
        <f>+C4</f>
        <v>FTE June 14</v>
      </c>
      <c r="D102" s="294">
        <v>162576</v>
      </c>
    </row>
    <row r="103" spans="1:4" x14ac:dyDescent="0.3">
      <c r="B103" s="299">
        <v>3941</v>
      </c>
      <c r="C103" s="290" t="s">
        <v>418</v>
      </c>
      <c r="D103" s="294">
        <v>-1117</v>
      </c>
    </row>
    <row r="104" spans="1:4" x14ac:dyDescent="0.3">
      <c r="A104" s="285">
        <v>38</v>
      </c>
      <c r="B104" s="299">
        <v>3961</v>
      </c>
      <c r="C104" s="302" t="str">
        <f>+C4</f>
        <v>FTE June 14</v>
      </c>
      <c r="D104" s="294">
        <v>118463</v>
      </c>
    </row>
    <row r="105" spans="1:4" x14ac:dyDescent="0.3">
      <c r="B105" s="299">
        <v>3961</v>
      </c>
      <c r="C105" s="290" t="s">
        <v>418</v>
      </c>
      <c r="D105" s="294">
        <v>-654</v>
      </c>
    </row>
    <row r="106" spans="1:4" x14ac:dyDescent="0.3">
      <c r="A106" s="285">
        <v>39</v>
      </c>
      <c r="B106" s="299">
        <v>3971</v>
      </c>
      <c r="C106" s="299" t="str">
        <f>+C4</f>
        <v>FTE June 14</v>
      </c>
      <c r="D106" s="294">
        <v>283665</v>
      </c>
    </row>
    <row r="107" spans="1:4" x14ac:dyDescent="0.3">
      <c r="B107" s="299">
        <v>3971</v>
      </c>
      <c r="C107" s="290" t="s">
        <v>418</v>
      </c>
      <c r="D107" s="313">
        <v>-1666</v>
      </c>
    </row>
    <row r="108" spans="1:4" x14ac:dyDescent="0.3">
      <c r="B108" s="307">
        <v>3971</v>
      </c>
      <c r="C108" s="299" t="s">
        <v>411</v>
      </c>
      <c r="D108" s="308">
        <v>-28250</v>
      </c>
    </row>
    <row r="109" spans="1:4" x14ac:dyDescent="0.3">
      <c r="A109" s="285">
        <v>40</v>
      </c>
      <c r="B109" s="299">
        <v>4000</v>
      </c>
      <c r="C109" s="299" t="str">
        <f>+$C$4</f>
        <v>FTE June 14</v>
      </c>
      <c r="D109" s="294">
        <v>305187</v>
      </c>
    </row>
    <row r="110" spans="1:4" x14ac:dyDescent="0.3">
      <c r="B110" s="299">
        <v>9100</v>
      </c>
      <c r="C110" s="299" t="s">
        <v>427</v>
      </c>
      <c r="D110" s="300">
        <v>-120.98</v>
      </c>
    </row>
    <row r="111" spans="1:4" x14ac:dyDescent="0.3">
      <c r="A111" s="285">
        <v>41</v>
      </c>
      <c r="B111" s="299">
        <v>4002</v>
      </c>
      <c r="C111" s="299" t="str">
        <f t="shared" ref="C111:C119" si="0">+$C$4</f>
        <v>FTE June 14</v>
      </c>
      <c r="D111" s="294">
        <v>337667</v>
      </c>
    </row>
    <row r="112" spans="1:4" x14ac:dyDescent="0.3">
      <c r="B112" s="299">
        <v>9100</v>
      </c>
      <c r="C112" s="299" t="s">
        <v>428</v>
      </c>
      <c r="D112" s="300">
        <v>-77.27</v>
      </c>
    </row>
    <row r="113" spans="1:4" x14ac:dyDescent="0.3">
      <c r="A113" s="285">
        <v>42</v>
      </c>
      <c r="B113" s="299">
        <v>4010</v>
      </c>
      <c r="C113" s="299" t="str">
        <f t="shared" si="0"/>
        <v>FTE June 14</v>
      </c>
      <c r="D113" s="294">
        <v>30924</v>
      </c>
    </row>
    <row r="114" spans="1:4" x14ac:dyDescent="0.3">
      <c r="A114" s="285">
        <v>43</v>
      </c>
      <c r="B114" s="299">
        <v>4012</v>
      </c>
      <c r="C114" s="299" t="str">
        <f t="shared" si="0"/>
        <v>FTE June 14</v>
      </c>
      <c r="D114" s="294">
        <v>254099</v>
      </c>
    </row>
    <row r="115" spans="1:4" x14ac:dyDescent="0.3">
      <c r="A115" s="285">
        <v>44</v>
      </c>
      <c r="B115" s="299">
        <v>4013</v>
      </c>
      <c r="C115" s="299" t="str">
        <f t="shared" si="0"/>
        <v>FTE June 14</v>
      </c>
      <c r="D115" s="294">
        <v>56043</v>
      </c>
    </row>
    <row r="116" spans="1:4" x14ac:dyDescent="0.3">
      <c r="A116" s="285">
        <v>45</v>
      </c>
      <c r="B116" s="299">
        <v>4020</v>
      </c>
      <c r="C116" s="299" t="str">
        <f t="shared" si="0"/>
        <v>FTE June 14</v>
      </c>
      <c r="D116" s="294">
        <v>579956</v>
      </c>
    </row>
    <row r="117" spans="1:4" x14ac:dyDescent="0.3">
      <c r="A117" s="285">
        <v>46</v>
      </c>
      <c r="B117" s="299">
        <v>4037</v>
      </c>
      <c r="C117" s="299" t="str">
        <f t="shared" si="0"/>
        <v>FTE June 14</v>
      </c>
      <c r="D117" s="294">
        <v>181632</v>
      </c>
    </row>
    <row r="118" spans="1:4" x14ac:dyDescent="0.3">
      <c r="A118" s="285">
        <v>47</v>
      </c>
      <c r="B118" s="299">
        <v>4040</v>
      </c>
      <c r="C118" s="299" t="str">
        <f t="shared" si="0"/>
        <v>FTE June 14</v>
      </c>
      <c r="D118" s="294">
        <v>0</v>
      </c>
    </row>
    <row r="119" spans="1:4" x14ac:dyDescent="0.3">
      <c r="A119" s="285">
        <v>48</v>
      </c>
      <c r="B119" s="299">
        <v>4041</v>
      </c>
      <c r="C119" s="299" t="str">
        <f t="shared" si="0"/>
        <v>FTE June 14</v>
      </c>
      <c r="D119" s="294">
        <v>12341</v>
      </c>
    </row>
    <row r="120" spans="1:4" x14ac:dyDescent="0.3">
      <c r="B120" s="287"/>
      <c r="C120" s="287"/>
      <c r="D120" s="320"/>
    </row>
    <row r="121" spans="1:4" x14ac:dyDescent="0.3">
      <c r="B121" s="287"/>
      <c r="C121" s="287"/>
      <c r="D121" s="316"/>
    </row>
    <row r="122" spans="1:4" x14ac:dyDescent="0.3">
      <c r="B122" s="287"/>
      <c r="C122" s="287"/>
      <c r="D122" s="316"/>
    </row>
    <row r="123" spans="1:4" x14ac:dyDescent="0.3">
      <c r="B123" s="287"/>
      <c r="C123" s="287"/>
      <c r="D123" s="316"/>
    </row>
    <row r="124" spans="1:4" x14ac:dyDescent="0.3">
      <c r="B124" s="287"/>
      <c r="C124" s="287"/>
      <c r="D124" s="316"/>
    </row>
    <row r="125" spans="1:4" x14ac:dyDescent="0.3">
      <c r="B125" s="287"/>
      <c r="C125" s="287"/>
      <c r="D125" s="316"/>
    </row>
    <row r="126" spans="1:4" x14ac:dyDescent="0.3">
      <c r="B126" s="287"/>
      <c r="C126" s="287"/>
      <c r="D126" s="316"/>
    </row>
    <row r="127" spans="1:4" x14ac:dyDescent="0.3">
      <c r="B127" s="287"/>
      <c r="C127" s="287"/>
      <c r="D127" s="316"/>
    </row>
    <row r="128" spans="1:4" x14ac:dyDescent="0.3">
      <c r="B128" s="287"/>
      <c r="C128" s="287"/>
      <c r="D128" s="316"/>
    </row>
    <row r="129" spans="2:4" x14ac:dyDescent="0.3">
      <c r="B129" s="287"/>
      <c r="C129" s="287"/>
      <c r="D129" s="316"/>
    </row>
    <row r="130" spans="2:4" x14ac:dyDescent="0.3">
      <c r="B130" s="287"/>
      <c r="C130" s="287"/>
      <c r="D130" s="316"/>
    </row>
    <row r="131" spans="2:4" x14ac:dyDescent="0.3">
      <c r="B131" s="287"/>
      <c r="C131" s="287"/>
      <c r="D131" s="316"/>
    </row>
    <row r="132" spans="2:4" x14ac:dyDescent="0.3">
      <c r="B132" s="287"/>
      <c r="C132" s="287"/>
      <c r="D132" s="316"/>
    </row>
    <row r="133" spans="2:4" x14ac:dyDescent="0.3">
      <c r="B133" s="287"/>
      <c r="C133" s="287"/>
      <c r="D133" s="316"/>
    </row>
    <row r="134" spans="2:4" x14ac:dyDescent="0.3">
      <c r="B134" s="287"/>
      <c r="C134" s="287"/>
      <c r="D134" s="316"/>
    </row>
    <row r="135" spans="2:4" x14ac:dyDescent="0.3">
      <c r="B135" s="287"/>
      <c r="C135" s="287"/>
      <c r="D135" s="316"/>
    </row>
    <row r="136" spans="2:4" x14ac:dyDescent="0.3">
      <c r="B136" s="287"/>
      <c r="C136" s="287"/>
      <c r="D136" s="316"/>
    </row>
    <row r="137" spans="2:4" x14ac:dyDescent="0.3">
      <c r="B137" s="287"/>
      <c r="C137" s="287"/>
      <c r="D137" s="316"/>
    </row>
    <row r="138" spans="2:4" x14ac:dyDescent="0.3">
      <c r="B138" s="287"/>
      <c r="C138" s="287"/>
      <c r="D138" s="316"/>
    </row>
    <row r="139" spans="2:4" x14ac:dyDescent="0.3">
      <c r="B139" s="287"/>
      <c r="C139" s="287"/>
      <c r="D139" s="316"/>
    </row>
    <row r="145" spans="2:3" x14ac:dyDescent="0.3">
      <c r="B145" s="601"/>
      <c r="C145" s="601"/>
    </row>
  </sheetData>
  <mergeCells count="4">
    <mergeCell ref="H8:P8"/>
    <mergeCell ref="H9:P16"/>
    <mergeCell ref="H17:P22"/>
    <mergeCell ref="B145:C145"/>
  </mergeCells>
  <pageMargins left="0" right="0" top="0" bottom="0" header="0" footer="0"/>
  <pageSetup scale="49" orientation="portrait" r:id="rId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AD151"/>
  <sheetViews>
    <sheetView topLeftCell="B80" zoomScale="70" zoomScaleNormal="70" workbookViewId="0">
      <selection activeCell="E23" sqref="E23"/>
    </sheetView>
  </sheetViews>
  <sheetFormatPr defaultColWidth="8.85546875" defaultRowHeight="15.75" x14ac:dyDescent="0.25"/>
  <cols>
    <col min="1" max="1" width="11.28515625" style="1" hidden="1" customWidth="1"/>
    <col min="2" max="2" width="10.28515625" style="2" customWidth="1"/>
    <col min="3" max="3" width="29" style="1" customWidth="1"/>
    <col min="4" max="5" width="12.28515625" style="1" customWidth="1"/>
    <col min="6" max="6" width="12.28515625" style="1" hidden="1" customWidth="1"/>
    <col min="7" max="7" width="15.28515625" style="1" customWidth="1"/>
    <col min="8" max="8" width="6.7109375" style="1" customWidth="1"/>
    <col min="9" max="9" width="12.5703125" style="1" customWidth="1"/>
    <col min="10" max="10" width="12.85546875" style="1" customWidth="1"/>
    <col min="11" max="11" width="13" style="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28515625" style="1" customWidth="1"/>
    <col min="18" max="18" width="8.85546875" style="1"/>
    <col min="19" max="21" width="0" style="1" hidden="1" customWidth="1"/>
    <col min="22" max="23" width="8.85546875" style="1"/>
    <col min="24" max="24" width="12.7109375" style="1" customWidth="1"/>
    <col min="25" max="27" width="8.85546875" style="1"/>
    <col min="28" max="28" width="13.140625" style="1" bestFit="1" customWidth="1"/>
    <col min="29" max="16384" width="8.85546875" style="1"/>
  </cols>
  <sheetData>
    <row r="1" spans="1:30" ht="15.6"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7"/>
      <c r="N2" s="3"/>
      <c r="O2" s="1"/>
      <c r="V2" s="8">
        <f>'1461'!B2</f>
        <v>50</v>
      </c>
      <c r="W2" s="606" t="s">
        <v>4</v>
      </c>
      <c r="X2" s="607"/>
      <c r="Y2" s="608"/>
      <c r="Z2" s="608"/>
      <c r="AA2" s="608"/>
      <c r="AB2" s="608"/>
      <c r="AC2" s="608"/>
      <c r="AD2" s="9"/>
    </row>
    <row r="3" spans="1:30" ht="20.25" x14ac:dyDescent="0.3">
      <c r="B3" s="10" t="str">
        <f>"Revenue Estimate Worksheet for "&amp;B124</f>
        <v>Revenue Estimate Worksheet for Inlet Grove Community High</v>
      </c>
      <c r="C3" s="11"/>
      <c r="D3" s="11"/>
      <c r="E3" s="11"/>
      <c r="F3" s="11"/>
      <c r="G3" s="11"/>
      <c r="H3" s="11"/>
      <c r="I3" s="11"/>
      <c r="J3" s="11"/>
      <c r="K3" s="11"/>
      <c r="L3" s="11"/>
      <c r="M3" s="10"/>
      <c r="N3" s="10"/>
      <c r="O3" s="10"/>
      <c r="P3" s="10"/>
      <c r="Q3" s="10"/>
      <c r="V3" s="609" t="s">
        <v>5</v>
      </c>
      <c r="W3" s="609"/>
      <c r="X3" s="609"/>
      <c r="Y3" s="609"/>
      <c r="Z3" s="609"/>
      <c r="AA3" s="609"/>
      <c r="AB3" s="609"/>
      <c r="AC3" s="609"/>
      <c r="AD3" s="12"/>
    </row>
    <row r="4" spans="1:30" ht="18.75" x14ac:dyDescent="0.3">
      <c r="B4" s="2" t="s">
        <v>6</v>
      </c>
      <c r="C4" s="13"/>
      <c r="D4" s="13"/>
      <c r="E4" s="13"/>
      <c r="F4" s="13"/>
      <c r="G4" s="13"/>
      <c r="H4" s="13"/>
      <c r="I4" s="13"/>
      <c r="J4" s="13"/>
      <c r="K4" s="13"/>
      <c r="L4" s="13"/>
      <c r="M4" s="14"/>
      <c r="N4" s="14"/>
      <c r="O4" s="14"/>
      <c r="P4" s="14"/>
      <c r="Q4" s="14"/>
      <c r="V4" s="610" t="str">
        <f>+Based_on_the_Second_Calculation_of_the_FEFP_2010_11</f>
        <v>Based on the Fourth Calculation of the FEFP 2013-14</v>
      </c>
      <c r="W4" s="610"/>
      <c r="X4" s="610"/>
      <c r="Y4" s="610"/>
      <c r="Z4" s="610"/>
      <c r="AA4" s="610"/>
      <c r="AB4" s="610"/>
      <c r="AC4" s="610"/>
      <c r="AD4" s="15"/>
    </row>
    <row r="5" spans="1:30" ht="18.75" customHeight="1" x14ac:dyDescent="0.25">
      <c r="B5" s="16" t="s">
        <v>7</v>
      </c>
      <c r="C5" s="16"/>
      <c r="D5" s="16"/>
      <c r="E5" s="16"/>
      <c r="F5" s="16"/>
      <c r="G5" s="17" t="s">
        <v>8</v>
      </c>
      <c r="H5" s="17"/>
      <c r="I5" s="17"/>
      <c r="J5" s="17"/>
      <c r="K5" s="17"/>
      <c r="L5" s="17"/>
      <c r="M5" s="18"/>
      <c r="N5" s="18"/>
      <c r="O5" s="18"/>
      <c r="P5" s="18"/>
      <c r="Q5" s="18"/>
      <c r="V5" s="611" t="s">
        <v>7</v>
      </c>
      <c r="W5" s="611"/>
      <c r="X5" s="612" t="s">
        <v>8</v>
      </c>
      <c r="Y5" s="612"/>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613" t="s">
        <v>9</v>
      </c>
      <c r="W6" s="613"/>
      <c r="X6" s="613"/>
      <c r="Y6" s="613"/>
      <c r="Z6" s="613"/>
      <c r="AA6" s="613"/>
      <c r="AB6" s="613"/>
      <c r="AC6" s="613"/>
      <c r="AD6" s="22"/>
    </row>
    <row r="7" spans="1:30" ht="18" customHeight="1" x14ac:dyDescent="0.25">
      <c r="B7" s="23" t="s">
        <v>10</v>
      </c>
      <c r="C7" s="23"/>
      <c r="D7" s="23"/>
      <c r="E7" s="23"/>
      <c r="F7" s="23"/>
      <c r="G7" s="24">
        <v>3752.3</v>
      </c>
      <c r="H7" s="24"/>
      <c r="I7" s="23" t="s">
        <v>11</v>
      </c>
      <c r="J7" s="23"/>
      <c r="K7" s="25">
        <v>1.0326</v>
      </c>
      <c r="L7" s="25"/>
      <c r="O7" s="1"/>
      <c r="V7" s="620" t="s">
        <v>10</v>
      </c>
      <c r="W7" s="620"/>
      <c r="X7" s="621">
        <f>'1461'!G7</f>
        <v>3752.3</v>
      </c>
      <c r="Y7" s="621"/>
      <c r="Z7" s="622" t="s">
        <v>11</v>
      </c>
      <c r="AA7" s="622"/>
      <c r="AB7" s="602">
        <f>+K7</f>
        <v>1.0326</v>
      </c>
      <c r="AC7" s="602"/>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603" t="s">
        <v>12</v>
      </c>
      <c r="W8" s="603"/>
      <c r="X8" s="604" t="s">
        <v>15</v>
      </c>
      <c r="Y8" s="604"/>
      <c r="Z8" s="605" t="s">
        <v>16</v>
      </c>
      <c r="AA8" s="605"/>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614" t="s">
        <v>22</v>
      </c>
      <c r="W9" s="614"/>
      <c r="X9" s="615" t="s">
        <v>23</v>
      </c>
      <c r="Y9" s="615"/>
      <c r="Z9" s="616" t="s">
        <v>24</v>
      </c>
      <c r="AA9" s="616"/>
      <c r="AB9" s="43" t="s">
        <v>25</v>
      </c>
      <c r="AC9" s="44" t="s">
        <v>26</v>
      </c>
      <c r="AD9" s="9"/>
    </row>
    <row r="10" spans="1:30" x14ac:dyDescent="0.25">
      <c r="A10" s="1" t="s">
        <v>27</v>
      </c>
      <c r="B10" s="45" t="s">
        <v>28</v>
      </c>
      <c r="C10" s="45"/>
      <c r="D10" s="45">
        <v>0</v>
      </c>
      <c r="E10" s="45">
        <v>0</v>
      </c>
      <c r="F10" s="45">
        <v>0</v>
      </c>
      <c r="G10" s="46">
        <f>D10+E10</f>
        <v>0</v>
      </c>
      <c r="H10" s="47"/>
      <c r="I10" s="48">
        <v>1.125</v>
      </c>
      <c r="J10" s="48"/>
      <c r="K10" s="49">
        <f>ROUND(G10*I10,4)</f>
        <v>0</v>
      </c>
      <c r="L10" s="50">
        <f>ROUND(ROUND(K10*$G$7,4)*($K$7),0)</f>
        <v>0</v>
      </c>
      <c r="N10" s="51">
        <v>5101</v>
      </c>
      <c r="O10" s="52">
        <v>101</v>
      </c>
      <c r="P10" s="53"/>
      <c r="Q10" s="54"/>
      <c r="V10" s="617" t="s">
        <v>28</v>
      </c>
      <c r="W10" s="617"/>
      <c r="X10" s="618">
        <f>IF('1461'!K$84=1,'1461'!G10,0)</f>
        <v>0</v>
      </c>
      <c r="Y10" s="618"/>
      <c r="Z10" s="619">
        <v>1</v>
      </c>
      <c r="AA10" s="619"/>
      <c r="AB10" s="55">
        <f t="shared" ref="AB10:AB25" si="0">ROUND(X10*Z10,4)</f>
        <v>0</v>
      </c>
      <c r="AC10" s="56">
        <f t="shared" ref="AC10:AC25" si="1">ROUND(ROUND(AB10*$X$7,4)*($AB$7),0)</f>
        <v>0</v>
      </c>
      <c r="AD10" s="9">
        <v>1</v>
      </c>
    </row>
    <row r="11" spans="1:30" x14ac:dyDescent="0.25">
      <c r="A11" s="1" t="s">
        <v>29</v>
      </c>
      <c r="B11" s="13" t="s">
        <v>30</v>
      </c>
      <c r="C11" s="13"/>
      <c r="D11" s="13">
        <v>0</v>
      </c>
      <c r="E11" s="13">
        <v>0</v>
      </c>
      <c r="F11" s="13">
        <v>0</v>
      </c>
      <c r="G11" s="46">
        <f t="shared" ref="G11:G25" si="2">D11+E11</f>
        <v>0</v>
      </c>
      <c r="H11" s="47"/>
      <c r="I11" s="57">
        <f>I10</f>
        <v>1.125</v>
      </c>
      <c r="J11" s="57"/>
      <c r="K11" s="49">
        <f t="shared" ref="K11:K25" si="3">ROUND(G11*I11,4)</f>
        <v>0</v>
      </c>
      <c r="L11" s="50">
        <f t="shared" ref="L11:L25" si="4">ROUND(ROUND(K11*$G$7,4)*($K$7),0)</f>
        <v>0</v>
      </c>
      <c r="M11" s="1" t="str">
        <f>IF(ROUND(G11,2)=ROUND(SUM(G28:G30),2)," ","CHECK 2. PK-3 Lines Below")</f>
        <v xml:space="preserve"> </v>
      </c>
      <c r="N11" s="51">
        <v>5101</v>
      </c>
      <c r="O11" s="58" t="s">
        <v>31</v>
      </c>
      <c r="P11" s="53"/>
      <c r="Q11" s="54"/>
      <c r="V11" s="623" t="s">
        <v>30</v>
      </c>
      <c r="W11" s="623"/>
      <c r="X11" s="618">
        <f>IF('1461'!K$84=1,'1461'!G11,0)</f>
        <v>0</v>
      </c>
      <c r="Y11" s="618"/>
      <c r="Z11" s="624">
        <v>1</v>
      </c>
      <c r="AA11" s="624"/>
      <c r="AB11" s="55">
        <f t="shared" si="0"/>
        <v>0</v>
      </c>
      <c r="AC11" s="56">
        <f t="shared" si="1"/>
        <v>0</v>
      </c>
      <c r="AD11" s="9"/>
    </row>
    <row r="12" spans="1:30" x14ac:dyDescent="0.25">
      <c r="A12" s="1" t="s">
        <v>32</v>
      </c>
      <c r="B12" s="13" t="s">
        <v>33</v>
      </c>
      <c r="C12" s="13"/>
      <c r="D12" s="13">
        <v>0</v>
      </c>
      <c r="E12" s="13">
        <v>0</v>
      </c>
      <c r="F12" s="13">
        <v>0</v>
      </c>
      <c r="G12" s="46">
        <f t="shared" si="2"/>
        <v>0</v>
      </c>
      <c r="H12" s="47"/>
      <c r="I12" s="57">
        <v>1</v>
      </c>
      <c r="J12" s="57"/>
      <c r="K12" s="49">
        <f t="shared" si="3"/>
        <v>0</v>
      </c>
      <c r="L12" s="50">
        <f t="shared" si="4"/>
        <v>0</v>
      </c>
      <c r="N12" s="51">
        <v>5102</v>
      </c>
      <c r="O12" s="52">
        <v>102</v>
      </c>
      <c r="P12" s="53"/>
      <c r="Q12" s="54"/>
      <c r="V12" s="623" t="s">
        <v>33</v>
      </c>
      <c r="W12" s="623"/>
      <c r="X12" s="618">
        <f>IF('1461'!K$84=1,'1461'!G12,0)</f>
        <v>0</v>
      </c>
      <c r="Y12" s="618"/>
      <c r="Z12" s="624">
        <v>1</v>
      </c>
      <c r="AA12" s="624"/>
      <c r="AB12" s="55">
        <f t="shared" si="0"/>
        <v>0</v>
      </c>
      <c r="AC12" s="56">
        <f t="shared" si="1"/>
        <v>0</v>
      </c>
      <c r="AD12" s="9"/>
    </row>
    <row r="13" spans="1:30" x14ac:dyDescent="0.25">
      <c r="A13" s="1" t="s">
        <v>34</v>
      </c>
      <c r="B13" s="13" t="s">
        <v>35</v>
      </c>
      <c r="C13" s="13"/>
      <c r="D13" s="13">
        <v>0</v>
      </c>
      <c r="E13" s="13">
        <v>0</v>
      </c>
      <c r="F13" s="13">
        <v>0</v>
      </c>
      <c r="G13" s="46">
        <f t="shared" si="2"/>
        <v>0</v>
      </c>
      <c r="H13" s="47"/>
      <c r="I13" s="57">
        <f>I12</f>
        <v>1</v>
      </c>
      <c r="J13" s="57"/>
      <c r="K13" s="49">
        <f t="shared" si="3"/>
        <v>0</v>
      </c>
      <c r="L13" s="50">
        <f t="shared" si="4"/>
        <v>0</v>
      </c>
      <c r="M13" s="1" t="str">
        <f>IF(ROUND(G13,2)=ROUND(SUM(G31:G33),2)," ","CHECK 2. PK-3 Lines Below")</f>
        <v xml:space="preserve"> </v>
      </c>
      <c r="N13" s="51">
        <v>5102</v>
      </c>
      <c r="O13" s="58" t="s">
        <v>36</v>
      </c>
      <c r="P13" s="53"/>
      <c r="Q13" s="54"/>
      <c r="V13" s="623" t="s">
        <v>35</v>
      </c>
      <c r="W13" s="623"/>
      <c r="X13" s="618">
        <f>IF('1461'!K$84=1,'1461'!G13,0)</f>
        <v>0</v>
      </c>
      <c r="Y13" s="618"/>
      <c r="Z13" s="624">
        <v>1</v>
      </c>
      <c r="AA13" s="624"/>
      <c r="AB13" s="55">
        <f t="shared" si="0"/>
        <v>0</v>
      </c>
      <c r="AC13" s="56">
        <f t="shared" si="1"/>
        <v>0</v>
      </c>
      <c r="AD13" s="9"/>
    </row>
    <row r="14" spans="1:30" x14ac:dyDescent="0.25">
      <c r="A14" s="1" t="s">
        <v>37</v>
      </c>
      <c r="B14" s="13" t="s">
        <v>38</v>
      </c>
      <c r="C14" s="13"/>
      <c r="D14" s="13">
        <v>258.8</v>
      </c>
      <c r="E14" s="13">
        <v>246.24</v>
      </c>
      <c r="F14" s="13">
        <v>327.14</v>
      </c>
      <c r="G14" s="46">
        <f t="shared" si="2"/>
        <v>505.04</v>
      </c>
      <c r="H14" s="47"/>
      <c r="I14" s="57">
        <v>1.0109999999999999</v>
      </c>
      <c r="J14" s="57"/>
      <c r="K14" s="49">
        <f t="shared" si="3"/>
        <v>510.59539999999998</v>
      </c>
      <c r="L14" s="50">
        <f t="shared" si="4"/>
        <v>1978366</v>
      </c>
      <c r="N14" s="51">
        <v>5103</v>
      </c>
      <c r="O14" s="52">
        <v>103</v>
      </c>
      <c r="P14" s="53"/>
      <c r="Q14" s="54"/>
      <c r="V14" s="623" t="s">
        <v>38</v>
      </c>
      <c r="W14" s="623"/>
      <c r="X14" s="618">
        <f>IF('1461'!K$84=1,'1461'!G14,0)</f>
        <v>0</v>
      </c>
      <c r="Y14" s="618"/>
      <c r="Z14" s="624">
        <v>1</v>
      </c>
      <c r="AA14" s="624"/>
      <c r="AB14" s="55">
        <f t="shared" si="0"/>
        <v>0</v>
      </c>
      <c r="AC14" s="56">
        <f t="shared" si="1"/>
        <v>0</v>
      </c>
      <c r="AD14" s="9"/>
    </row>
    <row r="15" spans="1:30" x14ac:dyDescent="0.25">
      <c r="A15" s="1" t="s">
        <v>39</v>
      </c>
      <c r="B15" s="13" t="s">
        <v>40</v>
      </c>
      <c r="C15" s="13"/>
      <c r="D15" s="13">
        <v>31.73</v>
      </c>
      <c r="E15" s="13">
        <v>28.19</v>
      </c>
      <c r="F15" s="13">
        <v>40.659999999999997</v>
      </c>
      <c r="G15" s="46">
        <f t="shared" si="2"/>
        <v>59.92</v>
      </c>
      <c r="H15" s="47"/>
      <c r="I15" s="57">
        <f>I14</f>
        <v>1.0109999999999999</v>
      </c>
      <c r="J15" s="57"/>
      <c r="K15" s="49">
        <f t="shared" si="3"/>
        <v>60.579099999999997</v>
      </c>
      <c r="L15" s="59">
        <f t="shared" si="4"/>
        <v>234721</v>
      </c>
      <c r="M15" s="1" t="str">
        <f>IF(ROUND(G15,2)=ROUND(SUM(G34:G36),2)," ","CHECK 2. PK-3 Lines Below")</f>
        <v xml:space="preserve"> </v>
      </c>
      <c r="N15" s="51">
        <v>5103</v>
      </c>
      <c r="O15" s="58" t="s">
        <v>41</v>
      </c>
      <c r="P15" s="53"/>
      <c r="Q15" s="54"/>
      <c r="V15" s="623" t="s">
        <v>40</v>
      </c>
      <c r="W15" s="623"/>
      <c r="X15" s="618">
        <f>IF('1461'!K$84=1,'1461'!G15,0)</f>
        <v>0</v>
      </c>
      <c r="Y15" s="618"/>
      <c r="Z15" s="624">
        <v>1</v>
      </c>
      <c r="AA15" s="624"/>
      <c r="AB15" s="55">
        <f t="shared" si="0"/>
        <v>0</v>
      </c>
      <c r="AC15" s="60">
        <f t="shared" si="1"/>
        <v>0</v>
      </c>
      <c r="AD15" s="9"/>
    </row>
    <row r="16" spans="1:30" x14ac:dyDescent="0.25">
      <c r="A16" s="1" t="s">
        <v>42</v>
      </c>
      <c r="B16" s="13" t="s">
        <v>43</v>
      </c>
      <c r="C16" s="13"/>
      <c r="D16" s="13">
        <v>0</v>
      </c>
      <c r="E16" s="13">
        <v>0</v>
      </c>
      <c r="F16" s="13">
        <v>0</v>
      </c>
      <c r="G16" s="46">
        <f t="shared" si="2"/>
        <v>0</v>
      </c>
      <c r="H16" s="47"/>
      <c r="I16" s="57">
        <v>3.5579999999999998</v>
      </c>
      <c r="J16" s="57"/>
      <c r="K16" s="49">
        <f t="shared" si="3"/>
        <v>0</v>
      </c>
      <c r="L16" s="50">
        <f t="shared" si="4"/>
        <v>0</v>
      </c>
      <c r="N16" s="51">
        <v>5101</v>
      </c>
      <c r="O16" s="53">
        <v>254</v>
      </c>
      <c r="P16" s="53"/>
      <c r="Q16" s="54"/>
      <c r="V16" s="623" t="s">
        <v>43</v>
      </c>
      <c r="W16" s="623"/>
      <c r="X16" s="618">
        <f>IF('1461'!K$84=1,'1461'!G16,0)</f>
        <v>0</v>
      </c>
      <c r="Y16" s="618"/>
      <c r="Z16" s="624">
        <v>1</v>
      </c>
      <c r="AA16" s="624"/>
      <c r="AB16" s="55">
        <f t="shared" si="0"/>
        <v>0</v>
      </c>
      <c r="AC16" s="56">
        <f t="shared" si="1"/>
        <v>0</v>
      </c>
      <c r="AD16" s="9"/>
    </row>
    <row r="17" spans="1:30" x14ac:dyDescent="0.25">
      <c r="A17" s="1" t="s">
        <v>44</v>
      </c>
      <c r="B17" s="13" t="s">
        <v>45</v>
      </c>
      <c r="C17" s="13"/>
      <c r="D17" s="13">
        <v>0</v>
      </c>
      <c r="E17" s="13">
        <v>0</v>
      </c>
      <c r="F17" s="13">
        <v>0</v>
      </c>
      <c r="G17" s="46">
        <f t="shared" si="2"/>
        <v>0</v>
      </c>
      <c r="H17" s="47"/>
      <c r="I17" s="57">
        <f>I16</f>
        <v>3.5579999999999998</v>
      </c>
      <c r="J17" s="57"/>
      <c r="K17" s="49">
        <f t="shared" si="3"/>
        <v>0</v>
      </c>
      <c r="L17" s="50">
        <f t="shared" si="4"/>
        <v>0</v>
      </c>
      <c r="N17" s="51">
        <v>5102</v>
      </c>
      <c r="O17" s="54">
        <v>254</v>
      </c>
      <c r="P17" s="53"/>
      <c r="Q17" s="54"/>
      <c r="V17" s="623" t="s">
        <v>45</v>
      </c>
      <c r="W17" s="623"/>
      <c r="X17" s="618">
        <f>IF('1461'!K$84=1,'1461'!G17,0)</f>
        <v>0</v>
      </c>
      <c r="Y17" s="618"/>
      <c r="Z17" s="624">
        <v>1</v>
      </c>
      <c r="AA17" s="624"/>
      <c r="AB17" s="55">
        <f t="shared" si="0"/>
        <v>0</v>
      </c>
      <c r="AC17" s="56">
        <f t="shared" si="1"/>
        <v>0</v>
      </c>
      <c r="AD17" s="9"/>
    </row>
    <row r="18" spans="1:30" x14ac:dyDescent="0.25">
      <c r="A18" s="1" t="s">
        <v>46</v>
      </c>
      <c r="B18" s="13" t="s">
        <v>47</v>
      </c>
      <c r="C18" s="13"/>
      <c r="D18" s="13">
        <v>0</v>
      </c>
      <c r="E18" s="13">
        <v>0</v>
      </c>
      <c r="F18" s="13">
        <v>0</v>
      </c>
      <c r="G18" s="46">
        <f t="shared" si="2"/>
        <v>0</v>
      </c>
      <c r="H18" s="47"/>
      <c r="I18" s="57">
        <f>I17</f>
        <v>3.5579999999999998</v>
      </c>
      <c r="J18" s="57"/>
      <c r="K18" s="49">
        <f t="shared" si="3"/>
        <v>0</v>
      </c>
      <c r="L18" s="50">
        <f t="shared" si="4"/>
        <v>0</v>
      </c>
      <c r="N18" s="51">
        <v>5103</v>
      </c>
      <c r="O18" s="54">
        <v>254</v>
      </c>
      <c r="P18" s="53"/>
      <c r="Q18" s="54"/>
      <c r="V18" s="623" t="s">
        <v>47</v>
      </c>
      <c r="W18" s="623"/>
      <c r="X18" s="618">
        <f>IF('1461'!K$84=1,'1461'!G18,0)</f>
        <v>0</v>
      </c>
      <c r="Y18" s="618"/>
      <c r="Z18" s="624">
        <v>1</v>
      </c>
      <c r="AA18" s="624"/>
      <c r="AB18" s="55">
        <f t="shared" si="0"/>
        <v>0</v>
      </c>
      <c r="AC18" s="56">
        <f t="shared" si="1"/>
        <v>0</v>
      </c>
      <c r="AD18" s="9"/>
    </row>
    <row r="19" spans="1:30" ht="15" customHeight="1" x14ac:dyDescent="0.25">
      <c r="A19" s="1" t="s">
        <v>48</v>
      </c>
      <c r="B19" s="13" t="s">
        <v>49</v>
      </c>
      <c r="C19" s="13"/>
      <c r="D19" s="13">
        <v>0</v>
      </c>
      <c r="E19" s="13">
        <v>0</v>
      </c>
      <c r="F19" s="13">
        <v>0</v>
      </c>
      <c r="G19" s="46">
        <f t="shared" si="2"/>
        <v>0</v>
      </c>
      <c r="H19" s="47"/>
      <c r="I19" s="57">
        <v>5.0890000000000004</v>
      </c>
      <c r="J19" s="57"/>
      <c r="K19" s="49">
        <f t="shared" si="3"/>
        <v>0</v>
      </c>
      <c r="L19" s="50">
        <f t="shared" si="4"/>
        <v>0</v>
      </c>
      <c r="N19" s="51">
        <v>5101</v>
      </c>
      <c r="O19" s="53">
        <v>255</v>
      </c>
      <c r="P19" s="53"/>
      <c r="Q19" s="54"/>
      <c r="V19" s="623" t="s">
        <v>49</v>
      </c>
      <c r="W19" s="623"/>
      <c r="X19" s="618">
        <f>IF('1461'!K$84=1,'1461'!G19,0)</f>
        <v>0</v>
      </c>
      <c r="Y19" s="618"/>
      <c r="Z19" s="624">
        <v>1</v>
      </c>
      <c r="AA19" s="624"/>
      <c r="AB19" s="55">
        <f t="shared" si="0"/>
        <v>0</v>
      </c>
      <c r="AC19" s="56">
        <f t="shared" si="1"/>
        <v>0</v>
      </c>
      <c r="AD19" s="9"/>
    </row>
    <row r="20" spans="1:30" ht="15" customHeight="1" x14ac:dyDescent="0.25">
      <c r="A20" s="1" t="s">
        <v>50</v>
      </c>
      <c r="B20" s="13" t="s">
        <v>51</v>
      </c>
      <c r="C20" s="13"/>
      <c r="D20" s="13">
        <v>0</v>
      </c>
      <c r="E20" s="13">
        <v>0</v>
      </c>
      <c r="F20" s="13">
        <v>0</v>
      </c>
      <c r="G20" s="46">
        <f t="shared" si="2"/>
        <v>0</v>
      </c>
      <c r="H20" s="47"/>
      <c r="I20" s="57">
        <f>I19</f>
        <v>5.0890000000000004</v>
      </c>
      <c r="J20" s="57"/>
      <c r="K20" s="49">
        <f t="shared" si="3"/>
        <v>0</v>
      </c>
      <c r="L20" s="50">
        <f t="shared" si="4"/>
        <v>0</v>
      </c>
      <c r="N20" s="51">
        <v>5102</v>
      </c>
      <c r="O20" s="54">
        <v>255</v>
      </c>
      <c r="P20" s="53"/>
      <c r="Q20" s="54"/>
      <c r="V20" s="623" t="s">
        <v>51</v>
      </c>
      <c r="W20" s="623"/>
      <c r="X20" s="618">
        <f>IF('1461'!K$84=1,'1461'!G20,0)</f>
        <v>0</v>
      </c>
      <c r="Y20" s="618"/>
      <c r="Z20" s="624">
        <v>1</v>
      </c>
      <c r="AA20" s="624"/>
      <c r="AB20" s="55">
        <f t="shared" si="0"/>
        <v>0</v>
      </c>
      <c r="AC20" s="56">
        <f t="shared" si="1"/>
        <v>0</v>
      </c>
      <c r="AD20" s="9"/>
    </row>
    <row r="21" spans="1:30" ht="15" customHeight="1" x14ac:dyDescent="0.25">
      <c r="A21" s="1" t="s">
        <v>52</v>
      </c>
      <c r="B21" s="13" t="s">
        <v>53</v>
      </c>
      <c r="C21" s="13"/>
      <c r="D21" s="13">
        <v>0</v>
      </c>
      <c r="E21" s="13">
        <v>0</v>
      </c>
      <c r="F21" s="13">
        <v>0</v>
      </c>
      <c r="G21" s="46">
        <f t="shared" si="2"/>
        <v>0</v>
      </c>
      <c r="H21" s="47"/>
      <c r="I21" s="57">
        <f>I20</f>
        <v>5.0890000000000004</v>
      </c>
      <c r="J21" s="57"/>
      <c r="K21" s="49">
        <f t="shared" si="3"/>
        <v>0</v>
      </c>
      <c r="L21" s="50">
        <f t="shared" si="4"/>
        <v>0</v>
      </c>
      <c r="N21" s="51">
        <v>5103</v>
      </c>
      <c r="O21" s="54">
        <v>255</v>
      </c>
      <c r="P21" s="53"/>
      <c r="Q21" s="54"/>
      <c r="V21" s="623" t="s">
        <v>53</v>
      </c>
      <c r="W21" s="623"/>
      <c r="X21" s="618">
        <f>IF('1461'!K$84=1,'1461'!G21,0)</f>
        <v>0</v>
      </c>
      <c r="Y21" s="618"/>
      <c r="Z21" s="624">
        <v>1</v>
      </c>
      <c r="AA21" s="624"/>
      <c r="AB21" s="55">
        <f t="shared" si="0"/>
        <v>0</v>
      </c>
      <c r="AC21" s="56">
        <f t="shared" si="1"/>
        <v>0</v>
      </c>
      <c r="AD21" s="9"/>
    </row>
    <row r="22" spans="1:30" x14ac:dyDescent="0.25">
      <c r="A22" s="1" t="s">
        <v>54</v>
      </c>
      <c r="B22" s="13" t="s">
        <v>55</v>
      </c>
      <c r="C22" s="13"/>
      <c r="D22" s="13">
        <v>0</v>
      </c>
      <c r="E22" s="13">
        <v>0</v>
      </c>
      <c r="F22" s="13">
        <v>0</v>
      </c>
      <c r="G22" s="46">
        <f t="shared" si="2"/>
        <v>0</v>
      </c>
      <c r="H22" s="47"/>
      <c r="I22" s="57">
        <v>1.145</v>
      </c>
      <c r="J22" s="57"/>
      <c r="K22" s="49">
        <f t="shared" si="3"/>
        <v>0</v>
      </c>
      <c r="L22" s="50">
        <f t="shared" si="4"/>
        <v>0</v>
      </c>
      <c r="N22" s="51">
        <v>5101</v>
      </c>
      <c r="O22" s="52">
        <v>130</v>
      </c>
      <c r="P22" s="53"/>
      <c r="Q22" s="54"/>
      <c r="V22" s="623" t="s">
        <v>55</v>
      </c>
      <c r="W22" s="623"/>
      <c r="X22" s="618">
        <f>IF('1461'!K$84=1,'1461'!G22,0)</f>
        <v>0</v>
      </c>
      <c r="Y22" s="618"/>
      <c r="Z22" s="624">
        <v>1</v>
      </c>
      <c r="AA22" s="624"/>
      <c r="AB22" s="55">
        <f t="shared" si="0"/>
        <v>0</v>
      </c>
      <c r="AC22" s="56">
        <f t="shared" si="1"/>
        <v>0</v>
      </c>
      <c r="AD22" s="9"/>
    </row>
    <row r="23" spans="1:30" x14ac:dyDescent="0.25">
      <c r="A23" s="1" t="s">
        <v>56</v>
      </c>
      <c r="B23" s="13" t="s">
        <v>57</v>
      </c>
      <c r="C23" s="13"/>
      <c r="D23" s="13">
        <v>0</v>
      </c>
      <c r="E23" s="13">
        <v>0</v>
      </c>
      <c r="F23" s="13">
        <v>0</v>
      </c>
      <c r="G23" s="46">
        <f t="shared" si="2"/>
        <v>0</v>
      </c>
      <c r="H23" s="47"/>
      <c r="I23" s="57">
        <f>I22</f>
        <v>1.145</v>
      </c>
      <c r="J23" s="57"/>
      <c r="K23" s="49">
        <f t="shared" si="3"/>
        <v>0</v>
      </c>
      <c r="L23" s="50">
        <f t="shared" si="4"/>
        <v>0</v>
      </c>
      <c r="N23" s="51">
        <v>5102</v>
      </c>
      <c r="O23" s="52">
        <v>130</v>
      </c>
      <c r="P23" s="53"/>
      <c r="Q23" s="54"/>
      <c r="V23" s="623" t="s">
        <v>57</v>
      </c>
      <c r="W23" s="623"/>
      <c r="X23" s="618">
        <f>IF('1461'!K$84=1,'1461'!G23,0)</f>
        <v>0</v>
      </c>
      <c r="Y23" s="618"/>
      <c r="Z23" s="624">
        <v>1</v>
      </c>
      <c r="AA23" s="624"/>
      <c r="AB23" s="55">
        <f t="shared" si="0"/>
        <v>0</v>
      </c>
      <c r="AC23" s="56">
        <f t="shared" si="1"/>
        <v>0</v>
      </c>
      <c r="AD23" s="9"/>
    </row>
    <row r="24" spans="1:30" x14ac:dyDescent="0.25">
      <c r="A24" s="1" t="s">
        <v>58</v>
      </c>
      <c r="B24" s="13" t="s">
        <v>59</v>
      </c>
      <c r="C24" s="13"/>
      <c r="D24" s="13">
        <v>8.44</v>
      </c>
      <c r="E24" s="13">
        <v>7.4</v>
      </c>
      <c r="F24" s="13">
        <v>10.62</v>
      </c>
      <c r="G24" s="46">
        <f t="shared" si="2"/>
        <v>15.84</v>
      </c>
      <c r="H24" s="47"/>
      <c r="I24" s="57">
        <f>I23</f>
        <v>1.145</v>
      </c>
      <c r="J24" s="57"/>
      <c r="K24" s="49">
        <f t="shared" si="3"/>
        <v>18.136800000000001</v>
      </c>
      <c r="L24" s="50">
        <f t="shared" si="4"/>
        <v>70273</v>
      </c>
      <c r="N24" s="51">
        <v>5103</v>
      </c>
      <c r="O24" s="52">
        <v>130</v>
      </c>
      <c r="P24" s="53"/>
      <c r="Q24" s="54"/>
      <c r="V24" s="623" t="s">
        <v>59</v>
      </c>
      <c r="W24" s="623"/>
      <c r="X24" s="618">
        <f>IF('1461'!K$84=1,'1461'!G24,0)</f>
        <v>0</v>
      </c>
      <c r="Y24" s="618"/>
      <c r="Z24" s="624">
        <v>1</v>
      </c>
      <c r="AA24" s="624"/>
      <c r="AB24" s="55">
        <f t="shared" si="0"/>
        <v>0</v>
      </c>
      <c r="AC24" s="56">
        <f t="shared" si="1"/>
        <v>0</v>
      </c>
      <c r="AD24" s="9"/>
    </row>
    <row r="25" spans="1:30" ht="16.5" thickBot="1" x14ac:dyDescent="0.3">
      <c r="A25" s="1" t="s">
        <v>60</v>
      </c>
      <c r="B25" s="13" t="s">
        <v>61</v>
      </c>
      <c r="C25" s="13"/>
      <c r="D25" s="13">
        <v>61</v>
      </c>
      <c r="E25" s="13">
        <v>56.47</v>
      </c>
      <c r="F25" s="13">
        <v>77.19</v>
      </c>
      <c r="G25" s="46">
        <f t="shared" si="2"/>
        <v>117.47</v>
      </c>
      <c r="H25" s="47"/>
      <c r="I25" s="57">
        <v>1.0109999999999999</v>
      </c>
      <c r="J25" s="57"/>
      <c r="K25" s="49">
        <f t="shared" si="3"/>
        <v>118.76220000000001</v>
      </c>
      <c r="L25" s="50">
        <f t="shared" si="4"/>
        <v>460159</v>
      </c>
      <c r="N25" s="51">
        <v>5310</v>
      </c>
      <c r="O25" s="52">
        <v>300</v>
      </c>
      <c r="P25" s="53"/>
      <c r="Q25" s="54"/>
      <c r="V25" s="623" t="s">
        <v>61</v>
      </c>
      <c r="W25" s="623"/>
      <c r="X25" s="618">
        <f>IF('1461'!K$84=1,'1461'!G25,0)</f>
        <v>0</v>
      </c>
      <c r="Y25" s="618"/>
      <c r="Z25" s="624">
        <v>1</v>
      </c>
      <c r="AA25" s="624"/>
      <c r="AB25" s="55">
        <f t="shared" si="0"/>
        <v>0</v>
      </c>
      <c r="AC25" s="56">
        <f t="shared" si="1"/>
        <v>0</v>
      </c>
      <c r="AD25" s="9"/>
    </row>
    <row r="26" spans="1:30" ht="20.25" customHeight="1" thickBot="1" x14ac:dyDescent="0.3">
      <c r="B26" s="62" t="s">
        <v>62</v>
      </c>
      <c r="C26" s="62"/>
      <c r="D26" s="63">
        <f t="shared" ref="D26:E26" si="5">SUM(D10:D25)</f>
        <v>359.97</v>
      </c>
      <c r="E26" s="63">
        <f t="shared" si="5"/>
        <v>338.29999999999995</v>
      </c>
      <c r="F26" s="63"/>
      <c r="G26" s="63">
        <f>SUM(G10:G25)</f>
        <v>698.2700000000001</v>
      </c>
      <c r="H26" s="64"/>
      <c r="I26" s="64"/>
      <c r="J26" s="65"/>
      <c r="K26" s="66">
        <f>SUM(K10:K25)</f>
        <v>708.07349999999997</v>
      </c>
      <c r="L26" s="67">
        <f>SUM(L10:L25)</f>
        <v>2743519</v>
      </c>
      <c r="N26" s="54"/>
      <c r="O26" s="68"/>
      <c r="P26" s="54"/>
      <c r="Q26" s="54"/>
      <c r="V26" s="625" t="s">
        <v>62</v>
      </c>
      <c r="W26" s="625"/>
      <c r="X26" s="626">
        <f>SUM(X10:X25)</f>
        <v>0</v>
      </c>
      <c r="Y26" s="626"/>
      <c r="Z26" s="627"/>
      <c r="AA26" s="628"/>
      <c r="AB26" s="69">
        <f>SUM(AB10:AB25)</f>
        <v>0</v>
      </c>
      <c r="AC26" s="70">
        <f>SUM(AC10:AC25)</f>
        <v>0</v>
      </c>
      <c r="AD26" s="9"/>
    </row>
    <row r="27" spans="1:30" ht="51.75" customHeight="1" x14ac:dyDescent="0.25">
      <c r="B27" s="62" t="s">
        <v>63</v>
      </c>
      <c r="C27" s="62"/>
      <c r="D27" s="71" t="s">
        <v>13</v>
      </c>
      <c r="E27" s="71" t="s">
        <v>14</v>
      </c>
      <c r="F27" s="27"/>
      <c r="G27" s="72" t="s">
        <v>64</v>
      </c>
      <c r="H27" s="73"/>
      <c r="I27" s="74" t="s">
        <v>65</v>
      </c>
      <c r="J27" s="74" t="s">
        <v>66</v>
      </c>
      <c r="K27" s="75" t="s">
        <v>67</v>
      </c>
      <c r="N27" s="54"/>
      <c r="O27" s="68"/>
      <c r="P27" s="54"/>
      <c r="Q27" s="54"/>
      <c r="V27" s="629" t="s">
        <v>63</v>
      </c>
      <c r="W27" s="629"/>
      <c r="X27" s="630" t="s">
        <v>64</v>
      </c>
      <c r="Y27" s="630"/>
      <c r="Z27" s="76" t="s">
        <v>65</v>
      </c>
      <c r="AA27" s="77" t="s">
        <v>66</v>
      </c>
      <c r="AB27" s="78" t="s">
        <v>67</v>
      </c>
      <c r="AC27" s="9"/>
      <c r="AD27" s="9"/>
    </row>
    <row r="28" spans="1:30" ht="15.75" customHeight="1" x14ac:dyDescent="0.25">
      <c r="A28" s="1" t="s">
        <v>68</v>
      </c>
      <c r="B28" s="631" t="s">
        <v>69</v>
      </c>
      <c r="C28" s="632"/>
      <c r="D28" s="13">
        <v>0</v>
      </c>
      <c r="E28" s="13">
        <v>0</v>
      </c>
      <c r="F28" s="79">
        <v>0</v>
      </c>
      <c r="G28" s="46">
        <f t="shared" ref="G28:G36" si="6">D28+E28</f>
        <v>0</v>
      </c>
      <c r="H28" s="80"/>
      <c r="I28" s="81" t="s">
        <v>70</v>
      </c>
      <c r="J28" s="82">
        <v>251</v>
      </c>
      <c r="K28" s="83">
        <v>1047</v>
      </c>
      <c r="L28" s="84">
        <f>ROUND(G28*K28,0)</f>
        <v>0</v>
      </c>
      <c r="N28" s="85">
        <v>5101</v>
      </c>
      <c r="O28" s="54">
        <v>251</v>
      </c>
      <c r="P28" s="86"/>
      <c r="Q28" s="87"/>
      <c r="V28" s="637" t="s">
        <v>69</v>
      </c>
      <c r="W28" s="637"/>
      <c r="X28" s="638"/>
      <c r="Y28" s="638"/>
      <c r="Z28" s="88" t="s">
        <v>70</v>
      </c>
      <c r="AA28" s="89">
        <v>251</v>
      </c>
      <c r="AB28" s="90">
        <f>+K28</f>
        <v>1047</v>
      </c>
      <c r="AC28" s="91">
        <f t="shared" ref="AC28:AC36" si="7">ROUND(X28*AB28,0)</f>
        <v>0</v>
      </c>
      <c r="AD28" s="9"/>
    </row>
    <row r="29" spans="1:30" x14ac:dyDescent="0.25">
      <c r="A29" s="1" t="s">
        <v>71</v>
      </c>
      <c r="B29" s="633"/>
      <c r="C29" s="634"/>
      <c r="D29" s="13">
        <v>0</v>
      </c>
      <c r="E29" s="13">
        <v>0</v>
      </c>
      <c r="F29" s="92">
        <v>0</v>
      </c>
      <c r="G29" s="46">
        <f t="shared" si="6"/>
        <v>0</v>
      </c>
      <c r="H29" s="80"/>
      <c r="I29" s="82" t="s">
        <v>70</v>
      </c>
      <c r="J29" s="82">
        <v>252</v>
      </c>
      <c r="K29" s="83">
        <v>3380</v>
      </c>
      <c r="L29" s="84">
        <f t="shared" ref="L29:L36" si="8">ROUND(G29*K29,0)</f>
        <v>0</v>
      </c>
      <c r="N29" s="85">
        <v>5101</v>
      </c>
      <c r="O29" s="54">
        <v>252</v>
      </c>
      <c r="P29" s="86"/>
      <c r="Q29" s="87"/>
      <c r="V29" s="637"/>
      <c r="W29" s="637"/>
      <c r="X29" s="638"/>
      <c r="Y29" s="638"/>
      <c r="Z29" s="89" t="s">
        <v>70</v>
      </c>
      <c r="AA29" s="89">
        <v>252</v>
      </c>
      <c r="AB29" s="90">
        <f t="shared" ref="AB29:AB36" si="9">+K29</f>
        <v>3380</v>
      </c>
      <c r="AC29" s="91">
        <f t="shared" si="7"/>
        <v>0</v>
      </c>
      <c r="AD29" s="9"/>
    </row>
    <row r="30" spans="1:30" x14ac:dyDescent="0.25">
      <c r="A30" s="1" t="s">
        <v>72</v>
      </c>
      <c r="B30" s="633"/>
      <c r="C30" s="634"/>
      <c r="D30" s="13">
        <v>0</v>
      </c>
      <c r="E30" s="13">
        <v>0</v>
      </c>
      <c r="F30" s="92">
        <v>0</v>
      </c>
      <c r="G30" s="46">
        <f t="shared" si="6"/>
        <v>0</v>
      </c>
      <c r="H30" s="80"/>
      <c r="I30" s="82" t="s">
        <v>70</v>
      </c>
      <c r="J30" s="82">
        <v>253</v>
      </c>
      <c r="K30" s="83">
        <v>6896</v>
      </c>
      <c r="L30" s="84">
        <f t="shared" si="8"/>
        <v>0</v>
      </c>
      <c r="N30" s="85">
        <v>5101</v>
      </c>
      <c r="O30" s="54">
        <v>253</v>
      </c>
      <c r="P30" s="86"/>
      <c r="Q30" s="68"/>
      <c r="V30" s="637"/>
      <c r="W30" s="637"/>
      <c r="X30" s="638"/>
      <c r="Y30" s="638"/>
      <c r="Z30" s="89" t="s">
        <v>70</v>
      </c>
      <c r="AA30" s="89">
        <v>253</v>
      </c>
      <c r="AB30" s="90">
        <f t="shared" si="9"/>
        <v>6896</v>
      </c>
      <c r="AC30" s="91">
        <f t="shared" si="7"/>
        <v>0</v>
      </c>
      <c r="AD30" s="9"/>
    </row>
    <row r="31" spans="1:30" x14ac:dyDescent="0.25">
      <c r="A31" s="1" t="s">
        <v>73</v>
      </c>
      <c r="B31" s="633"/>
      <c r="C31" s="634"/>
      <c r="D31" s="13">
        <v>0</v>
      </c>
      <c r="E31" s="13">
        <v>0</v>
      </c>
      <c r="F31" s="92">
        <v>0</v>
      </c>
      <c r="G31" s="46">
        <f t="shared" si="6"/>
        <v>0</v>
      </c>
      <c r="H31" s="80"/>
      <c r="I31" s="93" t="s">
        <v>74</v>
      </c>
      <c r="J31" s="82">
        <v>251</v>
      </c>
      <c r="K31" s="83">
        <v>1173</v>
      </c>
      <c r="L31" s="84">
        <f t="shared" si="8"/>
        <v>0</v>
      </c>
      <c r="N31" s="85">
        <v>5102</v>
      </c>
      <c r="O31" s="54">
        <v>251</v>
      </c>
      <c r="P31" s="86"/>
      <c r="Q31" s="68"/>
      <c r="V31" s="637"/>
      <c r="W31" s="637"/>
      <c r="X31" s="638"/>
      <c r="Y31" s="638"/>
      <c r="Z31" s="94" t="s">
        <v>74</v>
      </c>
      <c r="AA31" s="89">
        <v>251</v>
      </c>
      <c r="AB31" s="90">
        <f t="shared" si="9"/>
        <v>1173</v>
      </c>
      <c r="AC31" s="91">
        <f t="shared" si="7"/>
        <v>0</v>
      </c>
      <c r="AD31" s="9"/>
    </row>
    <row r="32" spans="1:30" x14ac:dyDescent="0.25">
      <c r="A32" s="1" t="s">
        <v>75</v>
      </c>
      <c r="B32" s="633"/>
      <c r="C32" s="634"/>
      <c r="D32" s="13">
        <v>0</v>
      </c>
      <c r="E32" s="13">
        <v>0</v>
      </c>
      <c r="F32" s="92">
        <v>0</v>
      </c>
      <c r="G32" s="46">
        <f t="shared" si="6"/>
        <v>0</v>
      </c>
      <c r="H32" s="80"/>
      <c r="I32" s="93" t="s">
        <v>74</v>
      </c>
      <c r="J32" s="82">
        <v>252</v>
      </c>
      <c r="K32" s="83">
        <v>3506</v>
      </c>
      <c r="L32" s="84">
        <f t="shared" si="8"/>
        <v>0</v>
      </c>
      <c r="N32" s="85">
        <v>5102</v>
      </c>
      <c r="O32" s="54">
        <v>252</v>
      </c>
      <c r="P32" s="86"/>
      <c r="Q32" s="54"/>
      <c r="V32" s="637"/>
      <c r="W32" s="637"/>
      <c r="X32" s="638"/>
      <c r="Y32" s="638"/>
      <c r="Z32" s="94" t="s">
        <v>74</v>
      </c>
      <c r="AA32" s="89">
        <v>252</v>
      </c>
      <c r="AB32" s="90">
        <f t="shared" si="9"/>
        <v>3506</v>
      </c>
      <c r="AC32" s="91">
        <f t="shared" si="7"/>
        <v>0</v>
      </c>
      <c r="AD32" s="9"/>
    </row>
    <row r="33" spans="1:30" x14ac:dyDescent="0.25">
      <c r="A33" s="1" t="s">
        <v>76</v>
      </c>
      <c r="B33" s="633"/>
      <c r="C33" s="634"/>
      <c r="D33" s="13">
        <v>0</v>
      </c>
      <c r="E33" s="13">
        <v>0</v>
      </c>
      <c r="F33" s="92">
        <v>0</v>
      </c>
      <c r="G33" s="46">
        <f t="shared" si="6"/>
        <v>0</v>
      </c>
      <c r="H33" s="80"/>
      <c r="I33" s="93" t="s">
        <v>74</v>
      </c>
      <c r="J33" s="82">
        <v>253</v>
      </c>
      <c r="K33" s="83">
        <v>7023</v>
      </c>
      <c r="L33" s="84">
        <f t="shared" si="8"/>
        <v>0</v>
      </c>
      <c r="N33" s="85">
        <v>5102</v>
      </c>
      <c r="O33" s="54">
        <v>253</v>
      </c>
      <c r="P33" s="86"/>
      <c r="Q33" s="87"/>
      <c r="V33" s="637"/>
      <c r="W33" s="637"/>
      <c r="X33" s="638"/>
      <c r="Y33" s="638"/>
      <c r="Z33" s="94" t="s">
        <v>74</v>
      </c>
      <c r="AA33" s="89">
        <v>253</v>
      </c>
      <c r="AB33" s="90">
        <f t="shared" si="9"/>
        <v>7023</v>
      </c>
      <c r="AC33" s="91">
        <f t="shared" si="7"/>
        <v>0</v>
      </c>
      <c r="AD33" s="9"/>
    </row>
    <row r="34" spans="1:30" x14ac:dyDescent="0.25">
      <c r="A34" s="1" t="s">
        <v>77</v>
      </c>
      <c r="B34" s="633"/>
      <c r="C34" s="634"/>
      <c r="D34" s="13">
        <v>29.79</v>
      </c>
      <c r="E34" s="13">
        <v>28.19</v>
      </c>
      <c r="F34" s="92">
        <v>30.18</v>
      </c>
      <c r="G34" s="46">
        <f t="shared" si="6"/>
        <v>57.980000000000004</v>
      </c>
      <c r="H34" s="80"/>
      <c r="I34" s="93" t="s">
        <v>78</v>
      </c>
      <c r="J34" s="82">
        <v>251</v>
      </c>
      <c r="K34" s="83">
        <v>835</v>
      </c>
      <c r="L34" s="84">
        <f t="shared" si="8"/>
        <v>48413</v>
      </c>
      <c r="N34" s="85">
        <v>5103</v>
      </c>
      <c r="O34" s="54">
        <v>251</v>
      </c>
      <c r="P34" s="86"/>
      <c r="Q34" s="87"/>
      <c r="V34" s="637"/>
      <c r="W34" s="637"/>
      <c r="X34" s="638"/>
      <c r="Y34" s="638"/>
      <c r="Z34" s="94" t="s">
        <v>78</v>
      </c>
      <c r="AA34" s="89">
        <v>251</v>
      </c>
      <c r="AB34" s="90">
        <f t="shared" si="9"/>
        <v>835</v>
      </c>
      <c r="AC34" s="91">
        <f t="shared" si="7"/>
        <v>0</v>
      </c>
      <c r="AD34" s="9"/>
    </row>
    <row r="35" spans="1:30" x14ac:dyDescent="0.25">
      <c r="A35" s="1" t="s">
        <v>79</v>
      </c>
      <c r="B35" s="633"/>
      <c r="C35" s="634"/>
      <c r="D35" s="13">
        <v>1.94</v>
      </c>
      <c r="E35" s="13">
        <v>0</v>
      </c>
      <c r="F35" s="92">
        <v>1</v>
      </c>
      <c r="G35" s="46">
        <f t="shared" si="6"/>
        <v>1.94</v>
      </c>
      <c r="H35" s="80"/>
      <c r="I35" s="93" t="s">
        <v>78</v>
      </c>
      <c r="J35" s="82">
        <v>252</v>
      </c>
      <c r="K35" s="83">
        <v>3168</v>
      </c>
      <c r="L35" s="84">
        <f t="shared" si="8"/>
        <v>6146</v>
      </c>
      <c r="N35" s="85">
        <v>5103</v>
      </c>
      <c r="O35" s="54">
        <v>252</v>
      </c>
      <c r="P35" s="86"/>
      <c r="Q35" s="95"/>
      <c r="V35" s="637"/>
      <c r="W35" s="637"/>
      <c r="X35" s="638"/>
      <c r="Y35" s="638"/>
      <c r="Z35" s="94" t="s">
        <v>78</v>
      </c>
      <c r="AA35" s="89">
        <v>252</v>
      </c>
      <c r="AB35" s="90">
        <f t="shared" si="9"/>
        <v>3168</v>
      </c>
      <c r="AC35" s="91">
        <f t="shared" si="7"/>
        <v>0</v>
      </c>
      <c r="AD35" s="9"/>
    </row>
    <row r="36" spans="1:30" ht="16.5" thickBot="1" x14ac:dyDescent="0.3">
      <c r="A36" s="1" t="s">
        <v>80</v>
      </c>
      <c r="B36" s="635"/>
      <c r="C36" s="636"/>
      <c r="D36" s="13">
        <v>0</v>
      </c>
      <c r="E36" s="13">
        <v>0</v>
      </c>
      <c r="F36" s="92">
        <v>0</v>
      </c>
      <c r="G36" s="46">
        <f t="shared" si="6"/>
        <v>0</v>
      </c>
      <c r="H36" s="80"/>
      <c r="I36" s="93" t="s">
        <v>78</v>
      </c>
      <c r="J36" s="82">
        <v>253</v>
      </c>
      <c r="K36" s="83">
        <v>6685</v>
      </c>
      <c r="L36" s="96">
        <f t="shared" si="8"/>
        <v>0</v>
      </c>
      <c r="N36" s="85">
        <v>5103</v>
      </c>
      <c r="O36" s="54">
        <v>253</v>
      </c>
      <c r="P36" s="86"/>
      <c r="Q36" s="97"/>
      <c r="V36" s="637"/>
      <c r="W36" s="637"/>
      <c r="X36" s="645"/>
      <c r="Y36" s="645"/>
      <c r="Z36" s="94" t="s">
        <v>78</v>
      </c>
      <c r="AA36" s="89">
        <v>253</v>
      </c>
      <c r="AB36" s="90">
        <f t="shared" si="9"/>
        <v>6685</v>
      </c>
      <c r="AC36" s="98">
        <f t="shared" si="7"/>
        <v>0</v>
      </c>
      <c r="AD36" s="9"/>
    </row>
    <row r="37" spans="1:30" ht="18.75" customHeight="1" x14ac:dyDescent="0.25">
      <c r="B37" s="13" t="s">
        <v>81</v>
      </c>
      <c r="C37" s="13"/>
      <c r="D37" s="63">
        <f t="shared" ref="D37:E37" si="10">SUM(D28:D36)</f>
        <v>31.73</v>
      </c>
      <c r="E37" s="63">
        <f t="shared" si="10"/>
        <v>28.19</v>
      </c>
      <c r="F37" s="63"/>
      <c r="G37" s="63">
        <f>SUM(G28:G36)</f>
        <v>59.92</v>
      </c>
      <c r="H37" s="64"/>
      <c r="I37" s="13" t="s">
        <v>82</v>
      </c>
      <c r="J37" s="13"/>
      <c r="K37" s="13"/>
      <c r="L37" s="50">
        <f>SUM(L28:L36)</f>
        <v>54559</v>
      </c>
      <c r="N37" s="54"/>
      <c r="O37" s="68"/>
      <c r="P37" s="54"/>
      <c r="Q37" s="54"/>
      <c r="V37" s="646" t="s">
        <v>81</v>
      </c>
      <c r="W37" s="646"/>
      <c r="X37" s="626">
        <f>SUM(X28:X36)</f>
        <v>0</v>
      </c>
      <c r="Y37" s="626"/>
      <c r="Z37" s="646" t="s">
        <v>82</v>
      </c>
      <c r="AA37" s="646"/>
      <c r="AB37" s="646"/>
      <c r="AC37" s="56">
        <f>SUM(AC28:AC36)</f>
        <v>0</v>
      </c>
      <c r="AD37" s="9"/>
    </row>
    <row r="38" spans="1:30" ht="30.75" customHeight="1" x14ac:dyDescent="0.25">
      <c r="B38" s="99" t="s">
        <v>83</v>
      </c>
      <c r="C38" s="99"/>
      <c r="D38" s="99"/>
      <c r="E38" s="99"/>
      <c r="F38" s="99"/>
      <c r="G38" s="99"/>
      <c r="H38" s="100"/>
      <c r="I38" s="99"/>
      <c r="J38" s="99"/>
      <c r="K38" s="99"/>
      <c r="L38" s="99"/>
      <c r="M38" s="101"/>
      <c r="N38" s="54"/>
      <c r="O38" s="68"/>
      <c r="P38" s="54"/>
      <c r="Q38" s="54"/>
      <c r="V38" s="639" t="s">
        <v>83</v>
      </c>
      <c r="W38" s="639"/>
      <c r="X38" s="639"/>
      <c r="Y38" s="639"/>
      <c r="Z38" s="639"/>
      <c r="AA38" s="639"/>
      <c r="AB38" s="639"/>
      <c r="AC38" s="639"/>
      <c r="AD38" s="102"/>
    </row>
    <row r="39" spans="1:30" ht="15.75" customHeight="1" x14ac:dyDescent="0.25">
      <c r="B39" s="103" t="s">
        <v>84</v>
      </c>
      <c r="C39" s="103"/>
      <c r="D39" s="103"/>
      <c r="E39" s="103"/>
      <c r="F39" s="103"/>
      <c r="G39" s="104">
        <v>34389540</v>
      </c>
      <c r="H39" s="104"/>
      <c r="I39" s="13" t="s">
        <v>85</v>
      </c>
      <c r="J39" s="13"/>
      <c r="K39" s="13"/>
      <c r="L39" s="13"/>
      <c r="O39" s="1"/>
      <c r="V39" s="640" t="s">
        <v>84</v>
      </c>
      <c r="W39" s="640"/>
      <c r="X39" s="641">
        <f>+G39</f>
        <v>34389540</v>
      </c>
      <c r="Y39" s="641"/>
      <c r="Z39" s="642" t="s">
        <v>85</v>
      </c>
      <c r="AA39" s="642"/>
      <c r="AB39" s="642"/>
      <c r="AC39" s="642"/>
      <c r="AD39" s="9"/>
    </row>
    <row r="40" spans="1:30" ht="15.75" customHeight="1" x14ac:dyDescent="0.25">
      <c r="B40" s="105" t="s">
        <v>86</v>
      </c>
      <c r="C40" s="105"/>
      <c r="D40" s="105"/>
      <c r="E40" s="105"/>
      <c r="F40" s="105"/>
      <c r="G40" s="106">
        <v>180284.81</v>
      </c>
      <c r="H40" s="106"/>
      <c r="I40" s="106"/>
      <c r="J40" s="106"/>
      <c r="K40" s="50">
        <f>ROUND(G39/G40,0)</f>
        <v>191</v>
      </c>
      <c r="L40" s="50">
        <f>ROUND(K40*$G$26,0)</f>
        <v>133370</v>
      </c>
      <c r="N40" s="107"/>
      <c r="O40" s="107"/>
      <c r="P40" s="107"/>
      <c r="Q40" s="107"/>
      <c r="V40" s="643" t="s">
        <v>86</v>
      </c>
      <c r="W40" s="643"/>
      <c r="X40" s="644">
        <f>+G40</f>
        <v>180284.81</v>
      </c>
      <c r="Y40" s="644"/>
      <c r="Z40" s="644"/>
      <c r="AA40" s="644"/>
      <c r="AB40" s="56">
        <f>ROUND(X39/X40,0)</f>
        <v>191</v>
      </c>
      <c r="AC40" s="56">
        <f>ROUND(AB40*$X$26,0)</f>
        <v>0</v>
      </c>
      <c r="AD40" s="9"/>
    </row>
    <row r="41" spans="1:30" ht="15.75" customHeight="1" x14ac:dyDescent="0.25">
      <c r="B41" s="108" t="s">
        <v>87</v>
      </c>
      <c r="C41" s="108"/>
      <c r="D41" s="108"/>
      <c r="E41" s="108"/>
      <c r="F41" s="108"/>
      <c r="G41" s="108"/>
      <c r="H41" s="108"/>
      <c r="I41" s="108"/>
      <c r="J41" s="108"/>
      <c r="K41" s="108"/>
      <c r="L41" s="108"/>
      <c r="N41" s="101"/>
      <c r="O41" s="109"/>
      <c r="P41" s="101"/>
      <c r="Q41" s="101"/>
      <c r="V41" s="652" t="s">
        <v>87</v>
      </c>
      <c r="W41" s="652"/>
      <c r="X41" s="652"/>
      <c r="Y41" s="652"/>
      <c r="Z41" s="652"/>
      <c r="AA41" s="652"/>
      <c r="AB41" s="652"/>
      <c r="AC41" s="652"/>
      <c r="AD41" s="9"/>
    </row>
    <row r="42" spans="1:30" ht="28.5" customHeight="1" x14ac:dyDescent="0.25">
      <c r="B42" s="99" t="s">
        <v>88</v>
      </c>
      <c r="C42" s="99"/>
      <c r="D42" s="99"/>
      <c r="E42" s="99"/>
      <c r="F42" s="99"/>
      <c r="G42" s="99"/>
      <c r="H42" s="99"/>
      <c r="I42" s="99"/>
      <c r="J42" s="99"/>
      <c r="K42" s="99"/>
      <c r="L42" s="99"/>
      <c r="M42" s="107"/>
      <c r="O42" s="1"/>
      <c r="V42" s="639" t="s">
        <v>88</v>
      </c>
      <c r="W42" s="639"/>
      <c r="X42" s="639"/>
      <c r="Y42" s="639"/>
      <c r="Z42" s="639"/>
      <c r="AA42" s="639"/>
      <c r="AB42" s="639"/>
      <c r="AC42" s="639"/>
      <c r="AD42" s="110"/>
    </row>
    <row r="43" spans="1:30" x14ac:dyDescent="0.25">
      <c r="B43" s="111" t="s">
        <v>89</v>
      </c>
      <c r="C43" s="111"/>
      <c r="D43" s="111"/>
      <c r="E43" s="111"/>
      <c r="F43" s="111"/>
      <c r="G43" s="111"/>
      <c r="H43" s="111"/>
      <c r="I43" s="111"/>
      <c r="J43" s="111"/>
      <c r="K43" s="111"/>
      <c r="L43" s="111"/>
      <c r="M43" s="112"/>
      <c r="N43" s="101"/>
      <c r="O43" s="101"/>
      <c r="P43" s="101"/>
      <c r="Q43" s="101"/>
      <c r="V43" s="653" t="s">
        <v>89</v>
      </c>
      <c r="W43" s="653"/>
      <c r="X43" s="653"/>
      <c r="Y43" s="653"/>
      <c r="Z43" s="653"/>
      <c r="AA43" s="653"/>
      <c r="AB43" s="653"/>
      <c r="AC43" s="653"/>
      <c r="AD43" s="113"/>
    </row>
    <row r="44" spans="1:30" ht="24" customHeight="1" x14ac:dyDescent="0.25">
      <c r="B44" s="62" t="s">
        <v>90</v>
      </c>
      <c r="C44" s="62"/>
      <c r="D44" s="62"/>
      <c r="E44" s="62"/>
      <c r="F44" s="62"/>
      <c r="G44" s="62"/>
      <c r="H44" s="62"/>
      <c r="I44" s="62"/>
      <c r="J44" s="62"/>
      <c r="K44" s="62"/>
      <c r="L44" s="114">
        <f>SUM(L26,L37,L40)</f>
        <v>2931448</v>
      </c>
      <c r="O44" s="1"/>
      <c r="V44" s="654" t="s">
        <v>90</v>
      </c>
      <c r="W44" s="654"/>
      <c r="X44" s="654"/>
      <c r="Y44" s="654"/>
      <c r="Z44" s="654"/>
      <c r="AA44" s="654"/>
      <c r="AB44" s="654"/>
      <c r="AC44" s="115">
        <f>SUM(AC26,AC37,AC40)</f>
        <v>0</v>
      </c>
      <c r="AD44" s="9"/>
    </row>
    <row r="45" spans="1:30" ht="30.75" customHeight="1" x14ac:dyDescent="0.25">
      <c r="B45" s="99" t="s">
        <v>91</v>
      </c>
      <c r="C45" s="99"/>
      <c r="D45" s="99"/>
      <c r="E45" s="99"/>
      <c r="F45" s="99"/>
      <c r="G45" s="99"/>
      <c r="H45" s="99"/>
      <c r="I45" s="99"/>
      <c r="J45" s="99"/>
      <c r="K45" s="99"/>
      <c r="L45" s="99"/>
      <c r="M45" s="116"/>
      <c r="O45" s="1"/>
      <c r="V45" s="639" t="s">
        <v>91</v>
      </c>
      <c r="W45" s="639"/>
      <c r="X45" s="639"/>
      <c r="Y45" s="639"/>
      <c r="Z45" s="639"/>
      <c r="AA45" s="639"/>
      <c r="AB45" s="639"/>
      <c r="AC45" s="639"/>
      <c r="AD45" s="117"/>
    </row>
    <row r="46" spans="1:30" ht="18.75" customHeight="1" x14ac:dyDescent="0.25">
      <c r="B46" s="1"/>
      <c r="C46" s="118" t="s">
        <v>92</v>
      </c>
      <c r="D46" s="118"/>
      <c r="E46" s="118"/>
      <c r="F46" s="118"/>
      <c r="G46" s="118" t="s">
        <v>93</v>
      </c>
      <c r="H46" s="119"/>
      <c r="I46" s="120" t="s">
        <v>94</v>
      </c>
      <c r="J46" s="121"/>
      <c r="K46" s="121"/>
      <c r="L46" s="121"/>
      <c r="M46" s="122"/>
      <c r="O46" s="1"/>
      <c r="V46" s="9"/>
      <c r="W46" s="123" t="s">
        <v>92</v>
      </c>
      <c r="X46" s="655" t="s">
        <v>95</v>
      </c>
      <c r="Y46" s="655"/>
      <c r="Z46" s="656" t="s">
        <v>94</v>
      </c>
      <c r="AA46" s="656"/>
      <c r="AB46" s="656"/>
      <c r="AC46" s="656"/>
      <c r="AD46" s="124"/>
    </row>
    <row r="47" spans="1:30" ht="18.75" customHeight="1" x14ac:dyDescent="0.25">
      <c r="B47" s="107" t="s">
        <v>96</v>
      </c>
      <c r="C47" s="125">
        <f>K10+K11+K16+K19+K22</f>
        <v>0</v>
      </c>
      <c r="D47" s="125"/>
      <c r="E47" s="125"/>
      <c r="F47" s="125"/>
      <c r="G47" s="126">
        <f>K7</f>
        <v>1.0326</v>
      </c>
      <c r="H47" s="126"/>
      <c r="I47" s="127">
        <v>1316.85</v>
      </c>
      <c r="J47" s="128" t="s">
        <v>97</v>
      </c>
      <c r="K47" s="129">
        <f>ROUND(C47*G47*I47,0)</f>
        <v>0</v>
      </c>
      <c r="L47" s="130"/>
      <c r="O47" s="1"/>
      <c r="V47" s="110" t="s">
        <v>96</v>
      </c>
      <c r="W47" s="131">
        <f>AB10+AB11+AB16+AB19+AB22</f>
        <v>0</v>
      </c>
      <c r="X47" s="647">
        <f>AB7</f>
        <v>1.0326</v>
      </c>
      <c r="Y47" s="647"/>
      <c r="Z47" s="132">
        <f>+I47</f>
        <v>1316.85</v>
      </c>
      <c r="AA47" s="133" t="s">
        <v>97</v>
      </c>
      <c r="AB47" s="134">
        <f>ROUND(W47*X47*Z47,0)</f>
        <v>0</v>
      </c>
      <c r="AC47" s="135"/>
      <c r="AD47" s="9"/>
    </row>
    <row r="48" spans="1:30" ht="18" customHeight="1" x14ac:dyDescent="0.25">
      <c r="B48" s="136" t="s">
        <v>74</v>
      </c>
      <c r="C48" s="125">
        <f>K12+K13+K17+K20+K23</f>
        <v>0</v>
      </c>
      <c r="D48" s="125"/>
      <c r="E48" s="125"/>
      <c r="F48" s="125"/>
      <c r="G48" s="126">
        <f>K7</f>
        <v>1.0326</v>
      </c>
      <c r="H48" s="126"/>
      <c r="I48" s="127">
        <v>898.23</v>
      </c>
      <c r="J48" s="128" t="s">
        <v>97</v>
      </c>
      <c r="K48" s="129">
        <f>ROUND(C48*G48*I48,0)</f>
        <v>0</v>
      </c>
      <c r="L48" s="62"/>
      <c r="O48" s="1"/>
      <c r="V48" s="137" t="s">
        <v>74</v>
      </c>
      <c r="W48" s="131">
        <f>AB12+AB13+AB17+AB20+AB23</f>
        <v>0</v>
      </c>
      <c r="X48" s="647">
        <f>AB7</f>
        <v>1.0326</v>
      </c>
      <c r="Y48" s="647"/>
      <c r="Z48" s="132">
        <f>+I48</f>
        <v>898.23</v>
      </c>
      <c r="AA48" s="133" t="s">
        <v>97</v>
      </c>
      <c r="AB48" s="134">
        <f>ROUND(W48*X48*Z48,0)</f>
        <v>0</v>
      </c>
      <c r="AC48" s="138"/>
      <c r="AD48" s="9"/>
    </row>
    <row r="49" spans="2:30" ht="19.5" customHeight="1" thickBot="1" x14ac:dyDescent="0.3">
      <c r="B49" s="139" t="s">
        <v>78</v>
      </c>
      <c r="C49" s="140">
        <f>K14+K15+K18+K21+K24+K25</f>
        <v>708.07349999999997</v>
      </c>
      <c r="D49" s="125"/>
      <c r="E49" s="125"/>
      <c r="F49" s="125"/>
      <c r="G49" s="126">
        <f>K7</f>
        <v>1.0326</v>
      </c>
      <c r="H49" s="126"/>
      <c r="I49" s="127">
        <v>900.39</v>
      </c>
      <c r="J49" s="128" t="s">
        <v>97</v>
      </c>
      <c r="K49" s="129">
        <f>ROUND(C49*G49*I49,0)</f>
        <v>658326</v>
      </c>
      <c r="L49" s="62"/>
      <c r="M49" s="112"/>
      <c r="N49" s="141"/>
      <c r="O49" s="142"/>
      <c r="P49" s="101"/>
      <c r="Q49" s="143"/>
      <c r="V49" s="144" t="s">
        <v>78</v>
      </c>
      <c r="W49" s="145">
        <f>AB14+AB15+AB18+AB21+AB24+AB25</f>
        <v>0</v>
      </c>
      <c r="X49" s="647">
        <f>AB7</f>
        <v>1.0326</v>
      </c>
      <c r="Y49" s="647"/>
      <c r="Z49" s="132">
        <f>+I49</f>
        <v>900.39</v>
      </c>
      <c r="AA49" s="133" t="s">
        <v>97</v>
      </c>
      <c r="AB49" s="134">
        <f>ROUND(W49*X49*Z49,0)</f>
        <v>0</v>
      </c>
      <c r="AC49" s="138"/>
      <c r="AD49" s="113"/>
    </row>
    <row r="50" spans="2:30" ht="24" customHeight="1" thickBot="1" x14ac:dyDescent="0.3">
      <c r="B50" s="146" t="s">
        <v>98</v>
      </c>
      <c r="C50" s="147">
        <f>SUM(C47:C49)</f>
        <v>708.07349999999997</v>
      </c>
      <c r="D50" s="148"/>
      <c r="E50" s="149"/>
      <c r="F50" s="149"/>
      <c r="G50" s="150" t="s">
        <v>99</v>
      </c>
      <c r="H50" s="150"/>
      <c r="I50" s="150"/>
      <c r="J50" s="150"/>
      <c r="K50" s="150"/>
      <c r="L50" s="50">
        <f>IF(B2=75,0,K49+K48+K47)</f>
        <v>658326</v>
      </c>
      <c r="N50" s="3"/>
      <c r="O50" s="1"/>
      <c r="V50" s="151" t="s">
        <v>98</v>
      </c>
      <c r="W50" s="152">
        <f>SUM(W47:W49)</f>
        <v>0</v>
      </c>
      <c r="X50" s="648" t="s">
        <v>99</v>
      </c>
      <c r="Y50" s="649"/>
      <c r="Z50" s="649"/>
      <c r="AA50" s="649"/>
      <c r="AB50" s="649"/>
      <c r="AC50" s="56">
        <f>IF(V2=75,0,AB49+AB48+AB47)</f>
        <v>0</v>
      </c>
      <c r="AD50" s="9"/>
    </row>
    <row r="51" spans="2:30" ht="19.5" customHeight="1" x14ac:dyDescent="0.25">
      <c r="B51" s="153" t="s">
        <v>100</v>
      </c>
      <c r="C51" s="153"/>
      <c r="D51" s="153"/>
      <c r="E51" s="153"/>
      <c r="F51" s="153"/>
      <c r="G51" s="153"/>
      <c r="H51" s="153"/>
      <c r="I51" s="153"/>
      <c r="J51" s="153"/>
      <c r="K51" s="153"/>
      <c r="L51" s="153"/>
      <c r="M51" s="141"/>
      <c r="N51" s="101"/>
      <c r="O51" s="1"/>
      <c r="V51" s="650" t="s">
        <v>100</v>
      </c>
      <c r="W51" s="650"/>
      <c r="X51" s="650"/>
      <c r="Y51" s="650"/>
      <c r="Z51" s="650"/>
      <c r="AA51" s="650"/>
      <c r="AB51" s="650"/>
      <c r="AC51" s="650"/>
      <c r="AD51" s="154"/>
    </row>
    <row r="52" spans="2:30" ht="27.75" customHeight="1" x14ac:dyDescent="0.25">
      <c r="B52" s="13" t="s">
        <v>101</v>
      </c>
      <c r="C52" s="13"/>
      <c r="D52" s="13"/>
      <c r="E52" s="13"/>
      <c r="F52" s="13"/>
      <c r="G52" s="13"/>
      <c r="H52" s="13"/>
      <c r="I52" s="13"/>
      <c r="J52" s="13"/>
      <c r="K52" s="13"/>
      <c r="L52" s="13"/>
      <c r="O52" s="1"/>
      <c r="V52" s="651" t="s">
        <v>101</v>
      </c>
      <c r="W52" s="651"/>
      <c r="X52" s="651"/>
      <c r="Y52" s="651"/>
      <c r="Z52" s="651"/>
      <c r="AA52" s="651"/>
      <c r="AB52" s="651"/>
      <c r="AC52" s="651"/>
      <c r="AD52" s="9"/>
    </row>
    <row r="53" spans="2:30" x14ac:dyDescent="0.25">
      <c r="B53" s="13" t="s">
        <v>102</v>
      </c>
      <c r="C53" s="13"/>
      <c r="D53" s="13"/>
      <c r="E53" s="13"/>
      <c r="F53" s="13"/>
      <c r="G53" s="155">
        <f>K26</f>
        <v>708.07349999999997</v>
      </c>
      <c r="H53" s="57" t="s">
        <v>103</v>
      </c>
      <c r="I53" s="57"/>
      <c r="J53" s="156">
        <v>197823.77</v>
      </c>
      <c r="K53" s="156"/>
      <c r="L53" s="156"/>
      <c r="N53" s="3"/>
      <c r="O53" s="1"/>
      <c r="V53" s="657" t="s">
        <v>102</v>
      </c>
      <c r="W53" s="657"/>
      <c r="X53" s="157">
        <f>AB26</f>
        <v>0</v>
      </c>
      <c r="Y53" s="658" t="s">
        <v>103</v>
      </c>
      <c r="Z53" s="658"/>
      <c r="AA53" s="659">
        <f>+J53</f>
        <v>197823.77</v>
      </c>
      <c r="AB53" s="659"/>
      <c r="AC53" s="659"/>
      <c r="AD53" s="9"/>
    </row>
    <row r="54" spans="2:30" x14ac:dyDescent="0.25">
      <c r="B54" s="13" t="s">
        <v>104</v>
      </c>
      <c r="C54" s="13"/>
      <c r="D54" s="13"/>
      <c r="E54" s="13"/>
      <c r="F54" s="13"/>
      <c r="G54" s="13"/>
      <c r="H54" s="13"/>
      <c r="I54" s="13"/>
      <c r="J54" s="13"/>
      <c r="K54" s="158">
        <f>ROUND(G53/J53,6)</f>
        <v>3.5790000000000001E-3</v>
      </c>
      <c r="L54" s="158"/>
      <c r="N54" s="101"/>
      <c r="O54" s="1"/>
      <c r="V54" s="657" t="s">
        <v>104</v>
      </c>
      <c r="W54" s="657"/>
      <c r="X54" s="657"/>
      <c r="Y54" s="657"/>
      <c r="Z54" s="657"/>
      <c r="AA54" s="657"/>
      <c r="AB54" s="660">
        <f>ROUND(X53/AA53,6)</f>
        <v>0</v>
      </c>
      <c r="AC54" s="660"/>
      <c r="AD54" s="9"/>
    </row>
    <row r="55" spans="2:30" ht="24" customHeight="1" x14ac:dyDescent="0.25">
      <c r="B55" s="13" t="s">
        <v>105</v>
      </c>
      <c r="C55" s="13"/>
      <c r="D55" s="13"/>
      <c r="E55" s="13"/>
      <c r="F55" s="13"/>
      <c r="G55" s="13"/>
      <c r="H55" s="13"/>
      <c r="I55" s="13"/>
      <c r="J55" s="13"/>
      <c r="K55" s="13"/>
      <c r="L55" s="13"/>
      <c r="O55" s="1"/>
      <c r="V55" s="651" t="s">
        <v>105</v>
      </c>
      <c r="W55" s="651"/>
      <c r="X55" s="651"/>
      <c r="Y55" s="651"/>
      <c r="Z55" s="651"/>
      <c r="AA55" s="651"/>
      <c r="AB55" s="651"/>
      <c r="AC55" s="651"/>
      <c r="AD55" s="9"/>
    </row>
    <row r="56" spans="2:30" x14ac:dyDescent="0.25">
      <c r="B56" s="13" t="s">
        <v>106</v>
      </c>
      <c r="C56" s="13"/>
      <c r="D56" s="13"/>
      <c r="E56" s="13"/>
      <c r="F56" s="13"/>
      <c r="G56" s="159">
        <f>G26</f>
        <v>698.2700000000001</v>
      </c>
      <c r="H56" s="57" t="s">
        <v>107</v>
      </c>
      <c r="I56" s="57"/>
      <c r="J56" s="156">
        <f>+G40</f>
        <v>180284.81</v>
      </c>
      <c r="K56" s="156"/>
      <c r="L56" s="156"/>
      <c r="O56" s="1"/>
      <c r="V56" s="657" t="s">
        <v>106</v>
      </c>
      <c r="W56" s="657"/>
      <c r="X56" s="160">
        <f>X26</f>
        <v>0</v>
      </c>
      <c r="Y56" s="658" t="s">
        <v>107</v>
      </c>
      <c r="Z56" s="658"/>
      <c r="AA56" s="659">
        <f>+J56</f>
        <v>180284.81</v>
      </c>
      <c r="AB56" s="659"/>
      <c r="AC56" s="659"/>
      <c r="AD56" s="9"/>
    </row>
    <row r="57" spans="2:30" x14ac:dyDescent="0.25">
      <c r="B57" s="13" t="s">
        <v>108</v>
      </c>
      <c r="C57" s="13"/>
      <c r="D57" s="13"/>
      <c r="E57" s="13"/>
      <c r="F57" s="13"/>
      <c r="G57" s="13"/>
      <c r="H57" s="13"/>
      <c r="I57" s="13"/>
      <c r="J57" s="13"/>
      <c r="K57" s="158">
        <f>ROUND(G56/J56,6)</f>
        <v>3.8730000000000001E-3</v>
      </c>
      <c r="L57" s="158"/>
      <c r="O57" s="1"/>
      <c r="V57" s="657" t="s">
        <v>108</v>
      </c>
      <c r="W57" s="657"/>
      <c r="X57" s="657"/>
      <c r="Y57" s="657"/>
      <c r="Z57" s="657"/>
      <c r="AA57" s="657"/>
      <c r="AB57" s="660">
        <f>ROUND(X56/AA56,6)</f>
        <v>0</v>
      </c>
      <c r="AC57" s="660"/>
      <c r="AD57" s="9"/>
    </row>
    <row r="58" spans="2:30" ht="20.25" customHeight="1" x14ac:dyDescent="0.25">
      <c r="B58" s="161" t="s">
        <v>109</v>
      </c>
      <c r="C58" s="161"/>
      <c r="D58" s="161"/>
      <c r="E58" s="161"/>
      <c r="F58" s="161"/>
      <c r="G58" s="161"/>
      <c r="H58" s="161"/>
      <c r="I58" s="161"/>
      <c r="J58" s="161"/>
      <c r="K58" s="161"/>
      <c r="L58" s="161"/>
      <c r="N58" s="18"/>
      <c r="O58" s="18"/>
      <c r="V58" s="629" t="s">
        <v>110</v>
      </c>
      <c r="W58" s="629"/>
      <c r="X58" s="629"/>
      <c r="Y58" s="661">
        <f>X65+X64+X62+X61+X60</f>
        <v>4123852</v>
      </c>
      <c r="Z58" s="661"/>
      <c r="AA58" s="162" t="s">
        <v>111</v>
      </c>
      <c r="AB58" s="163">
        <f>AB54</f>
        <v>0</v>
      </c>
      <c r="AC58" s="56">
        <f>ROUND(Y58*AB58,0)</f>
        <v>0</v>
      </c>
      <c r="AD58" s="9"/>
    </row>
    <row r="59" spans="2:30" x14ac:dyDescent="0.25">
      <c r="B59" s="62" t="s">
        <v>110</v>
      </c>
      <c r="C59" s="62"/>
      <c r="D59" s="62"/>
      <c r="E59" s="62"/>
      <c r="F59" s="62"/>
      <c r="G59" s="62"/>
      <c r="H59" s="164" t="s">
        <v>22</v>
      </c>
      <c r="I59" s="129">
        <v>4123852</v>
      </c>
      <c r="J59" s="165" t="s">
        <v>111</v>
      </c>
      <c r="K59" s="166">
        <f>K54</f>
        <v>3.5790000000000001E-3</v>
      </c>
      <c r="L59" s="50">
        <f>ROUND(I59*K59,0)</f>
        <v>14759</v>
      </c>
      <c r="O59" s="1"/>
      <c r="P59" s="165"/>
      <c r="Q59" s="165"/>
      <c r="V59" s="662" t="s">
        <v>112</v>
      </c>
      <c r="W59" s="662"/>
      <c r="X59" s="662"/>
      <c r="Y59" s="662"/>
      <c r="Z59" s="662"/>
      <c r="AA59" s="662"/>
      <c r="AB59" s="662"/>
      <c r="AC59" s="662"/>
      <c r="AD59" s="9"/>
    </row>
    <row r="60" spans="2:30" x14ac:dyDescent="0.25">
      <c r="B60" s="62" t="s">
        <v>112</v>
      </c>
      <c r="C60" s="62"/>
      <c r="D60" s="62"/>
      <c r="E60" s="62"/>
      <c r="F60" s="62"/>
      <c r="G60" s="62"/>
      <c r="H60" s="62"/>
      <c r="I60" s="62"/>
      <c r="J60" s="62"/>
      <c r="K60" s="62"/>
      <c r="L60" s="62"/>
      <c r="O60" s="1"/>
      <c r="P60" s="165"/>
      <c r="Q60" s="165"/>
      <c r="V60" s="663" t="s">
        <v>113</v>
      </c>
      <c r="W60" s="663"/>
      <c r="X60" s="664">
        <f>+G61</f>
        <v>0</v>
      </c>
      <c r="Y60" s="664"/>
      <c r="Z60" s="664"/>
      <c r="AA60" s="664"/>
      <c r="AB60" s="664"/>
      <c r="AC60" s="664"/>
      <c r="AD60" s="9"/>
    </row>
    <row r="61" spans="2:30" ht="15" customHeight="1" x14ac:dyDescent="0.25">
      <c r="B61" s="167" t="s">
        <v>113</v>
      </c>
      <c r="C61" s="62"/>
      <c r="D61" s="62"/>
      <c r="E61" s="62"/>
      <c r="F61" s="62"/>
      <c r="G61" s="168">
        <v>0</v>
      </c>
      <c r="H61" s="168"/>
      <c r="I61" s="168"/>
      <c r="J61" s="168"/>
      <c r="K61" s="168"/>
      <c r="L61" s="168"/>
      <c r="O61" s="1"/>
      <c r="P61" s="165"/>
      <c r="Q61" s="165"/>
      <c r="V61" s="663" t="s">
        <v>114</v>
      </c>
      <c r="W61" s="663"/>
      <c r="X61" s="664">
        <f>+G62</f>
        <v>0</v>
      </c>
      <c r="Y61" s="664"/>
      <c r="Z61" s="664"/>
      <c r="AA61" s="664"/>
      <c r="AB61" s="664"/>
      <c r="AC61" s="664"/>
      <c r="AD61" s="9"/>
    </row>
    <row r="62" spans="2:30" ht="13.5" customHeight="1" x14ac:dyDescent="0.25">
      <c r="B62" s="167" t="s">
        <v>114</v>
      </c>
      <c r="C62" s="62"/>
      <c r="D62" s="62"/>
      <c r="E62" s="62"/>
      <c r="F62" s="62"/>
      <c r="G62" s="168">
        <v>0</v>
      </c>
      <c r="H62" s="168"/>
      <c r="I62" s="168"/>
      <c r="J62" s="168"/>
      <c r="K62" s="168"/>
      <c r="L62" s="168"/>
      <c r="N62" s="165"/>
      <c r="O62" s="165"/>
      <c r="P62" s="165"/>
      <c r="Q62" s="165"/>
      <c r="V62" s="663" t="s">
        <v>115</v>
      </c>
      <c r="W62" s="663"/>
      <c r="X62" s="664">
        <v>0</v>
      </c>
      <c r="Y62" s="664"/>
      <c r="Z62" s="664"/>
      <c r="AA62" s="664"/>
      <c r="AB62" s="664"/>
      <c r="AC62" s="664"/>
      <c r="AD62" s="9"/>
    </row>
    <row r="63" spans="2:30" ht="13.5" hidden="1" customHeight="1" x14ac:dyDescent="0.25">
      <c r="B63" s="62" t="s">
        <v>115</v>
      </c>
      <c r="C63" s="62"/>
      <c r="D63" s="62"/>
      <c r="E63" s="62"/>
      <c r="F63" s="62"/>
      <c r="G63" s="168">
        <v>0</v>
      </c>
      <c r="H63" s="168"/>
      <c r="I63" s="168"/>
      <c r="J63" s="168"/>
      <c r="K63" s="168"/>
      <c r="L63" s="168"/>
      <c r="O63" s="1"/>
      <c r="P63" s="165"/>
      <c r="Q63" s="165"/>
      <c r="V63" s="662" t="s">
        <v>116</v>
      </c>
      <c r="W63" s="662"/>
      <c r="X63" s="662"/>
      <c r="Y63" s="662"/>
      <c r="Z63" s="662"/>
      <c r="AA63" s="662"/>
      <c r="AB63" s="662"/>
      <c r="AC63" s="662"/>
      <c r="AD63" s="117"/>
    </row>
    <row r="64" spans="2:30" ht="13.5" customHeight="1" x14ac:dyDescent="0.25">
      <c r="B64" s="62" t="s">
        <v>116</v>
      </c>
      <c r="C64" s="62"/>
      <c r="D64" s="62"/>
      <c r="E64" s="62"/>
      <c r="F64" s="62"/>
      <c r="G64" s="62"/>
      <c r="H64" s="62"/>
      <c r="I64" s="62"/>
      <c r="J64" s="62"/>
      <c r="K64" s="62"/>
      <c r="L64" s="62"/>
      <c r="M64" s="116"/>
      <c r="N64" s="18"/>
      <c r="O64" s="1"/>
      <c r="V64" s="663" t="s">
        <v>117</v>
      </c>
      <c r="W64" s="663"/>
      <c r="X64" s="664">
        <f>+G65</f>
        <v>4123852</v>
      </c>
      <c r="Y64" s="664"/>
      <c r="Z64" s="664"/>
      <c r="AA64" s="664"/>
      <c r="AB64" s="664"/>
      <c r="AC64" s="664"/>
      <c r="AD64" s="9"/>
    </row>
    <row r="65" spans="1:30" ht="12.75" customHeight="1" x14ac:dyDescent="0.25">
      <c r="B65" s="167" t="s">
        <v>117</v>
      </c>
      <c r="C65" s="62"/>
      <c r="D65" s="62"/>
      <c r="E65" s="62"/>
      <c r="F65" s="62"/>
      <c r="G65" s="168">
        <f>+I59</f>
        <v>4123852</v>
      </c>
      <c r="H65" s="168"/>
      <c r="I65" s="168"/>
      <c r="J65" s="168"/>
      <c r="K65" s="168"/>
      <c r="L65" s="168"/>
      <c r="O65" s="1"/>
      <c r="V65" s="663" t="s">
        <v>118</v>
      </c>
      <c r="W65" s="663"/>
      <c r="X65" s="664">
        <f>+G66</f>
        <v>0</v>
      </c>
      <c r="Y65" s="664"/>
      <c r="Z65" s="664"/>
      <c r="AA65" s="664"/>
      <c r="AB65" s="664"/>
      <c r="AC65" s="664"/>
      <c r="AD65" s="20"/>
    </row>
    <row r="66" spans="1:30" ht="15" customHeight="1" x14ac:dyDescent="0.25">
      <c r="B66" s="167" t="s">
        <v>118</v>
      </c>
      <c r="C66" s="62"/>
      <c r="D66" s="62"/>
      <c r="E66" s="62"/>
      <c r="F66" s="62"/>
      <c r="G66" s="168">
        <v>0</v>
      </c>
      <c r="H66" s="168"/>
      <c r="I66" s="168"/>
      <c r="J66" s="168"/>
      <c r="K66" s="168"/>
      <c r="L66" s="168"/>
      <c r="M66" s="18"/>
      <c r="N66" s="3"/>
      <c r="O66" s="169"/>
      <c r="P66" s="169"/>
      <c r="Q66" s="169"/>
      <c r="V66" s="651" t="s">
        <v>119</v>
      </c>
      <c r="W66" s="651"/>
      <c r="X66" s="651"/>
      <c r="Y66" s="661">
        <f>+I67</f>
        <v>96774526</v>
      </c>
      <c r="Z66" s="661"/>
      <c r="AA66" s="162" t="s">
        <v>111</v>
      </c>
      <c r="AB66" s="163">
        <f>AB54</f>
        <v>0</v>
      </c>
      <c r="AC66" s="56">
        <f>ROUND(Y66*AB66,0)</f>
        <v>0</v>
      </c>
      <c r="AD66" s="9"/>
    </row>
    <row r="67" spans="1:30" ht="20.25" customHeight="1" x14ac:dyDescent="0.25">
      <c r="B67" s="13" t="s">
        <v>119</v>
      </c>
      <c r="C67" s="13"/>
      <c r="D67" s="13"/>
      <c r="E67" s="13"/>
      <c r="F67" s="13"/>
      <c r="H67" s="164" t="s">
        <v>25</v>
      </c>
      <c r="I67" s="129">
        <v>96774526</v>
      </c>
      <c r="J67" s="165" t="s">
        <v>111</v>
      </c>
      <c r="K67" s="166">
        <f>K54</f>
        <v>3.5790000000000001E-3</v>
      </c>
      <c r="L67" s="50">
        <f>ROUND(I67*K67,0)</f>
        <v>346356</v>
      </c>
      <c r="O67" s="1"/>
      <c r="V67" s="651" t="s">
        <v>120</v>
      </c>
      <c r="W67" s="651"/>
      <c r="X67" s="651"/>
      <c r="Y67" s="651"/>
      <c r="Z67" s="651"/>
      <c r="AA67" s="651"/>
      <c r="AB67" s="651"/>
      <c r="AC67" s="651"/>
      <c r="AD67" s="9"/>
    </row>
    <row r="68" spans="1:30" ht="20.25" customHeight="1" x14ac:dyDescent="0.25">
      <c r="B68" s="13" t="s">
        <v>120</v>
      </c>
      <c r="C68" s="13"/>
      <c r="D68" s="13"/>
      <c r="E68" s="13"/>
      <c r="F68" s="13"/>
      <c r="H68" s="13"/>
      <c r="I68" s="13"/>
      <c r="J68" s="82"/>
      <c r="K68" s="13"/>
      <c r="L68" s="13"/>
      <c r="O68" s="1"/>
      <c r="V68" s="667" t="s">
        <v>121</v>
      </c>
      <c r="W68" s="667"/>
      <c r="X68" s="667"/>
      <c r="Y68" s="661">
        <f>+I69</f>
        <v>0</v>
      </c>
      <c r="Z68" s="661"/>
      <c r="AA68" s="162" t="s">
        <v>111</v>
      </c>
      <c r="AB68" s="163">
        <f>AB57</f>
        <v>0</v>
      </c>
      <c r="AC68" s="56">
        <f>ROUND(Y68*AB68,0)</f>
        <v>0</v>
      </c>
      <c r="AD68" s="9"/>
    </row>
    <row r="69" spans="1:30" ht="15" customHeight="1" x14ac:dyDescent="0.25">
      <c r="B69" s="170" t="s">
        <v>121</v>
      </c>
      <c r="C69" s="13"/>
      <c r="D69" s="13"/>
      <c r="E69" s="13"/>
      <c r="F69" s="13"/>
      <c r="H69" s="164" t="s">
        <v>23</v>
      </c>
      <c r="I69" s="129">
        <v>0</v>
      </c>
      <c r="J69" s="165" t="s">
        <v>111</v>
      </c>
      <c r="K69" s="166">
        <f>K57</f>
        <v>3.8730000000000001E-3</v>
      </c>
      <c r="L69" s="50">
        <f>ROUND(I69*K69,0)</f>
        <v>0</v>
      </c>
      <c r="O69" s="1"/>
      <c r="V69" s="651" t="s">
        <v>122</v>
      </c>
      <c r="W69" s="651"/>
      <c r="X69" s="651"/>
      <c r="Y69" s="668">
        <f>+I70</f>
        <v>-3460775</v>
      </c>
      <c r="Z69" s="668"/>
      <c r="AA69" s="162" t="s">
        <v>111</v>
      </c>
      <c r="AB69" s="163">
        <f>AB54</f>
        <v>0</v>
      </c>
      <c r="AC69" s="56">
        <f>ROUND(Y69*AB69,0)</f>
        <v>0</v>
      </c>
      <c r="AD69" s="9"/>
    </row>
    <row r="70" spans="1:30" ht="20.25" customHeight="1" x14ac:dyDescent="0.25">
      <c r="B70" s="13" t="s">
        <v>122</v>
      </c>
      <c r="C70" s="13"/>
      <c r="D70" s="13"/>
      <c r="E70" s="13"/>
      <c r="F70" s="13"/>
      <c r="H70" s="164" t="s">
        <v>22</v>
      </c>
      <c r="I70" s="129">
        <v>-3460775</v>
      </c>
      <c r="J70" s="165" t="s">
        <v>111</v>
      </c>
      <c r="K70" s="166">
        <f>K54</f>
        <v>3.5790000000000001E-3</v>
      </c>
      <c r="L70" s="50">
        <f>ROUND(I70*K70,0)</f>
        <v>-12386</v>
      </c>
      <c r="O70" s="1"/>
      <c r="V70" s="651" t="s">
        <v>123</v>
      </c>
      <c r="W70" s="651"/>
      <c r="X70" s="651"/>
      <c r="Y70" s="665">
        <f>+I71</f>
        <v>1874788</v>
      </c>
      <c r="Z70" s="665"/>
      <c r="AA70" s="162" t="s">
        <v>111</v>
      </c>
      <c r="AB70" s="163">
        <f>AB54</f>
        <v>0</v>
      </c>
      <c r="AC70" s="56">
        <f>ROUND(Y70*AB70,0)</f>
        <v>0</v>
      </c>
      <c r="AD70" s="9"/>
    </row>
    <row r="71" spans="1:30" ht="20.25" customHeight="1" x14ac:dyDescent="0.25">
      <c r="B71" s="13" t="s">
        <v>123</v>
      </c>
      <c r="C71" s="13"/>
      <c r="D71" s="13"/>
      <c r="E71" s="13"/>
      <c r="F71" s="13"/>
      <c r="H71" s="164" t="s">
        <v>22</v>
      </c>
      <c r="I71" s="129">
        <v>1874788</v>
      </c>
      <c r="J71" s="165" t="s">
        <v>111</v>
      </c>
      <c r="K71" s="166">
        <f>K54</f>
        <v>3.5790000000000001E-3</v>
      </c>
      <c r="L71" s="50">
        <f>ROUND(I71*K71,0)</f>
        <v>6710</v>
      </c>
      <c r="O71" s="1"/>
      <c r="V71" s="651" t="s">
        <v>124</v>
      </c>
      <c r="W71" s="651"/>
      <c r="X71" s="651"/>
      <c r="Y71" s="665">
        <f>+I72</f>
        <v>14223298</v>
      </c>
      <c r="Z71" s="665"/>
      <c r="AA71" s="162" t="s">
        <v>111</v>
      </c>
      <c r="AB71" s="163">
        <f>AB57</f>
        <v>0</v>
      </c>
      <c r="AC71" s="56">
        <f>ROUND(Y71*AB71,0)</f>
        <v>0</v>
      </c>
      <c r="AD71" s="9"/>
    </row>
    <row r="72" spans="1:30" ht="21" customHeight="1" x14ac:dyDescent="0.25">
      <c r="B72" s="13" t="s">
        <v>124</v>
      </c>
      <c r="C72" s="13"/>
      <c r="D72" s="13"/>
      <c r="E72" s="13"/>
      <c r="F72" s="13"/>
      <c r="H72" s="164" t="s">
        <v>23</v>
      </c>
      <c r="I72" s="171">
        <v>14223298</v>
      </c>
      <c r="J72" s="165" t="s">
        <v>111</v>
      </c>
      <c r="K72" s="166">
        <f>K57</f>
        <v>3.8730000000000001E-3</v>
      </c>
      <c r="L72" s="50">
        <f>ROUND(I72*K72,0)</f>
        <v>55087</v>
      </c>
      <c r="O72" s="1"/>
      <c r="V72" s="623" t="s">
        <v>125</v>
      </c>
      <c r="W72" s="623"/>
      <c r="X72" s="623"/>
      <c r="Y72" s="623"/>
      <c r="Z72" s="623"/>
      <c r="AA72" s="623"/>
      <c r="AB72" s="623"/>
      <c r="AC72" s="60"/>
      <c r="AD72" s="9"/>
    </row>
    <row r="73" spans="1:30" ht="17.25" customHeight="1" x14ac:dyDescent="0.25">
      <c r="B73" s="13" t="s">
        <v>125</v>
      </c>
      <c r="C73" s="13"/>
      <c r="D73" s="13"/>
      <c r="E73" s="13"/>
      <c r="F73" s="13"/>
      <c r="H73" s="13"/>
      <c r="I73" s="13"/>
      <c r="J73" s="82"/>
      <c r="K73" s="13"/>
      <c r="L73" s="59"/>
      <c r="O73" s="1"/>
      <c r="V73" s="651" t="s">
        <v>126</v>
      </c>
      <c r="W73" s="651"/>
      <c r="X73" s="651"/>
      <c r="Y73" s="651"/>
      <c r="Z73" s="651"/>
      <c r="AA73" s="651"/>
      <c r="AB73" s="651"/>
      <c r="AC73" s="651"/>
      <c r="AD73" s="9"/>
    </row>
    <row r="74" spans="1:30" ht="31.5" x14ac:dyDescent="0.25">
      <c r="B74" s="13" t="s">
        <v>126</v>
      </c>
      <c r="C74" s="13"/>
      <c r="D74" s="27" t="s">
        <v>13</v>
      </c>
      <c r="E74" s="27" t="s">
        <v>14</v>
      </c>
      <c r="F74" s="27"/>
      <c r="H74" s="164" t="s">
        <v>26</v>
      </c>
      <c r="I74" s="172"/>
      <c r="J74" s="164"/>
      <c r="K74" s="172"/>
      <c r="L74" s="112"/>
      <c r="O74" s="1"/>
      <c r="V74" s="666" t="s">
        <v>127</v>
      </c>
      <c r="W74" s="666"/>
      <c r="X74" s="173" t="s">
        <v>128</v>
      </c>
      <c r="Y74" s="174"/>
      <c r="Z74" s="175">
        <f>+I75</f>
        <v>9.5</v>
      </c>
      <c r="AA74" s="176" t="s">
        <v>129</v>
      </c>
      <c r="AB74" s="177">
        <f>+K75</f>
        <v>361</v>
      </c>
      <c r="AC74" s="56">
        <f>ROUND(AB74*Z74,0)</f>
        <v>3430</v>
      </c>
      <c r="AD74" s="9"/>
    </row>
    <row r="75" spans="1:30" ht="19.5" customHeight="1" x14ac:dyDescent="0.25">
      <c r="A75" s="1" t="s">
        <v>130</v>
      </c>
      <c r="B75" s="178" t="s">
        <v>127</v>
      </c>
      <c r="C75" s="179" t="s">
        <v>128</v>
      </c>
      <c r="D75" s="178">
        <v>10</v>
      </c>
      <c r="E75" s="178">
        <v>9</v>
      </c>
      <c r="F75" s="178">
        <v>0</v>
      </c>
      <c r="G75" s="180">
        <f>IF(E75=0,D75,E75)</f>
        <v>9</v>
      </c>
      <c r="H75" s="181"/>
      <c r="I75" s="182">
        <f>AVERAGE(G75,D75)</f>
        <v>9.5</v>
      </c>
      <c r="J75" s="183" t="s">
        <v>129</v>
      </c>
      <c r="K75" s="184">
        <v>361</v>
      </c>
      <c r="L75" s="50">
        <f>ROUND(K75*I75,0)</f>
        <v>3430</v>
      </c>
      <c r="N75" s="1">
        <v>7802</v>
      </c>
      <c r="O75" s="1">
        <v>0</v>
      </c>
      <c r="V75" s="666" t="s">
        <v>127</v>
      </c>
      <c r="W75" s="666"/>
      <c r="X75" s="173" t="s">
        <v>131</v>
      </c>
      <c r="Y75" s="185"/>
      <c r="Z75" s="186">
        <f>+I76</f>
        <v>0</v>
      </c>
      <c r="AA75" s="176" t="s">
        <v>129</v>
      </c>
      <c r="AB75" s="187">
        <f>+K76</f>
        <v>1358</v>
      </c>
      <c r="AC75" s="56">
        <f>ROUND(AB75*Z75,0)</f>
        <v>0</v>
      </c>
      <c r="AD75" s="9"/>
    </row>
    <row r="76" spans="1:30" ht="19.5" customHeight="1" x14ac:dyDescent="0.25">
      <c r="A76" s="1" t="s">
        <v>132</v>
      </c>
      <c r="B76" s="178" t="s">
        <v>127</v>
      </c>
      <c r="C76" s="179" t="s">
        <v>131</v>
      </c>
      <c r="D76" s="178">
        <v>0</v>
      </c>
      <c r="E76" s="178">
        <v>0</v>
      </c>
      <c r="F76" s="178">
        <v>0</v>
      </c>
      <c r="G76" s="180">
        <f>IF(E76=0,D76,E76)</f>
        <v>0</v>
      </c>
      <c r="H76" s="181"/>
      <c r="I76" s="182">
        <f>AVERAGE(G76,D76)</f>
        <v>0</v>
      </c>
      <c r="J76" s="183" t="s">
        <v>129</v>
      </c>
      <c r="K76" s="188">
        <v>1358</v>
      </c>
      <c r="L76" s="50">
        <f>ROUND(K76*I76,0)</f>
        <v>0</v>
      </c>
      <c r="N76" s="1">
        <v>7802</v>
      </c>
      <c r="O76" s="1">
        <v>110</v>
      </c>
      <c r="V76" s="651" t="s">
        <v>133</v>
      </c>
      <c r="W76" s="651"/>
      <c r="X76" s="651"/>
      <c r="Y76" s="661">
        <f>+I77</f>
        <v>33305823</v>
      </c>
      <c r="Z76" s="661"/>
      <c r="AA76" s="176" t="s">
        <v>129</v>
      </c>
      <c r="AB76" s="163">
        <f>AB54</f>
        <v>0</v>
      </c>
      <c r="AC76" s="56">
        <f>ROUND(Y76*AB76,0)</f>
        <v>0</v>
      </c>
      <c r="AD76" s="9"/>
    </row>
    <row r="77" spans="1:30" ht="26.25" customHeight="1" x14ac:dyDescent="0.25">
      <c r="B77" s="13" t="s">
        <v>133</v>
      </c>
      <c r="C77" s="13"/>
      <c r="D77" s="13"/>
      <c r="E77" s="13"/>
      <c r="F77" s="13"/>
      <c r="H77" s="164" t="s">
        <v>134</v>
      </c>
      <c r="I77" s="189">
        <v>33305823</v>
      </c>
      <c r="J77" s="165" t="s">
        <v>111</v>
      </c>
      <c r="K77" s="166">
        <f>K54</f>
        <v>3.5790000000000001E-3</v>
      </c>
      <c r="L77" s="50">
        <f>ROUND(I77*K77,0)</f>
        <v>119202</v>
      </c>
      <c r="O77" s="1"/>
      <c r="V77" s="651" t="str">
        <f>+B78</f>
        <v>15.  Additional Allocation (WFTE share)</v>
      </c>
      <c r="W77" s="651"/>
      <c r="X77" s="651"/>
      <c r="Y77" s="661">
        <f>+I78</f>
        <v>680688</v>
      </c>
      <c r="Z77" s="661"/>
      <c r="AA77" s="176" t="s">
        <v>129</v>
      </c>
      <c r="AB77" s="163">
        <f>AB54</f>
        <v>0</v>
      </c>
      <c r="AC77" s="56">
        <f>ROUND(Y77*AB77,0)</f>
        <v>0</v>
      </c>
      <c r="AD77" s="9"/>
    </row>
    <row r="78" spans="1:30" ht="26.25" customHeight="1" x14ac:dyDescent="0.25">
      <c r="B78" s="669" t="s">
        <v>135</v>
      </c>
      <c r="C78" s="669"/>
      <c r="D78" s="669"/>
      <c r="E78" s="13"/>
      <c r="F78" s="13"/>
      <c r="H78" s="164" t="s">
        <v>136</v>
      </c>
      <c r="I78" s="190">
        <v>680688</v>
      </c>
      <c r="J78" s="165" t="s">
        <v>111</v>
      </c>
      <c r="K78" s="166">
        <f>K54</f>
        <v>3.5790000000000001E-3</v>
      </c>
      <c r="L78" s="50">
        <f>ROUND(I78*K78,0)</f>
        <v>2436</v>
      </c>
      <c r="O78" s="1"/>
      <c r="V78" s="651" t="str">
        <f t="shared" ref="V78:V79" si="11">+B79</f>
        <v>16.  Florida Teachers Lead Program Stipend</v>
      </c>
      <c r="W78" s="651"/>
      <c r="X78" s="651"/>
      <c r="Y78" s="191"/>
      <c r="Z78" s="191"/>
      <c r="AA78" s="191"/>
      <c r="AB78" s="191"/>
      <c r="AC78" s="134"/>
      <c r="AD78" s="9"/>
    </row>
    <row r="79" spans="1:30" ht="21" customHeight="1" x14ac:dyDescent="0.25">
      <c r="B79" s="669" t="s">
        <v>137</v>
      </c>
      <c r="C79" s="669"/>
      <c r="D79" s="669"/>
      <c r="E79" s="13"/>
      <c r="F79" s="13"/>
      <c r="H79" s="164"/>
      <c r="I79" s="172"/>
      <c r="J79" s="172"/>
      <c r="K79" s="172"/>
      <c r="L79" s="129"/>
      <c r="N79" s="192"/>
      <c r="O79" s="1"/>
      <c r="Q79" s="164"/>
      <c r="V79" s="651" t="str">
        <f t="shared" si="11"/>
        <v>17.  Food Service Allocation</v>
      </c>
      <c r="W79" s="651"/>
      <c r="X79" s="651"/>
      <c r="Y79" s="191"/>
      <c r="Z79" s="191"/>
      <c r="AA79" s="191"/>
      <c r="AB79" s="191"/>
      <c r="AC79" s="193"/>
      <c r="AD79" s="9"/>
    </row>
    <row r="80" spans="1:30" ht="21" customHeight="1" x14ac:dyDescent="0.25">
      <c r="B80" s="669" t="s">
        <v>138</v>
      </c>
      <c r="C80" s="669"/>
      <c r="D80" s="669"/>
      <c r="E80" s="13"/>
      <c r="F80" s="13"/>
      <c r="H80" s="194" t="s">
        <v>139</v>
      </c>
      <c r="I80" s="195"/>
      <c r="J80" s="195"/>
      <c r="K80" s="195"/>
      <c r="L80" s="196"/>
      <c r="N80" s="197"/>
      <c r="O80" s="1"/>
      <c r="Q80" s="164"/>
      <c r="V80" s="191"/>
      <c r="W80" s="191"/>
      <c r="X80" s="191"/>
      <c r="Y80" s="191"/>
      <c r="Z80" s="191"/>
      <c r="AA80" s="191"/>
      <c r="AB80" s="191"/>
      <c r="AC80" s="193"/>
      <c r="AD80" s="9"/>
    </row>
    <row r="81" spans="1:30" ht="21" customHeight="1" thickBot="1" x14ac:dyDescent="0.3">
      <c r="B81" s="13"/>
      <c r="C81" s="13"/>
      <c r="D81" s="13"/>
      <c r="E81" s="13"/>
      <c r="F81" s="13"/>
      <c r="G81" s="13"/>
      <c r="H81" s="13"/>
      <c r="I81" s="13"/>
      <c r="J81" s="13"/>
      <c r="K81" s="13"/>
      <c r="L81" s="196"/>
      <c r="M81" s="198"/>
      <c r="N81" s="197"/>
      <c r="O81" s="1"/>
      <c r="Q81" s="164"/>
      <c r="V81" s="191" t="s">
        <v>140</v>
      </c>
      <c r="W81" s="191"/>
      <c r="X81" s="191"/>
      <c r="Y81" s="191"/>
      <c r="Z81" s="191"/>
      <c r="AA81" s="191"/>
      <c r="AB81" s="191"/>
      <c r="AC81" s="199">
        <f>SUM(AC44:AC80)</f>
        <v>3430</v>
      </c>
      <c r="AD81" s="200"/>
    </row>
    <row r="82" spans="1:30" ht="22.5" customHeight="1" thickTop="1" thickBot="1" x14ac:dyDescent="0.3">
      <c r="B82" s="13" t="s">
        <v>141</v>
      </c>
      <c r="C82" s="13"/>
      <c r="D82" s="13"/>
      <c r="E82" s="13"/>
      <c r="F82" s="13"/>
      <c r="G82" s="13"/>
      <c r="H82" s="13"/>
      <c r="I82" s="13"/>
      <c r="J82" s="13"/>
      <c r="K82" s="13"/>
      <c r="L82" s="201">
        <f>SUM(L44:L81)</f>
        <v>4125368</v>
      </c>
      <c r="M82" s="202"/>
      <c r="N82" s="203"/>
      <c r="O82" s="1"/>
      <c r="Q82" s="164"/>
      <c r="V82" s="191"/>
      <c r="W82" s="191"/>
      <c r="X82" s="191"/>
      <c r="Y82" s="191"/>
      <c r="Z82" s="191"/>
      <c r="AA82" s="191"/>
      <c r="AB82" s="191"/>
      <c r="AC82" s="204"/>
      <c r="AD82" s="200"/>
    </row>
    <row r="83" spans="1:30" ht="27.75" customHeight="1" thickTop="1" x14ac:dyDescent="0.25">
      <c r="B83" s="13" t="s">
        <v>142</v>
      </c>
      <c r="C83" s="13"/>
      <c r="D83" s="13"/>
      <c r="E83" s="13"/>
      <c r="F83" s="13"/>
      <c r="G83" s="13"/>
      <c r="H83" s="13"/>
      <c r="I83" s="13"/>
      <c r="J83" s="13"/>
      <c r="K83" s="82" t="s">
        <v>143</v>
      </c>
      <c r="L83" s="205" t="s">
        <v>144</v>
      </c>
      <c r="M83" s="202"/>
      <c r="N83" s="203"/>
      <c r="O83" s="1"/>
      <c r="Q83" s="164"/>
      <c r="V83" s="9" t="s">
        <v>145</v>
      </c>
      <c r="W83" s="9"/>
      <c r="X83" s="9"/>
      <c r="Y83" s="9"/>
      <c r="Z83" s="9"/>
      <c r="AA83" s="9"/>
      <c r="AB83" s="9"/>
      <c r="AC83" s="9"/>
      <c r="AD83" s="206"/>
    </row>
    <row r="84" spans="1:30" ht="18.75" customHeight="1" thickBot="1" x14ac:dyDescent="0.3">
      <c r="B84" s="13" t="s">
        <v>146</v>
      </c>
      <c r="C84" s="13"/>
      <c r="D84" s="13"/>
      <c r="E84" s="13"/>
      <c r="F84" s="13"/>
      <c r="G84" s="13"/>
      <c r="H84" s="13"/>
      <c r="I84" s="13"/>
      <c r="J84" s="13"/>
      <c r="K84" s="207" t="str">
        <f>IF(G26=0,"",IF((G11+G13+SUM(G15:G21))/G26&gt;0.75,1,""))</f>
        <v/>
      </c>
      <c r="L84" s="201">
        <f>'1461'!AC81</f>
        <v>3430</v>
      </c>
      <c r="M84" s="202"/>
      <c r="N84" s="203"/>
      <c r="O84" s="1"/>
      <c r="Q84" s="164"/>
      <c r="V84" s="208" t="s">
        <v>147</v>
      </c>
      <c r="W84" s="208"/>
      <c r="X84" s="208"/>
      <c r="Y84" s="208"/>
      <c r="Z84" s="208"/>
      <c r="AA84" s="208"/>
      <c r="AB84" s="208"/>
      <c r="AC84" s="208"/>
      <c r="AD84" s="9"/>
    </row>
    <row r="85" spans="1:30" ht="18.75" customHeight="1" thickTop="1" x14ac:dyDescent="0.25">
      <c r="B85" s="13"/>
      <c r="C85" s="13"/>
      <c r="D85" s="13"/>
      <c r="E85" s="13"/>
      <c r="F85" s="13"/>
      <c r="G85" s="13"/>
      <c r="H85" s="13"/>
      <c r="I85" s="13"/>
      <c r="J85" s="13"/>
      <c r="M85" s="202"/>
      <c r="N85" s="203"/>
      <c r="O85" s="1"/>
      <c r="Q85" s="164"/>
      <c r="V85" s="208" t="s">
        <v>148</v>
      </c>
      <c r="W85" s="208"/>
      <c r="X85" s="208"/>
      <c r="Y85" s="208"/>
      <c r="Z85" s="208"/>
      <c r="AA85" s="208"/>
      <c r="AB85" s="208"/>
      <c r="AC85" s="208"/>
      <c r="AD85" s="206"/>
    </row>
    <row r="86" spans="1:30" ht="18.75" customHeight="1" x14ac:dyDescent="0.25">
      <c r="B86" s="2" t="s">
        <v>149</v>
      </c>
      <c r="C86" s="13"/>
      <c r="D86" s="13"/>
      <c r="E86" s="13"/>
      <c r="F86" s="13"/>
      <c r="G86" s="13"/>
      <c r="H86" s="13"/>
      <c r="I86" s="13"/>
      <c r="J86" s="209" t="s">
        <v>150</v>
      </c>
      <c r="K86" s="210">
        <f>IF(K84=1,L84,L82)</f>
        <v>4125368</v>
      </c>
      <c r="L86" s="211">
        <f>IF(G26=0,0,IF(G26&gt;250,-(((250/G26)*K86)*IF(M86="H",0.02,0.05)),IF(M86="H",-0.02*K86,-0.05*K86)))</f>
        <v>-73849.800220545061</v>
      </c>
      <c r="M86" s="212" t="str">
        <f>IF(B123="2801","H",IF(B123="2911","H",IF(B123="3382","H"," ")))</f>
        <v xml:space="preserve"> </v>
      </c>
      <c r="N86" s="203"/>
      <c r="O86" s="1"/>
      <c r="Q86" s="164"/>
      <c r="V86" s="208" t="s">
        <v>151</v>
      </c>
      <c r="W86" s="208"/>
      <c r="X86" s="208"/>
      <c r="Y86" s="208"/>
      <c r="Z86" s="208"/>
      <c r="AA86" s="208"/>
      <c r="AB86" s="208"/>
      <c r="AC86" s="208"/>
      <c r="AD86" s="206"/>
    </row>
    <row r="87" spans="1:30" ht="18.75" customHeight="1" x14ac:dyDescent="0.25">
      <c r="B87" s="2" t="s">
        <v>152</v>
      </c>
      <c r="C87" s="13"/>
      <c r="D87" s="13"/>
      <c r="E87" s="13"/>
      <c r="F87" s="13"/>
      <c r="G87" s="13"/>
      <c r="H87" s="13"/>
      <c r="I87" s="13"/>
      <c r="J87" s="13"/>
      <c r="K87" s="213"/>
      <c r="L87" s="205">
        <f>L82+L86</f>
        <v>4051518.1997794551</v>
      </c>
      <c r="M87" s="202"/>
      <c r="N87" s="203"/>
      <c r="O87" s="1"/>
      <c r="Q87" s="164"/>
      <c r="V87" s="198"/>
      <c r="W87" s="198"/>
      <c r="X87" s="198"/>
      <c r="Y87" s="198"/>
      <c r="Z87" s="198"/>
      <c r="AA87" s="198"/>
      <c r="AB87" s="198"/>
      <c r="AC87" s="198"/>
      <c r="AD87" s="214"/>
    </row>
    <row r="88" spans="1:30" x14ac:dyDescent="0.25">
      <c r="V88" s="198"/>
      <c r="W88" s="198"/>
      <c r="X88" s="198"/>
      <c r="Y88" s="198"/>
      <c r="Z88" s="198"/>
      <c r="AA88" s="198"/>
      <c r="AB88" s="198"/>
      <c r="AC88" s="198"/>
      <c r="AD88" s="215"/>
    </row>
    <row r="89" spans="1:30" ht="18.75" customHeight="1" x14ac:dyDescent="0.25">
      <c r="A89" s="1" t="s">
        <v>153</v>
      </c>
      <c r="B89" s="13" t="s">
        <v>154</v>
      </c>
      <c r="C89" s="13"/>
      <c r="D89" s="13">
        <v>2125188</v>
      </c>
      <c r="E89" s="13">
        <v>313120</v>
      </c>
      <c r="F89" s="13">
        <v>3377031</v>
      </c>
      <c r="G89" s="13"/>
      <c r="H89" s="13"/>
      <c r="I89" s="13"/>
      <c r="J89" s="13"/>
      <c r="K89" s="213"/>
      <c r="L89" s="84">
        <f>-F89-337244</f>
        <v>-3714275</v>
      </c>
      <c r="M89" s="202"/>
      <c r="N89" s="203"/>
      <c r="O89" s="1"/>
      <c r="Q89" s="164"/>
      <c r="V89" s="198">
        <v>2801</v>
      </c>
      <c r="W89" s="198"/>
      <c r="X89" s="198"/>
      <c r="Y89" s="198"/>
      <c r="Z89" s="198"/>
      <c r="AA89" s="198"/>
      <c r="AB89" s="198"/>
      <c r="AC89" s="198"/>
      <c r="AD89" s="214"/>
    </row>
    <row r="90" spans="1:30" ht="18.75" customHeight="1" x14ac:dyDescent="0.25">
      <c r="B90" s="13" t="s">
        <v>155</v>
      </c>
      <c r="C90" s="13"/>
      <c r="D90" s="13"/>
      <c r="E90" s="13"/>
      <c r="F90" s="13"/>
      <c r="G90" s="13"/>
      <c r="H90" s="13"/>
      <c r="I90" s="13"/>
      <c r="J90" s="13"/>
      <c r="K90" s="213"/>
      <c r="L90" s="205">
        <f>L87+L89</f>
        <v>337243.19977945508</v>
      </c>
      <c r="M90" s="202"/>
      <c r="N90" s="203"/>
      <c r="O90" s="1"/>
      <c r="Q90" s="164"/>
      <c r="V90" s="198">
        <v>2911</v>
      </c>
      <c r="W90" s="216"/>
      <c r="X90" s="216"/>
      <c r="Y90" s="216"/>
      <c r="Z90" s="216"/>
      <c r="AA90" s="216"/>
      <c r="AB90" s="216"/>
      <c r="AC90" s="216"/>
      <c r="AD90" s="214"/>
    </row>
    <row r="91" spans="1:30" ht="18.75" customHeight="1" x14ac:dyDescent="0.25">
      <c r="B91" s="13" t="s">
        <v>156</v>
      </c>
      <c r="C91" s="13"/>
      <c r="D91" s="13"/>
      <c r="E91" s="13"/>
      <c r="F91" s="13"/>
      <c r="G91" s="13"/>
      <c r="H91" s="13"/>
      <c r="I91" s="13"/>
      <c r="J91" s="13"/>
      <c r="K91" s="213"/>
      <c r="L91" s="205">
        <v>1</v>
      </c>
      <c r="M91" s="202"/>
      <c r="N91" s="203"/>
      <c r="O91" s="1"/>
      <c r="Q91" s="164"/>
      <c r="V91" s="198">
        <v>3382</v>
      </c>
      <c r="W91" s="216"/>
      <c r="X91" s="216"/>
      <c r="Y91" s="216"/>
      <c r="Z91" s="216"/>
      <c r="AA91" s="216"/>
      <c r="AB91" s="216"/>
      <c r="AC91" s="216"/>
      <c r="AD91" s="214"/>
    </row>
    <row r="92" spans="1:30" ht="18.75" customHeight="1" thickBot="1" x14ac:dyDescent="0.3">
      <c r="B92" s="13" t="s">
        <v>157</v>
      </c>
      <c r="C92" s="13"/>
      <c r="D92" s="13"/>
      <c r="E92" s="13"/>
      <c r="F92" s="13"/>
      <c r="G92" s="13"/>
      <c r="H92" s="13"/>
      <c r="I92" s="13"/>
      <c r="J92" s="13"/>
      <c r="K92" s="213"/>
      <c r="L92" s="217">
        <f>L90/L91</f>
        <v>337243.19977945508</v>
      </c>
      <c r="M92" s="202"/>
      <c r="N92" s="203"/>
      <c r="O92" s="1"/>
      <c r="Q92" s="164"/>
      <c r="V92" s="218"/>
      <c r="W92" s="218"/>
      <c r="X92" s="218"/>
      <c r="Y92" s="218"/>
      <c r="Z92" s="218"/>
      <c r="AA92" s="218"/>
      <c r="AB92" s="218"/>
      <c r="AC92" s="218"/>
      <c r="AD92" s="219"/>
    </row>
    <row r="93" spans="1:30" ht="18.75" customHeight="1" thickTop="1" x14ac:dyDescent="0.25">
      <c r="N93" s="219"/>
      <c r="O93" s="220"/>
      <c r="P93" s="219"/>
      <c r="Q93" s="219"/>
      <c r="V93" s="218"/>
      <c r="W93" s="218"/>
      <c r="X93" s="218"/>
      <c r="Y93" s="218"/>
      <c r="Z93" s="218"/>
      <c r="AA93" s="218"/>
      <c r="AB93" s="218"/>
      <c r="AC93" s="218"/>
      <c r="AD93" s="214"/>
    </row>
    <row r="94" spans="1:30" ht="18.75" customHeight="1" thickBot="1" x14ac:dyDescent="0.3">
      <c r="B94" s="221" t="s">
        <v>158</v>
      </c>
      <c r="C94" s="13"/>
      <c r="D94" s="13"/>
      <c r="E94" s="13"/>
      <c r="G94" s="13"/>
      <c r="H94" s="13"/>
      <c r="I94" s="13"/>
      <c r="J94" s="13"/>
      <c r="L94" s="222">
        <f>IF(M86="H",(K86*0.02)+L86,(K86*0.05)+L86)</f>
        <v>132418.59977945496</v>
      </c>
      <c r="M94" s="202"/>
      <c r="V94" s="223"/>
      <c r="W94" s="223"/>
      <c r="X94" s="223"/>
      <c r="Y94" s="223"/>
      <c r="Z94" s="223"/>
      <c r="AA94" s="223"/>
      <c r="AB94" s="223"/>
      <c r="AC94" s="223"/>
      <c r="AD94" s="214"/>
    </row>
    <row r="95" spans="1:30" ht="21.75" customHeight="1" thickTop="1" x14ac:dyDescent="0.25">
      <c r="B95" s="224" t="s">
        <v>159</v>
      </c>
      <c r="C95" s="224"/>
      <c r="D95" s="224"/>
      <c r="E95" s="224"/>
      <c r="F95" s="224"/>
      <c r="G95" s="224"/>
      <c r="H95" s="224"/>
      <c r="I95" s="224"/>
      <c r="J95" s="224"/>
      <c r="K95" s="224"/>
      <c r="L95" s="224"/>
      <c r="M95" s="219"/>
      <c r="V95" s="223"/>
      <c r="W95" s="223"/>
      <c r="X95" s="223"/>
      <c r="Y95" s="223"/>
      <c r="Z95" s="223"/>
      <c r="AA95" s="223"/>
      <c r="AB95" s="223"/>
      <c r="AC95" s="223"/>
      <c r="AD95" s="214"/>
    </row>
    <row r="96" spans="1:30" x14ac:dyDescent="0.25">
      <c r="B96" s="225"/>
      <c r="V96" s="223"/>
      <c r="W96" s="223"/>
      <c r="X96" s="223"/>
      <c r="Y96" s="223"/>
      <c r="Z96" s="223"/>
      <c r="AA96" s="223"/>
      <c r="AB96" s="223"/>
      <c r="AC96" s="223"/>
      <c r="AD96" s="219"/>
    </row>
    <row r="97" spans="2:30" x14ac:dyDescent="0.25">
      <c r="B97" s="225"/>
      <c r="V97" s="223"/>
      <c r="W97" s="223"/>
      <c r="X97" s="223"/>
      <c r="Y97" s="223"/>
      <c r="Z97" s="223"/>
      <c r="AA97" s="223"/>
      <c r="AB97" s="223"/>
      <c r="AC97" s="223"/>
      <c r="AD97" s="219"/>
    </row>
    <row r="98" spans="2:30" hidden="1" x14ac:dyDescent="0.25">
      <c r="B98" s="226" t="s">
        <v>160</v>
      </c>
      <c r="C98" s="227"/>
      <c r="V98" s="228"/>
      <c r="W98" s="228"/>
      <c r="X98" s="228"/>
      <c r="Y98" s="228"/>
      <c r="Z98" s="228"/>
      <c r="AA98" s="228"/>
      <c r="AB98" s="228"/>
      <c r="AC98" s="228"/>
    </row>
    <row r="99" spans="2:30" hidden="1" x14ac:dyDescent="0.25">
      <c r="B99" s="229"/>
      <c r="C99" s="227"/>
      <c r="V99" s="225"/>
      <c r="W99" s="13"/>
      <c r="X99" s="13"/>
      <c r="Y99" s="13"/>
      <c r="Z99" s="13"/>
      <c r="AA99" s="13"/>
      <c r="AB99" s="13"/>
      <c r="AC99" s="13"/>
    </row>
    <row r="100" spans="2:30" hidden="1" x14ac:dyDescent="0.25">
      <c r="B100" s="230" t="s">
        <v>161</v>
      </c>
      <c r="C100" s="226" t="s">
        <v>162</v>
      </c>
      <c r="V100" s="225"/>
    </row>
    <row r="101" spans="2:30" hidden="1" x14ac:dyDescent="0.25">
      <c r="B101" s="230" t="s">
        <v>163</v>
      </c>
      <c r="C101" s="226" t="s">
        <v>164</v>
      </c>
      <c r="V101" s="225"/>
    </row>
    <row r="102" spans="2:30" hidden="1" x14ac:dyDescent="0.25">
      <c r="B102" s="230" t="s">
        <v>165</v>
      </c>
      <c r="C102" s="226" t="s">
        <v>166</v>
      </c>
      <c r="V102" s="225"/>
      <c r="W102" s="231"/>
      <c r="X102" s="231"/>
      <c r="Y102" s="231"/>
      <c r="Z102" s="231"/>
      <c r="AA102" s="231"/>
      <c r="AB102" s="231"/>
      <c r="AC102" s="231"/>
      <c r="AD102" s="231"/>
    </row>
    <row r="103" spans="2:30" hidden="1" x14ac:dyDescent="0.25">
      <c r="B103" s="230" t="s">
        <v>167</v>
      </c>
      <c r="C103" s="226" t="s">
        <v>168</v>
      </c>
      <c r="V103" s="225"/>
    </row>
    <row r="104" spans="2:30" hidden="1" x14ac:dyDescent="0.25">
      <c r="B104" s="232"/>
      <c r="C104" s="226" t="s">
        <v>169</v>
      </c>
      <c r="V104" s="225"/>
    </row>
    <row r="105" spans="2:30" hidden="1" x14ac:dyDescent="0.25">
      <c r="B105" s="230" t="s">
        <v>170</v>
      </c>
      <c r="C105" s="226" t="s">
        <v>171</v>
      </c>
      <c r="V105" s="225"/>
    </row>
    <row r="106" spans="2:30" hidden="1" x14ac:dyDescent="0.25">
      <c r="B106" s="230" t="s">
        <v>172</v>
      </c>
      <c r="C106" s="226" t="s">
        <v>173</v>
      </c>
      <c r="V106" s="225"/>
    </row>
    <row r="107" spans="2:30" hidden="1" x14ac:dyDescent="0.25">
      <c r="B107" s="230" t="s">
        <v>219</v>
      </c>
      <c r="C107" s="226" t="s">
        <v>175</v>
      </c>
      <c r="V107" s="225"/>
    </row>
    <row r="108" spans="2:30" hidden="1" x14ac:dyDescent="0.25">
      <c r="B108" s="230" t="s">
        <v>176</v>
      </c>
      <c r="C108" s="226" t="s">
        <v>177</v>
      </c>
      <c r="V108" s="225"/>
    </row>
    <row r="109" spans="2:30" hidden="1" x14ac:dyDescent="0.25">
      <c r="B109" s="230" t="s">
        <v>178</v>
      </c>
      <c r="C109" s="226" t="s">
        <v>179</v>
      </c>
      <c r="V109" s="225"/>
    </row>
    <row r="110" spans="2:30" hidden="1" x14ac:dyDescent="0.25">
      <c r="B110" s="232"/>
      <c r="C110" s="226"/>
      <c r="V110" s="225"/>
    </row>
    <row r="111" spans="2:30" hidden="1" x14ac:dyDescent="0.25">
      <c r="B111" s="230" t="s">
        <v>180</v>
      </c>
      <c r="C111" s="226" t="s">
        <v>181</v>
      </c>
      <c r="V111" s="225"/>
    </row>
    <row r="112" spans="2:30" hidden="1" x14ac:dyDescent="0.25">
      <c r="B112" s="230" t="s">
        <v>180</v>
      </c>
      <c r="C112" s="226" t="s">
        <v>182</v>
      </c>
    </row>
    <row r="113" spans="2:3" hidden="1" x14ac:dyDescent="0.25">
      <c r="B113" s="230" t="s">
        <v>183</v>
      </c>
      <c r="C113" s="226" t="s">
        <v>184</v>
      </c>
    </row>
    <row r="114" spans="2:3" hidden="1" x14ac:dyDescent="0.25">
      <c r="B114" s="230" t="s">
        <v>185</v>
      </c>
      <c r="C114" s="226" t="s">
        <v>186</v>
      </c>
    </row>
    <row r="115" spans="2:3" hidden="1" x14ac:dyDescent="0.25">
      <c r="B115" s="230" t="s">
        <v>183</v>
      </c>
      <c r="C115" s="226" t="s">
        <v>187</v>
      </c>
    </row>
    <row r="116" spans="2:3" hidden="1" x14ac:dyDescent="0.25">
      <c r="B116" s="230" t="s">
        <v>188</v>
      </c>
      <c r="C116" s="226" t="s">
        <v>189</v>
      </c>
    </row>
    <row r="117" spans="2:3" hidden="1" x14ac:dyDescent="0.25">
      <c r="B117" s="230" t="s">
        <v>190</v>
      </c>
      <c r="C117" s="226" t="s">
        <v>191</v>
      </c>
    </row>
    <row r="118" spans="2:3" hidden="1" x14ac:dyDescent="0.25">
      <c r="B118" s="232" t="s">
        <v>192</v>
      </c>
      <c r="C118" s="226" t="s">
        <v>193</v>
      </c>
    </row>
    <row r="119" spans="2:3" hidden="1" x14ac:dyDescent="0.25">
      <c r="B119" s="232"/>
      <c r="C119" s="226"/>
    </row>
    <row r="120" spans="2:3" hidden="1" x14ac:dyDescent="0.25">
      <c r="B120" s="230" t="s">
        <v>161</v>
      </c>
      <c r="C120" s="226" t="s">
        <v>194</v>
      </c>
    </row>
    <row r="121" spans="2:3" hidden="1" x14ac:dyDescent="0.25">
      <c r="B121" s="230" t="s">
        <v>195</v>
      </c>
      <c r="C121" s="226" t="s">
        <v>196</v>
      </c>
    </row>
    <row r="122" spans="2:3" hidden="1" x14ac:dyDescent="0.25">
      <c r="B122" s="230" t="s">
        <v>197</v>
      </c>
      <c r="C122" s="226" t="s">
        <v>198</v>
      </c>
    </row>
    <row r="123" spans="2:3" hidden="1" x14ac:dyDescent="0.25">
      <c r="B123" s="230" t="s">
        <v>220</v>
      </c>
      <c r="C123" s="226" t="s">
        <v>200</v>
      </c>
    </row>
    <row r="124" spans="2:3" hidden="1" x14ac:dyDescent="0.25">
      <c r="B124" s="230" t="s">
        <v>221</v>
      </c>
      <c r="C124" s="226" t="s">
        <v>202</v>
      </c>
    </row>
    <row r="125" spans="2:3" hidden="1" x14ac:dyDescent="0.25">
      <c r="B125" s="230" t="s">
        <v>203</v>
      </c>
      <c r="C125" s="226" t="s">
        <v>204</v>
      </c>
    </row>
    <row r="126" spans="2:3" hidden="1" x14ac:dyDescent="0.25">
      <c r="B126" s="230" t="s">
        <v>203</v>
      </c>
      <c r="C126" s="226" t="s">
        <v>205</v>
      </c>
    </row>
    <row r="127" spans="2:3" hidden="1" x14ac:dyDescent="0.25">
      <c r="B127" s="230" t="s">
        <v>203</v>
      </c>
      <c r="C127" s="226" t="s">
        <v>206</v>
      </c>
    </row>
    <row r="128" spans="2:3" hidden="1" x14ac:dyDescent="0.25">
      <c r="B128" s="230" t="s">
        <v>203</v>
      </c>
      <c r="C128" s="226" t="s">
        <v>207</v>
      </c>
    </row>
    <row r="129" spans="2:3" hidden="1" x14ac:dyDescent="0.25">
      <c r="B129" s="230" t="s">
        <v>167</v>
      </c>
      <c r="C129" s="226" t="s">
        <v>208</v>
      </c>
    </row>
    <row r="130" spans="2:3" hidden="1" x14ac:dyDescent="0.25">
      <c r="B130" s="230" t="s">
        <v>209</v>
      </c>
      <c r="C130" s="226" t="s">
        <v>210</v>
      </c>
    </row>
    <row r="131" spans="2:3" hidden="1" x14ac:dyDescent="0.25">
      <c r="B131" s="230" t="s">
        <v>203</v>
      </c>
      <c r="C131" s="226" t="s">
        <v>211</v>
      </c>
    </row>
    <row r="132" spans="2:3" hidden="1" x14ac:dyDescent="0.25">
      <c r="B132" s="226"/>
      <c r="C132" s="226"/>
    </row>
    <row r="133" spans="2:3" hidden="1" x14ac:dyDescent="0.25">
      <c r="B133" s="226"/>
      <c r="C133" s="226"/>
    </row>
    <row r="134" spans="2:3" hidden="1" x14ac:dyDescent="0.25">
      <c r="B134" s="232"/>
      <c r="C134" s="232"/>
    </row>
    <row r="135" spans="2:3" hidden="1" x14ac:dyDescent="0.25">
      <c r="B135" s="232">
        <f>NvsElapsedTime</f>
        <v>1.15740767796524E-5</v>
      </c>
      <c r="C135" s="232"/>
    </row>
    <row r="136" spans="2:3" hidden="1" x14ac:dyDescent="0.25">
      <c r="B136" s="233">
        <f>NvsEndTime</f>
        <v>41754.487673611096</v>
      </c>
      <c r="C136" s="233" t="s">
        <v>212</v>
      </c>
    </row>
    <row r="137" spans="2:3" x14ac:dyDescent="0.25">
      <c r="B137" s="226"/>
      <c r="C137" s="234"/>
    </row>
    <row r="138" spans="2:3" x14ac:dyDescent="0.25">
      <c r="B138" s="226"/>
      <c r="C138" s="226"/>
    </row>
    <row r="139" spans="2:3" x14ac:dyDescent="0.25">
      <c r="B139" s="226"/>
      <c r="C139" s="226"/>
    </row>
    <row r="140" spans="2:3" x14ac:dyDescent="0.25">
      <c r="B140" s="226"/>
      <c r="C140" s="226"/>
    </row>
    <row r="141" spans="2:3" x14ac:dyDescent="0.25">
      <c r="B141" s="226"/>
      <c r="C141" s="226"/>
    </row>
    <row r="142" spans="2:3" x14ac:dyDescent="0.25">
      <c r="B142" s="226"/>
      <c r="C142" s="226"/>
    </row>
    <row r="143" spans="2:3" x14ac:dyDescent="0.25">
      <c r="B143" s="226"/>
      <c r="C143" s="226"/>
    </row>
    <row r="144" spans="2:3" x14ac:dyDescent="0.25">
      <c r="B144" s="226"/>
      <c r="C144" s="226"/>
    </row>
    <row r="145" spans="2:3" x14ac:dyDescent="0.25">
      <c r="B145" s="226"/>
      <c r="C145" s="226"/>
    </row>
    <row r="146" spans="2:3" x14ac:dyDescent="0.25">
      <c r="B146" s="226"/>
      <c r="C146" s="226"/>
    </row>
    <row r="147" spans="2:3" x14ac:dyDescent="0.25">
      <c r="B147" s="226"/>
      <c r="C147" s="226"/>
    </row>
    <row r="148" spans="2:3" x14ac:dyDescent="0.25">
      <c r="B148" s="226"/>
      <c r="C148" s="226"/>
    </row>
    <row r="149" spans="2:3" x14ac:dyDescent="0.25">
      <c r="B149" s="226"/>
      <c r="C149" s="226"/>
    </row>
    <row r="150" spans="2:3" x14ac:dyDescent="0.25">
      <c r="B150" s="226"/>
      <c r="C150" s="226"/>
    </row>
    <row r="151" spans="2:3" x14ac:dyDescent="0.25">
      <c r="B151" s="226"/>
      <c r="C151" s="226"/>
    </row>
  </sheetData>
  <mergeCells count="151">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9:W9"/>
    <mergeCell ref="X9:Y9"/>
    <mergeCell ref="Z9:AA9"/>
    <mergeCell ref="V10:W10"/>
    <mergeCell ref="X10:Y10"/>
    <mergeCell ref="Z10:AA10"/>
    <mergeCell ref="V7:W7"/>
    <mergeCell ref="X7:Y7"/>
    <mergeCell ref="Z7:AA7"/>
    <mergeCell ref="AB7:AC7"/>
    <mergeCell ref="V8:W8"/>
    <mergeCell ref="X8:Y8"/>
    <mergeCell ref="Z8:AA8"/>
    <mergeCell ref="W2:AC2"/>
    <mergeCell ref="V3:AC3"/>
    <mergeCell ref="V4:AC4"/>
    <mergeCell ref="V5:W5"/>
    <mergeCell ref="X5:Y5"/>
    <mergeCell ref="V6:AC6"/>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D151"/>
  <sheetViews>
    <sheetView topLeftCell="B62" zoomScale="70" zoomScaleNormal="70" workbookViewId="0">
      <selection activeCell="B2" sqref="B2"/>
    </sheetView>
  </sheetViews>
  <sheetFormatPr defaultColWidth="8.85546875" defaultRowHeight="15.75" x14ac:dyDescent="0.25"/>
  <cols>
    <col min="1" max="1" width="11.28515625" style="1" hidden="1" customWidth="1"/>
    <col min="2" max="2" width="10.28515625" style="2" customWidth="1"/>
    <col min="3" max="3" width="29" style="1" customWidth="1"/>
    <col min="4" max="5" width="12.28515625" style="1" customWidth="1"/>
    <col min="6" max="6" width="12.28515625" style="1" hidden="1" customWidth="1"/>
    <col min="7" max="7" width="15.28515625" style="1" customWidth="1"/>
    <col min="8" max="8" width="6.7109375" style="1" customWidth="1"/>
    <col min="9" max="9" width="12.5703125" style="1" customWidth="1"/>
    <col min="10" max="10" width="12.85546875" style="1" customWidth="1"/>
    <col min="11" max="11" width="13" style="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28515625" style="1" customWidth="1"/>
    <col min="18" max="18" width="8.85546875" style="1"/>
    <col min="19" max="21" width="0" style="1" hidden="1" customWidth="1"/>
    <col min="22" max="23" width="8.85546875" style="1"/>
    <col min="24" max="24" width="12.7109375" style="1" customWidth="1"/>
    <col min="25" max="27" width="8.85546875" style="1"/>
    <col min="28" max="28" width="13.140625" style="1" bestFit="1" customWidth="1"/>
    <col min="29" max="16384" width="8.85546875" style="1"/>
  </cols>
  <sheetData>
    <row r="1" spans="1:30" ht="15.6"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7"/>
      <c r="N2" s="3"/>
      <c r="O2" s="1"/>
      <c r="V2" s="8">
        <f>'1571'!B2</f>
        <v>50</v>
      </c>
      <c r="W2" s="606" t="s">
        <v>4</v>
      </c>
      <c r="X2" s="607"/>
      <c r="Y2" s="608"/>
      <c r="Z2" s="608"/>
      <c r="AA2" s="608"/>
      <c r="AB2" s="608"/>
      <c r="AC2" s="608"/>
      <c r="AD2" s="9"/>
    </row>
    <row r="3" spans="1:30" ht="20.25" x14ac:dyDescent="0.3">
      <c r="B3" s="10" t="str">
        <f>"Revenue Estimate Worksheet for "&amp;B124</f>
        <v>Revenue Estimate Worksheet for South Tech Community High</v>
      </c>
      <c r="C3" s="11"/>
      <c r="D3" s="11"/>
      <c r="E3" s="11"/>
      <c r="F3" s="11"/>
      <c r="G3" s="11"/>
      <c r="H3" s="11"/>
      <c r="I3" s="11"/>
      <c r="J3" s="11"/>
      <c r="K3" s="11"/>
      <c r="L3" s="11"/>
      <c r="M3" s="10"/>
      <c r="N3" s="10"/>
      <c r="O3" s="10"/>
      <c r="P3" s="10"/>
      <c r="Q3" s="10"/>
      <c r="V3" s="609" t="s">
        <v>5</v>
      </c>
      <c r="W3" s="609"/>
      <c r="X3" s="609"/>
      <c r="Y3" s="609"/>
      <c r="Z3" s="609"/>
      <c r="AA3" s="609"/>
      <c r="AB3" s="609"/>
      <c r="AC3" s="609"/>
      <c r="AD3" s="12"/>
    </row>
    <row r="4" spans="1:30" ht="18.75" x14ac:dyDescent="0.3">
      <c r="B4" s="2" t="s">
        <v>6</v>
      </c>
      <c r="C4" s="13"/>
      <c r="D4" s="13"/>
      <c r="E4" s="13"/>
      <c r="F4" s="13"/>
      <c r="G4" s="13"/>
      <c r="H4" s="13"/>
      <c r="I4" s="13"/>
      <c r="J4" s="13"/>
      <c r="K4" s="13"/>
      <c r="L4" s="13"/>
      <c r="M4" s="14"/>
      <c r="N4" s="14"/>
      <c r="O4" s="14"/>
      <c r="P4" s="14"/>
      <c r="Q4" s="14"/>
      <c r="V4" s="610" t="str">
        <f>+Based_on_the_Second_Calculation_of_the_FEFP_2010_11</f>
        <v>Based on the Fourth Calculation of the FEFP 2013-14</v>
      </c>
      <c r="W4" s="610"/>
      <c r="X4" s="610"/>
      <c r="Y4" s="610"/>
      <c r="Z4" s="610"/>
      <c r="AA4" s="610"/>
      <c r="AB4" s="610"/>
      <c r="AC4" s="610"/>
      <c r="AD4" s="15"/>
    </row>
    <row r="5" spans="1:30" ht="18.75" customHeight="1" x14ac:dyDescent="0.25">
      <c r="B5" s="16" t="s">
        <v>7</v>
      </c>
      <c r="C5" s="16"/>
      <c r="D5" s="16"/>
      <c r="E5" s="16"/>
      <c r="F5" s="16"/>
      <c r="G5" s="17" t="s">
        <v>8</v>
      </c>
      <c r="H5" s="17"/>
      <c r="I5" s="17"/>
      <c r="J5" s="17"/>
      <c r="K5" s="17"/>
      <c r="L5" s="17"/>
      <c r="M5" s="18"/>
      <c r="N5" s="18"/>
      <c r="O5" s="18"/>
      <c r="P5" s="18"/>
      <c r="Q5" s="18"/>
      <c r="V5" s="611" t="s">
        <v>7</v>
      </c>
      <c r="W5" s="611"/>
      <c r="X5" s="612" t="s">
        <v>8</v>
      </c>
      <c r="Y5" s="612"/>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613" t="s">
        <v>9</v>
      </c>
      <c r="W6" s="613"/>
      <c r="X6" s="613"/>
      <c r="Y6" s="613"/>
      <c r="Z6" s="613"/>
      <c r="AA6" s="613"/>
      <c r="AB6" s="613"/>
      <c r="AC6" s="613"/>
      <c r="AD6" s="22"/>
    </row>
    <row r="7" spans="1:30" ht="18" customHeight="1" x14ac:dyDescent="0.25">
      <c r="B7" s="23" t="s">
        <v>10</v>
      </c>
      <c r="C7" s="23"/>
      <c r="D7" s="23"/>
      <c r="E7" s="23"/>
      <c r="F7" s="23"/>
      <c r="G7" s="24">
        <v>3752.3</v>
      </c>
      <c r="H7" s="24"/>
      <c r="I7" s="23" t="s">
        <v>11</v>
      </c>
      <c r="J7" s="23"/>
      <c r="K7" s="25">
        <v>1.0326</v>
      </c>
      <c r="L7" s="25"/>
      <c r="O7" s="1"/>
      <c r="V7" s="620" t="s">
        <v>10</v>
      </c>
      <c r="W7" s="620"/>
      <c r="X7" s="621">
        <f>'1571'!G7</f>
        <v>3752.3</v>
      </c>
      <c r="Y7" s="621"/>
      <c r="Z7" s="622" t="s">
        <v>11</v>
      </c>
      <c r="AA7" s="622"/>
      <c r="AB7" s="602">
        <f>+K7</f>
        <v>1.0326</v>
      </c>
      <c r="AC7" s="602"/>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603" t="s">
        <v>12</v>
      </c>
      <c r="W8" s="603"/>
      <c r="X8" s="604" t="s">
        <v>15</v>
      </c>
      <c r="Y8" s="604"/>
      <c r="Z8" s="605" t="s">
        <v>16</v>
      </c>
      <c r="AA8" s="605"/>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614" t="s">
        <v>22</v>
      </c>
      <c r="W9" s="614"/>
      <c r="X9" s="615" t="s">
        <v>23</v>
      </c>
      <c r="Y9" s="615"/>
      <c r="Z9" s="616" t="s">
        <v>24</v>
      </c>
      <c r="AA9" s="616"/>
      <c r="AB9" s="43" t="s">
        <v>25</v>
      </c>
      <c r="AC9" s="44" t="s">
        <v>26</v>
      </c>
      <c r="AD9" s="9"/>
    </row>
    <row r="10" spans="1:30" x14ac:dyDescent="0.25">
      <c r="A10" s="1" t="s">
        <v>27</v>
      </c>
      <c r="B10" s="45" t="s">
        <v>28</v>
      </c>
      <c r="C10" s="45"/>
      <c r="D10" s="45">
        <v>0</v>
      </c>
      <c r="E10" s="45">
        <v>0</v>
      </c>
      <c r="F10" s="45">
        <v>0</v>
      </c>
      <c r="G10" s="46">
        <f>D10+E10</f>
        <v>0</v>
      </c>
      <c r="H10" s="47"/>
      <c r="I10" s="48">
        <v>1.125</v>
      </c>
      <c r="J10" s="48"/>
      <c r="K10" s="49">
        <f>ROUND(G10*I10,4)</f>
        <v>0</v>
      </c>
      <c r="L10" s="50">
        <f>ROUND(ROUND(K10*$G$7,4)*($K$7),0)</f>
        <v>0</v>
      </c>
      <c r="N10" s="51">
        <v>5101</v>
      </c>
      <c r="O10" s="52">
        <v>101</v>
      </c>
      <c r="P10" s="53"/>
      <c r="Q10" s="54"/>
      <c r="V10" s="617" t="s">
        <v>28</v>
      </c>
      <c r="W10" s="617"/>
      <c r="X10" s="618">
        <f>IF('1571'!K$84=1,'1571'!G10,0)</f>
        <v>0</v>
      </c>
      <c r="Y10" s="618"/>
      <c r="Z10" s="619">
        <v>1</v>
      </c>
      <c r="AA10" s="619"/>
      <c r="AB10" s="55">
        <f t="shared" ref="AB10:AB25" si="0">ROUND(X10*Z10,4)</f>
        <v>0</v>
      </c>
      <c r="AC10" s="56">
        <f t="shared" ref="AC10:AC25" si="1">ROUND(ROUND(AB10*$X$7,4)*($AB$7),0)</f>
        <v>0</v>
      </c>
      <c r="AD10" s="9">
        <v>1</v>
      </c>
    </row>
    <row r="11" spans="1:30" x14ac:dyDescent="0.25">
      <c r="A11" s="1" t="s">
        <v>29</v>
      </c>
      <c r="B11" s="13" t="s">
        <v>30</v>
      </c>
      <c r="C11" s="13"/>
      <c r="D11" s="13">
        <v>0</v>
      </c>
      <c r="E11" s="13">
        <v>0</v>
      </c>
      <c r="F11" s="13">
        <v>0</v>
      </c>
      <c r="G11" s="46">
        <f t="shared" ref="G11:G25" si="2">D11+E11</f>
        <v>0</v>
      </c>
      <c r="H11" s="47"/>
      <c r="I11" s="57">
        <f>I10</f>
        <v>1.125</v>
      </c>
      <c r="J11" s="57"/>
      <c r="K11" s="49">
        <f t="shared" ref="K11:K25" si="3">ROUND(G11*I11,4)</f>
        <v>0</v>
      </c>
      <c r="L11" s="50">
        <f t="shared" ref="L11:L25" si="4">ROUND(ROUND(K11*$G$7,4)*($K$7),0)</f>
        <v>0</v>
      </c>
      <c r="M11" s="1" t="str">
        <f>IF(ROUND(G11,2)=ROUND(SUM(G28:G30),2)," ","CHECK 2. PK-3 Lines Below")</f>
        <v xml:space="preserve"> </v>
      </c>
      <c r="N11" s="51">
        <v>5101</v>
      </c>
      <c r="O11" s="58" t="s">
        <v>31</v>
      </c>
      <c r="P11" s="53"/>
      <c r="Q11" s="54"/>
      <c r="V11" s="623" t="s">
        <v>30</v>
      </c>
      <c r="W11" s="623"/>
      <c r="X11" s="618">
        <f>IF('1571'!K$84=1,'1571'!G11,0)</f>
        <v>0</v>
      </c>
      <c r="Y11" s="618"/>
      <c r="Z11" s="624">
        <v>1</v>
      </c>
      <c r="AA11" s="624"/>
      <c r="AB11" s="55">
        <f t="shared" si="0"/>
        <v>0</v>
      </c>
      <c r="AC11" s="56">
        <f t="shared" si="1"/>
        <v>0</v>
      </c>
      <c r="AD11" s="9"/>
    </row>
    <row r="12" spans="1:30" x14ac:dyDescent="0.25">
      <c r="A12" s="1" t="s">
        <v>32</v>
      </c>
      <c r="B12" s="13" t="s">
        <v>33</v>
      </c>
      <c r="C12" s="13"/>
      <c r="D12" s="13">
        <v>0</v>
      </c>
      <c r="E12" s="13">
        <v>0</v>
      </c>
      <c r="F12" s="13">
        <v>0</v>
      </c>
      <c r="G12" s="46">
        <f t="shared" si="2"/>
        <v>0</v>
      </c>
      <c r="H12" s="47"/>
      <c r="I12" s="57">
        <v>1</v>
      </c>
      <c r="J12" s="57"/>
      <c r="K12" s="49">
        <f t="shared" si="3"/>
        <v>0</v>
      </c>
      <c r="L12" s="50">
        <f t="shared" si="4"/>
        <v>0</v>
      </c>
      <c r="N12" s="51">
        <v>5102</v>
      </c>
      <c r="O12" s="52">
        <v>102</v>
      </c>
      <c r="P12" s="53"/>
      <c r="Q12" s="54"/>
      <c r="V12" s="623" t="s">
        <v>33</v>
      </c>
      <c r="W12" s="623"/>
      <c r="X12" s="618">
        <f>IF('1571'!K$84=1,'1571'!G12,0)</f>
        <v>0</v>
      </c>
      <c r="Y12" s="618"/>
      <c r="Z12" s="624">
        <v>1</v>
      </c>
      <c r="AA12" s="624"/>
      <c r="AB12" s="55">
        <f t="shared" si="0"/>
        <v>0</v>
      </c>
      <c r="AC12" s="56">
        <f t="shared" si="1"/>
        <v>0</v>
      </c>
      <c r="AD12" s="9"/>
    </row>
    <row r="13" spans="1:30" x14ac:dyDescent="0.25">
      <c r="A13" s="1" t="s">
        <v>34</v>
      </c>
      <c r="B13" s="13" t="s">
        <v>35</v>
      </c>
      <c r="C13" s="13"/>
      <c r="D13" s="13">
        <v>0</v>
      </c>
      <c r="E13" s="13">
        <v>0</v>
      </c>
      <c r="F13" s="13">
        <v>0</v>
      </c>
      <c r="G13" s="46">
        <f t="shared" si="2"/>
        <v>0</v>
      </c>
      <c r="H13" s="47"/>
      <c r="I13" s="57">
        <f>I12</f>
        <v>1</v>
      </c>
      <c r="J13" s="57"/>
      <c r="K13" s="49">
        <f t="shared" si="3"/>
        <v>0</v>
      </c>
      <c r="L13" s="50">
        <f t="shared" si="4"/>
        <v>0</v>
      </c>
      <c r="M13" s="1" t="str">
        <f>IF(ROUND(G13,2)=ROUND(SUM(G31:G33),2)," ","CHECK 2. PK-3 Lines Below")</f>
        <v xml:space="preserve"> </v>
      </c>
      <c r="N13" s="51">
        <v>5102</v>
      </c>
      <c r="O13" s="58" t="s">
        <v>36</v>
      </c>
      <c r="P13" s="53"/>
      <c r="Q13" s="54"/>
      <c r="V13" s="623" t="s">
        <v>35</v>
      </c>
      <c r="W13" s="623"/>
      <c r="X13" s="618">
        <f>IF('1571'!K$84=1,'1571'!G13,0)</f>
        <v>0</v>
      </c>
      <c r="Y13" s="618"/>
      <c r="Z13" s="624">
        <v>1</v>
      </c>
      <c r="AA13" s="624"/>
      <c r="AB13" s="55">
        <f t="shared" si="0"/>
        <v>0</v>
      </c>
      <c r="AC13" s="56">
        <f t="shared" si="1"/>
        <v>0</v>
      </c>
      <c r="AD13" s="9"/>
    </row>
    <row r="14" spans="1:30" x14ac:dyDescent="0.25">
      <c r="A14" s="1" t="s">
        <v>37</v>
      </c>
      <c r="B14" s="13" t="s">
        <v>38</v>
      </c>
      <c r="C14" s="13"/>
      <c r="D14" s="13">
        <v>295.60000000000002</v>
      </c>
      <c r="E14" s="13">
        <v>282.89999999999998</v>
      </c>
      <c r="F14" s="13">
        <v>360.43</v>
      </c>
      <c r="G14" s="46">
        <f t="shared" si="2"/>
        <v>578.5</v>
      </c>
      <c r="H14" s="47"/>
      <c r="I14" s="57">
        <v>1.0109999999999999</v>
      </c>
      <c r="J14" s="57"/>
      <c r="K14" s="49">
        <f t="shared" si="3"/>
        <v>584.86350000000004</v>
      </c>
      <c r="L14" s="50">
        <f t="shared" si="4"/>
        <v>2266127</v>
      </c>
      <c r="N14" s="51">
        <v>5103</v>
      </c>
      <c r="O14" s="52">
        <v>103</v>
      </c>
      <c r="P14" s="53"/>
      <c r="Q14" s="54"/>
      <c r="V14" s="623" t="s">
        <v>38</v>
      </c>
      <c r="W14" s="623"/>
      <c r="X14" s="618">
        <f>IF('1571'!K$84=1,'1571'!G14,0)</f>
        <v>0</v>
      </c>
      <c r="Y14" s="618"/>
      <c r="Z14" s="624">
        <v>1</v>
      </c>
      <c r="AA14" s="624"/>
      <c r="AB14" s="55">
        <f t="shared" si="0"/>
        <v>0</v>
      </c>
      <c r="AC14" s="56">
        <f t="shared" si="1"/>
        <v>0</v>
      </c>
      <c r="AD14" s="9"/>
    </row>
    <row r="15" spans="1:30" x14ac:dyDescent="0.25">
      <c r="A15" s="1" t="s">
        <v>39</v>
      </c>
      <c r="B15" s="13" t="s">
        <v>40</v>
      </c>
      <c r="C15" s="13"/>
      <c r="D15" s="13">
        <v>121.76</v>
      </c>
      <c r="E15" s="13">
        <v>121.97</v>
      </c>
      <c r="F15" s="13">
        <v>159.13</v>
      </c>
      <c r="G15" s="46">
        <f t="shared" si="2"/>
        <v>243.73000000000002</v>
      </c>
      <c r="H15" s="47"/>
      <c r="I15" s="57">
        <f>I14</f>
        <v>1.0109999999999999</v>
      </c>
      <c r="J15" s="57"/>
      <c r="K15" s="49">
        <f t="shared" si="3"/>
        <v>246.411</v>
      </c>
      <c r="L15" s="59">
        <f t="shared" si="4"/>
        <v>954750</v>
      </c>
      <c r="M15" s="1" t="str">
        <f>IF(ROUND(G15,2)=ROUND(SUM(G34:G36),2)," ","CHECK 2. PK-3 Lines Below")</f>
        <v xml:space="preserve"> </v>
      </c>
      <c r="N15" s="51">
        <v>5103</v>
      </c>
      <c r="O15" s="58" t="s">
        <v>41</v>
      </c>
      <c r="P15" s="53"/>
      <c r="Q15" s="54"/>
      <c r="V15" s="623" t="s">
        <v>40</v>
      </c>
      <c r="W15" s="623"/>
      <c r="X15" s="618">
        <f>IF('1571'!K$84=1,'1571'!G15,0)</f>
        <v>0</v>
      </c>
      <c r="Y15" s="618"/>
      <c r="Z15" s="624">
        <v>1</v>
      </c>
      <c r="AA15" s="624"/>
      <c r="AB15" s="55">
        <f t="shared" si="0"/>
        <v>0</v>
      </c>
      <c r="AC15" s="60">
        <f t="shared" si="1"/>
        <v>0</v>
      </c>
      <c r="AD15" s="9"/>
    </row>
    <row r="16" spans="1:30" x14ac:dyDescent="0.25">
      <c r="A16" s="1" t="s">
        <v>42</v>
      </c>
      <c r="B16" s="13" t="s">
        <v>43</v>
      </c>
      <c r="C16" s="13"/>
      <c r="D16" s="13">
        <v>0</v>
      </c>
      <c r="E16" s="13">
        <v>0</v>
      </c>
      <c r="F16" s="13">
        <v>0</v>
      </c>
      <c r="G16" s="46">
        <f t="shared" si="2"/>
        <v>0</v>
      </c>
      <c r="H16" s="47"/>
      <c r="I16" s="57">
        <v>3.5579999999999998</v>
      </c>
      <c r="J16" s="57"/>
      <c r="K16" s="49">
        <f t="shared" si="3"/>
        <v>0</v>
      </c>
      <c r="L16" s="50">
        <f t="shared" si="4"/>
        <v>0</v>
      </c>
      <c r="N16" s="51">
        <v>5101</v>
      </c>
      <c r="O16" s="53">
        <v>254</v>
      </c>
      <c r="P16" s="53"/>
      <c r="Q16" s="54"/>
      <c r="V16" s="623" t="s">
        <v>43</v>
      </c>
      <c r="W16" s="623"/>
      <c r="X16" s="618">
        <f>IF('1571'!K$84=1,'1571'!G16,0)</f>
        <v>0</v>
      </c>
      <c r="Y16" s="618"/>
      <c r="Z16" s="624">
        <v>1</v>
      </c>
      <c r="AA16" s="624"/>
      <c r="AB16" s="55">
        <f t="shared" si="0"/>
        <v>0</v>
      </c>
      <c r="AC16" s="56">
        <f t="shared" si="1"/>
        <v>0</v>
      </c>
      <c r="AD16" s="9"/>
    </row>
    <row r="17" spans="1:30" x14ac:dyDescent="0.25">
      <c r="A17" s="1" t="s">
        <v>44</v>
      </c>
      <c r="B17" s="13" t="s">
        <v>45</v>
      </c>
      <c r="C17" s="13"/>
      <c r="D17" s="13">
        <v>0</v>
      </c>
      <c r="E17" s="13">
        <v>0</v>
      </c>
      <c r="F17" s="13">
        <v>0</v>
      </c>
      <c r="G17" s="46">
        <f t="shared" si="2"/>
        <v>0</v>
      </c>
      <c r="H17" s="47"/>
      <c r="I17" s="57">
        <f>I16</f>
        <v>3.5579999999999998</v>
      </c>
      <c r="J17" s="57"/>
      <c r="K17" s="49">
        <f t="shared" si="3"/>
        <v>0</v>
      </c>
      <c r="L17" s="50">
        <f t="shared" si="4"/>
        <v>0</v>
      </c>
      <c r="N17" s="51">
        <v>5102</v>
      </c>
      <c r="O17" s="54">
        <v>254</v>
      </c>
      <c r="P17" s="53"/>
      <c r="Q17" s="54"/>
      <c r="V17" s="623" t="s">
        <v>45</v>
      </c>
      <c r="W17" s="623"/>
      <c r="X17" s="618">
        <f>IF('1571'!K$84=1,'1571'!G17,0)</f>
        <v>0</v>
      </c>
      <c r="Y17" s="618"/>
      <c r="Z17" s="624">
        <v>1</v>
      </c>
      <c r="AA17" s="624"/>
      <c r="AB17" s="55">
        <f t="shared" si="0"/>
        <v>0</v>
      </c>
      <c r="AC17" s="56">
        <f t="shared" si="1"/>
        <v>0</v>
      </c>
      <c r="AD17" s="9"/>
    </row>
    <row r="18" spans="1:30" x14ac:dyDescent="0.25">
      <c r="A18" s="1" t="s">
        <v>46</v>
      </c>
      <c r="B18" s="13" t="s">
        <v>47</v>
      </c>
      <c r="C18" s="13"/>
      <c r="D18" s="13">
        <v>0</v>
      </c>
      <c r="E18" s="13">
        <v>0</v>
      </c>
      <c r="F18" s="13">
        <v>0</v>
      </c>
      <c r="G18" s="46">
        <f t="shared" si="2"/>
        <v>0</v>
      </c>
      <c r="H18" s="47"/>
      <c r="I18" s="57">
        <f>I17</f>
        <v>3.5579999999999998</v>
      </c>
      <c r="J18" s="57"/>
      <c r="K18" s="49">
        <f t="shared" si="3"/>
        <v>0</v>
      </c>
      <c r="L18" s="50">
        <f t="shared" si="4"/>
        <v>0</v>
      </c>
      <c r="N18" s="51">
        <v>5103</v>
      </c>
      <c r="O18" s="54">
        <v>254</v>
      </c>
      <c r="P18" s="53"/>
      <c r="Q18" s="54"/>
      <c r="V18" s="623" t="s">
        <v>47</v>
      </c>
      <c r="W18" s="623"/>
      <c r="X18" s="618">
        <f>IF('1571'!K$84=1,'1571'!G18,0)</f>
        <v>0</v>
      </c>
      <c r="Y18" s="618"/>
      <c r="Z18" s="624">
        <v>1</v>
      </c>
      <c r="AA18" s="624"/>
      <c r="AB18" s="55">
        <f t="shared" si="0"/>
        <v>0</v>
      </c>
      <c r="AC18" s="56">
        <f t="shared" si="1"/>
        <v>0</v>
      </c>
      <c r="AD18" s="9"/>
    </row>
    <row r="19" spans="1:30" ht="15" customHeight="1" x14ac:dyDescent="0.25">
      <c r="A19" s="1" t="s">
        <v>48</v>
      </c>
      <c r="B19" s="13" t="s">
        <v>49</v>
      </c>
      <c r="C19" s="13"/>
      <c r="D19" s="13">
        <v>0</v>
      </c>
      <c r="E19" s="13">
        <v>0</v>
      </c>
      <c r="F19" s="13">
        <v>0</v>
      </c>
      <c r="G19" s="46">
        <f t="shared" si="2"/>
        <v>0</v>
      </c>
      <c r="H19" s="47"/>
      <c r="I19" s="57">
        <v>5.0890000000000004</v>
      </c>
      <c r="J19" s="57"/>
      <c r="K19" s="49">
        <f t="shared" si="3"/>
        <v>0</v>
      </c>
      <c r="L19" s="50">
        <f t="shared" si="4"/>
        <v>0</v>
      </c>
      <c r="N19" s="51">
        <v>5101</v>
      </c>
      <c r="O19" s="53">
        <v>255</v>
      </c>
      <c r="P19" s="53"/>
      <c r="Q19" s="54"/>
      <c r="V19" s="623" t="s">
        <v>49</v>
      </c>
      <c r="W19" s="623"/>
      <c r="X19" s="618">
        <f>IF('1571'!K$84=1,'1571'!G19,0)</f>
        <v>0</v>
      </c>
      <c r="Y19" s="618"/>
      <c r="Z19" s="624">
        <v>1</v>
      </c>
      <c r="AA19" s="624"/>
      <c r="AB19" s="55">
        <f t="shared" si="0"/>
        <v>0</v>
      </c>
      <c r="AC19" s="56">
        <f t="shared" si="1"/>
        <v>0</v>
      </c>
      <c r="AD19" s="9"/>
    </row>
    <row r="20" spans="1:30" ht="15" customHeight="1" x14ac:dyDescent="0.25">
      <c r="A20" s="1" t="s">
        <v>50</v>
      </c>
      <c r="B20" s="13" t="s">
        <v>51</v>
      </c>
      <c r="C20" s="13"/>
      <c r="D20" s="13">
        <v>0</v>
      </c>
      <c r="E20" s="13">
        <v>0</v>
      </c>
      <c r="F20" s="13">
        <v>0</v>
      </c>
      <c r="G20" s="46">
        <f t="shared" si="2"/>
        <v>0</v>
      </c>
      <c r="H20" s="47"/>
      <c r="I20" s="57">
        <f>I19</f>
        <v>5.0890000000000004</v>
      </c>
      <c r="J20" s="57"/>
      <c r="K20" s="49">
        <f t="shared" si="3"/>
        <v>0</v>
      </c>
      <c r="L20" s="50">
        <f t="shared" si="4"/>
        <v>0</v>
      </c>
      <c r="N20" s="51">
        <v>5102</v>
      </c>
      <c r="O20" s="54">
        <v>255</v>
      </c>
      <c r="P20" s="53"/>
      <c r="Q20" s="54"/>
      <c r="V20" s="623" t="s">
        <v>51</v>
      </c>
      <c r="W20" s="623"/>
      <c r="X20" s="618">
        <f>IF('1571'!K$84=1,'1571'!G20,0)</f>
        <v>0</v>
      </c>
      <c r="Y20" s="618"/>
      <c r="Z20" s="624">
        <v>1</v>
      </c>
      <c r="AA20" s="624"/>
      <c r="AB20" s="55">
        <f t="shared" si="0"/>
        <v>0</v>
      </c>
      <c r="AC20" s="56">
        <f t="shared" si="1"/>
        <v>0</v>
      </c>
      <c r="AD20" s="9"/>
    </row>
    <row r="21" spans="1:30" ht="15" customHeight="1" x14ac:dyDescent="0.25">
      <c r="A21" s="1" t="s">
        <v>52</v>
      </c>
      <c r="B21" s="13" t="s">
        <v>53</v>
      </c>
      <c r="C21" s="13"/>
      <c r="D21" s="13">
        <v>0</v>
      </c>
      <c r="E21" s="13">
        <v>0.51</v>
      </c>
      <c r="F21" s="13">
        <v>0</v>
      </c>
      <c r="G21" s="46">
        <f t="shared" si="2"/>
        <v>0.51</v>
      </c>
      <c r="H21" s="47"/>
      <c r="I21" s="57">
        <f>I20</f>
        <v>5.0890000000000004</v>
      </c>
      <c r="J21" s="57"/>
      <c r="K21" s="49">
        <f t="shared" si="3"/>
        <v>2.5954000000000002</v>
      </c>
      <c r="L21" s="50">
        <f t="shared" si="4"/>
        <v>10056</v>
      </c>
      <c r="N21" s="51">
        <v>5103</v>
      </c>
      <c r="O21" s="54">
        <v>255</v>
      </c>
      <c r="P21" s="53"/>
      <c r="Q21" s="54"/>
      <c r="V21" s="623" t="s">
        <v>53</v>
      </c>
      <c r="W21" s="623"/>
      <c r="X21" s="618">
        <f>IF('1571'!K$84=1,'1571'!G21,0)</f>
        <v>0</v>
      </c>
      <c r="Y21" s="618"/>
      <c r="Z21" s="624">
        <v>1</v>
      </c>
      <c r="AA21" s="624"/>
      <c r="AB21" s="55">
        <f t="shared" si="0"/>
        <v>0</v>
      </c>
      <c r="AC21" s="56">
        <f t="shared" si="1"/>
        <v>0</v>
      </c>
      <c r="AD21" s="9"/>
    </row>
    <row r="22" spans="1:30" x14ac:dyDescent="0.25">
      <c r="A22" s="1" t="s">
        <v>54</v>
      </c>
      <c r="B22" s="13" t="s">
        <v>55</v>
      </c>
      <c r="C22" s="13"/>
      <c r="D22" s="13">
        <v>0</v>
      </c>
      <c r="E22" s="13">
        <v>0</v>
      </c>
      <c r="F22" s="13">
        <v>0</v>
      </c>
      <c r="G22" s="46">
        <f t="shared" si="2"/>
        <v>0</v>
      </c>
      <c r="H22" s="47"/>
      <c r="I22" s="57">
        <v>1.145</v>
      </c>
      <c r="J22" s="57"/>
      <c r="K22" s="49">
        <f t="shared" si="3"/>
        <v>0</v>
      </c>
      <c r="L22" s="50">
        <f t="shared" si="4"/>
        <v>0</v>
      </c>
      <c r="N22" s="51">
        <v>5101</v>
      </c>
      <c r="O22" s="52">
        <v>130</v>
      </c>
      <c r="P22" s="53"/>
      <c r="Q22" s="54"/>
      <c r="V22" s="623" t="s">
        <v>55</v>
      </c>
      <c r="W22" s="623"/>
      <c r="X22" s="618">
        <f>IF('1571'!K$84=1,'1571'!G22,0)</f>
        <v>0</v>
      </c>
      <c r="Y22" s="618"/>
      <c r="Z22" s="624">
        <v>1</v>
      </c>
      <c r="AA22" s="624"/>
      <c r="AB22" s="55">
        <f t="shared" si="0"/>
        <v>0</v>
      </c>
      <c r="AC22" s="56">
        <f t="shared" si="1"/>
        <v>0</v>
      </c>
      <c r="AD22" s="9"/>
    </row>
    <row r="23" spans="1:30" x14ac:dyDescent="0.25">
      <c r="A23" s="1" t="s">
        <v>56</v>
      </c>
      <c r="B23" s="13" t="s">
        <v>57</v>
      </c>
      <c r="C23" s="13"/>
      <c r="D23" s="13">
        <v>0</v>
      </c>
      <c r="E23" s="13">
        <v>0</v>
      </c>
      <c r="F23" s="13">
        <v>0</v>
      </c>
      <c r="G23" s="46">
        <f t="shared" si="2"/>
        <v>0</v>
      </c>
      <c r="H23" s="47"/>
      <c r="I23" s="57">
        <f>I22</f>
        <v>1.145</v>
      </c>
      <c r="J23" s="57"/>
      <c r="K23" s="49">
        <f t="shared" si="3"/>
        <v>0</v>
      </c>
      <c r="L23" s="50">
        <f t="shared" si="4"/>
        <v>0</v>
      </c>
      <c r="N23" s="51">
        <v>5102</v>
      </c>
      <c r="O23" s="52">
        <v>130</v>
      </c>
      <c r="P23" s="53"/>
      <c r="Q23" s="54"/>
      <c r="V23" s="623" t="s">
        <v>57</v>
      </c>
      <c r="W23" s="623"/>
      <c r="X23" s="618">
        <f>IF('1571'!K$84=1,'1571'!G23,0)</f>
        <v>0</v>
      </c>
      <c r="Y23" s="618"/>
      <c r="Z23" s="624">
        <v>1</v>
      </c>
      <c r="AA23" s="624"/>
      <c r="AB23" s="55">
        <f t="shared" si="0"/>
        <v>0</v>
      </c>
      <c r="AC23" s="56">
        <f t="shared" si="1"/>
        <v>0</v>
      </c>
      <c r="AD23" s="9"/>
    </row>
    <row r="24" spans="1:30" x14ac:dyDescent="0.25">
      <c r="A24" s="1" t="s">
        <v>58</v>
      </c>
      <c r="B24" s="13" t="s">
        <v>59</v>
      </c>
      <c r="C24" s="13"/>
      <c r="D24" s="13">
        <v>2.62</v>
      </c>
      <c r="E24" s="13">
        <v>1.67</v>
      </c>
      <c r="F24" s="13">
        <v>2.91</v>
      </c>
      <c r="G24" s="46">
        <f t="shared" si="2"/>
        <v>4.29</v>
      </c>
      <c r="H24" s="47"/>
      <c r="I24" s="57">
        <f>I23</f>
        <v>1.145</v>
      </c>
      <c r="J24" s="57"/>
      <c r="K24" s="49">
        <f t="shared" si="3"/>
        <v>4.9120999999999997</v>
      </c>
      <c r="L24" s="50">
        <f t="shared" si="4"/>
        <v>19033</v>
      </c>
      <c r="N24" s="51">
        <v>5103</v>
      </c>
      <c r="O24" s="52">
        <v>130</v>
      </c>
      <c r="P24" s="53"/>
      <c r="Q24" s="54"/>
      <c r="V24" s="623" t="s">
        <v>59</v>
      </c>
      <c r="W24" s="623"/>
      <c r="X24" s="618">
        <f>IF('1571'!K$84=1,'1571'!G24,0)</f>
        <v>0</v>
      </c>
      <c r="Y24" s="618"/>
      <c r="Z24" s="624">
        <v>1</v>
      </c>
      <c r="AA24" s="624"/>
      <c r="AB24" s="55">
        <f t="shared" si="0"/>
        <v>0</v>
      </c>
      <c r="AC24" s="56">
        <f t="shared" si="1"/>
        <v>0</v>
      </c>
      <c r="AD24" s="9"/>
    </row>
    <row r="25" spans="1:30" ht="16.5" thickBot="1" x14ac:dyDescent="0.3">
      <c r="A25" s="1" t="s">
        <v>60</v>
      </c>
      <c r="B25" s="13" t="s">
        <v>61</v>
      </c>
      <c r="C25" s="13"/>
      <c r="D25" s="13">
        <v>132.52000000000001</v>
      </c>
      <c r="E25" s="13">
        <v>146.04</v>
      </c>
      <c r="F25" s="13">
        <v>163.44999999999999</v>
      </c>
      <c r="G25" s="46">
        <f t="shared" si="2"/>
        <v>278.56</v>
      </c>
      <c r="H25" s="47"/>
      <c r="I25" s="57">
        <v>1.0109999999999999</v>
      </c>
      <c r="J25" s="57"/>
      <c r="K25" s="49">
        <f t="shared" si="3"/>
        <v>281.62419999999997</v>
      </c>
      <c r="L25" s="50">
        <f t="shared" si="4"/>
        <v>1091188</v>
      </c>
      <c r="N25" s="51">
        <v>5310</v>
      </c>
      <c r="O25" s="52">
        <v>300</v>
      </c>
      <c r="P25" s="53"/>
      <c r="Q25" s="54"/>
      <c r="V25" s="623" t="s">
        <v>61</v>
      </c>
      <c r="W25" s="623"/>
      <c r="X25" s="618">
        <f>IF('1571'!K$84=1,'1571'!G25,0)</f>
        <v>0</v>
      </c>
      <c r="Y25" s="618"/>
      <c r="Z25" s="624">
        <v>1</v>
      </c>
      <c r="AA25" s="624"/>
      <c r="AB25" s="55">
        <f t="shared" si="0"/>
        <v>0</v>
      </c>
      <c r="AC25" s="56">
        <f t="shared" si="1"/>
        <v>0</v>
      </c>
      <c r="AD25" s="9"/>
    </row>
    <row r="26" spans="1:30" ht="20.25" customHeight="1" thickBot="1" x14ac:dyDescent="0.3">
      <c r="B26" s="62" t="s">
        <v>62</v>
      </c>
      <c r="C26" s="62"/>
      <c r="D26" s="63">
        <f t="shared" ref="D26:E26" si="5">SUM(D10:D25)</f>
        <v>552.5</v>
      </c>
      <c r="E26" s="63">
        <f t="shared" si="5"/>
        <v>553.09</v>
      </c>
      <c r="F26" s="63"/>
      <c r="G26" s="63">
        <f>SUM(G10:G25)</f>
        <v>1105.5899999999999</v>
      </c>
      <c r="H26" s="64"/>
      <c r="I26" s="64"/>
      <c r="J26" s="65"/>
      <c r="K26" s="66">
        <f>SUM(K10:K25)</f>
        <v>1120.4061999999999</v>
      </c>
      <c r="L26" s="67">
        <f>SUM(L10:L25)</f>
        <v>4341154</v>
      </c>
      <c r="N26" s="54"/>
      <c r="O26" s="68"/>
      <c r="P26" s="54"/>
      <c r="Q26" s="54"/>
      <c r="V26" s="625" t="s">
        <v>62</v>
      </c>
      <c r="W26" s="625"/>
      <c r="X26" s="626">
        <f>SUM(X10:X25)</f>
        <v>0</v>
      </c>
      <c r="Y26" s="626"/>
      <c r="Z26" s="627"/>
      <c r="AA26" s="628"/>
      <c r="AB26" s="69">
        <f>SUM(AB10:AB25)</f>
        <v>0</v>
      </c>
      <c r="AC26" s="70">
        <f>SUM(AC10:AC25)</f>
        <v>0</v>
      </c>
      <c r="AD26" s="9"/>
    </row>
    <row r="27" spans="1:30" ht="51.75" customHeight="1" x14ac:dyDescent="0.25">
      <c r="B27" s="62" t="s">
        <v>63</v>
      </c>
      <c r="C27" s="62"/>
      <c r="D27" s="71" t="s">
        <v>13</v>
      </c>
      <c r="E27" s="71" t="s">
        <v>14</v>
      </c>
      <c r="F27" s="27"/>
      <c r="G27" s="72" t="s">
        <v>64</v>
      </c>
      <c r="H27" s="73"/>
      <c r="I27" s="74" t="s">
        <v>65</v>
      </c>
      <c r="J27" s="74" t="s">
        <v>66</v>
      </c>
      <c r="K27" s="75" t="s">
        <v>67</v>
      </c>
      <c r="N27" s="54"/>
      <c r="O27" s="68"/>
      <c r="P27" s="54"/>
      <c r="Q27" s="54"/>
      <c r="V27" s="629" t="s">
        <v>63</v>
      </c>
      <c r="W27" s="629"/>
      <c r="X27" s="630" t="s">
        <v>64</v>
      </c>
      <c r="Y27" s="630"/>
      <c r="Z27" s="76" t="s">
        <v>65</v>
      </c>
      <c r="AA27" s="77" t="s">
        <v>66</v>
      </c>
      <c r="AB27" s="78" t="s">
        <v>67</v>
      </c>
      <c r="AC27" s="9"/>
      <c r="AD27" s="9"/>
    </row>
    <row r="28" spans="1:30" ht="15.75" customHeight="1" x14ac:dyDescent="0.25">
      <c r="A28" s="1" t="s">
        <v>68</v>
      </c>
      <c r="B28" s="631" t="s">
        <v>69</v>
      </c>
      <c r="C28" s="632"/>
      <c r="D28" s="13">
        <v>0</v>
      </c>
      <c r="E28" s="13">
        <v>0</v>
      </c>
      <c r="F28" s="79">
        <v>0</v>
      </c>
      <c r="G28" s="46">
        <f t="shared" ref="G28:G36" si="6">D28+E28</f>
        <v>0</v>
      </c>
      <c r="H28" s="80"/>
      <c r="I28" s="81" t="s">
        <v>70</v>
      </c>
      <c r="J28" s="82">
        <v>251</v>
      </c>
      <c r="K28" s="83">
        <v>1047</v>
      </c>
      <c r="L28" s="84">
        <f>ROUND(G28*K28,0)</f>
        <v>0</v>
      </c>
      <c r="N28" s="85">
        <v>5101</v>
      </c>
      <c r="O28" s="54">
        <v>251</v>
      </c>
      <c r="P28" s="86"/>
      <c r="Q28" s="87"/>
      <c r="V28" s="637" t="s">
        <v>69</v>
      </c>
      <c r="W28" s="637"/>
      <c r="X28" s="638"/>
      <c r="Y28" s="638"/>
      <c r="Z28" s="88" t="s">
        <v>70</v>
      </c>
      <c r="AA28" s="89">
        <v>251</v>
      </c>
      <c r="AB28" s="90">
        <f>+K28</f>
        <v>1047</v>
      </c>
      <c r="AC28" s="91">
        <f t="shared" ref="AC28:AC36" si="7">ROUND(X28*AB28,0)</f>
        <v>0</v>
      </c>
      <c r="AD28" s="9"/>
    </row>
    <row r="29" spans="1:30" x14ac:dyDescent="0.25">
      <c r="A29" s="1" t="s">
        <v>71</v>
      </c>
      <c r="B29" s="633"/>
      <c r="C29" s="634"/>
      <c r="D29" s="13">
        <v>0</v>
      </c>
      <c r="E29" s="13">
        <v>0</v>
      </c>
      <c r="F29" s="92">
        <v>0</v>
      </c>
      <c r="G29" s="46">
        <f t="shared" si="6"/>
        <v>0</v>
      </c>
      <c r="H29" s="80"/>
      <c r="I29" s="82" t="s">
        <v>70</v>
      </c>
      <c r="J29" s="82">
        <v>252</v>
      </c>
      <c r="K29" s="83">
        <v>3380</v>
      </c>
      <c r="L29" s="84">
        <f t="shared" ref="L29:L36" si="8">ROUND(G29*K29,0)</f>
        <v>0</v>
      </c>
      <c r="N29" s="85">
        <v>5101</v>
      </c>
      <c r="O29" s="54">
        <v>252</v>
      </c>
      <c r="P29" s="86"/>
      <c r="Q29" s="87"/>
      <c r="V29" s="637"/>
      <c r="W29" s="637"/>
      <c r="X29" s="638"/>
      <c r="Y29" s="638"/>
      <c r="Z29" s="89" t="s">
        <v>70</v>
      </c>
      <c r="AA29" s="89">
        <v>252</v>
      </c>
      <c r="AB29" s="90">
        <f t="shared" ref="AB29:AB36" si="9">+K29</f>
        <v>3380</v>
      </c>
      <c r="AC29" s="91">
        <f t="shared" si="7"/>
        <v>0</v>
      </c>
      <c r="AD29" s="9"/>
    </row>
    <row r="30" spans="1:30" x14ac:dyDescent="0.25">
      <c r="A30" s="1" t="s">
        <v>72</v>
      </c>
      <c r="B30" s="633"/>
      <c r="C30" s="634"/>
      <c r="D30" s="13">
        <v>0</v>
      </c>
      <c r="E30" s="13">
        <v>0</v>
      </c>
      <c r="F30" s="92">
        <v>0</v>
      </c>
      <c r="G30" s="46">
        <f t="shared" si="6"/>
        <v>0</v>
      </c>
      <c r="H30" s="80"/>
      <c r="I30" s="82" t="s">
        <v>70</v>
      </c>
      <c r="J30" s="82">
        <v>253</v>
      </c>
      <c r="K30" s="83">
        <v>6896</v>
      </c>
      <c r="L30" s="84">
        <f t="shared" si="8"/>
        <v>0</v>
      </c>
      <c r="N30" s="85">
        <v>5101</v>
      </c>
      <c r="O30" s="54">
        <v>253</v>
      </c>
      <c r="P30" s="86"/>
      <c r="Q30" s="68"/>
      <c r="V30" s="637"/>
      <c r="W30" s="637"/>
      <c r="X30" s="638"/>
      <c r="Y30" s="638"/>
      <c r="Z30" s="89" t="s">
        <v>70</v>
      </c>
      <c r="AA30" s="89">
        <v>253</v>
      </c>
      <c r="AB30" s="90">
        <f t="shared" si="9"/>
        <v>6896</v>
      </c>
      <c r="AC30" s="91">
        <f t="shared" si="7"/>
        <v>0</v>
      </c>
      <c r="AD30" s="9"/>
    </row>
    <row r="31" spans="1:30" x14ac:dyDescent="0.25">
      <c r="A31" s="1" t="s">
        <v>73</v>
      </c>
      <c r="B31" s="633"/>
      <c r="C31" s="634"/>
      <c r="D31" s="13">
        <v>0</v>
      </c>
      <c r="E31" s="13">
        <v>0</v>
      </c>
      <c r="F31" s="92">
        <v>0</v>
      </c>
      <c r="G31" s="46">
        <f t="shared" si="6"/>
        <v>0</v>
      </c>
      <c r="H31" s="80"/>
      <c r="I31" s="93" t="s">
        <v>74</v>
      </c>
      <c r="J31" s="82">
        <v>251</v>
      </c>
      <c r="K31" s="83">
        <v>1173</v>
      </c>
      <c r="L31" s="84">
        <f t="shared" si="8"/>
        <v>0</v>
      </c>
      <c r="N31" s="85">
        <v>5102</v>
      </c>
      <c r="O31" s="54">
        <v>251</v>
      </c>
      <c r="P31" s="86"/>
      <c r="Q31" s="68"/>
      <c r="V31" s="637"/>
      <c r="W31" s="637"/>
      <c r="X31" s="638"/>
      <c r="Y31" s="638"/>
      <c r="Z31" s="94" t="s">
        <v>74</v>
      </c>
      <c r="AA31" s="89">
        <v>251</v>
      </c>
      <c r="AB31" s="90">
        <f t="shared" si="9"/>
        <v>1173</v>
      </c>
      <c r="AC31" s="91">
        <f t="shared" si="7"/>
        <v>0</v>
      </c>
      <c r="AD31" s="9"/>
    </row>
    <row r="32" spans="1:30" x14ac:dyDescent="0.25">
      <c r="A32" s="1" t="s">
        <v>75</v>
      </c>
      <c r="B32" s="633"/>
      <c r="C32" s="634"/>
      <c r="D32" s="13">
        <v>0</v>
      </c>
      <c r="E32" s="13">
        <v>0</v>
      </c>
      <c r="F32" s="92">
        <v>0</v>
      </c>
      <c r="G32" s="46">
        <f t="shared" si="6"/>
        <v>0</v>
      </c>
      <c r="H32" s="80"/>
      <c r="I32" s="93" t="s">
        <v>74</v>
      </c>
      <c r="J32" s="82">
        <v>252</v>
      </c>
      <c r="K32" s="83">
        <v>3506</v>
      </c>
      <c r="L32" s="84">
        <f t="shared" si="8"/>
        <v>0</v>
      </c>
      <c r="N32" s="85">
        <v>5102</v>
      </c>
      <c r="O32" s="54">
        <v>252</v>
      </c>
      <c r="P32" s="86"/>
      <c r="Q32" s="54"/>
      <c r="V32" s="637"/>
      <c r="W32" s="637"/>
      <c r="X32" s="638"/>
      <c r="Y32" s="638"/>
      <c r="Z32" s="94" t="s">
        <v>74</v>
      </c>
      <c r="AA32" s="89">
        <v>252</v>
      </c>
      <c r="AB32" s="90">
        <f t="shared" si="9"/>
        <v>3506</v>
      </c>
      <c r="AC32" s="91">
        <f t="shared" si="7"/>
        <v>0</v>
      </c>
      <c r="AD32" s="9"/>
    </row>
    <row r="33" spans="1:30" x14ac:dyDescent="0.25">
      <c r="A33" s="1" t="s">
        <v>76</v>
      </c>
      <c r="B33" s="633"/>
      <c r="C33" s="634"/>
      <c r="D33" s="13">
        <v>0</v>
      </c>
      <c r="E33" s="13">
        <v>0</v>
      </c>
      <c r="F33" s="92">
        <v>0</v>
      </c>
      <c r="G33" s="46">
        <f t="shared" si="6"/>
        <v>0</v>
      </c>
      <c r="H33" s="80"/>
      <c r="I33" s="93" t="s">
        <v>74</v>
      </c>
      <c r="J33" s="82">
        <v>253</v>
      </c>
      <c r="K33" s="83">
        <v>7023</v>
      </c>
      <c r="L33" s="84">
        <f t="shared" si="8"/>
        <v>0</v>
      </c>
      <c r="N33" s="85">
        <v>5102</v>
      </c>
      <c r="O33" s="54">
        <v>253</v>
      </c>
      <c r="P33" s="86"/>
      <c r="Q33" s="87"/>
      <c r="V33" s="637"/>
      <c r="W33" s="637"/>
      <c r="X33" s="638"/>
      <c r="Y33" s="638"/>
      <c r="Z33" s="94" t="s">
        <v>74</v>
      </c>
      <c r="AA33" s="89">
        <v>253</v>
      </c>
      <c r="AB33" s="90">
        <f t="shared" si="9"/>
        <v>7023</v>
      </c>
      <c r="AC33" s="91">
        <f t="shared" si="7"/>
        <v>0</v>
      </c>
      <c r="AD33" s="9"/>
    </row>
    <row r="34" spans="1:30" x14ac:dyDescent="0.25">
      <c r="A34" s="1" t="s">
        <v>77</v>
      </c>
      <c r="B34" s="633"/>
      <c r="C34" s="634"/>
      <c r="D34" s="13">
        <v>60.37</v>
      </c>
      <c r="E34" s="13">
        <v>56.4</v>
      </c>
      <c r="F34" s="92">
        <v>70.989999999999995</v>
      </c>
      <c r="G34" s="46">
        <f t="shared" si="6"/>
        <v>116.77</v>
      </c>
      <c r="H34" s="80"/>
      <c r="I34" s="93" t="s">
        <v>78</v>
      </c>
      <c r="J34" s="82">
        <v>251</v>
      </c>
      <c r="K34" s="83">
        <v>835</v>
      </c>
      <c r="L34" s="84">
        <f t="shared" si="8"/>
        <v>97503</v>
      </c>
      <c r="N34" s="85">
        <v>5103</v>
      </c>
      <c r="O34" s="54">
        <v>251</v>
      </c>
      <c r="P34" s="86"/>
      <c r="Q34" s="87"/>
      <c r="V34" s="637"/>
      <c r="W34" s="637"/>
      <c r="X34" s="638"/>
      <c r="Y34" s="638"/>
      <c r="Z34" s="94" t="s">
        <v>78</v>
      </c>
      <c r="AA34" s="89">
        <v>251</v>
      </c>
      <c r="AB34" s="90">
        <f t="shared" si="9"/>
        <v>835</v>
      </c>
      <c r="AC34" s="91">
        <f t="shared" si="7"/>
        <v>0</v>
      </c>
      <c r="AD34" s="9"/>
    </row>
    <row r="35" spans="1:30" x14ac:dyDescent="0.25">
      <c r="A35" s="1" t="s">
        <v>79</v>
      </c>
      <c r="B35" s="633"/>
      <c r="C35" s="634"/>
      <c r="D35" s="13">
        <v>61.39</v>
      </c>
      <c r="E35" s="13">
        <v>65.569999999999993</v>
      </c>
      <c r="F35" s="92">
        <v>81</v>
      </c>
      <c r="G35" s="46">
        <f t="shared" si="6"/>
        <v>126.96</v>
      </c>
      <c r="H35" s="80"/>
      <c r="I35" s="93" t="s">
        <v>78</v>
      </c>
      <c r="J35" s="82">
        <v>252</v>
      </c>
      <c r="K35" s="83">
        <v>3168</v>
      </c>
      <c r="L35" s="84">
        <f t="shared" si="8"/>
        <v>402209</v>
      </c>
      <c r="N35" s="85">
        <v>5103</v>
      </c>
      <c r="O35" s="54">
        <v>252</v>
      </c>
      <c r="P35" s="86"/>
      <c r="Q35" s="95"/>
      <c r="V35" s="637"/>
      <c r="W35" s="637"/>
      <c r="X35" s="638"/>
      <c r="Y35" s="638"/>
      <c r="Z35" s="94" t="s">
        <v>78</v>
      </c>
      <c r="AA35" s="89">
        <v>252</v>
      </c>
      <c r="AB35" s="90">
        <f t="shared" si="9"/>
        <v>3168</v>
      </c>
      <c r="AC35" s="91">
        <f t="shared" si="7"/>
        <v>0</v>
      </c>
      <c r="AD35" s="9"/>
    </row>
    <row r="36" spans="1:30" ht="16.5" thickBot="1" x14ac:dyDescent="0.3">
      <c r="A36" s="1" t="s">
        <v>80</v>
      </c>
      <c r="B36" s="635"/>
      <c r="C36" s="636"/>
      <c r="D36" s="13">
        <v>0</v>
      </c>
      <c r="E36" s="13">
        <v>0</v>
      </c>
      <c r="F36" s="92">
        <v>0.5</v>
      </c>
      <c r="G36" s="46">
        <f t="shared" si="6"/>
        <v>0</v>
      </c>
      <c r="H36" s="80"/>
      <c r="I36" s="93" t="s">
        <v>78</v>
      </c>
      <c r="J36" s="82">
        <v>253</v>
      </c>
      <c r="K36" s="83">
        <v>6685</v>
      </c>
      <c r="L36" s="96">
        <f t="shared" si="8"/>
        <v>0</v>
      </c>
      <c r="N36" s="85">
        <v>5103</v>
      </c>
      <c r="O36" s="54">
        <v>253</v>
      </c>
      <c r="P36" s="86"/>
      <c r="Q36" s="97"/>
      <c r="V36" s="637"/>
      <c r="W36" s="637"/>
      <c r="X36" s="645"/>
      <c r="Y36" s="645"/>
      <c r="Z36" s="94" t="s">
        <v>78</v>
      </c>
      <c r="AA36" s="89">
        <v>253</v>
      </c>
      <c r="AB36" s="90">
        <f t="shared" si="9"/>
        <v>6685</v>
      </c>
      <c r="AC36" s="98">
        <f t="shared" si="7"/>
        <v>0</v>
      </c>
      <c r="AD36" s="9"/>
    </row>
    <row r="37" spans="1:30" ht="18.75" customHeight="1" x14ac:dyDescent="0.25">
      <c r="B37" s="13" t="s">
        <v>81</v>
      </c>
      <c r="C37" s="13"/>
      <c r="D37" s="63">
        <f t="shared" ref="D37:E37" si="10">SUM(D28:D36)</f>
        <v>121.75999999999999</v>
      </c>
      <c r="E37" s="63">
        <f t="shared" si="10"/>
        <v>121.97</v>
      </c>
      <c r="F37" s="63"/>
      <c r="G37" s="63">
        <f>SUM(G28:G36)</f>
        <v>243.73</v>
      </c>
      <c r="H37" s="64"/>
      <c r="I37" s="13" t="s">
        <v>82</v>
      </c>
      <c r="J37" s="13"/>
      <c r="K37" s="13"/>
      <c r="L37" s="50">
        <f>SUM(L28:L36)</f>
        <v>499712</v>
      </c>
      <c r="N37" s="54"/>
      <c r="O37" s="68"/>
      <c r="P37" s="54"/>
      <c r="Q37" s="54"/>
      <c r="V37" s="646" t="s">
        <v>81</v>
      </c>
      <c r="W37" s="646"/>
      <c r="X37" s="626">
        <f>SUM(X28:X36)</f>
        <v>0</v>
      </c>
      <c r="Y37" s="626"/>
      <c r="Z37" s="646" t="s">
        <v>82</v>
      </c>
      <c r="AA37" s="646"/>
      <c r="AB37" s="646"/>
      <c r="AC37" s="56">
        <f>SUM(AC28:AC36)</f>
        <v>0</v>
      </c>
      <c r="AD37" s="9"/>
    </row>
    <row r="38" spans="1:30" ht="30.75" customHeight="1" x14ac:dyDescent="0.25">
      <c r="B38" s="99" t="s">
        <v>83</v>
      </c>
      <c r="C38" s="99"/>
      <c r="D38" s="99"/>
      <c r="E38" s="99"/>
      <c r="F38" s="99"/>
      <c r="G38" s="99"/>
      <c r="H38" s="100"/>
      <c r="I38" s="99"/>
      <c r="J38" s="99"/>
      <c r="K38" s="99"/>
      <c r="L38" s="99"/>
      <c r="M38" s="101"/>
      <c r="N38" s="54"/>
      <c r="O38" s="68"/>
      <c r="P38" s="54"/>
      <c r="Q38" s="54"/>
      <c r="V38" s="639" t="s">
        <v>83</v>
      </c>
      <c r="W38" s="639"/>
      <c r="X38" s="639"/>
      <c r="Y38" s="639"/>
      <c r="Z38" s="639"/>
      <c r="AA38" s="639"/>
      <c r="AB38" s="639"/>
      <c r="AC38" s="639"/>
      <c r="AD38" s="102"/>
    </row>
    <row r="39" spans="1:30" ht="15.75" customHeight="1" x14ac:dyDescent="0.25">
      <c r="B39" s="103" t="s">
        <v>84</v>
      </c>
      <c r="C39" s="103"/>
      <c r="D39" s="103"/>
      <c r="E39" s="103"/>
      <c r="F39" s="103"/>
      <c r="G39" s="104">
        <v>34389540</v>
      </c>
      <c r="H39" s="104"/>
      <c r="I39" s="13" t="s">
        <v>85</v>
      </c>
      <c r="J39" s="13"/>
      <c r="K39" s="13"/>
      <c r="L39" s="13"/>
      <c r="O39" s="1"/>
      <c r="V39" s="640" t="s">
        <v>84</v>
      </c>
      <c r="W39" s="640"/>
      <c r="X39" s="641">
        <f>+G39</f>
        <v>34389540</v>
      </c>
      <c r="Y39" s="641"/>
      <c r="Z39" s="642" t="s">
        <v>85</v>
      </c>
      <c r="AA39" s="642"/>
      <c r="AB39" s="642"/>
      <c r="AC39" s="642"/>
      <c r="AD39" s="9"/>
    </row>
    <row r="40" spans="1:30" ht="15.75" customHeight="1" x14ac:dyDescent="0.25">
      <c r="B40" s="105" t="s">
        <v>86</v>
      </c>
      <c r="C40" s="105"/>
      <c r="D40" s="105"/>
      <c r="E40" s="105"/>
      <c r="F40" s="105"/>
      <c r="G40" s="106">
        <v>180284.81</v>
      </c>
      <c r="H40" s="106"/>
      <c r="I40" s="106"/>
      <c r="J40" s="106"/>
      <c r="K40" s="50">
        <f>ROUND(G39/G40,0)</f>
        <v>191</v>
      </c>
      <c r="L40" s="50">
        <f>ROUND(K40*$G$26,0)</f>
        <v>211168</v>
      </c>
      <c r="N40" s="107"/>
      <c r="O40" s="107"/>
      <c r="P40" s="107"/>
      <c r="Q40" s="107"/>
      <c r="V40" s="643" t="s">
        <v>86</v>
      </c>
      <c r="W40" s="643"/>
      <c r="X40" s="644">
        <f>+G40</f>
        <v>180284.81</v>
      </c>
      <c r="Y40" s="644"/>
      <c r="Z40" s="644"/>
      <c r="AA40" s="644"/>
      <c r="AB40" s="56">
        <f>ROUND(X39/X40,0)</f>
        <v>191</v>
      </c>
      <c r="AC40" s="56">
        <f>ROUND(AB40*$X$26,0)</f>
        <v>0</v>
      </c>
      <c r="AD40" s="9"/>
    </row>
    <row r="41" spans="1:30" ht="15.75" customHeight="1" x14ac:dyDescent="0.25">
      <c r="B41" s="108" t="s">
        <v>87</v>
      </c>
      <c r="C41" s="108"/>
      <c r="D41" s="108"/>
      <c r="E41" s="108"/>
      <c r="F41" s="108"/>
      <c r="G41" s="108"/>
      <c r="H41" s="108"/>
      <c r="I41" s="108"/>
      <c r="J41" s="108"/>
      <c r="K41" s="108"/>
      <c r="L41" s="108"/>
      <c r="N41" s="101"/>
      <c r="O41" s="109"/>
      <c r="P41" s="101"/>
      <c r="Q41" s="101"/>
      <c r="V41" s="652" t="s">
        <v>87</v>
      </c>
      <c r="W41" s="652"/>
      <c r="X41" s="652"/>
      <c r="Y41" s="652"/>
      <c r="Z41" s="652"/>
      <c r="AA41" s="652"/>
      <c r="AB41" s="652"/>
      <c r="AC41" s="652"/>
      <c r="AD41" s="9"/>
    </row>
    <row r="42" spans="1:30" ht="28.5" customHeight="1" x14ac:dyDescent="0.25">
      <c r="B42" s="99" t="s">
        <v>88</v>
      </c>
      <c r="C42" s="99"/>
      <c r="D42" s="99"/>
      <c r="E42" s="99"/>
      <c r="F42" s="99"/>
      <c r="G42" s="99"/>
      <c r="H42" s="99"/>
      <c r="I42" s="99"/>
      <c r="J42" s="99"/>
      <c r="K42" s="99"/>
      <c r="L42" s="99"/>
      <c r="M42" s="107"/>
      <c r="O42" s="1"/>
      <c r="V42" s="639" t="s">
        <v>88</v>
      </c>
      <c r="W42" s="639"/>
      <c r="X42" s="639"/>
      <c r="Y42" s="639"/>
      <c r="Z42" s="639"/>
      <c r="AA42" s="639"/>
      <c r="AB42" s="639"/>
      <c r="AC42" s="639"/>
      <c r="AD42" s="110"/>
    </row>
    <row r="43" spans="1:30" x14ac:dyDescent="0.25">
      <c r="B43" s="111" t="s">
        <v>89</v>
      </c>
      <c r="C43" s="111"/>
      <c r="D43" s="111"/>
      <c r="E43" s="111"/>
      <c r="F43" s="111"/>
      <c r="G43" s="111"/>
      <c r="H43" s="111"/>
      <c r="I43" s="111"/>
      <c r="J43" s="111"/>
      <c r="K43" s="111"/>
      <c r="L43" s="111"/>
      <c r="M43" s="112"/>
      <c r="N43" s="101"/>
      <c r="O43" s="101"/>
      <c r="P43" s="101"/>
      <c r="Q43" s="101"/>
      <c r="V43" s="653" t="s">
        <v>89</v>
      </c>
      <c r="W43" s="653"/>
      <c r="X43" s="653"/>
      <c r="Y43" s="653"/>
      <c r="Z43" s="653"/>
      <c r="AA43" s="653"/>
      <c r="AB43" s="653"/>
      <c r="AC43" s="653"/>
      <c r="AD43" s="113"/>
    </row>
    <row r="44" spans="1:30" ht="24" customHeight="1" x14ac:dyDescent="0.25">
      <c r="B44" s="62" t="s">
        <v>90</v>
      </c>
      <c r="C44" s="62"/>
      <c r="D44" s="62"/>
      <c r="E44" s="62"/>
      <c r="F44" s="62"/>
      <c r="G44" s="62"/>
      <c r="H44" s="62"/>
      <c r="I44" s="62"/>
      <c r="J44" s="62"/>
      <c r="K44" s="62"/>
      <c r="L44" s="114">
        <f>SUM(L26,L37,L40)</f>
        <v>5052034</v>
      </c>
      <c r="O44" s="1"/>
      <c r="V44" s="654" t="s">
        <v>90</v>
      </c>
      <c r="W44" s="654"/>
      <c r="X44" s="654"/>
      <c r="Y44" s="654"/>
      <c r="Z44" s="654"/>
      <c r="AA44" s="654"/>
      <c r="AB44" s="654"/>
      <c r="AC44" s="115">
        <f>SUM(AC26,AC37,AC40)</f>
        <v>0</v>
      </c>
      <c r="AD44" s="9"/>
    </row>
    <row r="45" spans="1:30" ht="30.75" customHeight="1" x14ac:dyDescent="0.25">
      <c r="B45" s="99" t="s">
        <v>91</v>
      </c>
      <c r="C45" s="99"/>
      <c r="D45" s="99"/>
      <c r="E45" s="99"/>
      <c r="F45" s="99"/>
      <c r="G45" s="99"/>
      <c r="H45" s="99"/>
      <c r="I45" s="99"/>
      <c r="J45" s="99"/>
      <c r="K45" s="99"/>
      <c r="L45" s="99"/>
      <c r="M45" s="116"/>
      <c r="O45" s="1"/>
      <c r="V45" s="639" t="s">
        <v>91</v>
      </c>
      <c r="W45" s="639"/>
      <c r="X45" s="639"/>
      <c r="Y45" s="639"/>
      <c r="Z45" s="639"/>
      <c r="AA45" s="639"/>
      <c r="AB45" s="639"/>
      <c r="AC45" s="639"/>
      <c r="AD45" s="117"/>
    </row>
    <row r="46" spans="1:30" ht="18.75" customHeight="1" x14ac:dyDescent="0.25">
      <c r="B46" s="1"/>
      <c r="C46" s="118" t="s">
        <v>92</v>
      </c>
      <c r="D46" s="118"/>
      <c r="E46" s="118"/>
      <c r="F46" s="118"/>
      <c r="G46" s="118" t="s">
        <v>93</v>
      </c>
      <c r="H46" s="119"/>
      <c r="I46" s="120" t="s">
        <v>94</v>
      </c>
      <c r="J46" s="121"/>
      <c r="K46" s="121"/>
      <c r="L46" s="121"/>
      <c r="M46" s="122"/>
      <c r="O46" s="1"/>
      <c r="V46" s="9"/>
      <c r="W46" s="123" t="s">
        <v>92</v>
      </c>
      <c r="X46" s="655" t="s">
        <v>95</v>
      </c>
      <c r="Y46" s="655"/>
      <c r="Z46" s="656" t="s">
        <v>94</v>
      </c>
      <c r="AA46" s="656"/>
      <c r="AB46" s="656"/>
      <c r="AC46" s="656"/>
      <c r="AD46" s="124"/>
    </row>
    <row r="47" spans="1:30" ht="18.75" customHeight="1" x14ac:dyDescent="0.25">
      <c r="B47" s="107" t="s">
        <v>96</v>
      </c>
      <c r="C47" s="125">
        <f>K10+K11+K16+K19+K22</f>
        <v>0</v>
      </c>
      <c r="D47" s="125"/>
      <c r="E47" s="125"/>
      <c r="F47" s="125"/>
      <c r="G47" s="126">
        <f>K7</f>
        <v>1.0326</v>
      </c>
      <c r="H47" s="126"/>
      <c r="I47" s="127">
        <v>1316.85</v>
      </c>
      <c r="J47" s="128" t="s">
        <v>97</v>
      </c>
      <c r="K47" s="129">
        <f>ROUND(C47*G47*I47,0)</f>
        <v>0</v>
      </c>
      <c r="L47" s="130"/>
      <c r="O47" s="1"/>
      <c r="V47" s="110" t="s">
        <v>96</v>
      </c>
      <c r="W47" s="131">
        <f>AB10+AB11+AB16+AB19+AB22</f>
        <v>0</v>
      </c>
      <c r="X47" s="647">
        <f>AB7</f>
        <v>1.0326</v>
      </c>
      <c r="Y47" s="647"/>
      <c r="Z47" s="132">
        <f>+I47</f>
        <v>1316.85</v>
      </c>
      <c r="AA47" s="133" t="s">
        <v>97</v>
      </c>
      <c r="AB47" s="134">
        <f>ROUND(W47*X47*Z47,0)</f>
        <v>0</v>
      </c>
      <c r="AC47" s="135"/>
      <c r="AD47" s="9"/>
    </row>
    <row r="48" spans="1:30" ht="18" customHeight="1" x14ac:dyDescent="0.25">
      <c r="B48" s="136" t="s">
        <v>74</v>
      </c>
      <c r="C48" s="125">
        <f>K12+K13+K17+K20+K23</f>
        <v>0</v>
      </c>
      <c r="D48" s="125"/>
      <c r="E48" s="125"/>
      <c r="F48" s="125"/>
      <c r="G48" s="126">
        <f>K7</f>
        <v>1.0326</v>
      </c>
      <c r="H48" s="126"/>
      <c r="I48" s="127">
        <v>898.23</v>
      </c>
      <c r="J48" s="128" t="s">
        <v>97</v>
      </c>
      <c r="K48" s="129">
        <f>ROUND(C48*G48*I48,0)</f>
        <v>0</v>
      </c>
      <c r="L48" s="62"/>
      <c r="O48" s="1"/>
      <c r="V48" s="137" t="s">
        <v>74</v>
      </c>
      <c r="W48" s="131">
        <f>AB12+AB13+AB17+AB20+AB23</f>
        <v>0</v>
      </c>
      <c r="X48" s="647">
        <f>AB7</f>
        <v>1.0326</v>
      </c>
      <c r="Y48" s="647"/>
      <c r="Z48" s="132">
        <f>+I48</f>
        <v>898.23</v>
      </c>
      <c r="AA48" s="133" t="s">
        <v>97</v>
      </c>
      <c r="AB48" s="134">
        <f>ROUND(W48*X48*Z48,0)</f>
        <v>0</v>
      </c>
      <c r="AC48" s="138"/>
      <c r="AD48" s="9"/>
    </row>
    <row r="49" spans="2:30" ht="19.5" customHeight="1" thickBot="1" x14ac:dyDescent="0.3">
      <c r="B49" s="139" t="s">
        <v>78</v>
      </c>
      <c r="C49" s="140">
        <f>K14+K15+K18+K21+K24+K25</f>
        <v>1120.4061999999999</v>
      </c>
      <c r="D49" s="125"/>
      <c r="E49" s="125"/>
      <c r="F49" s="125"/>
      <c r="G49" s="126">
        <f>K7</f>
        <v>1.0326</v>
      </c>
      <c r="H49" s="126"/>
      <c r="I49" s="127">
        <v>900.39</v>
      </c>
      <c r="J49" s="128" t="s">
        <v>97</v>
      </c>
      <c r="K49" s="129">
        <f>ROUND(C49*G49*I49,0)</f>
        <v>1041690</v>
      </c>
      <c r="L49" s="62"/>
      <c r="M49" s="112"/>
      <c r="N49" s="141"/>
      <c r="O49" s="142"/>
      <c r="P49" s="101"/>
      <c r="Q49" s="143"/>
      <c r="V49" s="144" t="s">
        <v>78</v>
      </c>
      <c r="W49" s="145">
        <f>AB14+AB15+AB18+AB21+AB24+AB25</f>
        <v>0</v>
      </c>
      <c r="X49" s="647">
        <f>AB7</f>
        <v>1.0326</v>
      </c>
      <c r="Y49" s="647"/>
      <c r="Z49" s="132">
        <f>+I49</f>
        <v>900.39</v>
      </c>
      <c r="AA49" s="133" t="s">
        <v>97</v>
      </c>
      <c r="AB49" s="134">
        <f>ROUND(W49*X49*Z49,0)</f>
        <v>0</v>
      </c>
      <c r="AC49" s="138"/>
      <c r="AD49" s="113"/>
    </row>
    <row r="50" spans="2:30" ht="24" customHeight="1" thickBot="1" x14ac:dyDescent="0.3">
      <c r="B50" s="146" t="s">
        <v>98</v>
      </c>
      <c r="C50" s="147">
        <f>SUM(C47:C49)</f>
        <v>1120.4061999999999</v>
      </c>
      <c r="D50" s="148"/>
      <c r="E50" s="149"/>
      <c r="F50" s="149"/>
      <c r="G50" s="150" t="s">
        <v>99</v>
      </c>
      <c r="H50" s="150"/>
      <c r="I50" s="150"/>
      <c r="J50" s="150"/>
      <c r="K50" s="150"/>
      <c r="L50" s="50">
        <f>IF(B2=75,0,K49+K48+K47)</f>
        <v>1041690</v>
      </c>
      <c r="N50" s="3"/>
      <c r="O50" s="1"/>
      <c r="V50" s="151" t="s">
        <v>98</v>
      </c>
      <c r="W50" s="152">
        <f>SUM(W47:W49)</f>
        <v>0</v>
      </c>
      <c r="X50" s="648" t="s">
        <v>99</v>
      </c>
      <c r="Y50" s="649"/>
      <c r="Z50" s="649"/>
      <c r="AA50" s="649"/>
      <c r="AB50" s="649"/>
      <c r="AC50" s="56">
        <f>IF(V2=75,0,AB49+AB48+AB47)</f>
        <v>0</v>
      </c>
      <c r="AD50" s="9"/>
    </row>
    <row r="51" spans="2:30" ht="19.5" customHeight="1" x14ac:dyDescent="0.25">
      <c r="B51" s="153" t="s">
        <v>100</v>
      </c>
      <c r="C51" s="153"/>
      <c r="D51" s="153"/>
      <c r="E51" s="153"/>
      <c r="F51" s="153"/>
      <c r="G51" s="153"/>
      <c r="H51" s="153"/>
      <c r="I51" s="153"/>
      <c r="J51" s="153"/>
      <c r="K51" s="153"/>
      <c r="L51" s="153"/>
      <c r="M51" s="141"/>
      <c r="N51" s="101"/>
      <c r="O51" s="1"/>
      <c r="V51" s="650" t="s">
        <v>100</v>
      </c>
      <c r="W51" s="650"/>
      <c r="X51" s="650"/>
      <c r="Y51" s="650"/>
      <c r="Z51" s="650"/>
      <c r="AA51" s="650"/>
      <c r="AB51" s="650"/>
      <c r="AC51" s="650"/>
      <c r="AD51" s="154"/>
    </row>
    <row r="52" spans="2:30" ht="27.75" customHeight="1" x14ac:dyDescent="0.25">
      <c r="B52" s="13" t="s">
        <v>101</v>
      </c>
      <c r="C52" s="13"/>
      <c r="D52" s="13"/>
      <c r="E52" s="13"/>
      <c r="F52" s="13"/>
      <c r="G52" s="13"/>
      <c r="H52" s="13"/>
      <c r="I52" s="13"/>
      <c r="J52" s="13"/>
      <c r="K52" s="13"/>
      <c r="L52" s="13"/>
      <c r="O52" s="1"/>
      <c r="V52" s="651" t="s">
        <v>101</v>
      </c>
      <c r="W52" s="651"/>
      <c r="X52" s="651"/>
      <c r="Y52" s="651"/>
      <c r="Z52" s="651"/>
      <c r="AA52" s="651"/>
      <c r="AB52" s="651"/>
      <c r="AC52" s="651"/>
      <c r="AD52" s="9"/>
    </row>
    <row r="53" spans="2:30" x14ac:dyDescent="0.25">
      <c r="B53" s="13" t="s">
        <v>102</v>
      </c>
      <c r="C53" s="13"/>
      <c r="D53" s="13"/>
      <c r="E53" s="13"/>
      <c r="F53" s="13"/>
      <c r="G53" s="155">
        <f>K26</f>
        <v>1120.4061999999999</v>
      </c>
      <c r="H53" s="57" t="s">
        <v>103</v>
      </c>
      <c r="I53" s="57"/>
      <c r="J53" s="156">
        <v>197823.77</v>
      </c>
      <c r="K53" s="156"/>
      <c r="L53" s="156"/>
      <c r="N53" s="3"/>
      <c r="O53" s="1"/>
      <c r="V53" s="657" t="s">
        <v>102</v>
      </c>
      <c r="W53" s="657"/>
      <c r="X53" s="157">
        <f>AB26</f>
        <v>0</v>
      </c>
      <c r="Y53" s="658" t="s">
        <v>103</v>
      </c>
      <c r="Z53" s="658"/>
      <c r="AA53" s="659">
        <f>+J53</f>
        <v>197823.77</v>
      </c>
      <c r="AB53" s="659"/>
      <c r="AC53" s="659"/>
      <c r="AD53" s="9"/>
    </row>
    <row r="54" spans="2:30" x14ac:dyDescent="0.25">
      <c r="B54" s="13" t="s">
        <v>104</v>
      </c>
      <c r="C54" s="13"/>
      <c r="D54" s="13"/>
      <c r="E54" s="13"/>
      <c r="F54" s="13"/>
      <c r="G54" s="13"/>
      <c r="H54" s="13"/>
      <c r="I54" s="13"/>
      <c r="J54" s="13"/>
      <c r="K54" s="158">
        <f>ROUND(G53/J53,6)</f>
        <v>5.6639999999999998E-3</v>
      </c>
      <c r="L54" s="158"/>
      <c r="N54" s="101"/>
      <c r="O54" s="1"/>
      <c r="V54" s="657" t="s">
        <v>104</v>
      </c>
      <c r="W54" s="657"/>
      <c r="X54" s="657"/>
      <c r="Y54" s="657"/>
      <c r="Z54" s="657"/>
      <c r="AA54" s="657"/>
      <c r="AB54" s="660">
        <f>ROUND(X53/AA53,6)</f>
        <v>0</v>
      </c>
      <c r="AC54" s="660"/>
      <c r="AD54" s="9"/>
    </row>
    <row r="55" spans="2:30" ht="24" customHeight="1" x14ac:dyDescent="0.25">
      <c r="B55" s="13" t="s">
        <v>105</v>
      </c>
      <c r="C55" s="13"/>
      <c r="D55" s="13"/>
      <c r="E55" s="13"/>
      <c r="F55" s="13"/>
      <c r="G55" s="13"/>
      <c r="H55" s="13"/>
      <c r="I55" s="13"/>
      <c r="J55" s="13"/>
      <c r="K55" s="13"/>
      <c r="L55" s="13"/>
      <c r="O55" s="1"/>
      <c r="V55" s="651" t="s">
        <v>105</v>
      </c>
      <c r="W55" s="651"/>
      <c r="X55" s="651"/>
      <c r="Y55" s="651"/>
      <c r="Z55" s="651"/>
      <c r="AA55" s="651"/>
      <c r="AB55" s="651"/>
      <c r="AC55" s="651"/>
      <c r="AD55" s="9"/>
    </row>
    <row r="56" spans="2:30" x14ac:dyDescent="0.25">
      <c r="B56" s="13" t="s">
        <v>106</v>
      </c>
      <c r="C56" s="13"/>
      <c r="D56" s="13"/>
      <c r="E56" s="13"/>
      <c r="F56" s="13"/>
      <c r="G56" s="159">
        <f>G26</f>
        <v>1105.5899999999999</v>
      </c>
      <c r="H56" s="57" t="s">
        <v>107</v>
      </c>
      <c r="I56" s="57"/>
      <c r="J56" s="156">
        <f>+G40</f>
        <v>180284.81</v>
      </c>
      <c r="K56" s="156"/>
      <c r="L56" s="156"/>
      <c r="O56" s="1"/>
      <c r="V56" s="657" t="s">
        <v>106</v>
      </c>
      <c r="W56" s="657"/>
      <c r="X56" s="160">
        <f>X26</f>
        <v>0</v>
      </c>
      <c r="Y56" s="658" t="s">
        <v>107</v>
      </c>
      <c r="Z56" s="658"/>
      <c r="AA56" s="659">
        <f>+J56</f>
        <v>180284.81</v>
      </c>
      <c r="AB56" s="659"/>
      <c r="AC56" s="659"/>
      <c r="AD56" s="9"/>
    </row>
    <row r="57" spans="2:30" x14ac:dyDescent="0.25">
      <c r="B57" s="13" t="s">
        <v>108</v>
      </c>
      <c r="C57" s="13"/>
      <c r="D57" s="13"/>
      <c r="E57" s="13"/>
      <c r="F57" s="13"/>
      <c r="G57" s="13"/>
      <c r="H57" s="13"/>
      <c r="I57" s="13"/>
      <c r="J57" s="13"/>
      <c r="K57" s="158">
        <f>ROUND(G56/J56,6)</f>
        <v>6.1320000000000003E-3</v>
      </c>
      <c r="L57" s="158"/>
      <c r="O57" s="1"/>
      <c r="V57" s="657" t="s">
        <v>108</v>
      </c>
      <c r="W57" s="657"/>
      <c r="X57" s="657"/>
      <c r="Y57" s="657"/>
      <c r="Z57" s="657"/>
      <c r="AA57" s="657"/>
      <c r="AB57" s="660">
        <f>ROUND(X56/AA56,6)</f>
        <v>0</v>
      </c>
      <c r="AC57" s="660"/>
      <c r="AD57" s="9"/>
    </row>
    <row r="58" spans="2:30" ht="20.25" customHeight="1" x14ac:dyDescent="0.25">
      <c r="B58" s="161" t="s">
        <v>109</v>
      </c>
      <c r="C58" s="161"/>
      <c r="D58" s="161"/>
      <c r="E58" s="161"/>
      <c r="F58" s="161"/>
      <c r="G58" s="161"/>
      <c r="H58" s="161"/>
      <c r="I58" s="161"/>
      <c r="J58" s="161"/>
      <c r="K58" s="161"/>
      <c r="L58" s="161"/>
      <c r="N58" s="18"/>
      <c r="O58" s="18"/>
      <c r="V58" s="629" t="s">
        <v>110</v>
      </c>
      <c r="W58" s="629"/>
      <c r="X58" s="629"/>
      <c r="Y58" s="661">
        <f>X65+X64+X62+X61+X60</f>
        <v>4123852</v>
      </c>
      <c r="Z58" s="661"/>
      <c r="AA58" s="162" t="s">
        <v>111</v>
      </c>
      <c r="AB58" s="163">
        <f>AB54</f>
        <v>0</v>
      </c>
      <c r="AC58" s="56">
        <f>ROUND(Y58*AB58,0)</f>
        <v>0</v>
      </c>
      <c r="AD58" s="9"/>
    </row>
    <row r="59" spans="2:30" x14ac:dyDescent="0.25">
      <c r="B59" s="62" t="s">
        <v>110</v>
      </c>
      <c r="C59" s="62"/>
      <c r="D59" s="62"/>
      <c r="E59" s="62"/>
      <c r="F59" s="62"/>
      <c r="G59" s="62"/>
      <c r="H59" s="164" t="s">
        <v>22</v>
      </c>
      <c r="I59" s="129">
        <v>4123852</v>
      </c>
      <c r="J59" s="165" t="s">
        <v>111</v>
      </c>
      <c r="K59" s="166">
        <f>K54</f>
        <v>5.6639999999999998E-3</v>
      </c>
      <c r="L59" s="50">
        <f>ROUND(I59*K59,0)</f>
        <v>23357</v>
      </c>
      <c r="O59" s="1"/>
      <c r="P59" s="165"/>
      <c r="Q59" s="165"/>
      <c r="V59" s="662" t="s">
        <v>112</v>
      </c>
      <c r="W59" s="662"/>
      <c r="X59" s="662"/>
      <c r="Y59" s="662"/>
      <c r="Z59" s="662"/>
      <c r="AA59" s="662"/>
      <c r="AB59" s="662"/>
      <c r="AC59" s="662"/>
      <c r="AD59" s="9"/>
    </row>
    <row r="60" spans="2:30" x14ac:dyDescent="0.25">
      <c r="B60" s="62" t="s">
        <v>112</v>
      </c>
      <c r="C60" s="62"/>
      <c r="D60" s="62"/>
      <c r="E60" s="62"/>
      <c r="F60" s="62"/>
      <c r="G60" s="62"/>
      <c r="H60" s="62"/>
      <c r="I60" s="62"/>
      <c r="J60" s="62"/>
      <c r="K60" s="62"/>
      <c r="L60" s="62"/>
      <c r="O60" s="1"/>
      <c r="P60" s="165"/>
      <c r="Q60" s="165"/>
      <c r="V60" s="663" t="s">
        <v>113</v>
      </c>
      <c r="W60" s="663"/>
      <c r="X60" s="664">
        <f>+G61</f>
        <v>0</v>
      </c>
      <c r="Y60" s="664"/>
      <c r="Z60" s="664"/>
      <c r="AA60" s="664"/>
      <c r="AB60" s="664"/>
      <c r="AC60" s="664"/>
      <c r="AD60" s="9"/>
    </row>
    <row r="61" spans="2:30" ht="15" customHeight="1" x14ac:dyDescent="0.25">
      <c r="B61" s="167" t="s">
        <v>113</v>
      </c>
      <c r="C61" s="62"/>
      <c r="D61" s="62"/>
      <c r="E61" s="62"/>
      <c r="F61" s="62"/>
      <c r="G61" s="168">
        <v>0</v>
      </c>
      <c r="H61" s="168"/>
      <c r="I61" s="168"/>
      <c r="J61" s="168"/>
      <c r="K61" s="168"/>
      <c r="L61" s="168"/>
      <c r="O61" s="1"/>
      <c r="P61" s="165"/>
      <c r="Q61" s="165"/>
      <c r="V61" s="663" t="s">
        <v>114</v>
      </c>
      <c r="W61" s="663"/>
      <c r="X61" s="664">
        <f>+G62</f>
        <v>0</v>
      </c>
      <c r="Y61" s="664"/>
      <c r="Z61" s="664"/>
      <c r="AA61" s="664"/>
      <c r="AB61" s="664"/>
      <c r="AC61" s="664"/>
      <c r="AD61" s="9"/>
    </row>
    <row r="62" spans="2:30" ht="13.5" customHeight="1" x14ac:dyDescent="0.25">
      <c r="B62" s="167" t="s">
        <v>114</v>
      </c>
      <c r="C62" s="62"/>
      <c r="D62" s="62"/>
      <c r="E62" s="62"/>
      <c r="F62" s="62"/>
      <c r="G62" s="168">
        <v>0</v>
      </c>
      <c r="H62" s="168"/>
      <c r="I62" s="168"/>
      <c r="J62" s="168"/>
      <c r="K62" s="168"/>
      <c r="L62" s="168"/>
      <c r="N62" s="165"/>
      <c r="O62" s="165"/>
      <c r="P62" s="165"/>
      <c r="Q62" s="165"/>
      <c r="V62" s="663" t="s">
        <v>115</v>
      </c>
      <c r="W62" s="663"/>
      <c r="X62" s="664">
        <v>0</v>
      </c>
      <c r="Y62" s="664"/>
      <c r="Z62" s="664"/>
      <c r="AA62" s="664"/>
      <c r="AB62" s="664"/>
      <c r="AC62" s="664"/>
      <c r="AD62" s="9"/>
    </row>
    <row r="63" spans="2:30" ht="13.5" hidden="1" customHeight="1" x14ac:dyDescent="0.25">
      <c r="B63" s="62" t="s">
        <v>115</v>
      </c>
      <c r="C63" s="62"/>
      <c r="D63" s="62"/>
      <c r="E63" s="62"/>
      <c r="F63" s="62"/>
      <c r="G63" s="168">
        <v>0</v>
      </c>
      <c r="H63" s="168"/>
      <c r="I63" s="168"/>
      <c r="J63" s="168"/>
      <c r="K63" s="168"/>
      <c r="L63" s="168"/>
      <c r="O63" s="1"/>
      <c r="P63" s="165"/>
      <c r="Q63" s="165"/>
      <c r="V63" s="662" t="s">
        <v>116</v>
      </c>
      <c r="W63" s="662"/>
      <c r="X63" s="662"/>
      <c r="Y63" s="662"/>
      <c r="Z63" s="662"/>
      <c r="AA63" s="662"/>
      <c r="AB63" s="662"/>
      <c r="AC63" s="662"/>
      <c r="AD63" s="117"/>
    </row>
    <row r="64" spans="2:30" ht="13.5" customHeight="1" x14ac:dyDescent="0.25">
      <c r="B64" s="62" t="s">
        <v>116</v>
      </c>
      <c r="C64" s="62"/>
      <c r="D64" s="62"/>
      <c r="E64" s="62"/>
      <c r="F64" s="62"/>
      <c r="G64" s="62"/>
      <c r="H64" s="62"/>
      <c r="I64" s="62"/>
      <c r="J64" s="62"/>
      <c r="K64" s="62"/>
      <c r="L64" s="62"/>
      <c r="M64" s="116"/>
      <c r="N64" s="18"/>
      <c r="O64" s="1"/>
      <c r="V64" s="663" t="s">
        <v>117</v>
      </c>
      <c r="W64" s="663"/>
      <c r="X64" s="664">
        <f>+G65</f>
        <v>4123852</v>
      </c>
      <c r="Y64" s="664"/>
      <c r="Z64" s="664"/>
      <c r="AA64" s="664"/>
      <c r="AB64" s="664"/>
      <c r="AC64" s="664"/>
      <c r="AD64" s="9"/>
    </row>
    <row r="65" spans="1:30" ht="12.75" customHeight="1" x14ac:dyDescent="0.25">
      <c r="B65" s="167" t="s">
        <v>117</v>
      </c>
      <c r="C65" s="62"/>
      <c r="D65" s="62"/>
      <c r="E65" s="62"/>
      <c r="F65" s="62"/>
      <c r="G65" s="168">
        <f>+I59</f>
        <v>4123852</v>
      </c>
      <c r="H65" s="168"/>
      <c r="I65" s="168"/>
      <c r="J65" s="168"/>
      <c r="K65" s="168"/>
      <c r="L65" s="168"/>
      <c r="O65" s="1"/>
      <c r="V65" s="663" t="s">
        <v>118</v>
      </c>
      <c r="W65" s="663"/>
      <c r="X65" s="664">
        <f>+G66</f>
        <v>0</v>
      </c>
      <c r="Y65" s="664"/>
      <c r="Z65" s="664"/>
      <c r="AA65" s="664"/>
      <c r="AB65" s="664"/>
      <c r="AC65" s="664"/>
      <c r="AD65" s="20"/>
    </row>
    <row r="66" spans="1:30" ht="15" customHeight="1" x14ac:dyDescent="0.25">
      <c r="B66" s="167" t="s">
        <v>118</v>
      </c>
      <c r="C66" s="62"/>
      <c r="D66" s="62"/>
      <c r="E66" s="62"/>
      <c r="F66" s="62"/>
      <c r="G66" s="168">
        <v>0</v>
      </c>
      <c r="H66" s="168"/>
      <c r="I66" s="168"/>
      <c r="J66" s="168"/>
      <c r="K66" s="168"/>
      <c r="L66" s="168"/>
      <c r="M66" s="18"/>
      <c r="N66" s="3"/>
      <c r="O66" s="169"/>
      <c r="P66" s="169"/>
      <c r="Q66" s="169"/>
      <c r="V66" s="651" t="s">
        <v>119</v>
      </c>
      <c r="W66" s="651"/>
      <c r="X66" s="651"/>
      <c r="Y66" s="661">
        <f>+I67</f>
        <v>96774526</v>
      </c>
      <c r="Z66" s="661"/>
      <c r="AA66" s="162" t="s">
        <v>111</v>
      </c>
      <c r="AB66" s="163">
        <f>AB54</f>
        <v>0</v>
      </c>
      <c r="AC66" s="56">
        <f>ROUND(Y66*AB66,0)</f>
        <v>0</v>
      </c>
      <c r="AD66" s="9"/>
    </row>
    <row r="67" spans="1:30" ht="20.25" customHeight="1" x14ac:dyDescent="0.25">
      <c r="B67" s="13" t="s">
        <v>119</v>
      </c>
      <c r="C67" s="13"/>
      <c r="D67" s="13"/>
      <c r="E67" s="13"/>
      <c r="F67" s="13"/>
      <c r="H67" s="164" t="s">
        <v>25</v>
      </c>
      <c r="I67" s="129">
        <v>96774526</v>
      </c>
      <c r="J67" s="165" t="s">
        <v>111</v>
      </c>
      <c r="K67" s="166">
        <f>K54</f>
        <v>5.6639999999999998E-3</v>
      </c>
      <c r="L67" s="50">
        <f>ROUND(I67*K67,0)</f>
        <v>548131</v>
      </c>
      <c r="O67" s="1"/>
      <c r="V67" s="651" t="s">
        <v>120</v>
      </c>
      <c r="W67" s="651"/>
      <c r="X67" s="651"/>
      <c r="Y67" s="651"/>
      <c r="Z67" s="651"/>
      <c r="AA67" s="651"/>
      <c r="AB67" s="651"/>
      <c r="AC67" s="651"/>
      <c r="AD67" s="9"/>
    </row>
    <row r="68" spans="1:30" ht="20.25" customHeight="1" x14ac:dyDescent="0.25">
      <c r="B68" s="13" t="s">
        <v>120</v>
      </c>
      <c r="C68" s="13"/>
      <c r="D68" s="13"/>
      <c r="E68" s="13"/>
      <c r="F68" s="13"/>
      <c r="H68" s="13"/>
      <c r="I68" s="13"/>
      <c r="J68" s="82"/>
      <c r="K68" s="13"/>
      <c r="L68" s="13"/>
      <c r="O68" s="1"/>
      <c r="V68" s="667" t="s">
        <v>121</v>
      </c>
      <c r="W68" s="667"/>
      <c r="X68" s="667"/>
      <c r="Y68" s="661">
        <f>+I69</f>
        <v>0</v>
      </c>
      <c r="Z68" s="661"/>
      <c r="AA68" s="162" t="s">
        <v>111</v>
      </c>
      <c r="AB68" s="163">
        <f>AB57</f>
        <v>0</v>
      </c>
      <c r="AC68" s="56">
        <f>ROUND(Y68*AB68,0)</f>
        <v>0</v>
      </c>
      <c r="AD68" s="9"/>
    </row>
    <row r="69" spans="1:30" ht="15" customHeight="1" x14ac:dyDescent="0.25">
      <c r="B69" s="170" t="s">
        <v>121</v>
      </c>
      <c r="C69" s="13"/>
      <c r="D69" s="13"/>
      <c r="E69" s="13"/>
      <c r="F69" s="13"/>
      <c r="H69" s="164" t="s">
        <v>23</v>
      </c>
      <c r="I69" s="129">
        <v>0</v>
      </c>
      <c r="J69" s="165" t="s">
        <v>111</v>
      </c>
      <c r="K69" s="166">
        <f>K57</f>
        <v>6.1320000000000003E-3</v>
      </c>
      <c r="L69" s="50">
        <f>ROUND(I69*K69,0)</f>
        <v>0</v>
      </c>
      <c r="O69" s="1"/>
      <c r="V69" s="651" t="s">
        <v>122</v>
      </c>
      <c r="W69" s="651"/>
      <c r="X69" s="651"/>
      <c r="Y69" s="668">
        <f>+I70</f>
        <v>-3460775</v>
      </c>
      <c r="Z69" s="668"/>
      <c r="AA69" s="162" t="s">
        <v>111</v>
      </c>
      <c r="AB69" s="163">
        <f>AB54</f>
        <v>0</v>
      </c>
      <c r="AC69" s="56">
        <f>ROUND(Y69*AB69,0)</f>
        <v>0</v>
      </c>
      <c r="AD69" s="9"/>
    </row>
    <row r="70" spans="1:30" ht="20.25" customHeight="1" x14ac:dyDescent="0.25">
      <c r="B70" s="13" t="s">
        <v>122</v>
      </c>
      <c r="C70" s="13"/>
      <c r="D70" s="13"/>
      <c r="E70" s="13"/>
      <c r="F70" s="13"/>
      <c r="H70" s="164" t="s">
        <v>22</v>
      </c>
      <c r="I70" s="129">
        <v>-3460775</v>
      </c>
      <c r="J70" s="165" t="s">
        <v>111</v>
      </c>
      <c r="K70" s="166">
        <f>K54</f>
        <v>5.6639999999999998E-3</v>
      </c>
      <c r="L70" s="50">
        <f>ROUND(I70*K70,0)</f>
        <v>-19602</v>
      </c>
      <c r="O70" s="1"/>
      <c r="V70" s="651" t="s">
        <v>123</v>
      </c>
      <c r="W70" s="651"/>
      <c r="X70" s="651"/>
      <c r="Y70" s="665">
        <f>+I71</f>
        <v>1874788</v>
      </c>
      <c r="Z70" s="665"/>
      <c r="AA70" s="162" t="s">
        <v>111</v>
      </c>
      <c r="AB70" s="163">
        <f>AB54</f>
        <v>0</v>
      </c>
      <c r="AC70" s="56">
        <f>ROUND(Y70*AB70,0)</f>
        <v>0</v>
      </c>
      <c r="AD70" s="9"/>
    </row>
    <row r="71" spans="1:30" ht="20.25" customHeight="1" x14ac:dyDescent="0.25">
      <c r="B71" s="13" t="s">
        <v>123</v>
      </c>
      <c r="C71" s="13"/>
      <c r="D71" s="13"/>
      <c r="E71" s="13"/>
      <c r="F71" s="13"/>
      <c r="H71" s="164" t="s">
        <v>22</v>
      </c>
      <c r="I71" s="129">
        <v>1874788</v>
      </c>
      <c r="J71" s="165" t="s">
        <v>111</v>
      </c>
      <c r="K71" s="166">
        <f>K54</f>
        <v>5.6639999999999998E-3</v>
      </c>
      <c r="L71" s="50">
        <f>ROUND(I71*K71,0)</f>
        <v>10619</v>
      </c>
      <c r="O71" s="1"/>
      <c r="V71" s="651" t="s">
        <v>124</v>
      </c>
      <c r="W71" s="651"/>
      <c r="X71" s="651"/>
      <c r="Y71" s="665">
        <f>+I72</f>
        <v>14223298</v>
      </c>
      <c r="Z71" s="665"/>
      <c r="AA71" s="162" t="s">
        <v>111</v>
      </c>
      <c r="AB71" s="163">
        <f>AB57</f>
        <v>0</v>
      </c>
      <c r="AC71" s="56">
        <f>ROUND(Y71*AB71,0)</f>
        <v>0</v>
      </c>
      <c r="AD71" s="9"/>
    </row>
    <row r="72" spans="1:30" ht="21" customHeight="1" x14ac:dyDescent="0.25">
      <c r="B72" s="13" t="s">
        <v>124</v>
      </c>
      <c r="C72" s="13"/>
      <c r="D72" s="13"/>
      <c r="E72" s="13"/>
      <c r="F72" s="13"/>
      <c r="H72" s="164" t="s">
        <v>23</v>
      </c>
      <c r="I72" s="171">
        <v>14223298</v>
      </c>
      <c r="J72" s="165" t="s">
        <v>111</v>
      </c>
      <c r="K72" s="166">
        <f>K57</f>
        <v>6.1320000000000003E-3</v>
      </c>
      <c r="L72" s="50">
        <f>ROUND(I72*K72,0)</f>
        <v>87217</v>
      </c>
      <c r="O72" s="1"/>
      <c r="V72" s="623" t="s">
        <v>125</v>
      </c>
      <c r="W72" s="623"/>
      <c r="X72" s="623"/>
      <c r="Y72" s="623"/>
      <c r="Z72" s="623"/>
      <c r="AA72" s="623"/>
      <c r="AB72" s="623"/>
      <c r="AC72" s="60"/>
      <c r="AD72" s="9"/>
    </row>
    <row r="73" spans="1:30" ht="17.25" customHeight="1" x14ac:dyDescent="0.25">
      <c r="B73" s="13" t="s">
        <v>125</v>
      </c>
      <c r="C73" s="13"/>
      <c r="D73" s="13"/>
      <c r="E73" s="13"/>
      <c r="F73" s="13"/>
      <c r="H73" s="13"/>
      <c r="I73" s="13"/>
      <c r="J73" s="82"/>
      <c r="K73" s="13"/>
      <c r="L73" s="59"/>
      <c r="O73" s="1"/>
      <c r="V73" s="651" t="s">
        <v>126</v>
      </c>
      <c r="W73" s="651"/>
      <c r="X73" s="651"/>
      <c r="Y73" s="651"/>
      <c r="Z73" s="651"/>
      <c r="AA73" s="651"/>
      <c r="AB73" s="651"/>
      <c r="AC73" s="651"/>
      <c r="AD73" s="9"/>
    </row>
    <row r="74" spans="1:30" ht="31.5" x14ac:dyDescent="0.25">
      <c r="B74" s="13" t="s">
        <v>126</v>
      </c>
      <c r="C74" s="13"/>
      <c r="D74" s="27" t="s">
        <v>13</v>
      </c>
      <c r="E74" s="27" t="s">
        <v>14</v>
      </c>
      <c r="F74" s="27"/>
      <c r="H74" s="164" t="s">
        <v>26</v>
      </c>
      <c r="I74" s="172"/>
      <c r="J74" s="164"/>
      <c r="K74" s="172"/>
      <c r="L74" s="112"/>
      <c r="O74" s="1"/>
      <c r="V74" s="666" t="s">
        <v>127</v>
      </c>
      <c r="W74" s="666"/>
      <c r="X74" s="173" t="s">
        <v>128</v>
      </c>
      <c r="Y74" s="174"/>
      <c r="Z74" s="175">
        <f>+I75</f>
        <v>875</v>
      </c>
      <c r="AA74" s="176" t="s">
        <v>129</v>
      </c>
      <c r="AB74" s="177">
        <f>+K75</f>
        <v>361</v>
      </c>
      <c r="AC74" s="56">
        <f>ROUND(AB74*Z74,0)</f>
        <v>315875</v>
      </c>
      <c r="AD74" s="9"/>
    </row>
    <row r="75" spans="1:30" ht="19.5" customHeight="1" x14ac:dyDescent="0.25">
      <c r="A75" s="1" t="s">
        <v>130</v>
      </c>
      <c r="B75" s="178" t="s">
        <v>127</v>
      </c>
      <c r="C75" s="179" t="s">
        <v>128</v>
      </c>
      <c r="D75" s="178">
        <v>881</v>
      </c>
      <c r="E75" s="178">
        <v>869</v>
      </c>
      <c r="F75" s="178">
        <v>0</v>
      </c>
      <c r="G75" s="180">
        <f>IF(E75=0,D75,E75)</f>
        <v>869</v>
      </c>
      <c r="H75" s="181"/>
      <c r="I75" s="182">
        <f>AVERAGE(G75,D75)</f>
        <v>875</v>
      </c>
      <c r="J75" s="183" t="s">
        <v>129</v>
      </c>
      <c r="K75" s="184">
        <v>361</v>
      </c>
      <c r="L75" s="50">
        <f>ROUND(K75*I75,0)</f>
        <v>315875</v>
      </c>
      <c r="N75" s="1">
        <v>7802</v>
      </c>
      <c r="O75" s="1">
        <v>0</v>
      </c>
      <c r="V75" s="666" t="s">
        <v>127</v>
      </c>
      <c r="W75" s="666"/>
      <c r="X75" s="173" t="s">
        <v>131</v>
      </c>
      <c r="Y75" s="185"/>
      <c r="Z75" s="186">
        <f>+I76</f>
        <v>0</v>
      </c>
      <c r="AA75" s="176" t="s">
        <v>129</v>
      </c>
      <c r="AB75" s="187">
        <f>+K76</f>
        <v>1358</v>
      </c>
      <c r="AC75" s="56">
        <f>ROUND(AB75*Z75,0)</f>
        <v>0</v>
      </c>
      <c r="AD75" s="9"/>
    </row>
    <row r="76" spans="1:30" ht="19.5" customHeight="1" x14ac:dyDescent="0.25">
      <c r="A76" s="1" t="s">
        <v>132</v>
      </c>
      <c r="B76" s="178" t="s">
        <v>127</v>
      </c>
      <c r="C76" s="179" t="s">
        <v>131</v>
      </c>
      <c r="D76" s="178">
        <v>0</v>
      </c>
      <c r="E76" s="178">
        <v>0</v>
      </c>
      <c r="F76" s="178">
        <v>0</v>
      </c>
      <c r="G76" s="180">
        <f>IF(E76=0,D76,E76)</f>
        <v>0</v>
      </c>
      <c r="H76" s="181"/>
      <c r="I76" s="182">
        <f>AVERAGE(G76,D76)</f>
        <v>0</v>
      </c>
      <c r="J76" s="183" t="s">
        <v>129</v>
      </c>
      <c r="K76" s="188">
        <v>1358</v>
      </c>
      <c r="L76" s="50">
        <f>ROUND(K76*I76,0)</f>
        <v>0</v>
      </c>
      <c r="N76" s="1">
        <v>7802</v>
      </c>
      <c r="O76" s="1">
        <v>110</v>
      </c>
      <c r="V76" s="651" t="s">
        <v>133</v>
      </c>
      <c r="W76" s="651"/>
      <c r="X76" s="651"/>
      <c r="Y76" s="661">
        <f>+I77</f>
        <v>33305823</v>
      </c>
      <c r="Z76" s="661"/>
      <c r="AA76" s="176" t="s">
        <v>129</v>
      </c>
      <c r="AB76" s="163">
        <f>AB54</f>
        <v>0</v>
      </c>
      <c r="AC76" s="56">
        <f>ROUND(Y76*AB76,0)</f>
        <v>0</v>
      </c>
      <c r="AD76" s="9"/>
    </row>
    <row r="77" spans="1:30" ht="26.25" customHeight="1" x14ac:dyDescent="0.25">
      <c r="B77" s="13" t="s">
        <v>133</v>
      </c>
      <c r="C77" s="13"/>
      <c r="D77" s="13"/>
      <c r="E77" s="13"/>
      <c r="F77" s="13"/>
      <c r="H77" s="164" t="s">
        <v>134</v>
      </c>
      <c r="I77" s="189">
        <v>33305823</v>
      </c>
      <c r="J77" s="165" t="s">
        <v>111</v>
      </c>
      <c r="K77" s="166">
        <f>K54</f>
        <v>5.6639999999999998E-3</v>
      </c>
      <c r="L77" s="50">
        <f>ROUND(I77*K77,0)</f>
        <v>188644</v>
      </c>
      <c r="O77" s="1"/>
      <c r="V77" s="651" t="str">
        <f>+B78</f>
        <v>15.  Additional Allocation (WFTE share)</v>
      </c>
      <c r="W77" s="651"/>
      <c r="X77" s="651"/>
      <c r="Y77" s="661">
        <f>+I78</f>
        <v>680688</v>
      </c>
      <c r="Z77" s="661"/>
      <c r="AA77" s="176" t="s">
        <v>129</v>
      </c>
      <c r="AB77" s="163">
        <f>AB54</f>
        <v>0</v>
      </c>
      <c r="AC77" s="56">
        <f>ROUND(Y77*AB77,0)</f>
        <v>0</v>
      </c>
      <c r="AD77" s="9"/>
    </row>
    <row r="78" spans="1:30" ht="26.25" customHeight="1" x14ac:dyDescent="0.25">
      <c r="B78" s="669" t="s">
        <v>135</v>
      </c>
      <c r="C78" s="669"/>
      <c r="D78" s="669"/>
      <c r="E78" s="13"/>
      <c r="F78" s="13"/>
      <c r="H78" s="164" t="s">
        <v>136</v>
      </c>
      <c r="I78" s="190">
        <v>680688</v>
      </c>
      <c r="J78" s="165" t="s">
        <v>111</v>
      </c>
      <c r="K78" s="166">
        <f>K54</f>
        <v>5.6639999999999998E-3</v>
      </c>
      <c r="L78" s="50">
        <f>ROUND(I78*K78,0)</f>
        <v>3855</v>
      </c>
      <c r="O78" s="1"/>
      <c r="V78" s="651" t="str">
        <f t="shared" ref="V78:V79" si="11">+B79</f>
        <v>16.  Florida Teachers Lead Program Stipend</v>
      </c>
      <c r="W78" s="651"/>
      <c r="X78" s="651"/>
      <c r="Y78" s="191"/>
      <c r="Z78" s="191"/>
      <c r="AA78" s="191"/>
      <c r="AB78" s="191"/>
      <c r="AC78" s="134"/>
      <c r="AD78" s="9"/>
    </row>
    <row r="79" spans="1:30" ht="21" customHeight="1" x14ac:dyDescent="0.25">
      <c r="B79" s="669" t="s">
        <v>137</v>
      </c>
      <c r="C79" s="669"/>
      <c r="D79" s="669"/>
      <c r="E79" s="13"/>
      <c r="F79" s="13"/>
      <c r="H79" s="164"/>
      <c r="I79" s="172"/>
      <c r="J79" s="172"/>
      <c r="K79" s="172"/>
      <c r="L79" s="129"/>
      <c r="N79" s="192"/>
      <c r="O79" s="1"/>
      <c r="Q79" s="164"/>
      <c r="V79" s="651" t="str">
        <f t="shared" si="11"/>
        <v>17.  Food Service Allocation</v>
      </c>
      <c r="W79" s="651"/>
      <c r="X79" s="651"/>
      <c r="Y79" s="191"/>
      <c r="Z79" s="191"/>
      <c r="AA79" s="191"/>
      <c r="AB79" s="191"/>
      <c r="AC79" s="193"/>
      <c r="AD79" s="9"/>
    </row>
    <row r="80" spans="1:30" ht="21" customHeight="1" x14ac:dyDescent="0.25">
      <c r="B80" s="669" t="s">
        <v>138</v>
      </c>
      <c r="C80" s="669"/>
      <c r="D80" s="669"/>
      <c r="E80" s="13"/>
      <c r="F80" s="13"/>
      <c r="H80" s="194" t="s">
        <v>139</v>
      </c>
      <c r="I80" s="195"/>
      <c r="J80" s="195"/>
      <c r="K80" s="195"/>
      <c r="L80" s="196"/>
      <c r="N80" s="197"/>
      <c r="O80" s="1"/>
      <c r="Q80" s="164"/>
      <c r="V80" s="191"/>
      <c r="W80" s="191"/>
      <c r="X80" s="191"/>
      <c r="Y80" s="191"/>
      <c r="Z80" s="191"/>
      <c r="AA80" s="191"/>
      <c r="AB80" s="191"/>
      <c r="AC80" s="193"/>
      <c r="AD80" s="9"/>
    </row>
    <row r="81" spans="1:30" ht="21" customHeight="1" thickBot="1" x14ac:dyDescent="0.3">
      <c r="B81" s="13"/>
      <c r="C81" s="13"/>
      <c r="D81" s="13"/>
      <c r="E81" s="13"/>
      <c r="F81" s="13"/>
      <c r="G81" s="13"/>
      <c r="H81" s="13"/>
      <c r="I81" s="13"/>
      <c r="J81" s="13"/>
      <c r="K81" s="13"/>
      <c r="L81" s="196"/>
      <c r="M81" s="198"/>
      <c r="N81" s="197"/>
      <c r="O81" s="1"/>
      <c r="Q81" s="164"/>
      <c r="V81" s="191" t="s">
        <v>140</v>
      </c>
      <c r="W81" s="191"/>
      <c r="X81" s="191"/>
      <c r="Y81" s="191"/>
      <c r="Z81" s="191"/>
      <c r="AA81" s="191"/>
      <c r="AB81" s="191"/>
      <c r="AC81" s="199">
        <f>SUM(AC44:AC80)</f>
        <v>315875</v>
      </c>
      <c r="AD81" s="200"/>
    </row>
    <row r="82" spans="1:30" ht="22.5" customHeight="1" thickTop="1" thickBot="1" x14ac:dyDescent="0.3">
      <c r="B82" s="13" t="s">
        <v>141</v>
      </c>
      <c r="C82" s="13"/>
      <c r="D82" s="13"/>
      <c r="E82" s="13"/>
      <c r="F82" s="13"/>
      <c r="G82" s="13"/>
      <c r="H82" s="13"/>
      <c r="I82" s="13"/>
      <c r="J82" s="13"/>
      <c r="K82" s="13"/>
      <c r="L82" s="201">
        <f>SUM(L44:L81)</f>
        <v>7251820</v>
      </c>
      <c r="M82" s="202"/>
      <c r="N82" s="203"/>
      <c r="O82" s="1"/>
      <c r="Q82" s="164"/>
      <c r="V82" s="191"/>
      <c r="W82" s="191"/>
      <c r="X82" s="191"/>
      <c r="Y82" s="191"/>
      <c r="Z82" s="191"/>
      <c r="AA82" s="191"/>
      <c r="AB82" s="191"/>
      <c r="AC82" s="204"/>
      <c r="AD82" s="200"/>
    </row>
    <row r="83" spans="1:30" ht="27.75" customHeight="1" thickTop="1" x14ac:dyDescent="0.25">
      <c r="B83" s="13" t="s">
        <v>142</v>
      </c>
      <c r="C83" s="13"/>
      <c r="D83" s="13"/>
      <c r="E83" s="13"/>
      <c r="F83" s="13"/>
      <c r="G83" s="13"/>
      <c r="H83" s="13"/>
      <c r="I83" s="13"/>
      <c r="J83" s="13"/>
      <c r="K83" s="82" t="s">
        <v>143</v>
      </c>
      <c r="L83" s="205" t="s">
        <v>144</v>
      </c>
      <c r="M83" s="202"/>
      <c r="N83" s="203"/>
      <c r="O83" s="1"/>
      <c r="Q83" s="164"/>
      <c r="V83" s="9" t="s">
        <v>145</v>
      </c>
      <c r="W83" s="9"/>
      <c r="X83" s="9"/>
      <c r="Y83" s="9"/>
      <c r="Z83" s="9"/>
      <c r="AA83" s="9"/>
      <c r="AB83" s="9"/>
      <c r="AC83" s="9"/>
      <c r="AD83" s="206"/>
    </row>
    <row r="84" spans="1:30" ht="18.75" customHeight="1" thickBot="1" x14ac:dyDescent="0.3">
      <c r="B84" s="13" t="s">
        <v>146</v>
      </c>
      <c r="C84" s="13"/>
      <c r="D84" s="13"/>
      <c r="E84" s="13"/>
      <c r="F84" s="13"/>
      <c r="G84" s="13"/>
      <c r="H84" s="13"/>
      <c r="I84" s="13"/>
      <c r="J84" s="13"/>
      <c r="K84" s="207" t="str">
        <f>IF(G26=0,"",IF((G11+G13+SUM(G15:G21))/G26&gt;0.75,1,""))</f>
        <v/>
      </c>
      <c r="L84" s="201">
        <f>'1571'!AC81</f>
        <v>315875</v>
      </c>
      <c r="M84" s="202"/>
      <c r="N84" s="203"/>
      <c r="O84" s="1"/>
      <c r="Q84" s="164"/>
      <c r="V84" s="208" t="s">
        <v>147</v>
      </c>
      <c r="W84" s="208"/>
      <c r="X84" s="208"/>
      <c r="Y84" s="208"/>
      <c r="Z84" s="208"/>
      <c r="AA84" s="208"/>
      <c r="AB84" s="208"/>
      <c r="AC84" s="208"/>
      <c r="AD84" s="9"/>
    </row>
    <row r="85" spans="1:30" ht="18.75" customHeight="1" thickTop="1" x14ac:dyDescent="0.25">
      <c r="B85" s="13"/>
      <c r="C85" s="13"/>
      <c r="D85" s="13"/>
      <c r="E85" s="13"/>
      <c r="F85" s="13"/>
      <c r="G85" s="13"/>
      <c r="H85" s="13"/>
      <c r="I85" s="13"/>
      <c r="J85" s="13"/>
      <c r="M85" s="202"/>
      <c r="N85" s="203"/>
      <c r="O85" s="1"/>
      <c r="Q85" s="164"/>
      <c r="V85" s="208" t="s">
        <v>148</v>
      </c>
      <c r="W85" s="208"/>
      <c r="X85" s="208"/>
      <c r="Y85" s="208"/>
      <c r="Z85" s="208"/>
      <c r="AA85" s="208"/>
      <c r="AB85" s="208"/>
      <c r="AC85" s="208"/>
      <c r="AD85" s="206"/>
    </row>
    <row r="86" spans="1:30" ht="18.75" customHeight="1" x14ac:dyDescent="0.25">
      <c r="B86" s="2" t="s">
        <v>149</v>
      </c>
      <c r="C86" s="13"/>
      <c r="D86" s="13"/>
      <c r="E86" s="13"/>
      <c r="F86" s="13"/>
      <c r="G86" s="13"/>
      <c r="H86" s="13"/>
      <c r="I86" s="13"/>
      <c r="J86" s="209" t="s">
        <v>150</v>
      </c>
      <c r="K86" s="210">
        <f>IF(K84=1,L84,L82)</f>
        <v>7251820</v>
      </c>
      <c r="L86" s="211">
        <f>IF(G26=0,0,IF(G26&gt;250,-(((250/G26)*K86)*IF(M86="H",0.02,0.05)),IF(M86="H",-0.02*K86,-0.05*K86)))</f>
        <v>-81990.385224178957</v>
      </c>
      <c r="M86" s="212" t="str">
        <f>IF(B123="2801","H",IF(B123="2911","H",IF(B123="3382","H"," ")))</f>
        <v xml:space="preserve"> </v>
      </c>
      <c r="N86" s="203"/>
      <c r="O86" s="1"/>
      <c r="Q86" s="164"/>
      <c r="V86" s="208" t="s">
        <v>151</v>
      </c>
      <c r="W86" s="208"/>
      <c r="X86" s="208"/>
      <c r="Y86" s="208"/>
      <c r="Z86" s="208"/>
      <c r="AA86" s="208"/>
      <c r="AB86" s="208"/>
      <c r="AC86" s="208"/>
      <c r="AD86" s="206"/>
    </row>
    <row r="87" spans="1:30" ht="18.75" customHeight="1" x14ac:dyDescent="0.25">
      <c r="B87" s="2" t="s">
        <v>152</v>
      </c>
      <c r="C87" s="13"/>
      <c r="D87" s="13"/>
      <c r="E87" s="13"/>
      <c r="F87" s="13"/>
      <c r="G87" s="13"/>
      <c r="H87" s="13"/>
      <c r="I87" s="13"/>
      <c r="J87" s="13"/>
      <c r="K87" s="213"/>
      <c r="L87" s="205">
        <f>L82+L86</f>
        <v>7169829.6147758206</v>
      </c>
      <c r="M87" s="202"/>
      <c r="N87" s="203"/>
      <c r="O87" s="1"/>
      <c r="Q87" s="164"/>
      <c r="V87" s="198"/>
      <c r="W87" s="198"/>
      <c r="X87" s="198"/>
      <c r="Y87" s="198"/>
      <c r="Z87" s="198"/>
      <c r="AA87" s="198"/>
      <c r="AB87" s="198"/>
      <c r="AC87" s="198"/>
      <c r="AD87" s="214"/>
    </row>
    <row r="88" spans="1:30" x14ac:dyDescent="0.25">
      <c r="V88" s="198"/>
      <c r="W88" s="198"/>
      <c r="X88" s="198"/>
      <c r="Y88" s="198"/>
      <c r="Z88" s="198"/>
      <c r="AA88" s="198"/>
      <c r="AB88" s="198"/>
      <c r="AC88" s="198"/>
      <c r="AD88" s="215"/>
    </row>
    <row r="89" spans="1:30" ht="18.75" customHeight="1" x14ac:dyDescent="0.25">
      <c r="A89" s="1" t="s">
        <v>153</v>
      </c>
      <c r="B89" s="13" t="s">
        <v>154</v>
      </c>
      <c r="C89" s="13"/>
      <c r="D89" s="13">
        <v>3691497</v>
      </c>
      <c r="E89" s="13">
        <v>560657</v>
      </c>
      <c r="F89" s="13">
        <v>5949411</v>
      </c>
      <c r="G89" s="13"/>
      <c r="H89" s="13"/>
      <c r="I89" s="13"/>
      <c r="J89" s="13"/>
      <c r="K89" s="213"/>
      <c r="L89" s="84">
        <f>-F89-614522</f>
        <v>-6563933</v>
      </c>
      <c r="M89" s="202"/>
      <c r="N89" s="203"/>
      <c r="O89" s="1"/>
      <c r="Q89" s="164"/>
      <c r="V89" s="198">
        <v>2801</v>
      </c>
      <c r="W89" s="198"/>
      <c r="X89" s="198"/>
      <c r="Y89" s="198"/>
      <c r="Z89" s="198"/>
      <c r="AA89" s="198"/>
      <c r="AB89" s="198"/>
      <c r="AC89" s="198"/>
      <c r="AD89" s="214"/>
    </row>
    <row r="90" spans="1:30" ht="18.75" customHeight="1" x14ac:dyDescent="0.25">
      <c r="B90" s="13" t="s">
        <v>155</v>
      </c>
      <c r="C90" s="13"/>
      <c r="D90" s="13"/>
      <c r="E90" s="13"/>
      <c r="F90" s="13"/>
      <c r="G90" s="13"/>
      <c r="H90" s="13"/>
      <c r="I90" s="13"/>
      <c r="J90" s="13"/>
      <c r="K90" s="213"/>
      <c r="L90" s="205">
        <f>L87+L89</f>
        <v>605896.61477582064</v>
      </c>
      <c r="M90" s="202"/>
      <c r="N90" s="203"/>
      <c r="O90" s="1"/>
      <c r="Q90" s="164"/>
      <c r="V90" s="198">
        <v>2911</v>
      </c>
      <c r="W90" s="216"/>
      <c r="X90" s="216"/>
      <c r="Y90" s="216"/>
      <c r="Z90" s="216"/>
      <c r="AA90" s="216"/>
      <c r="AB90" s="216"/>
      <c r="AC90" s="216"/>
      <c r="AD90" s="214"/>
    </row>
    <row r="91" spans="1:30" ht="18.75" customHeight="1" x14ac:dyDescent="0.25">
      <c r="B91" s="13" t="s">
        <v>156</v>
      </c>
      <c r="C91" s="13"/>
      <c r="D91" s="13"/>
      <c r="E91" s="13"/>
      <c r="F91" s="13"/>
      <c r="G91" s="13"/>
      <c r="H91" s="13"/>
      <c r="I91" s="13"/>
      <c r="J91" s="13"/>
      <c r="K91" s="213"/>
      <c r="L91" s="205">
        <v>1</v>
      </c>
      <c r="M91" s="202"/>
      <c r="N91" s="203"/>
      <c r="O91" s="1"/>
      <c r="Q91" s="164"/>
      <c r="V91" s="198">
        <v>3382</v>
      </c>
      <c r="W91" s="216"/>
      <c r="X91" s="216"/>
      <c r="Y91" s="216"/>
      <c r="Z91" s="216"/>
      <c r="AA91" s="216"/>
      <c r="AB91" s="216"/>
      <c r="AC91" s="216"/>
      <c r="AD91" s="214"/>
    </row>
    <row r="92" spans="1:30" ht="18.75" customHeight="1" thickBot="1" x14ac:dyDescent="0.3">
      <c r="B92" s="13" t="s">
        <v>157</v>
      </c>
      <c r="C92" s="13"/>
      <c r="D92" s="13"/>
      <c r="E92" s="13"/>
      <c r="F92" s="13"/>
      <c r="G92" s="13"/>
      <c r="H92" s="13"/>
      <c r="I92" s="13"/>
      <c r="J92" s="13"/>
      <c r="K92" s="213"/>
      <c r="L92" s="217">
        <f>L90/L91</f>
        <v>605896.61477582064</v>
      </c>
      <c r="M92" s="202"/>
      <c r="N92" s="203"/>
      <c r="O92" s="1"/>
      <c r="Q92" s="164"/>
      <c r="V92" s="218"/>
      <c r="W92" s="218"/>
      <c r="X92" s="218"/>
      <c r="Y92" s="218"/>
      <c r="Z92" s="218"/>
      <c r="AA92" s="218"/>
      <c r="AB92" s="218"/>
      <c r="AC92" s="218"/>
      <c r="AD92" s="219"/>
    </row>
    <row r="93" spans="1:30" ht="18.75" customHeight="1" thickTop="1" x14ac:dyDescent="0.25">
      <c r="N93" s="219"/>
      <c r="O93" s="220"/>
      <c r="P93" s="219"/>
      <c r="Q93" s="219"/>
      <c r="V93" s="218"/>
      <c r="W93" s="218"/>
      <c r="X93" s="218"/>
      <c r="Y93" s="218"/>
      <c r="Z93" s="218"/>
      <c r="AA93" s="218"/>
      <c r="AB93" s="218"/>
      <c r="AC93" s="218"/>
      <c r="AD93" s="214"/>
    </row>
    <row r="94" spans="1:30" ht="18.75" customHeight="1" thickBot="1" x14ac:dyDescent="0.3">
      <c r="B94" s="221" t="s">
        <v>158</v>
      </c>
      <c r="C94" s="13"/>
      <c r="D94" s="13"/>
      <c r="E94" s="13"/>
      <c r="G94" s="13"/>
      <c r="H94" s="13"/>
      <c r="I94" s="13"/>
      <c r="J94" s="13"/>
      <c r="L94" s="222">
        <f>IF(M86="H",(K86*0.02)+L86,(K86*0.05)+L86)</f>
        <v>280600.61477582104</v>
      </c>
      <c r="M94" s="202"/>
      <c r="V94" s="223"/>
      <c r="W94" s="223"/>
      <c r="X94" s="223"/>
      <c r="Y94" s="223"/>
      <c r="Z94" s="223"/>
      <c r="AA94" s="223"/>
      <c r="AB94" s="223"/>
      <c r="AC94" s="223"/>
      <c r="AD94" s="214"/>
    </row>
    <row r="95" spans="1:30" ht="21.75" customHeight="1" thickTop="1" x14ac:dyDescent="0.25">
      <c r="B95" s="224" t="s">
        <v>159</v>
      </c>
      <c r="C95" s="224"/>
      <c r="D95" s="224"/>
      <c r="E95" s="224"/>
      <c r="F95" s="224"/>
      <c r="G95" s="224"/>
      <c r="H95" s="224"/>
      <c r="I95" s="224"/>
      <c r="J95" s="224"/>
      <c r="K95" s="224"/>
      <c r="L95" s="224"/>
      <c r="M95" s="219"/>
      <c r="V95" s="223"/>
      <c r="W95" s="223"/>
      <c r="X95" s="223"/>
      <c r="Y95" s="223"/>
      <c r="Z95" s="223"/>
      <c r="AA95" s="223"/>
      <c r="AB95" s="223"/>
      <c r="AC95" s="223"/>
      <c r="AD95" s="214"/>
    </row>
    <row r="96" spans="1:30" x14ac:dyDescent="0.25">
      <c r="B96" s="225"/>
      <c r="V96" s="223"/>
      <c r="W96" s="223"/>
      <c r="X96" s="223"/>
      <c r="Y96" s="223"/>
      <c r="Z96" s="223"/>
      <c r="AA96" s="223"/>
      <c r="AB96" s="223"/>
      <c r="AC96" s="223"/>
      <c r="AD96" s="219"/>
    </row>
    <row r="97" spans="2:30" x14ac:dyDescent="0.25">
      <c r="B97" s="225"/>
      <c r="V97" s="223"/>
      <c r="W97" s="223"/>
      <c r="X97" s="223"/>
      <c r="Y97" s="223"/>
      <c r="Z97" s="223"/>
      <c r="AA97" s="223"/>
      <c r="AB97" s="223"/>
      <c r="AC97" s="223"/>
      <c r="AD97" s="219"/>
    </row>
    <row r="98" spans="2:30" hidden="1" x14ac:dyDescent="0.25">
      <c r="B98" s="226" t="s">
        <v>160</v>
      </c>
      <c r="C98" s="227"/>
      <c r="V98" s="228"/>
      <c r="W98" s="228"/>
      <c r="X98" s="228"/>
      <c r="Y98" s="228"/>
      <c r="Z98" s="228"/>
      <c r="AA98" s="228"/>
      <c r="AB98" s="228"/>
      <c r="AC98" s="228"/>
    </row>
    <row r="99" spans="2:30" hidden="1" x14ac:dyDescent="0.25">
      <c r="B99" s="229"/>
      <c r="C99" s="227"/>
      <c r="V99" s="225"/>
      <c r="W99" s="13"/>
      <c r="X99" s="13"/>
      <c r="Y99" s="13"/>
      <c r="Z99" s="13"/>
      <c r="AA99" s="13"/>
      <c r="AB99" s="13"/>
      <c r="AC99" s="13"/>
    </row>
    <row r="100" spans="2:30" hidden="1" x14ac:dyDescent="0.25">
      <c r="B100" s="230" t="s">
        <v>161</v>
      </c>
      <c r="C100" s="226" t="s">
        <v>162</v>
      </c>
      <c r="V100" s="225"/>
    </row>
    <row r="101" spans="2:30" hidden="1" x14ac:dyDescent="0.25">
      <c r="B101" s="230" t="s">
        <v>163</v>
      </c>
      <c r="C101" s="226" t="s">
        <v>164</v>
      </c>
      <c r="V101" s="225"/>
    </row>
    <row r="102" spans="2:30" hidden="1" x14ac:dyDescent="0.25">
      <c r="B102" s="230" t="s">
        <v>165</v>
      </c>
      <c r="C102" s="226" t="s">
        <v>166</v>
      </c>
      <c r="V102" s="225"/>
      <c r="W102" s="231"/>
      <c r="X102" s="231"/>
      <c r="Y102" s="231"/>
      <c r="Z102" s="231"/>
      <c r="AA102" s="231"/>
      <c r="AB102" s="231"/>
      <c r="AC102" s="231"/>
      <c r="AD102" s="231"/>
    </row>
    <row r="103" spans="2:30" hidden="1" x14ac:dyDescent="0.25">
      <c r="B103" s="230" t="s">
        <v>167</v>
      </c>
      <c r="C103" s="226" t="s">
        <v>168</v>
      </c>
      <c r="V103" s="225"/>
    </row>
    <row r="104" spans="2:30" hidden="1" x14ac:dyDescent="0.25">
      <c r="B104" s="232"/>
      <c r="C104" s="226" t="s">
        <v>169</v>
      </c>
      <c r="V104" s="225"/>
    </row>
    <row r="105" spans="2:30" hidden="1" x14ac:dyDescent="0.25">
      <c r="B105" s="230" t="s">
        <v>170</v>
      </c>
      <c r="C105" s="226" t="s">
        <v>171</v>
      </c>
      <c r="V105" s="225"/>
    </row>
    <row r="106" spans="2:30" hidden="1" x14ac:dyDescent="0.25">
      <c r="B106" s="230" t="s">
        <v>172</v>
      </c>
      <c r="C106" s="226" t="s">
        <v>173</v>
      </c>
      <c r="V106" s="225"/>
    </row>
    <row r="107" spans="2:30" hidden="1" x14ac:dyDescent="0.25">
      <c r="B107" s="230" t="s">
        <v>222</v>
      </c>
      <c r="C107" s="226" t="s">
        <v>175</v>
      </c>
      <c r="V107" s="225"/>
    </row>
    <row r="108" spans="2:30" hidden="1" x14ac:dyDescent="0.25">
      <c r="B108" s="230" t="s">
        <v>176</v>
      </c>
      <c r="C108" s="226" t="s">
        <v>177</v>
      </c>
      <c r="V108" s="225"/>
    </row>
    <row r="109" spans="2:30" hidden="1" x14ac:dyDescent="0.25">
      <c r="B109" s="230" t="s">
        <v>178</v>
      </c>
      <c r="C109" s="226" t="s">
        <v>179</v>
      </c>
      <c r="V109" s="225"/>
    </row>
    <row r="110" spans="2:30" hidden="1" x14ac:dyDescent="0.25">
      <c r="B110" s="232"/>
      <c r="C110" s="226"/>
      <c r="V110" s="225"/>
    </row>
    <row r="111" spans="2:30" hidden="1" x14ac:dyDescent="0.25">
      <c r="B111" s="230" t="s">
        <v>180</v>
      </c>
      <c r="C111" s="226" t="s">
        <v>181</v>
      </c>
      <c r="V111" s="225"/>
    </row>
    <row r="112" spans="2:30" hidden="1" x14ac:dyDescent="0.25">
      <c r="B112" s="230" t="s">
        <v>180</v>
      </c>
      <c r="C112" s="226" t="s">
        <v>182</v>
      </c>
    </row>
    <row r="113" spans="2:3" hidden="1" x14ac:dyDescent="0.25">
      <c r="B113" s="230" t="s">
        <v>183</v>
      </c>
      <c r="C113" s="226" t="s">
        <v>184</v>
      </c>
    </row>
    <row r="114" spans="2:3" hidden="1" x14ac:dyDescent="0.25">
      <c r="B114" s="230" t="s">
        <v>185</v>
      </c>
      <c r="C114" s="226" t="s">
        <v>186</v>
      </c>
    </row>
    <row r="115" spans="2:3" hidden="1" x14ac:dyDescent="0.25">
      <c r="B115" s="230" t="s">
        <v>183</v>
      </c>
      <c r="C115" s="226" t="s">
        <v>187</v>
      </c>
    </row>
    <row r="116" spans="2:3" hidden="1" x14ac:dyDescent="0.25">
      <c r="B116" s="230" t="s">
        <v>188</v>
      </c>
      <c r="C116" s="226" t="s">
        <v>189</v>
      </c>
    </row>
    <row r="117" spans="2:3" hidden="1" x14ac:dyDescent="0.25">
      <c r="B117" s="230" t="s">
        <v>190</v>
      </c>
      <c r="C117" s="226" t="s">
        <v>191</v>
      </c>
    </row>
    <row r="118" spans="2:3" hidden="1" x14ac:dyDescent="0.25">
      <c r="B118" s="232" t="s">
        <v>192</v>
      </c>
      <c r="C118" s="226" t="s">
        <v>193</v>
      </c>
    </row>
    <row r="119" spans="2:3" hidden="1" x14ac:dyDescent="0.25">
      <c r="B119" s="232"/>
      <c r="C119" s="226"/>
    </row>
    <row r="120" spans="2:3" hidden="1" x14ac:dyDescent="0.25">
      <c r="B120" s="230" t="s">
        <v>161</v>
      </c>
      <c r="C120" s="226" t="s">
        <v>194</v>
      </c>
    </row>
    <row r="121" spans="2:3" hidden="1" x14ac:dyDescent="0.25">
      <c r="B121" s="230" t="s">
        <v>195</v>
      </c>
      <c r="C121" s="226" t="s">
        <v>196</v>
      </c>
    </row>
    <row r="122" spans="2:3" hidden="1" x14ac:dyDescent="0.25">
      <c r="B122" s="230" t="s">
        <v>197</v>
      </c>
      <c r="C122" s="226" t="s">
        <v>198</v>
      </c>
    </row>
    <row r="123" spans="2:3" hidden="1" x14ac:dyDescent="0.25">
      <c r="B123" s="230" t="s">
        <v>223</v>
      </c>
      <c r="C123" s="226" t="s">
        <v>200</v>
      </c>
    </row>
    <row r="124" spans="2:3" hidden="1" x14ac:dyDescent="0.25">
      <c r="B124" s="230" t="s">
        <v>224</v>
      </c>
      <c r="C124" s="226" t="s">
        <v>202</v>
      </c>
    </row>
    <row r="125" spans="2:3" hidden="1" x14ac:dyDescent="0.25">
      <c r="B125" s="230" t="s">
        <v>203</v>
      </c>
      <c r="C125" s="226" t="s">
        <v>204</v>
      </c>
    </row>
    <row r="126" spans="2:3" hidden="1" x14ac:dyDescent="0.25">
      <c r="B126" s="230" t="s">
        <v>203</v>
      </c>
      <c r="C126" s="226" t="s">
        <v>205</v>
      </c>
    </row>
    <row r="127" spans="2:3" hidden="1" x14ac:dyDescent="0.25">
      <c r="B127" s="230" t="s">
        <v>203</v>
      </c>
      <c r="C127" s="226" t="s">
        <v>206</v>
      </c>
    </row>
    <row r="128" spans="2:3" hidden="1" x14ac:dyDescent="0.25">
      <c r="B128" s="230" t="s">
        <v>203</v>
      </c>
      <c r="C128" s="226" t="s">
        <v>207</v>
      </c>
    </row>
    <row r="129" spans="2:3" hidden="1" x14ac:dyDescent="0.25">
      <c r="B129" s="230" t="s">
        <v>167</v>
      </c>
      <c r="C129" s="226" t="s">
        <v>208</v>
      </c>
    </row>
    <row r="130" spans="2:3" hidden="1" x14ac:dyDescent="0.25">
      <c r="B130" s="230" t="s">
        <v>209</v>
      </c>
      <c r="C130" s="226" t="s">
        <v>210</v>
      </c>
    </row>
    <row r="131" spans="2:3" hidden="1" x14ac:dyDescent="0.25">
      <c r="B131" s="230" t="s">
        <v>203</v>
      </c>
      <c r="C131" s="226" t="s">
        <v>211</v>
      </c>
    </row>
    <row r="132" spans="2:3" hidden="1" x14ac:dyDescent="0.25">
      <c r="B132" s="226"/>
      <c r="C132" s="226"/>
    </row>
    <row r="133" spans="2:3" hidden="1" x14ac:dyDescent="0.25">
      <c r="B133" s="226"/>
      <c r="C133" s="226"/>
    </row>
    <row r="134" spans="2:3" hidden="1" x14ac:dyDescent="0.25">
      <c r="B134" s="232"/>
      <c r="C134" s="232"/>
    </row>
    <row r="135" spans="2:3" hidden="1" x14ac:dyDescent="0.25">
      <c r="B135" s="232">
        <f>NvsElapsedTime</f>
        <v>1.15740767796524E-5</v>
      </c>
      <c r="C135" s="232"/>
    </row>
    <row r="136" spans="2:3" hidden="1" x14ac:dyDescent="0.25">
      <c r="B136" s="233">
        <f>NvsEndTime</f>
        <v>41754.487685185202</v>
      </c>
      <c r="C136" s="233" t="s">
        <v>212</v>
      </c>
    </row>
    <row r="137" spans="2:3" x14ac:dyDescent="0.25">
      <c r="B137" s="226"/>
      <c r="C137" s="234"/>
    </row>
    <row r="138" spans="2:3" x14ac:dyDescent="0.25">
      <c r="B138" s="226"/>
      <c r="C138" s="226"/>
    </row>
    <row r="139" spans="2:3" x14ac:dyDescent="0.25">
      <c r="B139" s="226"/>
      <c r="C139" s="226"/>
    </row>
    <row r="140" spans="2:3" x14ac:dyDescent="0.25">
      <c r="B140" s="226"/>
      <c r="C140" s="226"/>
    </row>
    <row r="141" spans="2:3" x14ac:dyDescent="0.25">
      <c r="B141" s="226"/>
      <c r="C141" s="226"/>
    </row>
    <row r="142" spans="2:3" x14ac:dyDescent="0.25">
      <c r="B142" s="226"/>
      <c r="C142" s="226"/>
    </row>
    <row r="143" spans="2:3" x14ac:dyDescent="0.25">
      <c r="B143" s="226"/>
      <c r="C143" s="226"/>
    </row>
    <row r="144" spans="2:3" x14ac:dyDescent="0.25">
      <c r="B144" s="226"/>
      <c r="C144" s="226"/>
    </row>
    <row r="145" spans="2:3" x14ac:dyDescent="0.25">
      <c r="B145" s="226"/>
      <c r="C145" s="226"/>
    </row>
    <row r="146" spans="2:3" x14ac:dyDescent="0.25">
      <c r="B146" s="226"/>
      <c r="C146" s="226"/>
    </row>
    <row r="147" spans="2:3" x14ac:dyDescent="0.25">
      <c r="B147" s="226"/>
      <c r="C147" s="226"/>
    </row>
    <row r="148" spans="2:3" x14ac:dyDescent="0.25">
      <c r="B148" s="226"/>
      <c r="C148" s="226"/>
    </row>
    <row r="149" spans="2:3" x14ac:dyDescent="0.25">
      <c r="B149" s="226"/>
      <c r="C149" s="226"/>
    </row>
    <row r="150" spans="2:3" x14ac:dyDescent="0.25">
      <c r="B150" s="226"/>
      <c r="C150" s="226"/>
    </row>
    <row r="151" spans="2:3" x14ac:dyDescent="0.25">
      <c r="B151" s="226"/>
      <c r="C151" s="226"/>
    </row>
  </sheetData>
  <mergeCells count="151">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9:W9"/>
    <mergeCell ref="X9:Y9"/>
    <mergeCell ref="Z9:AA9"/>
    <mergeCell ref="V10:W10"/>
    <mergeCell ref="X10:Y10"/>
    <mergeCell ref="Z10:AA10"/>
    <mergeCell ref="V7:W7"/>
    <mergeCell ref="X7:Y7"/>
    <mergeCell ref="Z7:AA7"/>
    <mergeCell ref="AB7:AC7"/>
    <mergeCell ref="V8:W8"/>
    <mergeCell ref="X8:Y8"/>
    <mergeCell ref="Z8:AA8"/>
    <mergeCell ref="W2:AC2"/>
    <mergeCell ref="V3:AC3"/>
    <mergeCell ref="V4:AC4"/>
    <mergeCell ref="V5:W5"/>
    <mergeCell ref="X5:Y5"/>
    <mergeCell ref="V6:AC6"/>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D151"/>
  <sheetViews>
    <sheetView topLeftCell="B53" zoomScale="70" zoomScaleNormal="70" workbookViewId="0">
      <selection activeCell="B2" sqref="B2"/>
    </sheetView>
  </sheetViews>
  <sheetFormatPr defaultColWidth="8.85546875" defaultRowHeight="15.75" x14ac:dyDescent="0.25"/>
  <cols>
    <col min="1" max="1" width="11.28515625" style="1" hidden="1" customWidth="1"/>
    <col min="2" max="2" width="10.28515625" style="2" customWidth="1"/>
    <col min="3" max="3" width="29" style="1" customWidth="1"/>
    <col min="4" max="5" width="12.28515625" style="1" customWidth="1"/>
    <col min="6" max="6" width="12.28515625" style="1" hidden="1" customWidth="1"/>
    <col min="7" max="7" width="15.28515625" style="1" customWidth="1"/>
    <col min="8" max="8" width="6.7109375" style="1" customWidth="1"/>
    <col min="9" max="9" width="12.5703125" style="1" customWidth="1"/>
    <col min="10" max="10" width="12.85546875" style="1" customWidth="1"/>
    <col min="11" max="11" width="13" style="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28515625" style="1" customWidth="1"/>
    <col min="18" max="18" width="8.85546875" style="1"/>
    <col min="19" max="21" width="0" style="1" hidden="1" customWidth="1"/>
    <col min="22" max="23" width="8.85546875" style="1"/>
    <col min="24" max="24" width="12.7109375" style="1" customWidth="1"/>
    <col min="25" max="27" width="8.85546875" style="1"/>
    <col min="28" max="28" width="13.140625" style="1" bestFit="1" customWidth="1"/>
    <col min="29" max="29" width="15.5703125" style="1" bestFit="1" customWidth="1"/>
    <col min="30" max="16384" width="8.85546875" style="1"/>
  </cols>
  <sheetData>
    <row r="1" spans="1:30" ht="15.6"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7"/>
      <c r="N2" s="3"/>
      <c r="O2" s="1"/>
      <c r="V2" s="8">
        <f>'2521'!B2</f>
        <v>50</v>
      </c>
      <c r="W2" s="606" t="s">
        <v>4</v>
      </c>
      <c r="X2" s="607"/>
      <c r="Y2" s="608"/>
      <c r="Z2" s="608"/>
      <c r="AA2" s="608"/>
      <c r="AB2" s="608"/>
      <c r="AC2" s="608"/>
      <c r="AD2" s="9"/>
    </row>
    <row r="3" spans="1:30" ht="20.25" x14ac:dyDescent="0.3">
      <c r="B3" s="10" t="str">
        <f>"Revenue Estimate Worksheet for "&amp;B124</f>
        <v>Revenue Estimate Worksheet for Ed Venture Charter School</v>
      </c>
      <c r="C3" s="11"/>
      <c r="D3" s="11"/>
      <c r="E3" s="11"/>
      <c r="F3" s="11"/>
      <c r="G3" s="11"/>
      <c r="H3" s="11"/>
      <c r="I3" s="11"/>
      <c r="J3" s="11"/>
      <c r="K3" s="11"/>
      <c r="L3" s="11"/>
      <c r="M3" s="10"/>
      <c r="N3" s="10"/>
      <c r="O3" s="10"/>
      <c r="P3" s="10"/>
      <c r="Q3" s="10"/>
      <c r="V3" s="609" t="s">
        <v>5</v>
      </c>
      <c r="W3" s="609"/>
      <c r="X3" s="609"/>
      <c r="Y3" s="609"/>
      <c r="Z3" s="609"/>
      <c r="AA3" s="609"/>
      <c r="AB3" s="609"/>
      <c r="AC3" s="609"/>
      <c r="AD3" s="12"/>
    </row>
    <row r="4" spans="1:30" ht="18.75" x14ac:dyDescent="0.3">
      <c r="B4" s="2" t="s">
        <v>6</v>
      </c>
      <c r="C4" s="13"/>
      <c r="D4" s="13"/>
      <c r="E4" s="13"/>
      <c r="F4" s="13"/>
      <c r="G4" s="13"/>
      <c r="H4" s="13"/>
      <c r="I4" s="13"/>
      <c r="J4" s="13"/>
      <c r="K4" s="13"/>
      <c r="L4" s="13"/>
      <c r="M4" s="14"/>
      <c r="N4" s="14"/>
      <c r="O4" s="14"/>
      <c r="P4" s="14"/>
      <c r="Q4" s="14"/>
      <c r="V4" s="610" t="str">
        <f>+Based_on_the_Second_Calculation_of_the_FEFP_2010_11</f>
        <v>Based on the Fourth Calculation of the FEFP 2013-14</v>
      </c>
      <c r="W4" s="610"/>
      <c r="X4" s="610"/>
      <c r="Y4" s="610"/>
      <c r="Z4" s="610"/>
      <c r="AA4" s="610"/>
      <c r="AB4" s="610"/>
      <c r="AC4" s="610"/>
      <c r="AD4" s="15"/>
    </row>
    <row r="5" spans="1:30" ht="18.75" customHeight="1" x14ac:dyDescent="0.25">
      <c r="B5" s="16" t="s">
        <v>7</v>
      </c>
      <c r="C5" s="16"/>
      <c r="D5" s="16"/>
      <c r="E5" s="16"/>
      <c r="F5" s="16"/>
      <c r="G5" s="17" t="s">
        <v>8</v>
      </c>
      <c r="H5" s="17"/>
      <c r="I5" s="17"/>
      <c r="J5" s="17"/>
      <c r="K5" s="17"/>
      <c r="L5" s="17"/>
      <c r="M5" s="18"/>
      <c r="N5" s="18"/>
      <c r="O5" s="18"/>
      <c r="P5" s="18"/>
      <c r="Q5" s="18"/>
      <c r="V5" s="611" t="s">
        <v>7</v>
      </c>
      <c r="W5" s="611"/>
      <c r="X5" s="612" t="s">
        <v>8</v>
      </c>
      <c r="Y5" s="612"/>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613" t="s">
        <v>9</v>
      </c>
      <c r="W6" s="613"/>
      <c r="X6" s="613"/>
      <c r="Y6" s="613"/>
      <c r="Z6" s="613"/>
      <c r="AA6" s="613"/>
      <c r="AB6" s="613"/>
      <c r="AC6" s="613"/>
      <c r="AD6" s="22"/>
    </row>
    <row r="7" spans="1:30" ht="18" customHeight="1" x14ac:dyDescent="0.25">
      <c r="B7" s="23" t="s">
        <v>10</v>
      </c>
      <c r="C7" s="23"/>
      <c r="D7" s="23"/>
      <c r="E7" s="23"/>
      <c r="F7" s="23"/>
      <c r="G7" s="24">
        <v>3752.3</v>
      </c>
      <c r="H7" s="24"/>
      <c r="I7" s="23" t="s">
        <v>11</v>
      </c>
      <c r="J7" s="23"/>
      <c r="K7" s="25">
        <v>1.0326</v>
      </c>
      <c r="L7" s="25"/>
      <c r="O7" s="1"/>
      <c r="V7" s="620" t="s">
        <v>10</v>
      </c>
      <c r="W7" s="620"/>
      <c r="X7" s="621">
        <f>'2521'!G7</f>
        <v>3752.3</v>
      </c>
      <c r="Y7" s="621"/>
      <c r="Z7" s="622" t="s">
        <v>11</v>
      </c>
      <c r="AA7" s="622"/>
      <c r="AB7" s="602">
        <f>+K7</f>
        <v>1.0326</v>
      </c>
      <c r="AC7" s="602"/>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603" t="s">
        <v>12</v>
      </c>
      <c r="W8" s="603"/>
      <c r="X8" s="604" t="s">
        <v>15</v>
      </c>
      <c r="Y8" s="604"/>
      <c r="Z8" s="605" t="s">
        <v>16</v>
      </c>
      <c r="AA8" s="605"/>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614" t="s">
        <v>22</v>
      </c>
      <c r="W9" s="614"/>
      <c r="X9" s="615" t="s">
        <v>23</v>
      </c>
      <c r="Y9" s="615"/>
      <c r="Z9" s="616" t="s">
        <v>24</v>
      </c>
      <c r="AA9" s="616"/>
      <c r="AB9" s="43" t="s">
        <v>25</v>
      </c>
      <c r="AC9" s="44" t="s">
        <v>26</v>
      </c>
      <c r="AD9" s="9"/>
    </row>
    <row r="10" spans="1:30" x14ac:dyDescent="0.25">
      <c r="A10" s="1" t="s">
        <v>27</v>
      </c>
      <c r="B10" s="45" t="s">
        <v>28</v>
      </c>
      <c r="C10" s="45"/>
      <c r="D10" s="45">
        <v>0</v>
      </c>
      <c r="E10" s="45">
        <v>0</v>
      </c>
      <c r="F10" s="45">
        <v>0</v>
      </c>
      <c r="G10" s="46">
        <f>D10+E10</f>
        <v>0</v>
      </c>
      <c r="H10" s="47"/>
      <c r="I10" s="48">
        <v>1.125</v>
      </c>
      <c r="J10" s="48"/>
      <c r="K10" s="49">
        <f>ROUND(G10*I10,4)</f>
        <v>0</v>
      </c>
      <c r="L10" s="50">
        <f>ROUND(ROUND(K10*$G$7,4)*($K$7),0)</f>
        <v>0</v>
      </c>
      <c r="N10" s="51">
        <v>5101</v>
      </c>
      <c r="O10" s="52">
        <v>101</v>
      </c>
      <c r="P10" s="53"/>
      <c r="Q10" s="54"/>
      <c r="V10" s="617" t="s">
        <v>28</v>
      </c>
      <c r="W10" s="617"/>
      <c r="X10" s="618">
        <f>IF('2521'!K$84=1,'2521'!G10,0)</f>
        <v>0</v>
      </c>
      <c r="Y10" s="618"/>
      <c r="Z10" s="619">
        <v>1</v>
      </c>
      <c r="AA10" s="619"/>
      <c r="AB10" s="55">
        <f t="shared" ref="AB10:AB25" si="0">ROUND(X10*Z10,4)</f>
        <v>0</v>
      </c>
      <c r="AC10" s="56">
        <f t="shared" ref="AC10:AC25" si="1">ROUND(ROUND(AB10*$X$7,4)*($AB$7),0)</f>
        <v>0</v>
      </c>
      <c r="AD10" s="9">
        <v>1</v>
      </c>
    </row>
    <row r="11" spans="1:30" x14ac:dyDescent="0.25">
      <c r="A11" s="1" t="s">
        <v>29</v>
      </c>
      <c r="B11" s="13" t="s">
        <v>30</v>
      </c>
      <c r="C11" s="13"/>
      <c r="D11" s="13">
        <v>0</v>
      </c>
      <c r="E11" s="13">
        <v>0</v>
      </c>
      <c r="F11" s="13">
        <v>0</v>
      </c>
      <c r="G11" s="46">
        <f t="shared" ref="G11:G25" si="2">D11+E11</f>
        <v>0</v>
      </c>
      <c r="H11" s="47"/>
      <c r="I11" s="57">
        <f>I10</f>
        <v>1.125</v>
      </c>
      <c r="J11" s="57"/>
      <c r="K11" s="49">
        <f t="shared" ref="K11:K25" si="3">ROUND(G11*I11,4)</f>
        <v>0</v>
      </c>
      <c r="L11" s="50">
        <f t="shared" ref="L11:L25" si="4">ROUND(ROUND(K11*$G$7,4)*($K$7),0)</f>
        <v>0</v>
      </c>
      <c r="M11" s="1" t="str">
        <f>IF(ROUND(G11,2)=ROUND(SUM(G28:G30),2)," ","CHECK 2. PK-3 Lines Below")</f>
        <v xml:space="preserve"> </v>
      </c>
      <c r="N11" s="51">
        <v>5101</v>
      </c>
      <c r="O11" s="58" t="s">
        <v>31</v>
      </c>
      <c r="P11" s="53"/>
      <c r="Q11" s="54"/>
      <c r="V11" s="623" t="s">
        <v>30</v>
      </c>
      <c r="W11" s="623"/>
      <c r="X11" s="618">
        <f>IF('2521'!K$84=1,'2521'!G11,0)</f>
        <v>0</v>
      </c>
      <c r="Y11" s="618"/>
      <c r="Z11" s="624">
        <v>1</v>
      </c>
      <c r="AA11" s="624"/>
      <c r="AB11" s="55">
        <f t="shared" si="0"/>
        <v>0</v>
      </c>
      <c r="AC11" s="56">
        <f t="shared" si="1"/>
        <v>0</v>
      </c>
      <c r="AD11" s="9"/>
    </row>
    <row r="12" spans="1:30" x14ac:dyDescent="0.25">
      <c r="A12" s="1" t="s">
        <v>32</v>
      </c>
      <c r="B12" s="13" t="s">
        <v>33</v>
      </c>
      <c r="C12" s="13"/>
      <c r="D12" s="13">
        <v>0</v>
      </c>
      <c r="E12" s="13">
        <v>0</v>
      </c>
      <c r="F12" s="13">
        <v>0</v>
      </c>
      <c r="G12" s="46">
        <f t="shared" si="2"/>
        <v>0</v>
      </c>
      <c r="H12" s="47"/>
      <c r="I12" s="57">
        <v>1</v>
      </c>
      <c r="J12" s="57"/>
      <c r="K12" s="49">
        <f t="shared" si="3"/>
        <v>0</v>
      </c>
      <c r="L12" s="50">
        <f t="shared" si="4"/>
        <v>0</v>
      </c>
      <c r="N12" s="51">
        <v>5102</v>
      </c>
      <c r="O12" s="52">
        <v>102</v>
      </c>
      <c r="P12" s="53"/>
      <c r="Q12" s="54"/>
      <c r="V12" s="623" t="s">
        <v>33</v>
      </c>
      <c r="W12" s="623"/>
      <c r="X12" s="618">
        <f>IF('2521'!K$84=1,'2521'!G12,0)</f>
        <v>0</v>
      </c>
      <c r="Y12" s="618"/>
      <c r="Z12" s="624">
        <v>1</v>
      </c>
      <c r="AA12" s="624"/>
      <c r="AB12" s="55">
        <f t="shared" si="0"/>
        <v>0</v>
      </c>
      <c r="AC12" s="56">
        <f t="shared" si="1"/>
        <v>0</v>
      </c>
      <c r="AD12" s="9"/>
    </row>
    <row r="13" spans="1:30" x14ac:dyDescent="0.25">
      <c r="A13" s="1" t="s">
        <v>34</v>
      </c>
      <c r="B13" s="13" t="s">
        <v>35</v>
      </c>
      <c r="C13" s="13"/>
      <c r="D13" s="13">
        <v>0</v>
      </c>
      <c r="E13" s="13">
        <v>0</v>
      </c>
      <c r="F13" s="13">
        <v>0</v>
      </c>
      <c r="G13" s="46">
        <f t="shared" si="2"/>
        <v>0</v>
      </c>
      <c r="H13" s="47"/>
      <c r="I13" s="57">
        <f>I12</f>
        <v>1</v>
      </c>
      <c r="J13" s="57"/>
      <c r="K13" s="49">
        <f t="shared" si="3"/>
        <v>0</v>
      </c>
      <c r="L13" s="50">
        <f t="shared" si="4"/>
        <v>0</v>
      </c>
      <c r="M13" s="1" t="str">
        <f>IF(ROUND(G13,2)=ROUND(SUM(G31:G33),2)," ","CHECK 2. PK-3 Lines Below")</f>
        <v xml:space="preserve"> </v>
      </c>
      <c r="N13" s="51">
        <v>5102</v>
      </c>
      <c r="O13" s="58" t="s">
        <v>36</v>
      </c>
      <c r="P13" s="53"/>
      <c r="Q13" s="54"/>
      <c r="V13" s="623" t="s">
        <v>35</v>
      </c>
      <c r="W13" s="623"/>
      <c r="X13" s="618">
        <f>IF('2521'!K$84=1,'2521'!G13,0)</f>
        <v>0</v>
      </c>
      <c r="Y13" s="618"/>
      <c r="Z13" s="624">
        <v>1</v>
      </c>
      <c r="AA13" s="624"/>
      <c r="AB13" s="55">
        <f t="shared" si="0"/>
        <v>0</v>
      </c>
      <c r="AC13" s="56">
        <f t="shared" si="1"/>
        <v>0</v>
      </c>
      <c r="AD13" s="9"/>
    </row>
    <row r="14" spans="1:30" x14ac:dyDescent="0.25">
      <c r="A14" s="1" t="s">
        <v>37</v>
      </c>
      <c r="B14" s="13" t="s">
        <v>38</v>
      </c>
      <c r="C14" s="13"/>
      <c r="D14" s="13">
        <v>0</v>
      </c>
      <c r="E14" s="13">
        <v>0</v>
      </c>
      <c r="F14" s="13">
        <v>0</v>
      </c>
      <c r="G14" s="46">
        <f t="shared" si="2"/>
        <v>0</v>
      </c>
      <c r="H14" s="47"/>
      <c r="I14" s="57">
        <v>1.0109999999999999</v>
      </c>
      <c r="J14" s="57"/>
      <c r="K14" s="49">
        <f t="shared" si="3"/>
        <v>0</v>
      </c>
      <c r="L14" s="50">
        <f t="shared" si="4"/>
        <v>0</v>
      </c>
      <c r="N14" s="51">
        <v>5103</v>
      </c>
      <c r="O14" s="52">
        <v>103</v>
      </c>
      <c r="P14" s="53"/>
      <c r="Q14" s="54"/>
      <c r="V14" s="623" t="s">
        <v>38</v>
      </c>
      <c r="W14" s="623"/>
      <c r="X14" s="618">
        <f>IF('2521'!K$84=1,'2521'!G14,0)</f>
        <v>0</v>
      </c>
      <c r="Y14" s="618"/>
      <c r="Z14" s="624">
        <v>1</v>
      </c>
      <c r="AA14" s="624"/>
      <c r="AB14" s="55">
        <f t="shared" si="0"/>
        <v>0</v>
      </c>
      <c r="AC14" s="56">
        <f t="shared" si="1"/>
        <v>0</v>
      </c>
      <c r="AD14" s="9"/>
    </row>
    <row r="15" spans="1:30" x14ac:dyDescent="0.25">
      <c r="A15" s="1" t="s">
        <v>39</v>
      </c>
      <c r="B15" s="13" t="s">
        <v>40</v>
      </c>
      <c r="C15" s="13"/>
      <c r="D15" s="13">
        <v>45.16</v>
      </c>
      <c r="E15" s="13">
        <v>48.46</v>
      </c>
      <c r="F15" s="13">
        <v>49.85</v>
      </c>
      <c r="G15" s="46">
        <f t="shared" si="2"/>
        <v>93.62</v>
      </c>
      <c r="H15" s="47"/>
      <c r="I15" s="57">
        <f>I14</f>
        <v>1.0109999999999999</v>
      </c>
      <c r="J15" s="57"/>
      <c r="K15" s="49">
        <f t="shared" si="3"/>
        <v>94.649799999999999</v>
      </c>
      <c r="L15" s="59">
        <f t="shared" si="4"/>
        <v>366732</v>
      </c>
      <c r="M15" s="1" t="str">
        <f>IF(ROUND(G15,2)=ROUND(SUM(G34:G36),2)," ","CHECK 2. PK-3 Lines Below")</f>
        <v xml:space="preserve"> </v>
      </c>
      <c r="N15" s="51">
        <v>5103</v>
      </c>
      <c r="O15" s="58" t="s">
        <v>41</v>
      </c>
      <c r="P15" s="53"/>
      <c r="Q15" s="54"/>
      <c r="V15" s="623" t="s">
        <v>40</v>
      </c>
      <c r="W15" s="623"/>
      <c r="X15" s="618">
        <f>IF('2521'!K$84=1,'2521'!G15,0)</f>
        <v>93.62</v>
      </c>
      <c r="Y15" s="618"/>
      <c r="Z15" s="624">
        <v>1</v>
      </c>
      <c r="AA15" s="624"/>
      <c r="AB15" s="55">
        <f t="shared" si="0"/>
        <v>93.62</v>
      </c>
      <c r="AC15" s="60">
        <f t="shared" si="1"/>
        <v>362742</v>
      </c>
      <c r="AD15" s="9"/>
    </row>
    <row r="16" spans="1:30" x14ac:dyDescent="0.25">
      <c r="A16" s="1" t="s">
        <v>42</v>
      </c>
      <c r="B16" s="13" t="s">
        <v>43</v>
      </c>
      <c r="C16" s="13"/>
      <c r="D16" s="13">
        <v>0</v>
      </c>
      <c r="E16" s="13">
        <v>0</v>
      </c>
      <c r="F16" s="13">
        <v>0</v>
      </c>
      <c r="G16" s="46">
        <f t="shared" si="2"/>
        <v>0</v>
      </c>
      <c r="H16" s="47"/>
      <c r="I16" s="57">
        <v>3.5579999999999998</v>
      </c>
      <c r="J16" s="57"/>
      <c r="K16" s="49">
        <f t="shared" si="3"/>
        <v>0</v>
      </c>
      <c r="L16" s="50">
        <f t="shared" si="4"/>
        <v>0</v>
      </c>
      <c r="N16" s="51">
        <v>5101</v>
      </c>
      <c r="O16" s="53">
        <v>254</v>
      </c>
      <c r="P16" s="53"/>
      <c r="Q16" s="54"/>
      <c r="V16" s="623" t="s">
        <v>43</v>
      </c>
      <c r="W16" s="623"/>
      <c r="X16" s="618">
        <f>IF('2521'!K$84=1,'2521'!G16,0)</f>
        <v>0</v>
      </c>
      <c r="Y16" s="618"/>
      <c r="Z16" s="624">
        <v>1</v>
      </c>
      <c r="AA16" s="624"/>
      <c r="AB16" s="55">
        <f t="shared" si="0"/>
        <v>0</v>
      </c>
      <c r="AC16" s="56">
        <f t="shared" si="1"/>
        <v>0</v>
      </c>
      <c r="AD16" s="9"/>
    </row>
    <row r="17" spans="1:30" x14ac:dyDescent="0.25">
      <c r="A17" s="1" t="s">
        <v>44</v>
      </c>
      <c r="B17" s="13" t="s">
        <v>45</v>
      </c>
      <c r="C17" s="13"/>
      <c r="D17" s="13">
        <v>0</v>
      </c>
      <c r="E17" s="13">
        <v>0</v>
      </c>
      <c r="F17" s="13">
        <v>0</v>
      </c>
      <c r="G17" s="46">
        <f t="shared" si="2"/>
        <v>0</v>
      </c>
      <c r="H17" s="47"/>
      <c r="I17" s="57">
        <f>I16</f>
        <v>3.5579999999999998</v>
      </c>
      <c r="J17" s="57"/>
      <c r="K17" s="49">
        <f t="shared" si="3"/>
        <v>0</v>
      </c>
      <c r="L17" s="50">
        <f t="shared" si="4"/>
        <v>0</v>
      </c>
      <c r="N17" s="51">
        <v>5102</v>
      </c>
      <c r="O17" s="54">
        <v>254</v>
      </c>
      <c r="P17" s="53"/>
      <c r="Q17" s="54"/>
      <c r="V17" s="623" t="s">
        <v>45</v>
      </c>
      <c r="W17" s="623"/>
      <c r="X17" s="618">
        <f>IF('2521'!K$84=1,'2521'!G17,0)</f>
        <v>0</v>
      </c>
      <c r="Y17" s="618"/>
      <c r="Z17" s="624">
        <v>1</v>
      </c>
      <c r="AA17" s="624"/>
      <c r="AB17" s="55">
        <f t="shared" si="0"/>
        <v>0</v>
      </c>
      <c r="AC17" s="56">
        <f t="shared" si="1"/>
        <v>0</v>
      </c>
      <c r="AD17" s="9"/>
    </row>
    <row r="18" spans="1:30" x14ac:dyDescent="0.25">
      <c r="A18" s="1" t="s">
        <v>46</v>
      </c>
      <c r="B18" s="13" t="s">
        <v>47</v>
      </c>
      <c r="C18" s="13"/>
      <c r="D18" s="13">
        <v>11.29</v>
      </c>
      <c r="E18" s="13">
        <v>10.89</v>
      </c>
      <c r="F18" s="13">
        <v>11.59</v>
      </c>
      <c r="G18" s="46">
        <f t="shared" si="2"/>
        <v>22.18</v>
      </c>
      <c r="H18" s="47"/>
      <c r="I18" s="57">
        <f>I17</f>
        <v>3.5579999999999998</v>
      </c>
      <c r="J18" s="57"/>
      <c r="K18" s="49">
        <f t="shared" si="3"/>
        <v>78.916399999999996</v>
      </c>
      <c r="L18" s="50">
        <f t="shared" si="4"/>
        <v>305771</v>
      </c>
      <c r="N18" s="51">
        <v>5103</v>
      </c>
      <c r="O18" s="54">
        <v>254</v>
      </c>
      <c r="P18" s="53"/>
      <c r="Q18" s="54"/>
      <c r="V18" s="623" t="s">
        <v>47</v>
      </c>
      <c r="W18" s="623"/>
      <c r="X18" s="618">
        <f>IF('2521'!K$84=1,'2521'!G18,0)</f>
        <v>22.18</v>
      </c>
      <c r="Y18" s="618"/>
      <c r="Z18" s="624">
        <v>1</v>
      </c>
      <c r="AA18" s="624"/>
      <c r="AB18" s="55">
        <f t="shared" si="0"/>
        <v>22.18</v>
      </c>
      <c r="AC18" s="56">
        <f t="shared" si="1"/>
        <v>85939</v>
      </c>
      <c r="AD18" s="9"/>
    </row>
    <row r="19" spans="1:30" ht="15" customHeight="1" x14ac:dyDescent="0.25">
      <c r="A19" s="1" t="s">
        <v>48</v>
      </c>
      <c r="B19" s="13" t="s">
        <v>49</v>
      </c>
      <c r="C19" s="13"/>
      <c r="D19" s="13">
        <v>0</v>
      </c>
      <c r="E19" s="13">
        <v>0</v>
      </c>
      <c r="F19" s="13">
        <v>0</v>
      </c>
      <c r="G19" s="46">
        <f t="shared" si="2"/>
        <v>0</v>
      </c>
      <c r="H19" s="47"/>
      <c r="I19" s="57">
        <v>5.0890000000000004</v>
      </c>
      <c r="J19" s="57"/>
      <c r="K19" s="49">
        <f t="shared" si="3"/>
        <v>0</v>
      </c>
      <c r="L19" s="50">
        <f t="shared" si="4"/>
        <v>0</v>
      </c>
      <c r="N19" s="51">
        <v>5101</v>
      </c>
      <c r="O19" s="53">
        <v>255</v>
      </c>
      <c r="P19" s="53"/>
      <c r="Q19" s="54"/>
      <c r="V19" s="623" t="s">
        <v>49</v>
      </c>
      <c r="W19" s="623"/>
      <c r="X19" s="618">
        <f>IF('2521'!K$84=1,'2521'!G19,0)</f>
        <v>0</v>
      </c>
      <c r="Y19" s="618"/>
      <c r="Z19" s="624">
        <v>1</v>
      </c>
      <c r="AA19" s="624"/>
      <c r="AB19" s="55">
        <f t="shared" si="0"/>
        <v>0</v>
      </c>
      <c r="AC19" s="56">
        <f t="shared" si="1"/>
        <v>0</v>
      </c>
      <c r="AD19" s="9"/>
    </row>
    <row r="20" spans="1:30" ht="15" customHeight="1" x14ac:dyDescent="0.25">
      <c r="A20" s="1" t="s">
        <v>50</v>
      </c>
      <c r="B20" s="13" t="s">
        <v>51</v>
      </c>
      <c r="C20" s="13"/>
      <c r="D20" s="13">
        <v>0</v>
      </c>
      <c r="E20" s="13">
        <v>0</v>
      </c>
      <c r="F20" s="13">
        <v>0</v>
      </c>
      <c r="G20" s="46">
        <f t="shared" si="2"/>
        <v>0</v>
      </c>
      <c r="H20" s="47"/>
      <c r="I20" s="57">
        <f>I19</f>
        <v>5.0890000000000004</v>
      </c>
      <c r="J20" s="57"/>
      <c r="K20" s="49">
        <f t="shared" si="3"/>
        <v>0</v>
      </c>
      <c r="L20" s="50">
        <f t="shared" si="4"/>
        <v>0</v>
      </c>
      <c r="N20" s="51">
        <v>5102</v>
      </c>
      <c r="O20" s="54">
        <v>255</v>
      </c>
      <c r="P20" s="53"/>
      <c r="Q20" s="54"/>
      <c r="V20" s="623" t="s">
        <v>51</v>
      </c>
      <c r="W20" s="623"/>
      <c r="X20" s="618">
        <f>IF('2521'!K$84=1,'2521'!G20,0)</f>
        <v>0</v>
      </c>
      <c r="Y20" s="618"/>
      <c r="Z20" s="624">
        <v>1</v>
      </c>
      <c r="AA20" s="624"/>
      <c r="AB20" s="55">
        <f t="shared" si="0"/>
        <v>0</v>
      </c>
      <c r="AC20" s="56">
        <f t="shared" si="1"/>
        <v>0</v>
      </c>
      <c r="AD20" s="9"/>
    </row>
    <row r="21" spans="1:30" ht="15" customHeight="1" x14ac:dyDescent="0.25">
      <c r="A21" s="1" t="s">
        <v>52</v>
      </c>
      <c r="B21" s="13" t="s">
        <v>53</v>
      </c>
      <c r="C21" s="13"/>
      <c r="D21" s="13">
        <v>0</v>
      </c>
      <c r="E21" s="13">
        <v>0</v>
      </c>
      <c r="F21" s="13">
        <v>0</v>
      </c>
      <c r="G21" s="46">
        <f t="shared" si="2"/>
        <v>0</v>
      </c>
      <c r="H21" s="47"/>
      <c r="I21" s="57">
        <f>I20</f>
        <v>5.0890000000000004</v>
      </c>
      <c r="J21" s="57"/>
      <c r="K21" s="49">
        <f t="shared" si="3"/>
        <v>0</v>
      </c>
      <c r="L21" s="50">
        <f t="shared" si="4"/>
        <v>0</v>
      </c>
      <c r="N21" s="51">
        <v>5103</v>
      </c>
      <c r="O21" s="54">
        <v>255</v>
      </c>
      <c r="P21" s="53"/>
      <c r="Q21" s="54"/>
      <c r="V21" s="623" t="s">
        <v>53</v>
      </c>
      <c r="W21" s="623"/>
      <c r="X21" s="618">
        <f>IF('2521'!K$84=1,'2521'!G21,0)</f>
        <v>0</v>
      </c>
      <c r="Y21" s="618"/>
      <c r="Z21" s="624">
        <v>1</v>
      </c>
      <c r="AA21" s="624"/>
      <c r="AB21" s="55">
        <f t="shared" si="0"/>
        <v>0</v>
      </c>
      <c r="AC21" s="56">
        <f t="shared" si="1"/>
        <v>0</v>
      </c>
      <c r="AD21" s="9"/>
    </row>
    <row r="22" spans="1:30" x14ac:dyDescent="0.25">
      <c r="A22" s="1" t="s">
        <v>54</v>
      </c>
      <c r="B22" s="13" t="s">
        <v>55</v>
      </c>
      <c r="C22" s="13"/>
      <c r="D22" s="13">
        <v>0</v>
      </c>
      <c r="E22" s="13">
        <v>0</v>
      </c>
      <c r="F22" s="13">
        <v>0</v>
      </c>
      <c r="G22" s="46">
        <f t="shared" si="2"/>
        <v>0</v>
      </c>
      <c r="H22" s="47"/>
      <c r="I22" s="57">
        <v>1.145</v>
      </c>
      <c r="J22" s="57"/>
      <c r="K22" s="49">
        <f t="shared" si="3"/>
        <v>0</v>
      </c>
      <c r="L22" s="50">
        <f t="shared" si="4"/>
        <v>0</v>
      </c>
      <c r="N22" s="51">
        <v>5101</v>
      </c>
      <c r="O22" s="52">
        <v>130</v>
      </c>
      <c r="P22" s="53"/>
      <c r="Q22" s="54"/>
      <c r="V22" s="623" t="s">
        <v>55</v>
      </c>
      <c r="W22" s="623"/>
      <c r="X22" s="618">
        <f>IF('2521'!K$84=1,'2521'!G22,0)</f>
        <v>0</v>
      </c>
      <c r="Y22" s="618"/>
      <c r="Z22" s="624">
        <v>1</v>
      </c>
      <c r="AA22" s="624"/>
      <c r="AB22" s="55">
        <f t="shared" si="0"/>
        <v>0</v>
      </c>
      <c r="AC22" s="56">
        <f t="shared" si="1"/>
        <v>0</v>
      </c>
      <c r="AD22" s="9"/>
    </row>
    <row r="23" spans="1:30" x14ac:dyDescent="0.25">
      <c r="A23" s="1" t="s">
        <v>56</v>
      </c>
      <c r="B23" s="13" t="s">
        <v>57</v>
      </c>
      <c r="C23" s="13"/>
      <c r="D23" s="13">
        <v>0</v>
      </c>
      <c r="E23" s="13">
        <v>0</v>
      </c>
      <c r="F23" s="13">
        <v>0</v>
      </c>
      <c r="G23" s="46">
        <f t="shared" si="2"/>
        <v>0</v>
      </c>
      <c r="H23" s="47"/>
      <c r="I23" s="57">
        <f>I22</f>
        <v>1.145</v>
      </c>
      <c r="J23" s="57"/>
      <c r="K23" s="49">
        <f t="shared" si="3"/>
        <v>0</v>
      </c>
      <c r="L23" s="50">
        <f t="shared" si="4"/>
        <v>0</v>
      </c>
      <c r="N23" s="51">
        <v>5102</v>
      </c>
      <c r="O23" s="52">
        <v>130</v>
      </c>
      <c r="P23" s="53"/>
      <c r="Q23" s="54"/>
      <c r="V23" s="623" t="s">
        <v>57</v>
      </c>
      <c r="W23" s="623"/>
      <c r="X23" s="618">
        <f>IF('2521'!K$84=1,'2521'!G23,0)</f>
        <v>0</v>
      </c>
      <c r="Y23" s="618"/>
      <c r="Z23" s="624">
        <v>1</v>
      </c>
      <c r="AA23" s="624"/>
      <c r="AB23" s="55">
        <f t="shared" si="0"/>
        <v>0</v>
      </c>
      <c r="AC23" s="56">
        <f t="shared" si="1"/>
        <v>0</v>
      </c>
      <c r="AD23" s="9"/>
    </row>
    <row r="24" spans="1:30" x14ac:dyDescent="0.25">
      <c r="A24" s="1" t="s">
        <v>58</v>
      </c>
      <c r="B24" s="13" t="s">
        <v>59</v>
      </c>
      <c r="C24" s="13"/>
      <c r="D24" s="13">
        <v>0</v>
      </c>
      <c r="E24" s="13">
        <v>0</v>
      </c>
      <c r="F24" s="13">
        <v>0</v>
      </c>
      <c r="G24" s="46">
        <f t="shared" si="2"/>
        <v>0</v>
      </c>
      <c r="H24" s="47"/>
      <c r="I24" s="57">
        <f>I23</f>
        <v>1.145</v>
      </c>
      <c r="J24" s="57"/>
      <c r="K24" s="49">
        <f t="shared" si="3"/>
        <v>0</v>
      </c>
      <c r="L24" s="50">
        <f t="shared" si="4"/>
        <v>0</v>
      </c>
      <c r="N24" s="51">
        <v>5103</v>
      </c>
      <c r="O24" s="52">
        <v>130</v>
      </c>
      <c r="P24" s="53"/>
      <c r="Q24" s="54"/>
      <c r="V24" s="623" t="s">
        <v>59</v>
      </c>
      <c r="W24" s="623"/>
      <c r="X24" s="618">
        <f>IF('2521'!K$84=1,'2521'!G24,0)</f>
        <v>0</v>
      </c>
      <c r="Y24" s="618"/>
      <c r="Z24" s="624">
        <v>1</v>
      </c>
      <c r="AA24" s="624"/>
      <c r="AB24" s="55">
        <f t="shared" si="0"/>
        <v>0</v>
      </c>
      <c r="AC24" s="56">
        <f t="shared" si="1"/>
        <v>0</v>
      </c>
      <c r="AD24" s="9"/>
    </row>
    <row r="25" spans="1:30" ht="16.5" thickBot="1" x14ac:dyDescent="0.3">
      <c r="A25" s="1" t="s">
        <v>60</v>
      </c>
      <c r="B25" s="13" t="s">
        <v>61</v>
      </c>
      <c r="C25" s="13"/>
      <c r="D25" s="13">
        <v>0</v>
      </c>
      <c r="E25" s="13">
        <v>0</v>
      </c>
      <c r="F25" s="13">
        <v>0</v>
      </c>
      <c r="G25" s="46">
        <f t="shared" si="2"/>
        <v>0</v>
      </c>
      <c r="H25" s="47"/>
      <c r="I25" s="57">
        <v>1.0109999999999999</v>
      </c>
      <c r="J25" s="57"/>
      <c r="K25" s="49">
        <f t="shared" si="3"/>
        <v>0</v>
      </c>
      <c r="L25" s="50">
        <f t="shared" si="4"/>
        <v>0</v>
      </c>
      <c r="N25" s="51">
        <v>5310</v>
      </c>
      <c r="O25" s="52">
        <v>300</v>
      </c>
      <c r="P25" s="53"/>
      <c r="Q25" s="54"/>
      <c r="V25" s="623" t="s">
        <v>61</v>
      </c>
      <c r="W25" s="623"/>
      <c r="X25" s="618">
        <f>IF('2521'!K$84=1,'2521'!G25,0)</f>
        <v>0</v>
      </c>
      <c r="Y25" s="618"/>
      <c r="Z25" s="624">
        <v>1</v>
      </c>
      <c r="AA25" s="624"/>
      <c r="AB25" s="55">
        <f t="shared" si="0"/>
        <v>0</v>
      </c>
      <c r="AC25" s="56">
        <f t="shared" si="1"/>
        <v>0</v>
      </c>
      <c r="AD25" s="9"/>
    </row>
    <row r="26" spans="1:30" ht="20.25" customHeight="1" thickBot="1" x14ac:dyDescent="0.3">
      <c r="B26" s="62" t="s">
        <v>62</v>
      </c>
      <c r="C26" s="62"/>
      <c r="D26" s="63">
        <f t="shared" ref="D26:E26" si="5">SUM(D10:D25)</f>
        <v>56.449999999999996</v>
      </c>
      <c r="E26" s="63">
        <f t="shared" si="5"/>
        <v>59.35</v>
      </c>
      <c r="F26" s="63"/>
      <c r="G26" s="63">
        <f>SUM(G10:G25)</f>
        <v>115.80000000000001</v>
      </c>
      <c r="H26" s="64"/>
      <c r="I26" s="64"/>
      <c r="J26" s="65"/>
      <c r="K26" s="66">
        <f>SUM(K10:K25)</f>
        <v>173.56619999999998</v>
      </c>
      <c r="L26" s="67">
        <f>SUM(L10:L25)</f>
        <v>672503</v>
      </c>
      <c r="N26" s="54"/>
      <c r="O26" s="68"/>
      <c r="P26" s="54"/>
      <c r="Q26" s="54"/>
      <c r="V26" s="625" t="s">
        <v>62</v>
      </c>
      <c r="W26" s="625"/>
      <c r="X26" s="626">
        <f>SUM(X10:X25)</f>
        <v>115.80000000000001</v>
      </c>
      <c r="Y26" s="626"/>
      <c r="Z26" s="627"/>
      <c r="AA26" s="628"/>
      <c r="AB26" s="69">
        <f>SUM(AB10:AB25)</f>
        <v>115.80000000000001</v>
      </c>
      <c r="AC26" s="70">
        <f>SUM(AC10:AC25)</f>
        <v>448681</v>
      </c>
      <c r="AD26" s="9"/>
    </row>
    <row r="27" spans="1:30" ht="51.75" customHeight="1" x14ac:dyDescent="0.25">
      <c r="B27" s="62" t="s">
        <v>63</v>
      </c>
      <c r="C27" s="62"/>
      <c r="D27" s="71" t="s">
        <v>13</v>
      </c>
      <c r="E27" s="71" t="s">
        <v>14</v>
      </c>
      <c r="F27" s="27"/>
      <c r="G27" s="72" t="s">
        <v>64</v>
      </c>
      <c r="H27" s="73"/>
      <c r="I27" s="74" t="s">
        <v>65</v>
      </c>
      <c r="J27" s="74" t="s">
        <v>66</v>
      </c>
      <c r="K27" s="75" t="s">
        <v>67</v>
      </c>
      <c r="N27" s="54"/>
      <c r="O27" s="68"/>
      <c r="P27" s="54"/>
      <c r="Q27" s="54"/>
      <c r="V27" s="629" t="s">
        <v>63</v>
      </c>
      <c r="W27" s="629"/>
      <c r="X27" s="630" t="s">
        <v>64</v>
      </c>
      <c r="Y27" s="630"/>
      <c r="Z27" s="76" t="s">
        <v>65</v>
      </c>
      <c r="AA27" s="77" t="s">
        <v>66</v>
      </c>
      <c r="AB27" s="78" t="s">
        <v>67</v>
      </c>
      <c r="AC27" s="9"/>
      <c r="AD27" s="9"/>
    </row>
    <row r="28" spans="1:30" ht="15.75" customHeight="1" x14ac:dyDescent="0.25">
      <c r="A28" s="1" t="s">
        <v>68</v>
      </c>
      <c r="B28" s="631" t="s">
        <v>69</v>
      </c>
      <c r="C28" s="632"/>
      <c r="D28" s="13">
        <v>0</v>
      </c>
      <c r="E28" s="13">
        <v>0</v>
      </c>
      <c r="F28" s="79">
        <v>0</v>
      </c>
      <c r="G28" s="46">
        <f t="shared" ref="G28:G36" si="6">D28+E28</f>
        <v>0</v>
      </c>
      <c r="H28" s="80"/>
      <c r="I28" s="81" t="s">
        <v>70</v>
      </c>
      <c r="J28" s="82">
        <v>251</v>
      </c>
      <c r="K28" s="83">
        <v>1047</v>
      </c>
      <c r="L28" s="84">
        <f>ROUND(G28*K28,0)</f>
        <v>0</v>
      </c>
      <c r="N28" s="85">
        <v>5101</v>
      </c>
      <c r="O28" s="54">
        <v>251</v>
      </c>
      <c r="P28" s="86"/>
      <c r="Q28" s="87"/>
      <c r="V28" s="637" t="s">
        <v>69</v>
      </c>
      <c r="W28" s="637"/>
      <c r="X28" s="638"/>
      <c r="Y28" s="638"/>
      <c r="Z28" s="88" t="s">
        <v>70</v>
      </c>
      <c r="AA28" s="89">
        <v>251</v>
      </c>
      <c r="AB28" s="90">
        <f>+K28</f>
        <v>1047</v>
      </c>
      <c r="AC28" s="91">
        <f t="shared" ref="AC28:AC36" si="7">ROUND(X28*AB28,0)</f>
        <v>0</v>
      </c>
      <c r="AD28" s="9"/>
    </row>
    <row r="29" spans="1:30" x14ac:dyDescent="0.25">
      <c r="A29" s="1" t="s">
        <v>71</v>
      </c>
      <c r="B29" s="633"/>
      <c r="C29" s="634"/>
      <c r="D29" s="13">
        <v>0</v>
      </c>
      <c r="E29" s="13">
        <v>0</v>
      </c>
      <c r="F29" s="92">
        <v>0</v>
      </c>
      <c r="G29" s="46">
        <f t="shared" si="6"/>
        <v>0</v>
      </c>
      <c r="H29" s="80"/>
      <c r="I29" s="82" t="s">
        <v>70</v>
      </c>
      <c r="J29" s="82">
        <v>252</v>
      </c>
      <c r="K29" s="83">
        <v>3380</v>
      </c>
      <c r="L29" s="84">
        <f t="shared" ref="L29:L36" si="8">ROUND(G29*K29,0)</f>
        <v>0</v>
      </c>
      <c r="N29" s="85">
        <v>5101</v>
      </c>
      <c r="O29" s="54">
        <v>252</v>
      </c>
      <c r="P29" s="86"/>
      <c r="Q29" s="87"/>
      <c r="V29" s="637"/>
      <c r="W29" s="637"/>
      <c r="X29" s="638"/>
      <c r="Y29" s="638"/>
      <c r="Z29" s="89" t="s">
        <v>70</v>
      </c>
      <c r="AA29" s="89">
        <v>252</v>
      </c>
      <c r="AB29" s="90">
        <f t="shared" ref="AB29:AB36" si="9">+K29</f>
        <v>3380</v>
      </c>
      <c r="AC29" s="91">
        <f t="shared" si="7"/>
        <v>0</v>
      </c>
      <c r="AD29" s="9"/>
    </row>
    <row r="30" spans="1:30" x14ac:dyDescent="0.25">
      <c r="A30" s="1" t="s">
        <v>72</v>
      </c>
      <c r="B30" s="633"/>
      <c r="C30" s="634"/>
      <c r="D30" s="13">
        <v>0</v>
      </c>
      <c r="E30" s="13">
        <v>0</v>
      </c>
      <c r="F30" s="92">
        <v>0</v>
      </c>
      <c r="G30" s="46">
        <f t="shared" si="6"/>
        <v>0</v>
      </c>
      <c r="H30" s="80"/>
      <c r="I30" s="82" t="s">
        <v>70</v>
      </c>
      <c r="J30" s="82">
        <v>253</v>
      </c>
      <c r="K30" s="83">
        <v>6896</v>
      </c>
      <c r="L30" s="84">
        <f t="shared" si="8"/>
        <v>0</v>
      </c>
      <c r="N30" s="85">
        <v>5101</v>
      </c>
      <c r="O30" s="54">
        <v>253</v>
      </c>
      <c r="P30" s="86"/>
      <c r="Q30" s="68"/>
      <c r="V30" s="637"/>
      <c r="W30" s="637"/>
      <c r="X30" s="638"/>
      <c r="Y30" s="638"/>
      <c r="Z30" s="89" t="s">
        <v>70</v>
      </c>
      <c r="AA30" s="89">
        <v>253</v>
      </c>
      <c r="AB30" s="90">
        <f t="shared" si="9"/>
        <v>6896</v>
      </c>
      <c r="AC30" s="91">
        <f t="shared" si="7"/>
        <v>0</v>
      </c>
      <c r="AD30" s="9"/>
    </row>
    <row r="31" spans="1:30" x14ac:dyDescent="0.25">
      <c r="A31" s="1" t="s">
        <v>73</v>
      </c>
      <c r="B31" s="633"/>
      <c r="C31" s="634"/>
      <c r="D31" s="13">
        <v>0</v>
      </c>
      <c r="E31" s="13">
        <v>0</v>
      </c>
      <c r="F31" s="92">
        <v>0</v>
      </c>
      <c r="G31" s="46">
        <f t="shared" si="6"/>
        <v>0</v>
      </c>
      <c r="H31" s="80"/>
      <c r="I31" s="93" t="s">
        <v>74</v>
      </c>
      <c r="J31" s="82">
        <v>251</v>
      </c>
      <c r="K31" s="83">
        <v>1173</v>
      </c>
      <c r="L31" s="84">
        <f t="shared" si="8"/>
        <v>0</v>
      </c>
      <c r="N31" s="85">
        <v>5102</v>
      </c>
      <c r="O31" s="54">
        <v>251</v>
      </c>
      <c r="P31" s="86"/>
      <c r="Q31" s="68"/>
      <c r="V31" s="637"/>
      <c r="W31" s="637"/>
      <c r="X31" s="638"/>
      <c r="Y31" s="638"/>
      <c r="Z31" s="94" t="s">
        <v>74</v>
      </c>
      <c r="AA31" s="89">
        <v>251</v>
      </c>
      <c r="AB31" s="90">
        <f t="shared" si="9"/>
        <v>1173</v>
      </c>
      <c r="AC31" s="91">
        <f t="shared" si="7"/>
        <v>0</v>
      </c>
      <c r="AD31" s="9"/>
    </row>
    <row r="32" spans="1:30" x14ac:dyDescent="0.25">
      <c r="A32" s="1" t="s">
        <v>75</v>
      </c>
      <c r="B32" s="633"/>
      <c r="C32" s="634"/>
      <c r="D32" s="13">
        <v>0</v>
      </c>
      <c r="E32" s="13">
        <v>0</v>
      </c>
      <c r="F32" s="92">
        <v>0</v>
      </c>
      <c r="G32" s="46">
        <f t="shared" si="6"/>
        <v>0</v>
      </c>
      <c r="H32" s="80"/>
      <c r="I32" s="93" t="s">
        <v>74</v>
      </c>
      <c r="J32" s="82">
        <v>252</v>
      </c>
      <c r="K32" s="83">
        <v>3506</v>
      </c>
      <c r="L32" s="84">
        <f t="shared" si="8"/>
        <v>0</v>
      </c>
      <c r="N32" s="85">
        <v>5102</v>
      </c>
      <c r="O32" s="54">
        <v>252</v>
      </c>
      <c r="P32" s="86"/>
      <c r="Q32" s="54"/>
      <c r="V32" s="637"/>
      <c r="W32" s="637"/>
      <c r="X32" s="638"/>
      <c r="Y32" s="638"/>
      <c r="Z32" s="94" t="s">
        <v>74</v>
      </c>
      <c r="AA32" s="89">
        <v>252</v>
      </c>
      <c r="AB32" s="90">
        <f t="shared" si="9"/>
        <v>3506</v>
      </c>
      <c r="AC32" s="91">
        <f t="shared" si="7"/>
        <v>0</v>
      </c>
      <c r="AD32" s="9"/>
    </row>
    <row r="33" spans="1:30" x14ac:dyDescent="0.25">
      <c r="A33" s="1" t="s">
        <v>76</v>
      </c>
      <c r="B33" s="633"/>
      <c r="C33" s="634"/>
      <c r="D33" s="13">
        <v>0</v>
      </c>
      <c r="E33" s="13">
        <v>0</v>
      </c>
      <c r="F33" s="92">
        <v>0</v>
      </c>
      <c r="G33" s="46">
        <f t="shared" si="6"/>
        <v>0</v>
      </c>
      <c r="H33" s="80"/>
      <c r="I33" s="93" t="s">
        <v>74</v>
      </c>
      <c r="J33" s="82">
        <v>253</v>
      </c>
      <c r="K33" s="83">
        <v>7023</v>
      </c>
      <c r="L33" s="84">
        <f t="shared" si="8"/>
        <v>0</v>
      </c>
      <c r="N33" s="85">
        <v>5102</v>
      </c>
      <c r="O33" s="54">
        <v>253</v>
      </c>
      <c r="P33" s="86"/>
      <c r="Q33" s="87"/>
      <c r="V33" s="637"/>
      <c r="W33" s="637"/>
      <c r="X33" s="638"/>
      <c r="Y33" s="638"/>
      <c r="Z33" s="94" t="s">
        <v>74</v>
      </c>
      <c r="AA33" s="89">
        <v>253</v>
      </c>
      <c r="AB33" s="90">
        <f t="shared" si="9"/>
        <v>7023</v>
      </c>
      <c r="AC33" s="91">
        <f t="shared" si="7"/>
        <v>0</v>
      </c>
      <c r="AD33" s="9"/>
    </row>
    <row r="34" spans="1:30" x14ac:dyDescent="0.25">
      <c r="A34" s="1" t="s">
        <v>77</v>
      </c>
      <c r="B34" s="633"/>
      <c r="C34" s="634"/>
      <c r="D34" s="13">
        <v>0.98</v>
      </c>
      <c r="E34" s="13">
        <v>1.02</v>
      </c>
      <c r="F34" s="92">
        <v>1.5</v>
      </c>
      <c r="G34" s="46">
        <f t="shared" si="6"/>
        <v>2</v>
      </c>
      <c r="H34" s="80"/>
      <c r="I34" s="93" t="s">
        <v>78</v>
      </c>
      <c r="J34" s="82">
        <v>251</v>
      </c>
      <c r="K34" s="83">
        <v>835</v>
      </c>
      <c r="L34" s="84">
        <f t="shared" si="8"/>
        <v>1670</v>
      </c>
      <c r="N34" s="85">
        <v>5103</v>
      </c>
      <c r="O34" s="54">
        <v>251</v>
      </c>
      <c r="P34" s="86"/>
      <c r="Q34" s="87"/>
      <c r="V34" s="637"/>
      <c r="W34" s="637"/>
      <c r="X34" s="638"/>
      <c r="Y34" s="638"/>
      <c r="Z34" s="94" t="s">
        <v>78</v>
      </c>
      <c r="AA34" s="89">
        <v>251</v>
      </c>
      <c r="AB34" s="90">
        <f t="shared" si="9"/>
        <v>835</v>
      </c>
      <c r="AC34" s="91">
        <f t="shared" si="7"/>
        <v>0</v>
      </c>
      <c r="AD34" s="9"/>
    </row>
    <row r="35" spans="1:30" x14ac:dyDescent="0.25">
      <c r="A35" s="1" t="s">
        <v>79</v>
      </c>
      <c r="B35" s="633"/>
      <c r="C35" s="634"/>
      <c r="D35" s="13">
        <v>4.9000000000000004</v>
      </c>
      <c r="E35" s="13">
        <v>8.84</v>
      </c>
      <c r="F35" s="92">
        <v>6.5</v>
      </c>
      <c r="G35" s="46">
        <f t="shared" si="6"/>
        <v>13.74</v>
      </c>
      <c r="H35" s="80"/>
      <c r="I35" s="93" t="s">
        <v>78</v>
      </c>
      <c r="J35" s="82">
        <v>252</v>
      </c>
      <c r="K35" s="83">
        <v>3168</v>
      </c>
      <c r="L35" s="84">
        <f t="shared" si="8"/>
        <v>43528</v>
      </c>
      <c r="N35" s="85">
        <v>5103</v>
      </c>
      <c r="O35" s="54">
        <v>252</v>
      </c>
      <c r="P35" s="86"/>
      <c r="Q35" s="95"/>
      <c r="V35" s="637"/>
      <c r="W35" s="637"/>
      <c r="X35" s="638"/>
      <c r="Y35" s="638"/>
      <c r="Z35" s="94" t="s">
        <v>78</v>
      </c>
      <c r="AA35" s="89">
        <v>252</v>
      </c>
      <c r="AB35" s="90">
        <f t="shared" si="9"/>
        <v>3168</v>
      </c>
      <c r="AC35" s="91">
        <f t="shared" si="7"/>
        <v>0</v>
      </c>
      <c r="AD35" s="9"/>
    </row>
    <row r="36" spans="1:30" ht="16.5" thickBot="1" x14ac:dyDescent="0.3">
      <c r="A36" s="1" t="s">
        <v>80</v>
      </c>
      <c r="B36" s="635"/>
      <c r="C36" s="636"/>
      <c r="D36" s="13">
        <v>39.28</v>
      </c>
      <c r="E36" s="13">
        <v>38.6</v>
      </c>
      <c r="F36" s="92">
        <v>40.5</v>
      </c>
      <c r="G36" s="46">
        <f t="shared" si="6"/>
        <v>77.88</v>
      </c>
      <c r="H36" s="80"/>
      <c r="I36" s="93" t="s">
        <v>78</v>
      </c>
      <c r="J36" s="82">
        <v>253</v>
      </c>
      <c r="K36" s="83">
        <v>6685</v>
      </c>
      <c r="L36" s="96">
        <f t="shared" si="8"/>
        <v>520628</v>
      </c>
      <c r="N36" s="85">
        <v>5103</v>
      </c>
      <c r="O36" s="54">
        <v>253</v>
      </c>
      <c r="P36" s="86"/>
      <c r="Q36" s="97"/>
      <c r="V36" s="637"/>
      <c r="W36" s="637"/>
      <c r="X36" s="645"/>
      <c r="Y36" s="645"/>
      <c r="Z36" s="94" t="s">
        <v>78</v>
      </c>
      <c r="AA36" s="89">
        <v>253</v>
      </c>
      <c r="AB36" s="90">
        <f t="shared" si="9"/>
        <v>6685</v>
      </c>
      <c r="AC36" s="98">
        <f t="shared" si="7"/>
        <v>0</v>
      </c>
      <c r="AD36" s="9"/>
    </row>
    <row r="37" spans="1:30" ht="18.75" customHeight="1" x14ac:dyDescent="0.25">
      <c r="B37" s="13" t="s">
        <v>81</v>
      </c>
      <c r="C37" s="13"/>
      <c r="D37" s="63">
        <f t="shared" ref="D37:E37" si="10">SUM(D28:D36)</f>
        <v>45.160000000000004</v>
      </c>
      <c r="E37" s="63">
        <f t="shared" si="10"/>
        <v>48.46</v>
      </c>
      <c r="F37" s="63"/>
      <c r="G37" s="63">
        <f>SUM(G28:G36)</f>
        <v>93.61999999999999</v>
      </c>
      <c r="H37" s="64"/>
      <c r="I37" s="13" t="s">
        <v>82</v>
      </c>
      <c r="J37" s="13"/>
      <c r="K37" s="13"/>
      <c r="L37" s="50">
        <f>SUM(L28:L36)</f>
        <v>565826</v>
      </c>
      <c r="N37" s="54"/>
      <c r="O37" s="68"/>
      <c r="P37" s="54"/>
      <c r="Q37" s="54"/>
      <c r="V37" s="646" t="s">
        <v>81</v>
      </c>
      <c r="W37" s="646"/>
      <c r="X37" s="626">
        <f>SUM(X28:X36)</f>
        <v>0</v>
      </c>
      <c r="Y37" s="626"/>
      <c r="Z37" s="646" t="s">
        <v>82</v>
      </c>
      <c r="AA37" s="646"/>
      <c r="AB37" s="646"/>
      <c r="AC37" s="56">
        <f>SUM(AC28:AC36)</f>
        <v>0</v>
      </c>
      <c r="AD37" s="9"/>
    </row>
    <row r="38" spans="1:30" ht="30.75" customHeight="1" x14ac:dyDescent="0.25">
      <c r="B38" s="99" t="s">
        <v>83</v>
      </c>
      <c r="C38" s="99"/>
      <c r="D38" s="99"/>
      <c r="E38" s="99"/>
      <c r="F38" s="99"/>
      <c r="G38" s="99"/>
      <c r="H38" s="100"/>
      <c r="I38" s="99"/>
      <c r="J38" s="99"/>
      <c r="K38" s="99"/>
      <c r="L38" s="99"/>
      <c r="M38" s="101"/>
      <c r="N38" s="54"/>
      <c r="O38" s="68"/>
      <c r="P38" s="54"/>
      <c r="Q38" s="54"/>
      <c r="V38" s="639" t="s">
        <v>83</v>
      </c>
      <c r="W38" s="639"/>
      <c r="X38" s="639"/>
      <c r="Y38" s="639"/>
      <c r="Z38" s="639"/>
      <c r="AA38" s="639"/>
      <c r="AB38" s="639"/>
      <c r="AC38" s="639"/>
      <c r="AD38" s="102"/>
    </row>
    <row r="39" spans="1:30" ht="15.75" customHeight="1" x14ac:dyDescent="0.25">
      <c r="B39" s="103" t="s">
        <v>84</v>
      </c>
      <c r="C39" s="103"/>
      <c r="D39" s="103"/>
      <c r="E39" s="103"/>
      <c r="F39" s="103"/>
      <c r="G39" s="104">
        <v>34389540</v>
      </c>
      <c r="H39" s="104"/>
      <c r="I39" s="13" t="s">
        <v>85</v>
      </c>
      <c r="J39" s="13"/>
      <c r="K39" s="13"/>
      <c r="L39" s="13"/>
      <c r="O39" s="1"/>
      <c r="V39" s="640" t="s">
        <v>84</v>
      </c>
      <c r="W39" s="640"/>
      <c r="X39" s="641">
        <f>+G39</f>
        <v>34389540</v>
      </c>
      <c r="Y39" s="641"/>
      <c r="Z39" s="642" t="s">
        <v>85</v>
      </c>
      <c r="AA39" s="642"/>
      <c r="AB39" s="642"/>
      <c r="AC39" s="642"/>
      <c r="AD39" s="9"/>
    </row>
    <row r="40" spans="1:30" ht="15.75" customHeight="1" x14ac:dyDescent="0.25">
      <c r="B40" s="105" t="s">
        <v>86</v>
      </c>
      <c r="C40" s="105"/>
      <c r="D40" s="105"/>
      <c r="E40" s="105"/>
      <c r="F40" s="105"/>
      <c r="G40" s="106">
        <v>180284.81</v>
      </c>
      <c r="H40" s="106"/>
      <c r="I40" s="106"/>
      <c r="J40" s="106"/>
      <c r="K40" s="50">
        <f>ROUND(G39/G40,0)</f>
        <v>191</v>
      </c>
      <c r="L40" s="50">
        <f>ROUND(K40*$G$26,0)</f>
        <v>22118</v>
      </c>
      <c r="N40" s="107"/>
      <c r="O40" s="107"/>
      <c r="P40" s="107"/>
      <c r="Q40" s="107"/>
      <c r="V40" s="643" t="s">
        <v>86</v>
      </c>
      <c r="W40" s="643"/>
      <c r="X40" s="644">
        <f>+G40</f>
        <v>180284.81</v>
      </c>
      <c r="Y40" s="644"/>
      <c r="Z40" s="644"/>
      <c r="AA40" s="644"/>
      <c r="AB40" s="56">
        <f>ROUND(X39/X40,0)</f>
        <v>191</v>
      </c>
      <c r="AC40" s="56">
        <f>ROUND(AB40*$X$26,0)</f>
        <v>22118</v>
      </c>
      <c r="AD40" s="9"/>
    </row>
    <row r="41" spans="1:30" ht="15.75" customHeight="1" x14ac:dyDescent="0.25">
      <c r="B41" s="108" t="s">
        <v>87</v>
      </c>
      <c r="C41" s="108"/>
      <c r="D41" s="108"/>
      <c r="E41" s="108"/>
      <c r="F41" s="108"/>
      <c r="G41" s="108"/>
      <c r="H41" s="108"/>
      <c r="I41" s="108"/>
      <c r="J41" s="108"/>
      <c r="K41" s="108"/>
      <c r="L41" s="108"/>
      <c r="N41" s="101"/>
      <c r="O41" s="109"/>
      <c r="P41" s="101"/>
      <c r="Q41" s="101"/>
      <c r="V41" s="652" t="s">
        <v>87</v>
      </c>
      <c r="W41" s="652"/>
      <c r="X41" s="652"/>
      <c r="Y41" s="652"/>
      <c r="Z41" s="652"/>
      <c r="AA41" s="652"/>
      <c r="AB41" s="652"/>
      <c r="AC41" s="652"/>
      <c r="AD41" s="9"/>
    </row>
    <row r="42" spans="1:30" ht="28.5" customHeight="1" x14ac:dyDescent="0.25">
      <c r="B42" s="99" t="s">
        <v>88</v>
      </c>
      <c r="C42" s="99"/>
      <c r="D42" s="99"/>
      <c r="E42" s="99"/>
      <c r="F42" s="99"/>
      <c r="G42" s="99"/>
      <c r="H42" s="99"/>
      <c r="I42" s="99"/>
      <c r="J42" s="99"/>
      <c r="K42" s="99"/>
      <c r="L42" s="99"/>
      <c r="M42" s="107"/>
      <c r="O42" s="1"/>
      <c r="V42" s="639" t="s">
        <v>88</v>
      </c>
      <c r="W42" s="639"/>
      <c r="X42" s="639"/>
      <c r="Y42" s="639"/>
      <c r="Z42" s="639"/>
      <c r="AA42" s="639"/>
      <c r="AB42" s="639"/>
      <c r="AC42" s="639"/>
      <c r="AD42" s="110"/>
    </row>
    <row r="43" spans="1:30" x14ac:dyDescent="0.25">
      <c r="B43" s="111" t="s">
        <v>89</v>
      </c>
      <c r="C43" s="111"/>
      <c r="D43" s="111"/>
      <c r="E43" s="111"/>
      <c r="F43" s="111"/>
      <c r="G43" s="111"/>
      <c r="H43" s="111"/>
      <c r="I43" s="111"/>
      <c r="J43" s="111"/>
      <c r="K43" s="111"/>
      <c r="L43" s="111"/>
      <c r="M43" s="112"/>
      <c r="N43" s="101"/>
      <c r="O43" s="101"/>
      <c r="P43" s="101"/>
      <c r="Q43" s="101"/>
      <c r="V43" s="653" t="s">
        <v>89</v>
      </c>
      <c r="W43" s="653"/>
      <c r="X43" s="653"/>
      <c r="Y43" s="653"/>
      <c r="Z43" s="653"/>
      <c r="AA43" s="653"/>
      <c r="AB43" s="653"/>
      <c r="AC43" s="653"/>
      <c r="AD43" s="113"/>
    </row>
    <row r="44" spans="1:30" ht="24" customHeight="1" x14ac:dyDescent="0.25">
      <c r="B44" s="62" t="s">
        <v>90</v>
      </c>
      <c r="C44" s="62"/>
      <c r="D44" s="62"/>
      <c r="E44" s="62"/>
      <c r="F44" s="62"/>
      <c r="G44" s="62"/>
      <c r="H44" s="62"/>
      <c r="I44" s="62"/>
      <c r="J44" s="62"/>
      <c r="K44" s="62"/>
      <c r="L44" s="114">
        <f>SUM(L26,L37,L40)</f>
        <v>1260447</v>
      </c>
      <c r="O44" s="1"/>
      <c r="V44" s="654" t="s">
        <v>90</v>
      </c>
      <c r="W44" s="654"/>
      <c r="X44" s="654"/>
      <c r="Y44" s="654"/>
      <c r="Z44" s="654"/>
      <c r="AA44" s="654"/>
      <c r="AB44" s="654"/>
      <c r="AC44" s="115">
        <f>SUM(AC26,AC37,AC40)</f>
        <v>470799</v>
      </c>
      <c r="AD44" s="9"/>
    </row>
    <row r="45" spans="1:30" ht="30.75" customHeight="1" x14ac:dyDescent="0.25">
      <c r="B45" s="99" t="s">
        <v>91</v>
      </c>
      <c r="C45" s="99"/>
      <c r="D45" s="99"/>
      <c r="E45" s="99"/>
      <c r="F45" s="99"/>
      <c r="G45" s="99"/>
      <c r="H45" s="99"/>
      <c r="I45" s="99"/>
      <c r="J45" s="99"/>
      <c r="K45" s="99"/>
      <c r="L45" s="99"/>
      <c r="M45" s="116"/>
      <c r="O45" s="1"/>
      <c r="V45" s="639" t="s">
        <v>91</v>
      </c>
      <c r="W45" s="639"/>
      <c r="X45" s="639"/>
      <c r="Y45" s="639"/>
      <c r="Z45" s="639"/>
      <c r="AA45" s="639"/>
      <c r="AB45" s="639"/>
      <c r="AC45" s="639"/>
      <c r="AD45" s="117"/>
    </row>
    <row r="46" spans="1:30" ht="18.75" customHeight="1" x14ac:dyDescent="0.25">
      <c r="B46" s="1"/>
      <c r="C46" s="118" t="s">
        <v>92</v>
      </c>
      <c r="D46" s="118"/>
      <c r="E46" s="118"/>
      <c r="F46" s="118"/>
      <c r="G46" s="118" t="s">
        <v>93</v>
      </c>
      <c r="H46" s="119"/>
      <c r="I46" s="120" t="s">
        <v>94</v>
      </c>
      <c r="J46" s="121"/>
      <c r="K46" s="121"/>
      <c r="L46" s="121"/>
      <c r="M46" s="122"/>
      <c r="O46" s="1"/>
      <c r="V46" s="9"/>
      <c r="W46" s="123" t="s">
        <v>92</v>
      </c>
      <c r="X46" s="655" t="s">
        <v>95</v>
      </c>
      <c r="Y46" s="655"/>
      <c r="Z46" s="656" t="s">
        <v>94</v>
      </c>
      <c r="AA46" s="656"/>
      <c r="AB46" s="656"/>
      <c r="AC46" s="656"/>
      <c r="AD46" s="124"/>
    </row>
    <row r="47" spans="1:30" ht="18.75" customHeight="1" x14ac:dyDescent="0.25">
      <c r="B47" s="107" t="s">
        <v>96</v>
      </c>
      <c r="C47" s="125">
        <f>K10+K11+K16+K19+K22</f>
        <v>0</v>
      </c>
      <c r="D47" s="125"/>
      <c r="E47" s="125"/>
      <c r="F47" s="125"/>
      <c r="G47" s="126">
        <f>K7</f>
        <v>1.0326</v>
      </c>
      <c r="H47" s="126"/>
      <c r="I47" s="127">
        <v>1316.85</v>
      </c>
      <c r="J47" s="128" t="s">
        <v>97</v>
      </c>
      <c r="K47" s="129">
        <f>ROUND(C47*G47*I47,0)</f>
        <v>0</v>
      </c>
      <c r="L47" s="130"/>
      <c r="O47" s="1"/>
      <c r="V47" s="110" t="s">
        <v>96</v>
      </c>
      <c r="W47" s="131">
        <f>AB10+AB11+AB16+AB19+AB22</f>
        <v>0</v>
      </c>
      <c r="X47" s="647">
        <f>AB7</f>
        <v>1.0326</v>
      </c>
      <c r="Y47" s="647"/>
      <c r="Z47" s="132">
        <f>+I47</f>
        <v>1316.85</v>
      </c>
      <c r="AA47" s="133" t="s">
        <v>97</v>
      </c>
      <c r="AB47" s="134">
        <f>ROUND(W47*X47*Z47,0)</f>
        <v>0</v>
      </c>
      <c r="AC47" s="135"/>
      <c r="AD47" s="9"/>
    </row>
    <row r="48" spans="1:30" ht="18" customHeight="1" x14ac:dyDescent="0.25">
      <c r="B48" s="136" t="s">
        <v>74</v>
      </c>
      <c r="C48" s="125">
        <f>K12+K13+K17+K20+K23</f>
        <v>0</v>
      </c>
      <c r="D48" s="125"/>
      <c r="E48" s="125"/>
      <c r="F48" s="125"/>
      <c r="G48" s="126">
        <f>K7</f>
        <v>1.0326</v>
      </c>
      <c r="H48" s="126"/>
      <c r="I48" s="127">
        <v>898.23</v>
      </c>
      <c r="J48" s="128" t="s">
        <v>97</v>
      </c>
      <c r="K48" s="129">
        <f>ROUND(C48*G48*I48,0)</f>
        <v>0</v>
      </c>
      <c r="L48" s="62"/>
      <c r="O48" s="1"/>
      <c r="V48" s="137" t="s">
        <v>74</v>
      </c>
      <c r="W48" s="131">
        <f>AB12+AB13+AB17+AB20+AB23</f>
        <v>0</v>
      </c>
      <c r="X48" s="647">
        <f>AB7</f>
        <v>1.0326</v>
      </c>
      <c r="Y48" s="647"/>
      <c r="Z48" s="132">
        <f>+I48</f>
        <v>898.23</v>
      </c>
      <c r="AA48" s="133" t="s">
        <v>97</v>
      </c>
      <c r="AB48" s="134">
        <f>ROUND(W48*X48*Z48,0)</f>
        <v>0</v>
      </c>
      <c r="AC48" s="138"/>
      <c r="AD48" s="9"/>
    </row>
    <row r="49" spans="2:30" ht="19.5" customHeight="1" thickBot="1" x14ac:dyDescent="0.3">
      <c r="B49" s="139" t="s">
        <v>78</v>
      </c>
      <c r="C49" s="140">
        <f>K14+K15+K18+K21+K24+K25</f>
        <v>173.56619999999998</v>
      </c>
      <c r="D49" s="125"/>
      <c r="E49" s="125"/>
      <c r="F49" s="125"/>
      <c r="G49" s="126">
        <f>K7</f>
        <v>1.0326</v>
      </c>
      <c r="H49" s="126"/>
      <c r="I49" s="127">
        <v>900.39</v>
      </c>
      <c r="J49" s="128" t="s">
        <v>97</v>
      </c>
      <c r="K49" s="129">
        <f>ROUND(C49*G49*I49,0)</f>
        <v>161372</v>
      </c>
      <c r="L49" s="62"/>
      <c r="M49" s="112"/>
      <c r="N49" s="141"/>
      <c r="O49" s="142"/>
      <c r="P49" s="101"/>
      <c r="Q49" s="143"/>
      <c r="V49" s="144" t="s">
        <v>78</v>
      </c>
      <c r="W49" s="145">
        <f>AB14+AB15+AB18+AB21+AB24+AB25</f>
        <v>115.80000000000001</v>
      </c>
      <c r="X49" s="647">
        <f>AB7</f>
        <v>1.0326</v>
      </c>
      <c r="Y49" s="647"/>
      <c r="Z49" s="132">
        <f>+I49</f>
        <v>900.39</v>
      </c>
      <c r="AA49" s="133" t="s">
        <v>97</v>
      </c>
      <c r="AB49" s="134">
        <f>ROUND(W49*X49*Z49,0)</f>
        <v>107664</v>
      </c>
      <c r="AC49" s="138"/>
      <c r="AD49" s="113"/>
    </row>
    <row r="50" spans="2:30" ht="24" customHeight="1" thickBot="1" x14ac:dyDescent="0.3">
      <c r="B50" s="146" t="s">
        <v>98</v>
      </c>
      <c r="C50" s="147">
        <f>SUM(C47:C49)</f>
        <v>173.56619999999998</v>
      </c>
      <c r="D50" s="148"/>
      <c r="E50" s="149"/>
      <c r="F50" s="149"/>
      <c r="G50" s="150" t="s">
        <v>99</v>
      </c>
      <c r="H50" s="150"/>
      <c r="I50" s="150"/>
      <c r="J50" s="150"/>
      <c r="K50" s="150"/>
      <c r="L50" s="50">
        <f>IF(B2=75,0,K49+K48+K47)</f>
        <v>161372</v>
      </c>
      <c r="N50" s="3"/>
      <c r="O50" s="1"/>
      <c r="V50" s="151" t="s">
        <v>98</v>
      </c>
      <c r="W50" s="152">
        <f>SUM(W47:W49)</f>
        <v>115.80000000000001</v>
      </c>
      <c r="X50" s="648" t="s">
        <v>99</v>
      </c>
      <c r="Y50" s="649"/>
      <c r="Z50" s="649"/>
      <c r="AA50" s="649"/>
      <c r="AB50" s="649"/>
      <c r="AC50" s="56">
        <f>IF(V2=75,0,AB49+AB48+AB47)</f>
        <v>107664</v>
      </c>
      <c r="AD50" s="9"/>
    </row>
    <row r="51" spans="2:30" ht="19.5" customHeight="1" x14ac:dyDescent="0.25">
      <c r="B51" s="153" t="s">
        <v>100</v>
      </c>
      <c r="C51" s="153"/>
      <c r="D51" s="153"/>
      <c r="E51" s="153"/>
      <c r="F51" s="153"/>
      <c r="G51" s="153"/>
      <c r="H51" s="153"/>
      <c r="I51" s="153"/>
      <c r="J51" s="153"/>
      <c r="K51" s="153"/>
      <c r="L51" s="153"/>
      <c r="M51" s="141"/>
      <c r="N51" s="101"/>
      <c r="O51" s="1"/>
      <c r="V51" s="650" t="s">
        <v>100</v>
      </c>
      <c r="W51" s="650"/>
      <c r="X51" s="650"/>
      <c r="Y51" s="650"/>
      <c r="Z51" s="650"/>
      <c r="AA51" s="650"/>
      <c r="AB51" s="650"/>
      <c r="AC51" s="650"/>
      <c r="AD51" s="154"/>
    </row>
    <row r="52" spans="2:30" ht="27.75" customHeight="1" x14ac:dyDescent="0.25">
      <c r="B52" s="13" t="s">
        <v>101</v>
      </c>
      <c r="C52" s="13"/>
      <c r="D52" s="13"/>
      <c r="E52" s="13"/>
      <c r="F52" s="13"/>
      <c r="G52" s="13"/>
      <c r="H52" s="13"/>
      <c r="I52" s="13"/>
      <c r="J52" s="13"/>
      <c r="K52" s="13"/>
      <c r="L52" s="13"/>
      <c r="O52" s="1"/>
      <c r="V52" s="651" t="s">
        <v>101</v>
      </c>
      <c r="W52" s="651"/>
      <c r="X52" s="651"/>
      <c r="Y52" s="651"/>
      <c r="Z52" s="651"/>
      <c r="AA52" s="651"/>
      <c r="AB52" s="651"/>
      <c r="AC52" s="651"/>
      <c r="AD52" s="9"/>
    </row>
    <row r="53" spans="2:30" x14ac:dyDescent="0.25">
      <c r="B53" s="13" t="s">
        <v>102</v>
      </c>
      <c r="C53" s="13"/>
      <c r="D53" s="13"/>
      <c r="E53" s="13"/>
      <c r="F53" s="13"/>
      <c r="G53" s="155">
        <f>K26</f>
        <v>173.56619999999998</v>
      </c>
      <c r="H53" s="57" t="s">
        <v>103</v>
      </c>
      <c r="I53" s="57"/>
      <c r="J53" s="156">
        <v>197823.77</v>
      </c>
      <c r="K53" s="156"/>
      <c r="L53" s="156"/>
      <c r="N53" s="3"/>
      <c r="O53" s="1"/>
      <c r="V53" s="657" t="s">
        <v>102</v>
      </c>
      <c r="W53" s="657"/>
      <c r="X53" s="157">
        <f>AB26</f>
        <v>115.80000000000001</v>
      </c>
      <c r="Y53" s="658" t="s">
        <v>103</v>
      </c>
      <c r="Z53" s="658"/>
      <c r="AA53" s="659">
        <f>+J53</f>
        <v>197823.77</v>
      </c>
      <c r="AB53" s="659"/>
      <c r="AC53" s="659"/>
      <c r="AD53" s="9"/>
    </row>
    <row r="54" spans="2:30" x14ac:dyDescent="0.25">
      <c r="B54" s="13" t="s">
        <v>104</v>
      </c>
      <c r="C54" s="13"/>
      <c r="D54" s="13"/>
      <c r="E54" s="13"/>
      <c r="F54" s="13"/>
      <c r="G54" s="13"/>
      <c r="H54" s="13"/>
      <c r="I54" s="13"/>
      <c r="J54" s="13"/>
      <c r="K54" s="158">
        <f>ROUND(G53/J53,6)</f>
        <v>8.7699999999999996E-4</v>
      </c>
      <c r="L54" s="158"/>
      <c r="N54" s="101"/>
      <c r="O54" s="1"/>
      <c r="V54" s="657" t="s">
        <v>104</v>
      </c>
      <c r="W54" s="657"/>
      <c r="X54" s="657"/>
      <c r="Y54" s="657"/>
      <c r="Z54" s="657"/>
      <c r="AA54" s="657"/>
      <c r="AB54" s="660">
        <f>ROUND(X53/AA53,6)</f>
        <v>5.8500000000000002E-4</v>
      </c>
      <c r="AC54" s="660"/>
      <c r="AD54" s="9"/>
    </row>
    <row r="55" spans="2:30" ht="24" customHeight="1" x14ac:dyDescent="0.25">
      <c r="B55" s="13" t="s">
        <v>105</v>
      </c>
      <c r="C55" s="13"/>
      <c r="D55" s="13"/>
      <c r="E55" s="13"/>
      <c r="F55" s="13"/>
      <c r="G55" s="13"/>
      <c r="H55" s="13"/>
      <c r="I55" s="13"/>
      <c r="J55" s="13"/>
      <c r="K55" s="13"/>
      <c r="L55" s="13"/>
      <c r="O55" s="1"/>
      <c r="V55" s="651" t="s">
        <v>105</v>
      </c>
      <c r="W55" s="651"/>
      <c r="X55" s="651"/>
      <c r="Y55" s="651"/>
      <c r="Z55" s="651"/>
      <c r="AA55" s="651"/>
      <c r="AB55" s="651"/>
      <c r="AC55" s="651"/>
      <c r="AD55" s="9"/>
    </row>
    <row r="56" spans="2:30" x14ac:dyDescent="0.25">
      <c r="B56" s="13" t="s">
        <v>106</v>
      </c>
      <c r="C56" s="13"/>
      <c r="D56" s="13"/>
      <c r="E56" s="13"/>
      <c r="F56" s="13"/>
      <c r="G56" s="159">
        <f>G26</f>
        <v>115.80000000000001</v>
      </c>
      <c r="H56" s="57" t="s">
        <v>107</v>
      </c>
      <c r="I56" s="57"/>
      <c r="J56" s="156">
        <f>+G40</f>
        <v>180284.81</v>
      </c>
      <c r="K56" s="156"/>
      <c r="L56" s="156"/>
      <c r="O56" s="1"/>
      <c r="V56" s="657" t="s">
        <v>106</v>
      </c>
      <c r="W56" s="657"/>
      <c r="X56" s="160">
        <f>X26</f>
        <v>115.80000000000001</v>
      </c>
      <c r="Y56" s="658" t="s">
        <v>107</v>
      </c>
      <c r="Z56" s="658"/>
      <c r="AA56" s="659">
        <f>+J56</f>
        <v>180284.81</v>
      </c>
      <c r="AB56" s="659"/>
      <c r="AC56" s="659"/>
      <c r="AD56" s="9"/>
    </row>
    <row r="57" spans="2:30" x14ac:dyDescent="0.25">
      <c r="B57" s="13" t="s">
        <v>108</v>
      </c>
      <c r="C57" s="13"/>
      <c r="D57" s="13"/>
      <c r="E57" s="13"/>
      <c r="F57" s="13"/>
      <c r="G57" s="13"/>
      <c r="H57" s="13"/>
      <c r="I57" s="13"/>
      <c r="J57" s="13"/>
      <c r="K57" s="158">
        <f>ROUND(G56/J56,6)</f>
        <v>6.4199999999999999E-4</v>
      </c>
      <c r="L57" s="158"/>
      <c r="O57" s="1"/>
      <c r="V57" s="657" t="s">
        <v>108</v>
      </c>
      <c r="W57" s="657"/>
      <c r="X57" s="657"/>
      <c r="Y57" s="657"/>
      <c r="Z57" s="657"/>
      <c r="AA57" s="657"/>
      <c r="AB57" s="660">
        <f>ROUND(X56/AA56,6)</f>
        <v>6.4199999999999999E-4</v>
      </c>
      <c r="AC57" s="660"/>
      <c r="AD57" s="9"/>
    </row>
    <row r="58" spans="2:30" ht="20.25" customHeight="1" x14ac:dyDescent="0.25">
      <c r="B58" s="161" t="s">
        <v>109</v>
      </c>
      <c r="C58" s="161"/>
      <c r="D58" s="161"/>
      <c r="E58" s="161"/>
      <c r="F58" s="161"/>
      <c r="G58" s="161"/>
      <c r="H58" s="161"/>
      <c r="I58" s="161"/>
      <c r="J58" s="161"/>
      <c r="K58" s="161"/>
      <c r="L58" s="161"/>
      <c r="N58" s="18"/>
      <c r="O58" s="18"/>
      <c r="V58" s="629" t="s">
        <v>110</v>
      </c>
      <c r="W58" s="629"/>
      <c r="X58" s="629"/>
      <c r="Y58" s="661">
        <f>X65+X64+X62+X61+X60</f>
        <v>4123852</v>
      </c>
      <c r="Z58" s="661"/>
      <c r="AA58" s="162" t="s">
        <v>111</v>
      </c>
      <c r="AB58" s="163">
        <f>AB54</f>
        <v>5.8500000000000002E-4</v>
      </c>
      <c r="AC58" s="56">
        <f>ROUND(Y58*AB58,0)</f>
        <v>2412</v>
      </c>
      <c r="AD58" s="9"/>
    </row>
    <row r="59" spans="2:30" x14ac:dyDescent="0.25">
      <c r="B59" s="62" t="s">
        <v>110</v>
      </c>
      <c r="C59" s="62"/>
      <c r="D59" s="62"/>
      <c r="E59" s="62"/>
      <c r="F59" s="62"/>
      <c r="G59" s="62"/>
      <c r="H59" s="164" t="s">
        <v>22</v>
      </c>
      <c r="I59" s="129">
        <v>4123852</v>
      </c>
      <c r="J59" s="165" t="s">
        <v>111</v>
      </c>
      <c r="K59" s="166">
        <f>K54</f>
        <v>8.7699999999999996E-4</v>
      </c>
      <c r="L59" s="50">
        <f>ROUND(I59*K59,0)</f>
        <v>3617</v>
      </c>
      <c r="O59" s="1"/>
      <c r="P59" s="165"/>
      <c r="Q59" s="165"/>
      <c r="V59" s="662" t="s">
        <v>112</v>
      </c>
      <c r="W59" s="662"/>
      <c r="X59" s="662"/>
      <c r="Y59" s="662"/>
      <c r="Z59" s="662"/>
      <c r="AA59" s="662"/>
      <c r="AB59" s="662"/>
      <c r="AC59" s="662"/>
      <c r="AD59" s="9"/>
    </row>
    <row r="60" spans="2:30" x14ac:dyDescent="0.25">
      <c r="B60" s="62" t="s">
        <v>112</v>
      </c>
      <c r="C60" s="62"/>
      <c r="D60" s="62"/>
      <c r="E60" s="62"/>
      <c r="F60" s="62"/>
      <c r="G60" s="62"/>
      <c r="H60" s="62"/>
      <c r="I60" s="62"/>
      <c r="J60" s="62"/>
      <c r="K60" s="62"/>
      <c r="L60" s="62"/>
      <c r="O60" s="1"/>
      <c r="P60" s="165"/>
      <c r="Q60" s="165"/>
      <c r="V60" s="663" t="s">
        <v>113</v>
      </c>
      <c r="W60" s="663"/>
      <c r="X60" s="664">
        <f>+G61</f>
        <v>0</v>
      </c>
      <c r="Y60" s="664"/>
      <c r="Z60" s="664"/>
      <c r="AA60" s="664"/>
      <c r="AB60" s="664"/>
      <c r="AC60" s="664"/>
      <c r="AD60" s="9"/>
    </row>
    <row r="61" spans="2:30" ht="15" customHeight="1" x14ac:dyDescent="0.25">
      <c r="B61" s="167" t="s">
        <v>113</v>
      </c>
      <c r="C61" s="62"/>
      <c r="D61" s="62"/>
      <c r="E61" s="62"/>
      <c r="F61" s="62"/>
      <c r="G61" s="168">
        <v>0</v>
      </c>
      <c r="H61" s="168"/>
      <c r="I61" s="168"/>
      <c r="J61" s="168"/>
      <c r="K61" s="168"/>
      <c r="L61" s="168"/>
      <c r="O61" s="1"/>
      <c r="P61" s="165"/>
      <c r="Q61" s="165"/>
      <c r="V61" s="663" t="s">
        <v>114</v>
      </c>
      <c r="W61" s="663"/>
      <c r="X61" s="664">
        <f>+G62</f>
        <v>0</v>
      </c>
      <c r="Y61" s="664"/>
      <c r="Z61" s="664"/>
      <c r="AA61" s="664"/>
      <c r="AB61" s="664"/>
      <c r="AC61" s="664"/>
      <c r="AD61" s="9"/>
    </row>
    <row r="62" spans="2:30" ht="13.5" customHeight="1" x14ac:dyDescent="0.25">
      <c r="B62" s="167" t="s">
        <v>114</v>
      </c>
      <c r="C62" s="62"/>
      <c r="D62" s="62"/>
      <c r="E62" s="62"/>
      <c r="F62" s="62"/>
      <c r="G62" s="168">
        <v>0</v>
      </c>
      <c r="H62" s="168"/>
      <c r="I62" s="168"/>
      <c r="J62" s="168"/>
      <c r="K62" s="168"/>
      <c r="L62" s="168"/>
      <c r="N62" s="165"/>
      <c r="O62" s="165"/>
      <c r="P62" s="165"/>
      <c r="Q62" s="165"/>
      <c r="V62" s="663" t="s">
        <v>115</v>
      </c>
      <c r="W62" s="663"/>
      <c r="X62" s="664">
        <v>0</v>
      </c>
      <c r="Y62" s="664"/>
      <c r="Z62" s="664"/>
      <c r="AA62" s="664"/>
      <c r="AB62" s="664"/>
      <c r="AC62" s="664"/>
      <c r="AD62" s="9"/>
    </row>
    <row r="63" spans="2:30" ht="13.5" hidden="1" customHeight="1" x14ac:dyDescent="0.25">
      <c r="B63" s="62" t="s">
        <v>115</v>
      </c>
      <c r="C63" s="62"/>
      <c r="D63" s="62"/>
      <c r="E63" s="62"/>
      <c r="F63" s="62"/>
      <c r="G63" s="168">
        <v>0</v>
      </c>
      <c r="H63" s="168"/>
      <c r="I63" s="168"/>
      <c r="J63" s="168"/>
      <c r="K63" s="168"/>
      <c r="L63" s="168"/>
      <c r="O63" s="1"/>
      <c r="P63" s="165"/>
      <c r="Q63" s="165"/>
      <c r="V63" s="662" t="s">
        <v>116</v>
      </c>
      <c r="W63" s="662"/>
      <c r="X63" s="662"/>
      <c r="Y63" s="662"/>
      <c r="Z63" s="662"/>
      <c r="AA63" s="662"/>
      <c r="AB63" s="662"/>
      <c r="AC63" s="662"/>
      <c r="AD63" s="117"/>
    </row>
    <row r="64" spans="2:30" ht="13.5" customHeight="1" x14ac:dyDescent="0.25">
      <c r="B64" s="62" t="s">
        <v>116</v>
      </c>
      <c r="C64" s="62"/>
      <c r="D64" s="62"/>
      <c r="E64" s="62"/>
      <c r="F64" s="62"/>
      <c r="G64" s="62"/>
      <c r="H64" s="62"/>
      <c r="I64" s="62"/>
      <c r="J64" s="62"/>
      <c r="K64" s="62"/>
      <c r="L64" s="62"/>
      <c r="M64" s="116"/>
      <c r="N64" s="18"/>
      <c r="O64" s="1"/>
      <c r="V64" s="663" t="s">
        <v>117</v>
      </c>
      <c r="W64" s="663"/>
      <c r="X64" s="664">
        <f>+G65</f>
        <v>4123852</v>
      </c>
      <c r="Y64" s="664"/>
      <c r="Z64" s="664"/>
      <c r="AA64" s="664"/>
      <c r="AB64" s="664"/>
      <c r="AC64" s="664"/>
      <c r="AD64" s="9"/>
    </row>
    <row r="65" spans="1:30" ht="12.75" customHeight="1" x14ac:dyDescent="0.25">
      <c r="B65" s="167" t="s">
        <v>117</v>
      </c>
      <c r="C65" s="62"/>
      <c r="D65" s="62"/>
      <c r="E65" s="62"/>
      <c r="F65" s="62"/>
      <c r="G65" s="168">
        <f>+I59</f>
        <v>4123852</v>
      </c>
      <c r="H65" s="168"/>
      <c r="I65" s="168"/>
      <c r="J65" s="168"/>
      <c r="K65" s="168"/>
      <c r="L65" s="168"/>
      <c r="O65" s="1"/>
      <c r="V65" s="663" t="s">
        <v>118</v>
      </c>
      <c r="W65" s="663"/>
      <c r="X65" s="664">
        <f>+G66</f>
        <v>0</v>
      </c>
      <c r="Y65" s="664"/>
      <c r="Z65" s="664"/>
      <c r="AA65" s="664"/>
      <c r="AB65" s="664"/>
      <c r="AC65" s="664"/>
      <c r="AD65" s="20"/>
    </row>
    <row r="66" spans="1:30" ht="15" customHeight="1" x14ac:dyDescent="0.25">
      <c r="B66" s="167" t="s">
        <v>118</v>
      </c>
      <c r="C66" s="62"/>
      <c r="D66" s="62"/>
      <c r="E66" s="62"/>
      <c r="F66" s="62"/>
      <c r="G66" s="168">
        <v>0</v>
      </c>
      <c r="H66" s="168"/>
      <c r="I66" s="168"/>
      <c r="J66" s="168"/>
      <c r="K66" s="168"/>
      <c r="L66" s="168"/>
      <c r="M66" s="18"/>
      <c r="N66" s="3"/>
      <c r="O66" s="169"/>
      <c r="P66" s="169"/>
      <c r="Q66" s="169"/>
      <c r="V66" s="651" t="s">
        <v>119</v>
      </c>
      <c r="W66" s="651"/>
      <c r="X66" s="651"/>
      <c r="Y66" s="661">
        <f>+I67</f>
        <v>96774526</v>
      </c>
      <c r="Z66" s="661"/>
      <c r="AA66" s="162" t="s">
        <v>111</v>
      </c>
      <c r="AB66" s="163">
        <f>AB54</f>
        <v>5.8500000000000002E-4</v>
      </c>
      <c r="AC66" s="56">
        <f>ROUND(Y66*AB66,0)</f>
        <v>56613</v>
      </c>
      <c r="AD66" s="9"/>
    </row>
    <row r="67" spans="1:30" ht="20.25" customHeight="1" x14ac:dyDescent="0.25">
      <c r="B67" s="13" t="s">
        <v>119</v>
      </c>
      <c r="C67" s="13"/>
      <c r="D67" s="13"/>
      <c r="E67" s="13"/>
      <c r="F67" s="13"/>
      <c r="H67" s="164" t="s">
        <v>25</v>
      </c>
      <c r="I67" s="129">
        <v>96774526</v>
      </c>
      <c r="J67" s="165" t="s">
        <v>111</v>
      </c>
      <c r="K67" s="166">
        <f>K54</f>
        <v>8.7699999999999996E-4</v>
      </c>
      <c r="L67" s="50">
        <f>ROUND(I67*K67,0)</f>
        <v>84871</v>
      </c>
      <c r="O67" s="1"/>
      <c r="V67" s="651" t="s">
        <v>120</v>
      </c>
      <c r="W67" s="651"/>
      <c r="X67" s="651"/>
      <c r="Y67" s="651"/>
      <c r="Z67" s="651"/>
      <c r="AA67" s="651"/>
      <c r="AB67" s="651"/>
      <c r="AC67" s="651"/>
      <c r="AD67" s="9"/>
    </row>
    <row r="68" spans="1:30" ht="20.25" customHeight="1" x14ac:dyDescent="0.25">
      <c r="B68" s="13" t="s">
        <v>120</v>
      </c>
      <c r="C68" s="13"/>
      <c r="D68" s="13"/>
      <c r="E68" s="13"/>
      <c r="F68" s="13"/>
      <c r="H68" s="13"/>
      <c r="I68" s="13"/>
      <c r="J68" s="82"/>
      <c r="K68" s="13"/>
      <c r="L68" s="13"/>
      <c r="O68" s="1"/>
      <c r="V68" s="667" t="s">
        <v>121</v>
      </c>
      <c r="W68" s="667"/>
      <c r="X68" s="667"/>
      <c r="Y68" s="661">
        <f>+I69</f>
        <v>0</v>
      </c>
      <c r="Z68" s="661"/>
      <c r="AA68" s="162" t="s">
        <v>111</v>
      </c>
      <c r="AB68" s="163">
        <f>AB57</f>
        <v>6.4199999999999999E-4</v>
      </c>
      <c r="AC68" s="56">
        <f>ROUND(Y68*AB68,0)</f>
        <v>0</v>
      </c>
      <c r="AD68" s="9"/>
    </row>
    <row r="69" spans="1:30" ht="15" customHeight="1" x14ac:dyDescent="0.25">
      <c r="B69" s="170" t="s">
        <v>121</v>
      </c>
      <c r="C69" s="13"/>
      <c r="D69" s="13"/>
      <c r="E69" s="13"/>
      <c r="F69" s="13"/>
      <c r="H69" s="164" t="s">
        <v>23</v>
      </c>
      <c r="I69" s="129">
        <v>0</v>
      </c>
      <c r="J69" s="165" t="s">
        <v>111</v>
      </c>
      <c r="K69" s="166">
        <f>K57</f>
        <v>6.4199999999999999E-4</v>
      </c>
      <c r="L69" s="50">
        <f>ROUND(I69*K69,0)</f>
        <v>0</v>
      </c>
      <c r="O69" s="1"/>
      <c r="V69" s="651" t="s">
        <v>122</v>
      </c>
      <c r="W69" s="651"/>
      <c r="X69" s="651"/>
      <c r="Y69" s="668">
        <f>+I70</f>
        <v>-3460775</v>
      </c>
      <c r="Z69" s="668"/>
      <c r="AA69" s="162" t="s">
        <v>111</v>
      </c>
      <c r="AB69" s="163">
        <f>AB54</f>
        <v>5.8500000000000002E-4</v>
      </c>
      <c r="AC69" s="56">
        <f>ROUND(Y69*AB69,0)</f>
        <v>-2025</v>
      </c>
      <c r="AD69" s="9"/>
    </row>
    <row r="70" spans="1:30" ht="20.25" customHeight="1" x14ac:dyDescent="0.25">
      <c r="B70" s="13" t="s">
        <v>122</v>
      </c>
      <c r="C70" s="13"/>
      <c r="D70" s="13"/>
      <c r="E70" s="13"/>
      <c r="F70" s="13"/>
      <c r="H70" s="164" t="s">
        <v>22</v>
      </c>
      <c r="I70" s="129">
        <v>-3460775</v>
      </c>
      <c r="J70" s="165" t="s">
        <v>111</v>
      </c>
      <c r="K70" s="166">
        <f>K54</f>
        <v>8.7699999999999996E-4</v>
      </c>
      <c r="L70" s="50">
        <f>ROUND(I70*K70,0)</f>
        <v>-3035</v>
      </c>
      <c r="O70" s="1"/>
      <c r="V70" s="651" t="s">
        <v>123</v>
      </c>
      <c r="W70" s="651"/>
      <c r="X70" s="651"/>
      <c r="Y70" s="665">
        <f>+I71</f>
        <v>1874788</v>
      </c>
      <c r="Z70" s="665"/>
      <c r="AA70" s="162" t="s">
        <v>111</v>
      </c>
      <c r="AB70" s="163">
        <f>AB54</f>
        <v>5.8500000000000002E-4</v>
      </c>
      <c r="AC70" s="56">
        <f>ROUND(Y70*AB70,0)</f>
        <v>1097</v>
      </c>
      <c r="AD70" s="9"/>
    </row>
    <row r="71" spans="1:30" ht="20.25" customHeight="1" x14ac:dyDescent="0.25">
      <c r="B71" s="13" t="s">
        <v>123</v>
      </c>
      <c r="C71" s="13"/>
      <c r="D71" s="13"/>
      <c r="E71" s="13"/>
      <c r="F71" s="13"/>
      <c r="H71" s="164" t="s">
        <v>22</v>
      </c>
      <c r="I71" s="129">
        <v>1874788</v>
      </c>
      <c r="J71" s="165" t="s">
        <v>111</v>
      </c>
      <c r="K71" s="166">
        <f>K54</f>
        <v>8.7699999999999996E-4</v>
      </c>
      <c r="L71" s="50">
        <f>ROUND(I71*K71,0)</f>
        <v>1644</v>
      </c>
      <c r="O71" s="1"/>
      <c r="V71" s="651" t="s">
        <v>124</v>
      </c>
      <c r="W71" s="651"/>
      <c r="X71" s="651"/>
      <c r="Y71" s="665">
        <f>+I72</f>
        <v>14223298</v>
      </c>
      <c r="Z71" s="665"/>
      <c r="AA71" s="162" t="s">
        <v>111</v>
      </c>
      <c r="AB71" s="163">
        <f>AB57</f>
        <v>6.4199999999999999E-4</v>
      </c>
      <c r="AC71" s="56">
        <f>ROUND(Y71*AB71,0)</f>
        <v>9131</v>
      </c>
      <c r="AD71" s="9"/>
    </row>
    <row r="72" spans="1:30" ht="21" customHeight="1" x14ac:dyDescent="0.25">
      <c r="B72" s="13" t="s">
        <v>124</v>
      </c>
      <c r="C72" s="13"/>
      <c r="D72" s="13"/>
      <c r="E72" s="13"/>
      <c r="F72" s="13"/>
      <c r="H72" s="164" t="s">
        <v>23</v>
      </c>
      <c r="I72" s="171">
        <v>14223298</v>
      </c>
      <c r="J72" s="165" t="s">
        <v>111</v>
      </c>
      <c r="K72" s="166">
        <f>K57</f>
        <v>6.4199999999999999E-4</v>
      </c>
      <c r="L72" s="50">
        <f>ROUND(I72*K72,0)</f>
        <v>9131</v>
      </c>
      <c r="O72" s="1"/>
      <c r="V72" s="623" t="s">
        <v>125</v>
      </c>
      <c r="W72" s="623"/>
      <c r="X72" s="623"/>
      <c r="Y72" s="623"/>
      <c r="Z72" s="623"/>
      <c r="AA72" s="623"/>
      <c r="AB72" s="623"/>
      <c r="AC72" s="60"/>
      <c r="AD72" s="9"/>
    </row>
    <row r="73" spans="1:30" ht="17.25" customHeight="1" x14ac:dyDescent="0.25">
      <c r="B73" s="13" t="s">
        <v>125</v>
      </c>
      <c r="C73" s="13"/>
      <c r="D73" s="13"/>
      <c r="E73" s="13"/>
      <c r="F73" s="13"/>
      <c r="H73" s="13"/>
      <c r="I73" s="13"/>
      <c r="J73" s="82"/>
      <c r="K73" s="13"/>
      <c r="L73" s="59"/>
      <c r="O73" s="1"/>
      <c r="V73" s="651" t="s">
        <v>126</v>
      </c>
      <c r="W73" s="651"/>
      <c r="X73" s="651"/>
      <c r="Y73" s="651"/>
      <c r="Z73" s="651"/>
      <c r="AA73" s="651"/>
      <c r="AB73" s="651"/>
      <c r="AC73" s="651"/>
      <c r="AD73" s="9"/>
    </row>
    <row r="74" spans="1:30" ht="31.5" x14ac:dyDescent="0.25">
      <c r="B74" s="13" t="s">
        <v>126</v>
      </c>
      <c r="C74" s="13"/>
      <c r="D74" s="27" t="s">
        <v>13</v>
      </c>
      <c r="E74" s="27" t="s">
        <v>14</v>
      </c>
      <c r="F74" s="27"/>
      <c r="H74" s="164" t="s">
        <v>26</v>
      </c>
      <c r="I74" s="172"/>
      <c r="J74" s="164"/>
      <c r="K74" s="172"/>
      <c r="L74" s="112"/>
      <c r="O74" s="1"/>
      <c r="V74" s="666" t="s">
        <v>127</v>
      </c>
      <c r="W74" s="666"/>
      <c r="X74" s="173" t="s">
        <v>128</v>
      </c>
      <c r="Y74" s="174"/>
      <c r="Z74" s="175">
        <f>+I75</f>
        <v>91</v>
      </c>
      <c r="AA74" s="176" t="s">
        <v>129</v>
      </c>
      <c r="AB74" s="177">
        <f>+K75</f>
        <v>361</v>
      </c>
      <c r="AC74" s="56">
        <f>ROUND(AB74*Z74,0)</f>
        <v>32851</v>
      </c>
      <c r="AD74" s="9"/>
    </row>
    <row r="75" spans="1:30" ht="19.5" customHeight="1" x14ac:dyDescent="0.25">
      <c r="A75" s="1" t="s">
        <v>130</v>
      </c>
      <c r="B75" s="178" t="s">
        <v>127</v>
      </c>
      <c r="C75" s="179" t="s">
        <v>128</v>
      </c>
      <c r="D75" s="178">
        <v>93</v>
      </c>
      <c r="E75" s="178">
        <v>89</v>
      </c>
      <c r="F75" s="178">
        <v>0</v>
      </c>
      <c r="G75" s="180">
        <f>IF(E75=0,D75,E75)</f>
        <v>89</v>
      </c>
      <c r="H75" s="181"/>
      <c r="I75" s="182">
        <f>AVERAGE(G75,D75)</f>
        <v>91</v>
      </c>
      <c r="J75" s="183" t="s">
        <v>129</v>
      </c>
      <c r="K75" s="184">
        <v>361</v>
      </c>
      <c r="L75" s="50">
        <f>ROUND(K75*I75,0)</f>
        <v>32851</v>
      </c>
      <c r="N75" s="1">
        <v>7802</v>
      </c>
      <c r="O75" s="1">
        <v>0</v>
      </c>
      <c r="V75" s="666" t="s">
        <v>127</v>
      </c>
      <c r="W75" s="666"/>
      <c r="X75" s="173" t="s">
        <v>131</v>
      </c>
      <c r="Y75" s="185"/>
      <c r="Z75" s="186"/>
      <c r="AA75" s="176" t="s">
        <v>129</v>
      </c>
      <c r="AB75" s="187">
        <f>+K76</f>
        <v>1358</v>
      </c>
      <c r="AC75" s="56">
        <f>ROUND(AB75*Z75,0)</f>
        <v>0</v>
      </c>
      <c r="AD75" s="9"/>
    </row>
    <row r="76" spans="1:30" ht="19.5" customHeight="1" x14ac:dyDescent="0.25">
      <c r="A76" s="1" t="s">
        <v>132</v>
      </c>
      <c r="B76" s="178" t="s">
        <v>127</v>
      </c>
      <c r="C76" s="179" t="s">
        <v>131</v>
      </c>
      <c r="D76" s="178">
        <v>0</v>
      </c>
      <c r="E76" s="178">
        <v>0</v>
      </c>
      <c r="F76" s="178">
        <v>0</v>
      </c>
      <c r="G76" s="180">
        <f>IF(E76=0,D76,E76)</f>
        <v>0</v>
      </c>
      <c r="H76" s="181"/>
      <c r="I76" s="182">
        <f>AVERAGE(G76,D76)</f>
        <v>0</v>
      </c>
      <c r="J76" s="183" t="s">
        <v>129</v>
      </c>
      <c r="K76" s="188">
        <v>1358</v>
      </c>
      <c r="L76" s="50">
        <f>ROUND(K76*I76,0)</f>
        <v>0</v>
      </c>
      <c r="N76" s="1">
        <v>7802</v>
      </c>
      <c r="O76" s="1">
        <v>110</v>
      </c>
      <c r="V76" s="651" t="s">
        <v>133</v>
      </c>
      <c r="W76" s="651"/>
      <c r="X76" s="651"/>
      <c r="Y76" s="661">
        <f>+I77</f>
        <v>33305823</v>
      </c>
      <c r="Z76" s="661"/>
      <c r="AA76" s="176" t="s">
        <v>129</v>
      </c>
      <c r="AB76" s="163">
        <f>AB54</f>
        <v>5.8500000000000002E-4</v>
      </c>
      <c r="AC76" s="56">
        <f>ROUND(Y76*AB76,0)</f>
        <v>19484</v>
      </c>
      <c r="AD76" s="9"/>
    </row>
    <row r="77" spans="1:30" ht="26.25" customHeight="1" x14ac:dyDescent="0.25">
      <c r="B77" s="13" t="s">
        <v>133</v>
      </c>
      <c r="C77" s="13"/>
      <c r="D77" s="13"/>
      <c r="E77" s="13"/>
      <c r="F77" s="13"/>
      <c r="H77" s="164" t="s">
        <v>134</v>
      </c>
      <c r="I77" s="189">
        <v>33305823</v>
      </c>
      <c r="J77" s="165" t="s">
        <v>111</v>
      </c>
      <c r="K77" s="166">
        <f>K54</f>
        <v>8.7699999999999996E-4</v>
      </c>
      <c r="L77" s="50">
        <f>ROUND(I77*K77,0)</f>
        <v>29209</v>
      </c>
      <c r="O77" s="1"/>
      <c r="V77" s="651" t="str">
        <f>+B78</f>
        <v>15.  Additional Allocation (WFTE share)</v>
      </c>
      <c r="W77" s="651"/>
      <c r="X77" s="651"/>
      <c r="Y77" s="661">
        <f>+I78</f>
        <v>680688</v>
      </c>
      <c r="Z77" s="661"/>
      <c r="AA77" s="176" t="s">
        <v>129</v>
      </c>
      <c r="AB77" s="163">
        <f>AB54</f>
        <v>5.8500000000000002E-4</v>
      </c>
      <c r="AC77" s="56">
        <f>ROUND(Y77*AB77,0)</f>
        <v>398</v>
      </c>
      <c r="AD77" s="9"/>
    </row>
    <row r="78" spans="1:30" ht="26.25" customHeight="1" x14ac:dyDescent="0.25">
      <c r="B78" s="669" t="s">
        <v>135</v>
      </c>
      <c r="C78" s="669"/>
      <c r="D78" s="669"/>
      <c r="E78" s="13"/>
      <c r="F78" s="13"/>
      <c r="H78" s="164" t="s">
        <v>136</v>
      </c>
      <c r="I78" s="190">
        <v>680688</v>
      </c>
      <c r="J78" s="165" t="s">
        <v>111</v>
      </c>
      <c r="K78" s="166">
        <f>K54</f>
        <v>8.7699999999999996E-4</v>
      </c>
      <c r="L78" s="50">
        <f>ROUND(I78*K78,0)</f>
        <v>597</v>
      </c>
      <c r="O78" s="1"/>
      <c r="V78" s="651" t="str">
        <f t="shared" ref="V78:V79" si="11">+B79</f>
        <v>16.  Florida Teachers Lead Program Stipend</v>
      </c>
      <c r="W78" s="651"/>
      <c r="X78" s="651"/>
      <c r="Y78" s="191"/>
      <c r="Z78" s="191"/>
      <c r="AA78" s="191"/>
      <c r="AB78" s="191"/>
      <c r="AC78" s="134"/>
      <c r="AD78" s="9"/>
    </row>
    <row r="79" spans="1:30" ht="21" customHeight="1" x14ac:dyDescent="0.25">
      <c r="B79" s="669" t="s">
        <v>137</v>
      </c>
      <c r="C79" s="669"/>
      <c r="D79" s="669"/>
      <c r="E79" s="13"/>
      <c r="F79" s="13"/>
      <c r="H79" s="164"/>
      <c r="I79" s="172"/>
      <c r="J79" s="172"/>
      <c r="K79" s="172"/>
      <c r="L79" s="129"/>
      <c r="N79" s="192"/>
      <c r="O79" s="1"/>
      <c r="Q79" s="164"/>
      <c r="V79" s="651" t="str">
        <f t="shared" si="11"/>
        <v>17.  Food Service Allocation</v>
      </c>
      <c r="W79" s="651"/>
      <c r="X79" s="651"/>
      <c r="Y79" s="191"/>
      <c r="Z79" s="191"/>
      <c r="AA79" s="191"/>
      <c r="AB79" s="191"/>
      <c r="AC79" s="193"/>
      <c r="AD79" s="9"/>
    </row>
    <row r="80" spans="1:30" ht="21" customHeight="1" x14ac:dyDescent="0.25">
      <c r="B80" s="669" t="s">
        <v>138</v>
      </c>
      <c r="C80" s="669"/>
      <c r="D80" s="669"/>
      <c r="E80" s="13"/>
      <c r="F80" s="13"/>
      <c r="H80" s="194" t="s">
        <v>139</v>
      </c>
      <c r="I80" s="195"/>
      <c r="J80" s="195"/>
      <c r="K80" s="195"/>
      <c r="L80" s="196"/>
      <c r="N80" s="197"/>
      <c r="O80" s="1"/>
      <c r="Q80" s="164"/>
      <c r="V80" s="191"/>
      <c r="W80" s="191"/>
      <c r="X80" s="191"/>
      <c r="Y80" s="191"/>
      <c r="Z80" s="191"/>
      <c r="AA80" s="191"/>
      <c r="AB80" s="191"/>
      <c r="AC80" s="193"/>
      <c r="AD80" s="9"/>
    </row>
    <row r="81" spans="1:30" ht="21" customHeight="1" thickBot="1" x14ac:dyDescent="0.3">
      <c r="B81" s="13"/>
      <c r="C81" s="13"/>
      <c r="D81" s="13"/>
      <c r="E81" s="13"/>
      <c r="F81" s="13"/>
      <c r="G81" s="13"/>
      <c r="H81" s="13"/>
      <c r="I81" s="13"/>
      <c r="J81" s="13"/>
      <c r="K81" s="13"/>
      <c r="L81" s="196"/>
      <c r="M81" s="198"/>
      <c r="N81" s="197"/>
      <c r="O81" s="1"/>
      <c r="Q81" s="164"/>
      <c r="V81" s="191" t="s">
        <v>140</v>
      </c>
      <c r="W81" s="191"/>
      <c r="X81" s="191"/>
      <c r="Y81" s="191"/>
      <c r="Z81" s="191"/>
      <c r="AA81" s="191"/>
      <c r="AB81" s="191"/>
      <c r="AC81" s="199">
        <f>SUM(AC44:AC80)</f>
        <v>698424</v>
      </c>
      <c r="AD81" s="200"/>
    </row>
    <row r="82" spans="1:30" ht="22.5" customHeight="1" thickTop="1" thickBot="1" x14ac:dyDescent="0.3">
      <c r="B82" s="13" t="s">
        <v>141</v>
      </c>
      <c r="C82" s="13"/>
      <c r="D82" s="13"/>
      <c r="E82" s="13"/>
      <c r="F82" s="13"/>
      <c r="G82" s="13"/>
      <c r="H82" s="13"/>
      <c r="I82" s="13"/>
      <c r="J82" s="13"/>
      <c r="K82" s="13"/>
      <c r="L82" s="201">
        <f>SUM(L44:L81)</f>
        <v>1580704</v>
      </c>
      <c r="M82" s="202"/>
      <c r="N82" s="203"/>
      <c r="O82" s="1"/>
      <c r="Q82" s="164"/>
      <c r="V82" s="191"/>
      <c r="W82" s="191"/>
      <c r="X82" s="191"/>
      <c r="Y82" s="191"/>
      <c r="Z82" s="191"/>
      <c r="AA82" s="191"/>
      <c r="AB82" s="191"/>
      <c r="AC82" s="204"/>
      <c r="AD82" s="200"/>
    </row>
    <row r="83" spans="1:30" ht="27.75" customHeight="1" thickTop="1" x14ac:dyDescent="0.25">
      <c r="B83" s="13" t="s">
        <v>142</v>
      </c>
      <c r="C83" s="13"/>
      <c r="D83" s="13"/>
      <c r="E83" s="13"/>
      <c r="F83" s="13"/>
      <c r="G83" s="13"/>
      <c r="H83" s="13"/>
      <c r="I83" s="13"/>
      <c r="J83" s="13"/>
      <c r="K83" s="82" t="s">
        <v>143</v>
      </c>
      <c r="L83" s="205" t="s">
        <v>144</v>
      </c>
      <c r="M83" s="202"/>
      <c r="N83" s="203"/>
      <c r="O83" s="1"/>
      <c r="Q83" s="164"/>
      <c r="V83" s="9" t="s">
        <v>145</v>
      </c>
      <c r="W83" s="9"/>
      <c r="X83" s="9"/>
      <c r="Y83" s="9"/>
      <c r="Z83" s="9"/>
      <c r="AA83" s="9"/>
      <c r="AB83" s="9"/>
      <c r="AC83" s="9"/>
      <c r="AD83" s="206"/>
    </row>
    <row r="84" spans="1:30" ht="18.75" customHeight="1" thickBot="1" x14ac:dyDescent="0.3">
      <c r="B84" s="13" t="s">
        <v>146</v>
      </c>
      <c r="C84" s="13"/>
      <c r="D84" s="13"/>
      <c r="E84" s="13"/>
      <c r="F84" s="13"/>
      <c r="G84" s="13"/>
      <c r="H84" s="13"/>
      <c r="I84" s="13"/>
      <c r="J84" s="13"/>
      <c r="K84" s="207">
        <f>IF(G26=0,"",IF((G11+G13+SUM(G15:G21))/G26&gt;0.75,1,""))</f>
        <v>1</v>
      </c>
      <c r="L84" s="201">
        <f>'2521'!AC81</f>
        <v>698424</v>
      </c>
      <c r="M84" s="202"/>
      <c r="N84" s="203"/>
      <c r="O84" s="1"/>
      <c r="Q84" s="164"/>
      <c r="V84" s="208" t="s">
        <v>147</v>
      </c>
      <c r="W84" s="208"/>
      <c r="X84" s="208"/>
      <c r="Y84" s="208"/>
      <c r="Z84" s="208"/>
      <c r="AA84" s="208"/>
      <c r="AB84" s="208"/>
      <c r="AC84" s="208"/>
      <c r="AD84" s="9"/>
    </row>
    <row r="85" spans="1:30" ht="18.75" customHeight="1" thickTop="1" x14ac:dyDescent="0.25">
      <c r="B85" s="13"/>
      <c r="C85" s="13"/>
      <c r="D85" s="13"/>
      <c r="E85" s="13"/>
      <c r="F85" s="13"/>
      <c r="G85" s="13"/>
      <c r="H85" s="13"/>
      <c r="I85" s="13"/>
      <c r="J85" s="13"/>
      <c r="M85" s="202"/>
      <c r="N85" s="203"/>
      <c r="O85" s="1"/>
      <c r="Q85" s="164"/>
      <c r="V85" s="208" t="s">
        <v>148</v>
      </c>
      <c r="W85" s="208"/>
      <c r="X85" s="208"/>
      <c r="Y85" s="208"/>
      <c r="Z85" s="208"/>
      <c r="AA85" s="208"/>
      <c r="AB85" s="208"/>
      <c r="AC85" s="208"/>
      <c r="AD85" s="206"/>
    </row>
    <row r="86" spans="1:30" ht="18.75" customHeight="1" x14ac:dyDescent="0.25">
      <c r="B86" s="2" t="s">
        <v>149</v>
      </c>
      <c r="C86" s="13"/>
      <c r="D86" s="13"/>
      <c r="E86" s="13"/>
      <c r="F86" s="13"/>
      <c r="G86" s="13"/>
      <c r="H86" s="13"/>
      <c r="I86" s="13"/>
      <c r="J86" s="209" t="s">
        <v>150</v>
      </c>
      <c r="K86" s="210">
        <f>IF(K84=1,L84,L82)</f>
        <v>698424</v>
      </c>
      <c r="L86" s="211">
        <f>IF(G26=0,0,IF(G26&gt;250,-(((250/G26)*K86)*IF(M86="H",0.02,0.05)),IF(M86="H",-0.02*K86,-0.05*K86)))</f>
        <v>-34921.200000000004</v>
      </c>
      <c r="M86" s="212" t="str">
        <f>IF(B123="2801","H",IF(B123="2911","H",IF(B123="3382","H"," ")))</f>
        <v xml:space="preserve"> </v>
      </c>
      <c r="N86" s="203"/>
      <c r="O86" s="1"/>
      <c r="Q86" s="164"/>
      <c r="V86" s="208" t="s">
        <v>151</v>
      </c>
      <c r="W86" s="208"/>
      <c r="X86" s="208"/>
      <c r="Y86" s="208"/>
      <c r="Z86" s="208"/>
      <c r="AA86" s="208"/>
      <c r="AB86" s="208"/>
      <c r="AC86" s="208"/>
      <c r="AD86" s="206"/>
    </row>
    <row r="87" spans="1:30" ht="18.75" customHeight="1" x14ac:dyDescent="0.25">
      <c r="B87" s="2" t="s">
        <v>152</v>
      </c>
      <c r="C87" s="13"/>
      <c r="D87" s="13"/>
      <c r="E87" s="13"/>
      <c r="F87" s="13"/>
      <c r="G87" s="13"/>
      <c r="H87" s="13"/>
      <c r="I87" s="13"/>
      <c r="J87" s="13"/>
      <c r="K87" s="213"/>
      <c r="L87" s="205">
        <f>L82+L86</f>
        <v>1545782.8</v>
      </c>
      <c r="M87" s="202"/>
      <c r="N87" s="203"/>
      <c r="O87" s="1"/>
      <c r="Q87" s="164"/>
      <c r="V87" s="198"/>
      <c r="W87" s="198"/>
      <c r="X87" s="198"/>
      <c r="Y87" s="198"/>
      <c r="Z87" s="198"/>
      <c r="AA87" s="198"/>
      <c r="AB87" s="198"/>
      <c r="AC87" s="198"/>
      <c r="AD87" s="214"/>
    </row>
    <row r="88" spans="1:30" x14ac:dyDescent="0.25">
      <c r="V88" s="198"/>
      <c r="W88" s="198"/>
      <c r="X88" s="198"/>
      <c r="Y88" s="198"/>
      <c r="Z88" s="198"/>
      <c r="AA88" s="198"/>
      <c r="AB88" s="198"/>
      <c r="AC88" s="198"/>
      <c r="AD88" s="215"/>
    </row>
    <row r="89" spans="1:30" ht="18.75" customHeight="1" x14ac:dyDescent="0.25">
      <c r="A89" s="1" t="s">
        <v>153</v>
      </c>
      <c r="B89" s="13" t="s">
        <v>154</v>
      </c>
      <c r="C89" s="13"/>
      <c r="D89" s="13">
        <v>788504</v>
      </c>
      <c r="E89" s="13">
        <v>127341</v>
      </c>
      <c r="F89" s="13">
        <v>1297389</v>
      </c>
      <c r="G89" s="13"/>
      <c r="H89" s="13"/>
      <c r="I89" s="13"/>
      <c r="J89" s="13"/>
      <c r="K89" s="213"/>
      <c r="L89" s="84">
        <f>-F89-104012</f>
        <v>-1401401</v>
      </c>
      <c r="M89" s="202"/>
      <c r="N89" s="203"/>
      <c r="O89" s="1"/>
      <c r="Q89" s="164"/>
      <c r="V89" s="198">
        <v>2801</v>
      </c>
      <c r="W89" s="198"/>
      <c r="X89" s="198"/>
      <c r="Y89" s="198"/>
      <c r="Z89" s="198"/>
      <c r="AA89" s="198"/>
      <c r="AB89" s="198"/>
      <c r="AC89" s="198"/>
      <c r="AD89" s="214"/>
    </row>
    <row r="90" spans="1:30" ht="18.75" customHeight="1" x14ac:dyDescent="0.25">
      <c r="B90" s="13" t="s">
        <v>155</v>
      </c>
      <c r="C90" s="13"/>
      <c r="D90" s="13"/>
      <c r="E90" s="13"/>
      <c r="F90" s="13"/>
      <c r="G90" s="13"/>
      <c r="H90" s="13"/>
      <c r="I90" s="13"/>
      <c r="J90" s="13"/>
      <c r="K90" s="213"/>
      <c r="L90" s="205">
        <f>L87+L89</f>
        <v>144381.80000000005</v>
      </c>
      <c r="M90" s="202"/>
      <c r="N90" s="203"/>
      <c r="O90" s="1"/>
      <c r="Q90" s="164"/>
      <c r="V90" s="198">
        <v>2911</v>
      </c>
      <c r="W90" s="216"/>
      <c r="X90" s="216"/>
      <c r="Y90" s="216"/>
      <c r="Z90" s="216"/>
      <c r="AA90" s="216"/>
      <c r="AB90" s="216"/>
      <c r="AC90" s="216"/>
      <c r="AD90" s="214"/>
    </row>
    <row r="91" spans="1:30" ht="18.75" customHeight="1" x14ac:dyDescent="0.25">
      <c r="B91" s="13" t="s">
        <v>156</v>
      </c>
      <c r="C91" s="13"/>
      <c r="D91" s="13"/>
      <c r="E91" s="13"/>
      <c r="F91" s="13"/>
      <c r="G91" s="13"/>
      <c r="H91" s="13"/>
      <c r="I91" s="13"/>
      <c r="J91" s="13"/>
      <c r="K91" s="213"/>
      <c r="L91" s="205">
        <v>1</v>
      </c>
      <c r="M91" s="202"/>
      <c r="N91" s="203"/>
      <c r="O91" s="1"/>
      <c r="Q91" s="164"/>
      <c r="V91" s="198">
        <v>3382</v>
      </c>
      <c r="W91" s="216"/>
      <c r="X91" s="216"/>
      <c r="Y91" s="216"/>
      <c r="Z91" s="216"/>
      <c r="AA91" s="216"/>
      <c r="AB91" s="216"/>
      <c r="AC91" s="216"/>
      <c r="AD91" s="214"/>
    </row>
    <row r="92" spans="1:30" ht="18.75" customHeight="1" thickBot="1" x14ac:dyDescent="0.3">
      <c r="B92" s="13" t="s">
        <v>157</v>
      </c>
      <c r="C92" s="13"/>
      <c r="D92" s="13"/>
      <c r="E92" s="13"/>
      <c r="F92" s="13"/>
      <c r="G92" s="13"/>
      <c r="H92" s="13"/>
      <c r="I92" s="13"/>
      <c r="J92" s="13"/>
      <c r="K92" s="213"/>
      <c r="L92" s="217">
        <f>L90/L91</f>
        <v>144381.80000000005</v>
      </c>
      <c r="M92" s="202"/>
      <c r="N92" s="203"/>
      <c r="O92" s="1"/>
      <c r="Q92" s="164"/>
      <c r="V92" s="218"/>
      <c r="W92" s="218"/>
      <c r="X92" s="218"/>
      <c r="Y92" s="218"/>
      <c r="Z92" s="218"/>
      <c r="AA92" s="218"/>
      <c r="AB92" s="218"/>
      <c r="AC92" s="218"/>
      <c r="AD92" s="219"/>
    </row>
    <row r="93" spans="1:30" ht="18.75" customHeight="1" thickTop="1" x14ac:dyDescent="0.25">
      <c r="N93" s="219"/>
      <c r="O93" s="220"/>
      <c r="P93" s="219"/>
      <c r="Q93" s="219"/>
      <c r="V93" s="218"/>
      <c r="W93" s="218"/>
      <c r="X93" s="218"/>
      <c r="Y93" s="218"/>
      <c r="Z93" s="218"/>
      <c r="AA93" s="218"/>
      <c r="AB93" s="218"/>
      <c r="AC93" s="218"/>
      <c r="AD93" s="214"/>
    </row>
    <row r="94" spans="1:30" ht="18.75" customHeight="1" thickBot="1" x14ac:dyDescent="0.3">
      <c r="B94" s="221" t="s">
        <v>158</v>
      </c>
      <c r="C94" s="13"/>
      <c r="D94" s="13"/>
      <c r="E94" s="13"/>
      <c r="G94" s="13"/>
      <c r="H94" s="13"/>
      <c r="I94" s="13"/>
      <c r="J94" s="13"/>
      <c r="L94" s="222">
        <f>IF(M86="H",(K86*0.02)+L86,(K86*0.05)+L86)</f>
        <v>0</v>
      </c>
      <c r="M94" s="202"/>
      <c r="V94" s="223"/>
      <c r="W94" s="223"/>
      <c r="X94" s="223"/>
      <c r="Y94" s="223"/>
      <c r="Z94" s="223"/>
      <c r="AA94" s="223"/>
      <c r="AB94" s="223"/>
      <c r="AC94" s="223"/>
      <c r="AD94" s="214"/>
    </row>
    <row r="95" spans="1:30" ht="21.75" customHeight="1" thickTop="1" x14ac:dyDescent="0.25">
      <c r="B95" s="224" t="s">
        <v>159</v>
      </c>
      <c r="C95" s="224"/>
      <c r="D95" s="224"/>
      <c r="E95" s="224"/>
      <c r="F95" s="224"/>
      <c r="G95" s="224"/>
      <c r="H95" s="224"/>
      <c r="I95" s="224"/>
      <c r="J95" s="224"/>
      <c r="K95" s="224"/>
      <c r="L95" s="224"/>
      <c r="M95" s="219"/>
      <c r="V95" s="223"/>
      <c r="W95" s="223"/>
      <c r="X95" s="223"/>
      <c r="Y95" s="223"/>
      <c r="Z95" s="223"/>
      <c r="AA95" s="223"/>
      <c r="AB95" s="223"/>
      <c r="AC95" s="223"/>
      <c r="AD95" s="214"/>
    </row>
    <row r="96" spans="1:30" x14ac:dyDescent="0.25">
      <c r="B96" s="225"/>
      <c r="V96" s="223"/>
      <c r="W96" s="223"/>
      <c r="X96" s="223"/>
      <c r="Y96" s="223"/>
      <c r="Z96" s="223"/>
      <c r="AA96" s="223"/>
      <c r="AB96" s="223"/>
      <c r="AC96" s="223"/>
      <c r="AD96" s="219"/>
    </row>
    <row r="97" spans="2:30" x14ac:dyDescent="0.25">
      <c r="B97" s="225"/>
      <c r="V97" s="223"/>
      <c r="W97" s="223"/>
      <c r="X97" s="223"/>
      <c r="Y97" s="223"/>
      <c r="Z97" s="223"/>
      <c r="AA97" s="223"/>
      <c r="AB97" s="223"/>
      <c r="AC97" s="223"/>
      <c r="AD97" s="219"/>
    </row>
    <row r="98" spans="2:30" hidden="1" x14ac:dyDescent="0.25">
      <c r="B98" s="226" t="s">
        <v>160</v>
      </c>
      <c r="C98" s="227"/>
      <c r="V98" s="228"/>
      <c r="W98" s="228"/>
      <c r="X98" s="228"/>
      <c r="Y98" s="228"/>
      <c r="Z98" s="228"/>
      <c r="AA98" s="228"/>
      <c r="AB98" s="228"/>
      <c r="AC98" s="228"/>
    </row>
    <row r="99" spans="2:30" hidden="1" x14ac:dyDescent="0.25">
      <c r="B99" s="229"/>
      <c r="C99" s="227"/>
      <c r="V99" s="225"/>
      <c r="W99" s="13"/>
      <c r="X99" s="13"/>
      <c r="Y99" s="13"/>
      <c r="Z99" s="13"/>
      <c r="AA99" s="13"/>
      <c r="AB99" s="13"/>
      <c r="AC99" s="13"/>
    </row>
    <row r="100" spans="2:30" hidden="1" x14ac:dyDescent="0.25">
      <c r="B100" s="230" t="s">
        <v>161</v>
      </c>
      <c r="C100" s="226" t="s">
        <v>162</v>
      </c>
      <c r="V100" s="225"/>
    </row>
    <row r="101" spans="2:30" hidden="1" x14ac:dyDescent="0.25">
      <c r="B101" s="230" t="s">
        <v>163</v>
      </c>
      <c r="C101" s="226" t="s">
        <v>164</v>
      </c>
      <c r="V101" s="225"/>
    </row>
    <row r="102" spans="2:30" hidden="1" x14ac:dyDescent="0.25">
      <c r="B102" s="230" t="s">
        <v>165</v>
      </c>
      <c r="C102" s="226" t="s">
        <v>166</v>
      </c>
      <c r="V102" s="225"/>
      <c r="W102" s="231"/>
      <c r="X102" s="231"/>
      <c r="Y102" s="231"/>
      <c r="Z102" s="231"/>
      <c r="AA102" s="231"/>
      <c r="AB102" s="231"/>
      <c r="AC102" s="231"/>
      <c r="AD102" s="231"/>
    </row>
    <row r="103" spans="2:30" hidden="1" x14ac:dyDescent="0.25">
      <c r="B103" s="230" t="s">
        <v>167</v>
      </c>
      <c r="C103" s="226" t="s">
        <v>168</v>
      </c>
      <c r="V103" s="225"/>
    </row>
    <row r="104" spans="2:30" hidden="1" x14ac:dyDescent="0.25">
      <c r="B104" s="232"/>
      <c r="C104" s="226" t="s">
        <v>169</v>
      </c>
      <c r="V104" s="225"/>
    </row>
    <row r="105" spans="2:30" hidden="1" x14ac:dyDescent="0.25">
      <c r="B105" s="230" t="s">
        <v>170</v>
      </c>
      <c r="C105" s="226" t="s">
        <v>171</v>
      </c>
      <c r="V105" s="225"/>
    </row>
    <row r="106" spans="2:30" hidden="1" x14ac:dyDescent="0.25">
      <c r="B106" s="230" t="s">
        <v>172</v>
      </c>
      <c r="C106" s="226" t="s">
        <v>173</v>
      </c>
      <c r="V106" s="225"/>
    </row>
    <row r="107" spans="2:30" hidden="1" x14ac:dyDescent="0.25">
      <c r="B107" s="230" t="s">
        <v>225</v>
      </c>
      <c r="C107" s="226" t="s">
        <v>175</v>
      </c>
      <c r="V107" s="225"/>
    </row>
    <row r="108" spans="2:30" hidden="1" x14ac:dyDescent="0.25">
      <c r="B108" s="230" t="s">
        <v>176</v>
      </c>
      <c r="C108" s="226" t="s">
        <v>177</v>
      </c>
      <c r="V108" s="225"/>
    </row>
    <row r="109" spans="2:30" hidden="1" x14ac:dyDescent="0.25">
      <c r="B109" s="230" t="s">
        <v>178</v>
      </c>
      <c r="C109" s="226" t="s">
        <v>179</v>
      </c>
      <c r="V109" s="225"/>
    </row>
    <row r="110" spans="2:30" hidden="1" x14ac:dyDescent="0.25">
      <c r="B110" s="232"/>
      <c r="C110" s="226"/>
      <c r="V110" s="225"/>
    </row>
    <row r="111" spans="2:30" hidden="1" x14ac:dyDescent="0.25">
      <c r="B111" s="230" t="s">
        <v>180</v>
      </c>
      <c r="C111" s="226" t="s">
        <v>181</v>
      </c>
      <c r="V111" s="225"/>
    </row>
    <row r="112" spans="2:30" hidden="1" x14ac:dyDescent="0.25">
      <c r="B112" s="230" t="s">
        <v>180</v>
      </c>
      <c r="C112" s="226" t="s">
        <v>182</v>
      </c>
    </row>
    <row r="113" spans="2:3" hidden="1" x14ac:dyDescent="0.25">
      <c r="B113" s="230" t="s">
        <v>183</v>
      </c>
      <c r="C113" s="226" t="s">
        <v>184</v>
      </c>
    </row>
    <row r="114" spans="2:3" hidden="1" x14ac:dyDescent="0.25">
      <c r="B114" s="230" t="s">
        <v>185</v>
      </c>
      <c r="C114" s="226" t="s">
        <v>186</v>
      </c>
    </row>
    <row r="115" spans="2:3" hidden="1" x14ac:dyDescent="0.25">
      <c r="B115" s="230" t="s">
        <v>183</v>
      </c>
      <c r="C115" s="226" t="s">
        <v>187</v>
      </c>
    </row>
    <row r="116" spans="2:3" hidden="1" x14ac:dyDescent="0.25">
      <c r="B116" s="230" t="s">
        <v>188</v>
      </c>
      <c r="C116" s="226" t="s">
        <v>189</v>
      </c>
    </row>
    <row r="117" spans="2:3" hidden="1" x14ac:dyDescent="0.25">
      <c r="B117" s="230" t="s">
        <v>190</v>
      </c>
      <c r="C117" s="226" t="s">
        <v>191</v>
      </c>
    </row>
    <row r="118" spans="2:3" hidden="1" x14ac:dyDescent="0.25">
      <c r="B118" s="232" t="s">
        <v>192</v>
      </c>
      <c r="C118" s="226" t="s">
        <v>193</v>
      </c>
    </row>
    <row r="119" spans="2:3" hidden="1" x14ac:dyDescent="0.25">
      <c r="B119" s="232"/>
      <c r="C119" s="226"/>
    </row>
    <row r="120" spans="2:3" hidden="1" x14ac:dyDescent="0.25">
      <c r="B120" s="230" t="s">
        <v>161</v>
      </c>
      <c r="C120" s="226" t="s">
        <v>194</v>
      </c>
    </row>
    <row r="121" spans="2:3" hidden="1" x14ac:dyDescent="0.25">
      <c r="B121" s="230" t="s">
        <v>195</v>
      </c>
      <c r="C121" s="226" t="s">
        <v>196</v>
      </c>
    </row>
    <row r="122" spans="2:3" hidden="1" x14ac:dyDescent="0.25">
      <c r="B122" s="230" t="s">
        <v>197</v>
      </c>
      <c r="C122" s="226" t="s">
        <v>198</v>
      </c>
    </row>
    <row r="123" spans="2:3" hidden="1" x14ac:dyDescent="0.25">
      <c r="B123" s="230" t="s">
        <v>226</v>
      </c>
      <c r="C123" s="226" t="s">
        <v>200</v>
      </c>
    </row>
    <row r="124" spans="2:3" hidden="1" x14ac:dyDescent="0.25">
      <c r="B124" s="230" t="s">
        <v>227</v>
      </c>
      <c r="C124" s="226" t="s">
        <v>202</v>
      </c>
    </row>
    <row r="125" spans="2:3" hidden="1" x14ac:dyDescent="0.25">
      <c r="B125" s="230" t="s">
        <v>203</v>
      </c>
      <c r="C125" s="226" t="s">
        <v>204</v>
      </c>
    </row>
    <row r="126" spans="2:3" hidden="1" x14ac:dyDescent="0.25">
      <c r="B126" s="230" t="s">
        <v>203</v>
      </c>
      <c r="C126" s="226" t="s">
        <v>205</v>
      </c>
    </row>
    <row r="127" spans="2:3" hidden="1" x14ac:dyDescent="0.25">
      <c r="B127" s="230" t="s">
        <v>203</v>
      </c>
      <c r="C127" s="226" t="s">
        <v>206</v>
      </c>
    </row>
    <row r="128" spans="2:3" hidden="1" x14ac:dyDescent="0.25">
      <c r="B128" s="230" t="s">
        <v>203</v>
      </c>
      <c r="C128" s="226" t="s">
        <v>207</v>
      </c>
    </row>
    <row r="129" spans="2:3" hidden="1" x14ac:dyDescent="0.25">
      <c r="B129" s="230" t="s">
        <v>167</v>
      </c>
      <c r="C129" s="226" t="s">
        <v>208</v>
      </c>
    </row>
    <row r="130" spans="2:3" hidden="1" x14ac:dyDescent="0.25">
      <c r="B130" s="230" t="s">
        <v>209</v>
      </c>
      <c r="C130" s="226" t="s">
        <v>210</v>
      </c>
    </row>
    <row r="131" spans="2:3" hidden="1" x14ac:dyDescent="0.25">
      <c r="B131" s="230" t="s">
        <v>203</v>
      </c>
      <c r="C131" s="226" t="s">
        <v>211</v>
      </c>
    </row>
    <row r="132" spans="2:3" hidden="1" x14ac:dyDescent="0.25">
      <c r="B132" s="226"/>
      <c r="C132" s="226"/>
    </row>
    <row r="133" spans="2:3" hidden="1" x14ac:dyDescent="0.25">
      <c r="B133" s="226"/>
      <c r="C133" s="226"/>
    </row>
    <row r="134" spans="2:3" hidden="1" x14ac:dyDescent="0.25">
      <c r="B134" s="232"/>
      <c r="C134" s="232"/>
    </row>
    <row r="135" spans="2:3" hidden="1" x14ac:dyDescent="0.25">
      <c r="B135" s="232">
        <f>NvsElapsedTime</f>
        <v>1.15740695036948E-5</v>
      </c>
      <c r="C135" s="232"/>
    </row>
    <row r="136" spans="2:3" hidden="1" x14ac:dyDescent="0.25">
      <c r="B136" s="233">
        <f>NvsEndTime</f>
        <v>41754.487696759301</v>
      </c>
      <c r="C136" s="233" t="s">
        <v>212</v>
      </c>
    </row>
    <row r="137" spans="2:3" x14ac:dyDescent="0.25">
      <c r="B137" s="226"/>
      <c r="C137" s="234"/>
    </row>
    <row r="138" spans="2:3" x14ac:dyDescent="0.25">
      <c r="B138" s="226"/>
      <c r="C138" s="226"/>
    </row>
    <row r="139" spans="2:3" x14ac:dyDescent="0.25">
      <c r="B139" s="226"/>
      <c r="C139" s="226"/>
    </row>
    <row r="140" spans="2:3" x14ac:dyDescent="0.25">
      <c r="B140" s="226"/>
      <c r="C140" s="226"/>
    </row>
    <row r="141" spans="2:3" x14ac:dyDescent="0.25">
      <c r="B141" s="226"/>
      <c r="C141" s="226"/>
    </row>
    <row r="142" spans="2:3" x14ac:dyDescent="0.25">
      <c r="B142" s="226"/>
      <c r="C142" s="226"/>
    </row>
    <row r="143" spans="2:3" x14ac:dyDescent="0.25">
      <c r="B143" s="226"/>
      <c r="C143" s="226"/>
    </row>
    <row r="144" spans="2:3" x14ac:dyDescent="0.25">
      <c r="B144" s="226"/>
      <c r="C144" s="226"/>
    </row>
    <row r="145" spans="2:3" x14ac:dyDescent="0.25">
      <c r="B145" s="226"/>
      <c r="C145" s="226"/>
    </row>
    <row r="146" spans="2:3" x14ac:dyDescent="0.25">
      <c r="B146" s="226"/>
      <c r="C146" s="226"/>
    </row>
    <row r="147" spans="2:3" x14ac:dyDescent="0.25">
      <c r="B147" s="226"/>
      <c r="C147" s="226"/>
    </row>
    <row r="148" spans="2:3" x14ac:dyDescent="0.25">
      <c r="B148" s="226"/>
      <c r="C148" s="226"/>
    </row>
    <row r="149" spans="2:3" x14ac:dyDescent="0.25">
      <c r="B149" s="226"/>
      <c r="C149" s="226"/>
    </row>
    <row r="150" spans="2:3" x14ac:dyDescent="0.25">
      <c r="B150" s="226"/>
      <c r="C150" s="226"/>
    </row>
    <row r="151" spans="2:3" x14ac:dyDescent="0.25">
      <c r="B151" s="226"/>
      <c r="C151" s="226"/>
    </row>
  </sheetData>
  <mergeCells count="151">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9:W9"/>
    <mergeCell ref="X9:Y9"/>
    <mergeCell ref="Z9:AA9"/>
    <mergeCell ref="V10:W10"/>
    <mergeCell ref="X10:Y10"/>
    <mergeCell ref="Z10:AA10"/>
    <mergeCell ref="V7:W7"/>
    <mergeCell ref="X7:Y7"/>
    <mergeCell ref="Z7:AA7"/>
    <mergeCell ref="AB7:AC7"/>
    <mergeCell ref="V8:W8"/>
    <mergeCell ref="X8:Y8"/>
    <mergeCell ref="Z8:AA8"/>
    <mergeCell ref="W2:AC2"/>
    <mergeCell ref="V3:AC3"/>
    <mergeCell ref="V4:AC4"/>
    <mergeCell ref="V5:W5"/>
    <mergeCell ref="X5:Y5"/>
    <mergeCell ref="V6:AC6"/>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AD151"/>
  <sheetViews>
    <sheetView topLeftCell="C2" zoomScale="70" zoomScaleNormal="70" workbookViewId="0">
      <selection activeCell="D19" sqref="D19:D20"/>
    </sheetView>
  </sheetViews>
  <sheetFormatPr defaultColWidth="8.85546875" defaultRowHeight="15.75" x14ac:dyDescent="0.25"/>
  <cols>
    <col min="1" max="1" width="11.28515625" style="1" hidden="1" customWidth="1"/>
    <col min="2" max="2" width="10.28515625" style="2" customWidth="1"/>
    <col min="3" max="3" width="29" style="1" customWidth="1"/>
    <col min="4" max="5" width="12.28515625" style="1" customWidth="1"/>
    <col min="6" max="6" width="12.28515625" style="1" hidden="1" customWidth="1"/>
    <col min="7" max="7" width="17.140625" style="1" customWidth="1"/>
    <col min="8" max="8" width="6.7109375" style="1" customWidth="1"/>
    <col min="9" max="9" width="15" style="1" customWidth="1"/>
    <col min="10" max="10" width="15.42578125" style="1" customWidth="1"/>
    <col min="11" max="11" width="17.5703125" style="1" bestFit="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28515625" style="1" customWidth="1"/>
    <col min="18" max="18" width="8.85546875" style="1"/>
    <col min="19" max="21" width="0" style="1" hidden="1" customWidth="1"/>
    <col min="22" max="23" width="9" style="1" bestFit="1" customWidth="1"/>
    <col min="24" max="24" width="12.7109375" style="1" customWidth="1"/>
    <col min="25" max="25" width="8.85546875" style="1"/>
    <col min="26" max="26" width="9.5703125" style="1" bestFit="1" customWidth="1"/>
    <col min="27" max="27" width="9" style="1" bestFit="1" customWidth="1"/>
    <col min="28" max="28" width="13.42578125" style="1" bestFit="1" customWidth="1"/>
    <col min="29" max="29" width="15.7109375" style="1" bestFit="1" customWidth="1"/>
    <col min="30" max="30" width="9" style="1" bestFit="1" customWidth="1"/>
    <col min="31" max="16384" width="8.85546875" style="1"/>
  </cols>
  <sheetData>
    <row r="1" spans="1:30" ht="15.6" hidden="1" customHeight="1" thickBot="1" x14ac:dyDescent="0.3">
      <c r="A1" s="1" t="s">
        <v>0</v>
      </c>
      <c r="D1" s="1" t="s">
        <v>1</v>
      </c>
      <c r="E1" s="1" t="s">
        <v>2</v>
      </c>
      <c r="F1" s="1" t="s">
        <v>3</v>
      </c>
    </row>
    <row r="2" spans="1:30" ht="16.5" thickBot="1" x14ac:dyDescent="0.3">
      <c r="B2" s="4">
        <v>50</v>
      </c>
      <c r="C2" s="560" t="s">
        <v>4</v>
      </c>
      <c r="D2" s="561"/>
      <c r="E2" s="561"/>
      <c r="F2" s="561"/>
      <c r="G2" s="561"/>
      <c r="H2" s="562"/>
      <c r="I2" s="562"/>
      <c r="J2" s="562"/>
      <c r="K2" s="562"/>
      <c r="L2" s="562"/>
      <c r="N2" s="3"/>
      <c r="O2" s="1"/>
      <c r="V2" s="8">
        <f>'2531'!B2</f>
        <v>50</v>
      </c>
      <c r="W2" s="670" t="s">
        <v>4</v>
      </c>
      <c r="X2" s="671"/>
      <c r="Y2" s="672"/>
      <c r="Z2" s="672"/>
      <c r="AA2" s="672"/>
      <c r="AB2" s="672"/>
      <c r="AC2" s="672"/>
      <c r="AD2" s="9"/>
    </row>
    <row r="3" spans="1:30" x14ac:dyDescent="0.25">
      <c r="B3" s="13" t="str">
        <f>"Revenue Estimate Worksheet for "&amp;B124</f>
        <v>Revenue Estimate Worksheet for Potentials Charter School</v>
      </c>
      <c r="C3" s="82"/>
      <c r="D3" s="82"/>
      <c r="E3" s="82"/>
      <c r="F3" s="82"/>
      <c r="G3" s="82"/>
      <c r="H3" s="82"/>
      <c r="I3" s="82"/>
      <c r="J3" s="82"/>
      <c r="K3" s="82"/>
      <c r="L3" s="82"/>
      <c r="M3" s="13"/>
      <c r="N3" s="13"/>
      <c r="O3" s="13"/>
      <c r="P3" s="13"/>
      <c r="Q3" s="13"/>
      <c r="V3" s="610" t="s">
        <v>5</v>
      </c>
      <c r="W3" s="610"/>
      <c r="X3" s="610"/>
      <c r="Y3" s="610"/>
      <c r="Z3" s="610"/>
      <c r="AA3" s="610"/>
      <c r="AB3" s="610"/>
      <c r="AC3" s="610"/>
      <c r="AD3" s="191"/>
    </row>
    <row r="4" spans="1:30" x14ac:dyDescent="0.25">
      <c r="B4" s="2" t="s">
        <v>6</v>
      </c>
      <c r="C4" s="13"/>
      <c r="D4" s="13"/>
      <c r="E4" s="13"/>
      <c r="F4" s="13"/>
      <c r="G4" s="13"/>
      <c r="H4" s="13"/>
      <c r="I4" s="13"/>
      <c r="J4" s="13"/>
      <c r="K4" s="13"/>
      <c r="L4" s="13"/>
      <c r="M4" s="13"/>
      <c r="N4" s="13"/>
      <c r="O4" s="13"/>
      <c r="P4" s="13"/>
      <c r="Q4" s="13"/>
      <c r="V4" s="610" t="str">
        <f>+Based_on_the_Second_Calculation_of_the_FEFP_2010_11</f>
        <v>Based on the Fourth Calculation of the FEFP 2013-14</v>
      </c>
      <c r="W4" s="610"/>
      <c r="X4" s="610"/>
      <c r="Y4" s="610"/>
      <c r="Z4" s="610"/>
      <c r="AA4" s="610"/>
      <c r="AB4" s="610"/>
      <c r="AC4" s="610"/>
      <c r="AD4" s="191"/>
    </row>
    <row r="5" spans="1:30" ht="18.75" customHeight="1" x14ac:dyDescent="0.25">
      <c r="B5" s="16" t="s">
        <v>7</v>
      </c>
      <c r="C5" s="16"/>
      <c r="D5" s="16"/>
      <c r="E5" s="16"/>
      <c r="F5" s="16"/>
      <c r="G5" s="17" t="s">
        <v>8</v>
      </c>
      <c r="H5" s="17"/>
      <c r="I5" s="17"/>
      <c r="J5" s="17"/>
      <c r="K5" s="17"/>
      <c r="L5" s="17"/>
      <c r="M5" s="18"/>
      <c r="N5" s="18"/>
      <c r="O5" s="18"/>
      <c r="P5" s="18"/>
      <c r="Q5" s="18"/>
      <c r="V5" s="611" t="s">
        <v>7</v>
      </c>
      <c r="W5" s="611"/>
      <c r="X5" s="612" t="s">
        <v>8</v>
      </c>
      <c r="Y5" s="612"/>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613" t="s">
        <v>9</v>
      </c>
      <c r="W6" s="613"/>
      <c r="X6" s="613"/>
      <c r="Y6" s="613"/>
      <c r="Z6" s="613"/>
      <c r="AA6" s="613"/>
      <c r="AB6" s="613"/>
      <c r="AC6" s="613"/>
      <c r="AD6" s="22"/>
    </row>
    <row r="7" spans="1:30" ht="18" customHeight="1" x14ac:dyDescent="0.25">
      <c r="B7" s="23" t="s">
        <v>10</v>
      </c>
      <c r="C7" s="23"/>
      <c r="D7" s="23"/>
      <c r="E7" s="23"/>
      <c r="F7" s="23"/>
      <c r="G7" s="563">
        <v>3752.3</v>
      </c>
      <c r="H7" s="563"/>
      <c r="I7" s="23" t="s">
        <v>11</v>
      </c>
      <c r="J7" s="23"/>
      <c r="K7" s="25">
        <v>1.0326</v>
      </c>
      <c r="L7" s="25"/>
      <c r="O7" s="1"/>
      <c r="V7" s="620" t="s">
        <v>10</v>
      </c>
      <c r="W7" s="620"/>
      <c r="X7" s="673">
        <f>'2531'!G7</f>
        <v>3752.3</v>
      </c>
      <c r="Y7" s="673"/>
      <c r="Z7" s="622" t="s">
        <v>11</v>
      </c>
      <c r="AA7" s="622"/>
      <c r="AB7" s="602">
        <f>+K7</f>
        <v>1.0326</v>
      </c>
      <c r="AC7" s="602"/>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603" t="s">
        <v>12</v>
      </c>
      <c r="W8" s="603"/>
      <c r="X8" s="604" t="s">
        <v>15</v>
      </c>
      <c r="Y8" s="604"/>
      <c r="Z8" s="605" t="s">
        <v>16</v>
      </c>
      <c r="AA8" s="605"/>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614" t="s">
        <v>22</v>
      </c>
      <c r="W9" s="614"/>
      <c r="X9" s="615" t="s">
        <v>23</v>
      </c>
      <c r="Y9" s="615"/>
      <c r="Z9" s="616" t="s">
        <v>24</v>
      </c>
      <c r="AA9" s="616"/>
      <c r="AB9" s="43" t="s">
        <v>25</v>
      </c>
      <c r="AC9" s="44" t="s">
        <v>26</v>
      </c>
      <c r="AD9" s="9"/>
    </row>
    <row r="10" spans="1:30" x14ac:dyDescent="0.25">
      <c r="A10" s="1" t="s">
        <v>27</v>
      </c>
      <c r="B10" s="45" t="s">
        <v>28</v>
      </c>
      <c r="C10" s="45"/>
      <c r="D10" s="45">
        <v>0</v>
      </c>
      <c r="E10" s="45">
        <v>0</v>
      </c>
      <c r="F10" s="45">
        <v>0</v>
      </c>
      <c r="G10" s="46">
        <f>D10+E10</f>
        <v>0</v>
      </c>
      <c r="H10" s="47"/>
      <c r="I10" s="48">
        <v>1.125</v>
      </c>
      <c r="J10" s="48"/>
      <c r="K10" s="49">
        <f>ROUND(G10*I10,4)</f>
        <v>0</v>
      </c>
      <c r="L10" s="50">
        <f>ROUND(ROUND(K10*$G$7,4)*($K$7),0)</f>
        <v>0</v>
      </c>
      <c r="N10" s="51">
        <v>5101</v>
      </c>
      <c r="O10" s="564">
        <v>101</v>
      </c>
      <c r="P10" s="53"/>
      <c r="Q10" s="565"/>
      <c r="V10" s="617" t="s">
        <v>28</v>
      </c>
      <c r="W10" s="617"/>
      <c r="X10" s="618">
        <f>IF('2531'!K$84=1,'2531'!G10,0)</f>
        <v>0</v>
      </c>
      <c r="Y10" s="618"/>
      <c r="Z10" s="619">
        <v>1</v>
      </c>
      <c r="AA10" s="619"/>
      <c r="AB10" s="55">
        <f t="shared" ref="AB10:AB25" si="0">ROUND(X10*Z10,4)</f>
        <v>0</v>
      </c>
      <c r="AC10" s="56">
        <f t="shared" ref="AC10:AC25" si="1">ROUND(ROUND(AB10*$X$7,4)*($AB$7),0)</f>
        <v>0</v>
      </c>
      <c r="AD10" s="9">
        <v>1</v>
      </c>
    </row>
    <row r="11" spans="1:30" x14ac:dyDescent="0.25">
      <c r="A11" s="1" t="s">
        <v>29</v>
      </c>
      <c r="B11" s="13" t="s">
        <v>30</v>
      </c>
      <c r="C11" s="13"/>
      <c r="D11" s="13">
        <v>0</v>
      </c>
      <c r="E11" s="13">
        <v>0</v>
      </c>
      <c r="F11" s="13">
        <v>0</v>
      </c>
      <c r="G11" s="46">
        <f t="shared" ref="G11:G25" si="2">D11+E11</f>
        <v>0</v>
      </c>
      <c r="H11" s="47"/>
      <c r="I11" s="57">
        <f>I10</f>
        <v>1.125</v>
      </c>
      <c r="J11" s="57"/>
      <c r="K11" s="49">
        <f t="shared" ref="K11:K25" si="3">ROUND(G11*I11,4)</f>
        <v>0</v>
      </c>
      <c r="L11" s="50">
        <f t="shared" ref="L11:L25" si="4">ROUND(ROUND(K11*$G$7,4)*($K$7),0)</f>
        <v>0</v>
      </c>
      <c r="M11" s="1" t="str">
        <f>IF(ROUND(G11,2)=ROUND(SUM(G28:G30),2)," ","CHECK 2. PK-3 Lines Below")</f>
        <v xml:space="preserve"> </v>
      </c>
      <c r="N11" s="51">
        <v>5101</v>
      </c>
      <c r="O11" s="58" t="s">
        <v>31</v>
      </c>
      <c r="P11" s="53"/>
      <c r="Q11" s="565"/>
      <c r="V11" s="623" t="s">
        <v>30</v>
      </c>
      <c r="W11" s="623"/>
      <c r="X11" s="618">
        <f>IF('2531'!K$84=1,'2531'!G11,0)</f>
        <v>0</v>
      </c>
      <c r="Y11" s="618"/>
      <c r="Z11" s="624">
        <v>1</v>
      </c>
      <c r="AA11" s="624"/>
      <c r="AB11" s="55">
        <f t="shared" si="0"/>
        <v>0</v>
      </c>
      <c r="AC11" s="56">
        <f t="shared" si="1"/>
        <v>0</v>
      </c>
      <c r="AD11" s="9"/>
    </row>
    <row r="12" spans="1:30" x14ac:dyDescent="0.25">
      <c r="A12" s="1" t="s">
        <v>32</v>
      </c>
      <c r="B12" s="13" t="s">
        <v>33</v>
      </c>
      <c r="C12" s="13"/>
      <c r="D12" s="13">
        <v>0</v>
      </c>
      <c r="E12" s="13">
        <v>0</v>
      </c>
      <c r="F12" s="13">
        <v>0</v>
      </c>
      <c r="G12" s="46">
        <f t="shared" si="2"/>
        <v>0</v>
      </c>
      <c r="H12" s="47"/>
      <c r="I12" s="57">
        <v>1</v>
      </c>
      <c r="J12" s="57"/>
      <c r="K12" s="49">
        <f t="shared" si="3"/>
        <v>0</v>
      </c>
      <c r="L12" s="50">
        <f t="shared" si="4"/>
        <v>0</v>
      </c>
      <c r="N12" s="51">
        <v>5102</v>
      </c>
      <c r="O12" s="564">
        <v>102</v>
      </c>
      <c r="P12" s="53"/>
      <c r="Q12" s="565"/>
      <c r="V12" s="623" t="s">
        <v>33</v>
      </c>
      <c r="W12" s="623"/>
      <c r="X12" s="618">
        <f>IF('2531'!K$84=1,'2531'!G12,0)</f>
        <v>0</v>
      </c>
      <c r="Y12" s="618"/>
      <c r="Z12" s="624">
        <v>1</v>
      </c>
      <c r="AA12" s="624"/>
      <c r="AB12" s="55">
        <f t="shared" si="0"/>
        <v>0</v>
      </c>
      <c r="AC12" s="56">
        <f t="shared" si="1"/>
        <v>0</v>
      </c>
      <c r="AD12" s="9"/>
    </row>
    <row r="13" spans="1:30" x14ac:dyDescent="0.25">
      <c r="A13" s="1" t="s">
        <v>34</v>
      </c>
      <c r="B13" s="13" t="s">
        <v>35</v>
      </c>
      <c r="C13" s="13"/>
      <c r="D13" s="13">
        <v>0</v>
      </c>
      <c r="E13" s="13">
        <v>0</v>
      </c>
      <c r="F13" s="13">
        <v>0</v>
      </c>
      <c r="G13" s="46">
        <f t="shared" si="2"/>
        <v>0</v>
      </c>
      <c r="H13" s="47"/>
      <c r="I13" s="57">
        <f>I12</f>
        <v>1</v>
      </c>
      <c r="J13" s="57"/>
      <c r="K13" s="49">
        <f t="shared" si="3"/>
        <v>0</v>
      </c>
      <c r="L13" s="50">
        <f t="shared" si="4"/>
        <v>0</v>
      </c>
      <c r="M13" s="1" t="str">
        <f>IF(ROUND(G13,2)=ROUND(SUM(G31:G33),2)," ","CHECK 2. PK-3 Lines Below")</f>
        <v xml:space="preserve"> </v>
      </c>
      <c r="N13" s="51">
        <v>5102</v>
      </c>
      <c r="O13" s="58" t="s">
        <v>36</v>
      </c>
      <c r="P13" s="53"/>
      <c r="Q13" s="565"/>
      <c r="V13" s="623" t="s">
        <v>35</v>
      </c>
      <c r="W13" s="623"/>
      <c r="X13" s="618">
        <f>IF('2531'!K$84=1,'2531'!G13,0)</f>
        <v>0</v>
      </c>
      <c r="Y13" s="618"/>
      <c r="Z13" s="624">
        <v>1</v>
      </c>
      <c r="AA13" s="624"/>
      <c r="AB13" s="55">
        <f t="shared" si="0"/>
        <v>0</v>
      </c>
      <c r="AC13" s="56">
        <f t="shared" si="1"/>
        <v>0</v>
      </c>
      <c r="AD13" s="9"/>
    </row>
    <row r="14" spans="1:30" x14ac:dyDescent="0.25">
      <c r="A14" s="1" t="s">
        <v>37</v>
      </c>
      <c r="B14" s="13" t="s">
        <v>38</v>
      </c>
      <c r="C14" s="13"/>
      <c r="D14" s="13">
        <v>0</v>
      </c>
      <c r="E14" s="13">
        <v>0</v>
      </c>
      <c r="F14" s="13">
        <v>0</v>
      </c>
      <c r="G14" s="46">
        <f t="shared" si="2"/>
        <v>0</v>
      </c>
      <c r="H14" s="47"/>
      <c r="I14" s="57">
        <v>1.0109999999999999</v>
      </c>
      <c r="J14" s="57"/>
      <c r="K14" s="49">
        <f t="shared" si="3"/>
        <v>0</v>
      </c>
      <c r="L14" s="50">
        <f t="shared" si="4"/>
        <v>0</v>
      </c>
      <c r="N14" s="51">
        <v>5103</v>
      </c>
      <c r="O14" s="564">
        <v>103</v>
      </c>
      <c r="P14" s="53"/>
      <c r="Q14" s="565"/>
      <c r="V14" s="623" t="s">
        <v>38</v>
      </c>
      <c r="W14" s="623"/>
      <c r="X14" s="618">
        <f>IF('2531'!K$84=1,'2531'!G14,0)</f>
        <v>0</v>
      </c>
      <c r="Y14" s="618"/>
      <c r="Z14" s="624">
        <v>1</v>
      </c>
      <c r="AA14" s="624"/>
      <c r="AB14" s="55">
        <f t="shared" si="0"/>
        <v>0</v>
      </c>
      <c r="AC14" s="56">
        <f t="shared" si="1"/>
        <v>0</v>
      </c>
      <c r="AD14" s="9"/>
    </row>
    <row r="15" spans="1:30" x14ac:dyDescent="0.25">
      <c r="A15" s="1" t="s">
        <v>39</v>
      </c>
      <c r="B15" s="13" t="s">
        <v>40</v>
      </c>
      <c r="C15" s="13"/>
      <c r="D15" s="13">
        <v>0</v>
      </c>
      <c r="E15" s="13">
        <v>0</v>
      </c>
      <c r="F15" s="13">
        <v>0</v>
      </c>
      <c r="G15" s="46">
        <f t="shared" si="2"/>
        <v>0</v>
      </c>
      <c r="H15" s="47"/>
      <c r="I15" s="57">
        <f>I14</f>
        <v>1.0109999999999999</v>
      </c>
      <c r="J15" s="57"/>
      <c r="K15" s="49">
        <f t="shared" si="3"/>
        <v>0</v>
      </c>
      <c r="L15" s="59">
        <f t="shared" si="4"/>
        <v>0</v>
      </c>
      <c r="M15" s="1" t="str">
        <f>IF(ROUND(G15,2)=ROUND(SUM(G34:G36),2)," ","CHECK 2. PK-3 Lines Below")</f>
        <v xml:space="preserve"> </v>
      </c>
      <c r="N15" s="51">
        <v>5103</v>
      </c>
      <c r="O15" s="58" t="s">
        <v>41</v>
      </c>
      <c r="P15" s="53"/>
      <c r="Q15" s="565"/>
      <c r="V15" s="623" t="s">
        <v>40</v>
      </c>
      <c r="W15" s="623"/>
      <c r="X15" s="618">
        <f>IF('2531'!K$84=1,'2531'!G15,0)</f>
        <v>0</v>
      </c>
      <c r="Y15" s="618"/>
      <c r="Z15" s="624">
        <v>1</v>
      </c>
      <c r="AA15" s="624"/>
      <c r="AB15" s="55">
        <f t="shared" si="0"/>
        <v>0</v>
      </c>
      <c r="AC15" s="60">
        <f t="shared" si="1"/>
        <v>0</v>
      </c>
      <c r="AD15" s="9"/>
    </row>
    <row r="16" spans="1:30" x14ac:dyDescent="0.25">
      <c r="A16" s="1" t="s">
        <v>42</v>
      </c>
      <c r="B16" s="13" t="s">
        <v>43</v>
      </c>
      <c r="C16" s="13"/>
      <c r="D16" s="13">
        <v>2</v>
      </c>
      <c r="E16" s="13">
        <v>3.04</v>
      </c>
      <c r="F16" s="13">
        <v>2.75</v>
      </c>
      <c r="G16" s="46">
        <f t="shared" si="2"/>
        <v>5.04</v>
      </c>
      <c r="H16" s="47"/>
      <c r="I16" s="57">
        <v>3.5579999999999998</v>
      </c>
      <c r="J16" s="57"/>
      <c r="K16" s="49">
        <f t="shared" si="3"/>
        <v>17.932300000000001</v>
      </c>
      <c r="L16" s="50">
        <f t="shared" si="4"/>
        <v>69481</v>
      </c>
      <c r="N16" s="51">
        <v>5101</v>
      </c>
      <c r="O16" s="53">
        <v>254</v>
      </c>
      <c r="P16" s="53"/>
      <c r="Q16" s="565"/>
      <c r="V16" s="623" t="s">
        <v>43</v>
      </c>
      <c r="W16" s="623"/>
      <c r="X16" s="618">
        <f>IF('2531'!K$84=1,'2531'!G16,0)</f>
        <v>5.04</v>
      </c>
      <c r="Y16" s="618"/>
      <c r="Z16" s="624">
        <v>1</v>
      </c>
      <c r="AA16" s="624"/>
      <c r="AB16" s="55">
        <f t="shared" si="0"/>
        <v>5.04</v>
      </c>
      <c r="AC16" s="56">
        <f t="shared" si="1"/>
        <v>19528</v>
      </c>
      <c r="AD16" s="9"/>
    </row>
    <row r="17" spans="1:30" x14ac:dyDescent="0.25">
      <c r="A17" s="1" t="s">
        <v>44</v>
      </c>
      <c r="B17" s="13" t="s">
        <v>45</v>
      </c>
      <c r="C17" s="13"/>
      <c r="D17" s="13">
        <v>0</v>
      </c>
      <c r="E17" s="13">
        <v>0</v>
      </c>
      <c r="F17" s="13">
        <v>2.75</v>
      </c>
      <c r="G17" s="46">
        <f t="shared" si="2"/>
        <v>0</v>
      </c>
      <c r="H17" s="47"/>
      <c r="I17" s="57">
        <f>I16</f>
        <v>3.5579999999999998</v>
      </c>
      <c r="J17" s="57"/>
      <c r="K17" s="49">
        <f t="shared" si="3"/>
        <v>0</v>
      </c>
      <c r="L17" s="50">
        <f t="shared" si="4"/>
        <v>0</v>
      </c>
      <c r="N17" s="51">
        <v>5102</v>
      </c>
      <c r="O17" s="565">
        <v>254</v>
      </c>
      <c r="P17" s="53"/>
      <c r="Q17" s="565"/>
      <c r="V17" s="623" t="s">
        <v>45</v>
      </c>
      <c r="W17" s="623"/>
      <c r="X17" s="618">
        <f>IF('2531'!K$84=1,'2531'!G17,0)</f>
        <v>0</v>
      </c>
      <c r="Y17" s="618"/>
      <c r="Z17" s="624">
        <v>1</v>
      </c>
      <c r="AA17" s="624"/>
      <c r="AB17" s="55">
        <f t="shared" si="0"/>
        <v>0</v>
      </c>
      <c r="AC17" s="56">
        <f t="shared" si="1"/>
        <v>0</v>
      </c>
      <c r="AD17" s="9"/>
    </row>
    <row r="18" spans="1:30" x14ac:dyDescent="0.25">
      <c r="A18" s="1" t="s">
        <v>46</v>
      </c>
      <c r="B18" s="13" t="s">
        <v>47</v>
      </c>
      <c r="C18" s="13"/>
      <c r="D18" s="13">
        <v>0</v>
      </c>
      <c r="E18" s="13">
        <v>0</v>
      </c>
      <c r="F18" s="13">
        <v>0</v>
      </c>
      <c r="G18" s="46">
        <f t="shared" si="2"/>
        <v>0</v>
      </c>
      <c r="H18" s="47"/>
      <c r="I18" s="57">
        <f>I17</f>
        <v>3.5579999999999998</v>
      </c>
      <c r="J18" s="57"/>
      <c r="K18" s="49">
        <f t="shared" si="3"/>
        <v>0</v>
      </c>
      <c r="L18" s="50">
        <f t="shared" si="4"/>
        <v>0</v>
      </c>
      <c r="N18" s="51">
        <v>5103</v>
      </c>
      <c r="O18" s="565">
        <v>254</v>
      </c>
      <c r="P18" s="53"/>
      <c r="Q18" s="565"/>
      <c r="V18" s="623" t="s">
        <v>47</v>
      </c>
      <c r="W18" s="623"/>
      <c r="X18" s="618">
        <f>IF('2531'!K$84=1,'2531'!G18,0)</f>
        <v>0</v>
      </c>
      <c r="Y18" s="618"/>
      <c r="Z18" s="624">
        <v>1</v>
      </c>
      <c r="AA18" s="624"/>
      <c r="AB18" s="55">
        <f t="shared" si="0"/>
        <v>0</v>
      </c>
      <c r="AC18" s="56">
        <f t="shared" si="1"/>
        <v>0</v>
      </c>
      <c r="AD18" s="9"/>
    </row>
    <row r="19" spans="1:30" ht="15" customHeight="1" x14ac:dyDescent="0.25">
      <c r="A19" s="1" t="s">
        <v>48</v>
      </c>
      <c r="B19" s="13" t="s">
        <v>49</v>
      </c>
      <c r="C19" s="13"/>
      <c r="D19" s="13">
        <v>8</v>
      </c>
      <c r="E19" s="13">
        <v>11</v>
      </c>
      <c r="F19" s="13">
        <v>13.05</v>
      </c>
      <c r="G19" s="46">
        <f t="shared" si="2"/>
        <v>19</v>
      </c>
      <c r="H19" s="47"/>
      <c r="I19" s="57">
        <v>5.0890000000000004</v>
      </c>
      <c r="J19" s="57"/>
      <c r="K19" s="49">
        <f t="shared" si="3"/>
        <v>96.691000000000003</v>
      </c>
      <c r="L19" s="50">
        <f t="shared" si="4"/>
        <v>374641</v>
      </c>
      <c r="N19" s="51">
        <v>5101</v>
      </c>
      <c r="O19" s="53">
        <v>255</v>
      </c>
      <c r="P19" s="53"/>
      <c r="Q19" s="565"/>
      <c r="V19" s="623" t="s">
        <v>49</v>
      </c>
      <c r="W19" s="623"/>
      <c r="X19" s="618">
        <f>IF('2531'!K$84=1,'2531'!G19,0)</f>
        <v>19</v>
      </c>
      <c r="Y19" s="618"/>
      <c r="Z19" s="624">
        <v>1</v>
      </c>
      <c r="AA19" s="624"/>
      <c r="AB19" s="55">
        <f t="shared" si="0"/>
        <v>19</v>
      </c>
      <c r="AC19" s="56">
        <f t="shared" si="1"/>
        <v>73618</v>
      </c>
      <c r="AD19" s="9"/>
    </row>
    <row r="20" spans="1:30" ht="15" customHeight="1" x14ac:dyDescent="0.25">
      <c r="A20" s="1" t="s">
        <v>50</v>
      </c>
      <c r="B20" s="13" t="s">
        <v>51</v>
      </c>
      <c r="C20" s="13"/>
      <c r="D20" s="13">
        <v>2.5</v>
      </c>
      <c r="E20" s="13">
        <v>0</v>
      </c>
      <c r="F20" s="13">
        <v>13.05</v>
      </c>
      <c r="G20" s="46">
        <f t="shared" si="2"/>
        <v>2.5</v>
      </c>
      <c r="H20" s="47"/>
      <c r="I20" s="57">
        <f>I19</f>
        <v>5.0890000000000004</v>
      </c>
      <c r="J20" s="57"/>
      <c r="K20" s="49">
        <f t="shared" si="3"/>
        <v>12.7225</v>
      </c>
      <c r="L20" s="50">
        <f t="shared" si="4"/>
        <v>49295</v>
      </c>
      <c r="N20" s="51">
        <v>5102</v>
      </c>
      <c r="O20" s="565">
        <v>255</v>
      </c>
      <c r="P20" s="53"/>
      <c r="Q20" s="565"/>
      <c r="V20" s="623" t="s">
        <v>51</v>
      </c>
      <c r="W20" s="623"/>
      <c r="X20" s="618">
        <f>IF('2531'!K$84=1,'2531'!G20,0)</f>
        <v>2.5</v>
      </c>
      <c r="Y20" s="618"/>
      <c r="Z20" s="624">
        <v>1</v>
      </c>
      <c r="AA20" s="624"/>
      <c r="AB20" s="55">
        <f t="shared" si="0"/>
        <v>2.5</v>
      </c>
      <c r="AC20" s="56">
        <f t="shared" si="1"/>
        <v>9687</v>
      </c>
      <c r="AD20" s="9"/>
    </row>
    <row r="21" spans="1:30" ht="15" customHeight="1" x14ac:dyDescent="0.25">
      <c r="A21" s="1" t="s">
        <v>52</v>
      </c>
      <c r="B21" s="13" t="s">
        <v>53</v>
      </c>
      <c r="C21" s="13"/>
      <c r="D21" s="13">
        <v>0</v>
      </c>
      <c r="E21" s="13">
        <v>0</v>
      </c>
      <c r="F21" s="13">
        <v>0</v>
      </c>
      <c r="G21" s="46">
        <f t="shared" si="2"/>
        <v>0</v>
      </c>
      <c r="H21" s="47"/>
      <c r="I21" s="57">
        <f>I20</f>
        <v>5.0890000000000004</v>
      </c>
      <c r="J21" s="57"/>
      <c r="K21" s="49">
        <f t="shared" si="3"/>
        <v>0</v>
      </c>
      <c r="L21" s="50">
        <f t="shared" si="4"/>
        <v>0</v>
      </c>
      <c r="N21" s="51">
        <v>5103</v>
      </c>
      <c r="O21" s="565">
        <v>255</v>
      </c>
      <c r="P21" s="53"/>
      <c r="Q21" s="565"/>
      <c r="V21" s="623" t="s">
        <v>53</v>
      </c>
      <c r="W21" s="623"/>
      <c r="X21" s="618">
        <f>IF('2531'!K$84=1,'2531'!G21,0)</f>
        <v>0</v>
      </c>
      <c r="Y21" s="618"/>
      <c r="Z21" s="624">
        <v>1</v>
      </c>
      <c r="AA21" s="624"/>
      <c r="AB21" s="55">
        <f t="shared" si="0"/>
        <v>0</v>
      </c>
      <c r="AC21" s="56">
        <f t="shared" si="1"/>
        <v>0</v>
      </c>
      <c r="AD21" s="9"/>
    </row>
    <row r="22" spans="1:30" x14ac:dyDescent="0.25">
      <c r="A22" s="1" t="s">
        <v>54</v>
      </c>
      <c r="B22" s="13" t="s">
        <v>55</v>
      </c>
      <c r="C22" s="13"/>
      <c r="D22" s="13">
        <v>0</v>
      </c>
      <c r="E22" s="13">
        <v>0</v>
      </c>
      <c r="F22" s="13">
        <v>0</v>
      </c>
      <c r="G22" s="46">
        <f t="shared" si="2"/>
        <v>0</v>
      </c>
      <c r="H22" s="47"/>
      <c r="I22" s="57">
        <v>1.145</v>
      </c>
      <c r="J22" s="57"/>
      <c r="K22" s="49">
        <f t="shared" si="3"/>
        <v>0</v>
      </c>
      <c r="L22" s="50">
        <f t="shared" si="4"/>
        <v>0</v>
      </c>
      <c r="N22" s="51">
        <v>5101</v>
      </c>
      <c r="O22" s="564">
        <v>130</v>
      </c>
      <c r="P22" s="53"/>
      <c r="Q22" s="565"/>
      <c r="V22" s="623" t="s">
        <v>55</v>
      </c>
      <c r="W22" s="623"/>
      <c r="X22" s="618">
        <f>IF('2531'!K$84=1,'2531'!G22,0)</f>
        <v>0</v>
      </c>
      <c r="Y22" s="618"/>
      <c r="Z22" s="624">
        <v>1</v>
      </c>
      <c r="AA22" s="624"/>
      <c r="AB22" s="55">
        <f t="shared" si="0"/>
        <v>0</v>
      </c>
      <c r="AC22" s="56">
        <f t="shared" si="1"/>
        <v>0</v>
      </c>
      <c r="AD22" s="9"/>
    </row>
    <row r="23" spans="1:30" x14ac:dyDescent="0.25">
      <c r="A23" s="1" t="s">
        <v>56</v>
      </c>
      <c r="B23" s="13" t="s">
        <v>57</v>
      </c>
      <c r="C23" s="13"/>
      <c r="D23" s="13">
        <v>0</v>
      </c>
      <c r="E23" s="13">
        <v>0</v>
      </c>
      <c r="F23" s="13">
        <v>0</v>
      </c>
      <c r="G23" s="46">
        <f t="shared" si="2"/>
        <v>0</v>
      </c>
      <c r="H23" s="47"/>
      <c r="I23" s="57">
        <f>I22</f>
        <v>1.145</v>
      </c>
      <c r="J23" s="57"/>
      <c r="K23" s="49">
        <f t="shared" si="3"/>
        <v>0</v>
      </c>
      <c r="L23" s="50">
        <f t="shared" si="4"/>
        <v>0</v>
      </c>
      <c r="N23" s="51">
        <v>5102</v>
      </c>
      <c r="O23" s="564">
        <v>130</v>
      </c>
      <c r="P23" s="53"/>
      <c r="Q23" s="565"/>
      <c r="V23" s="623" t="s">
        <v>57</v>
      </c>
      <c r="W23" s="623"/>
      <c r="X23" s="618">
        <f>IF('2531'!K$84=1,'2531'!G23,0)</f>
        <v>0</v>
      </c>
      <c r="Y23" s="618"/>
      <c r="Z23" s="624">
        <v>1</v>
      </c>
      <c r="AA23" s="624"/>
      <c r="AB23" s="55">
        <f t="shared" si="0"/>
        <v>0</v>
      </c>
      <c r="AC23" s="56">
        <f t="shared" si="1"/>
        <v>0</v>
      </c>
      <c r="AD23" s="9"/>
    </row>
    <row r="24" spans="1:30" x14ac:dyDescent="0.25">
      <c r="A24" s="1" t="s">
        <v>58</v>
      </c>
      <c r="B24" s="13" t="s">
        <v>59</v>
      </c>
      <c r="C24" s="13"/>
      <c r="D24" s="13">
        <v>0</v>
      </c>
      <c r="E24" s="13">
        <v>0</v>
      </c>
      <c r="F24" s="13">
        <v>0</v>
      </c>
      <c r="G24" s="46">
        <f t="shared" si="2"/>
        <v>0</v>
      </c>
      <c r="H24" s="47"/>
      <c r="I24" s="57">
        <f>I23</f>
        <v>1.145</v>
      </c>
      <c r="J24" s="57"/>
      <c r="K24" s="49">
        <f t="shared" si="3"/>
        <v>0</v>
      </c>
      <c r="L24" s="50">
        <f t="shared" si="4"/>
        <v>0</v>
      </c>
      <c r="N24" s="51">
        <v>5103</v>
      </c>
      <c r="O24" s="564">
        <v>130</v>
      </c>
      <c r="P24" s="53"/>
      <c r="Q24" s="565"/>
      <c r="V24" s="623" t="s">
        <v>59</v>
      </c>
      <c r="W24" s="623"/>
      <c r="X24" s="618">
        <f>IF('2531'!K$84=1,'2531'!G24,0)</f>
        <v>0</v>
      </c>
      <c r="Y24" s="618"/>
      <c r="Z24" s="624">
        <v>1</v>
      </c>
      <c r="AA24" s="624"/>
      <c r="AB24" s="55">
        <f t="shared" si="0"/>
        <v>0</v>
      </c>
      <c r="AC24" s="56">
        <f t="shared" si="1"/>
        <v>0</v>
      </c>
      <c r="AD24" s="9"/>
    </row>
    <row r="25" spans="1:30" ht="16.5" thickBot="1" x14ac:dyDescent="0.3">
      <c r="A25" s="1" t="s">
        <v>60</v>
      </c>
      <c r="B25" s="13" t="s">
        <v>61</v>
      </c>
      <c r="C25" s="13"/>
      <c r="D25" s="13">
        <v>0</v>
      </c>
      <c r="E25" s="13">
        <v>0</v>
      </c>
      <c r="F25" s="13">
        <v>0</v>
      </c>
      <c r="G25" s="46">
        <f t="shared" si="2"/>
        <v>0</v>
      </c>
      <c r="H25" s="47"/>
      <c r="I25" s="57">
        <v>1.0109999999999999</v>
      </c>
      <c r="J25" s="57"/>
      <c r="K25" s="49">
        <f t="shared" si="3"/>
        <v>0</v>
      </c>
      <c r="L25" s="50">
        <f t="shared" si="4"/>
        <v>0</v>
      </c>
      <c r="N25" s="51">
        <v>5310</v>
      </c>
      <c r="O25" s="564">
        <v>300</v>
      </c>
      <c r="P25" s="53"/>
      <c r="Q25" s="565"/>
      <c r="V25" s="623" t="s">
        <v>61</v>
      </c>
      <c r="W25" s="623"/>
      <c r="X25" s="618">
        <f>IF('2531'!K$84=1,'2531'!G25,0)</f>
        <v>0</v>
      </c>
      <c r="Y25" s="618"/>
      <c r="Z25" s="624">
        <v>1</v>
      </c>
      <c r="AA25" s="624"/>
      <c r="AB25" s="55">
        <f t="shared" si="0"/>
        <v>0</v>
      </c>
      <c r="AC25" s="56">
        <f t="shared" si="1"/>
        <v>0</v>
      </c>
      <c r="AD25" s="9"/>
    </row>
    <row r="26" spans="1:30" ht="20.25" customHeight="1" thickBot="1" x14ac:dyDescent="0.3">
      <c r="B26" s="62" t="s">
        <v>62</v>
      </c>
      <c r="C26" s="62"/>
      <c r="D26" s="63">
        <f t="shared" ref="D26:E26" si="5">SUM(D10:D25)</f>
        <v>12.5</v>
      </c>
      <c r="E26" s="63">
        <f t="shared" si="5"/>
        <v>14.04</v>
      </c>
      <c r="F26" s="63"/>
      <c r="G26" s="63">
        <f>SUM(G10:G25)</f>
        <v>26.54</v>
      </c>
      <c r="H26" s="64"/>
      <c r="I26" s="64"/>
      <c r="J26" s="65"/>
      <c r="K26" s="66">
        <f>SUM(K10:K25)</f>
        <v>127.3458</v>
      </c>
      <c r="L26" s="67">
        <f>SUM(L10:L25)</f>
        <v>493417</v>
      </c>
      <c r="N26" s="565"/>
      <c r="O26" s="68"/>
      <c r="P26" s="565"/>
      <c r="Q26" s="565"/>
      <c r="V26" s="625" t="s">
        <v>62</v>
      </c>
      <c r="W26" s="625"/>
      <c r="X26" s="626">
        <f>SUM(X10:X25)</f>
        <v>26.54</v>
      </c>
      <c r="Y26" s="626"/>
      <c r="Z26" s="627"/>
      <c r="AA26" s="628"/>
      <c r="AB26" s="69">
        <f>SUM(AB10:AB25)</f>
        <v>26.54</v>
      </c>
      <c r="AC26" s="70">
        <f>SUM(AC10:AC25)</f>
        <v>102833</v>
      </c>
      <c r="AD26" s="9"/>
    </row>
    <row r="27" spans="1:30" ht="51.75" customHeight="1" x14ac:dyDescent="0.25">
      <c r="B27" s="62" t="s">
        <v>63</v>
      </c>
      <c r="C27" s="62"/>
      <c r="D27" s="71" t="s">
        <v>13</v>
      </c>
      <c r="E27" s="71" t="s">
        <v>14</v>
      </c>
      <c r="F27" s="27"/>
      <c r="G27" s="72" t="s">
        <v>64</v>
      </c>
      <c r="H27" s="73"/>
      <c r="I27" s="74" t="s">
        <v>65</v>
      </c>
      <c r="J27" s="74" t="s">
        <v>66</v>
      </c>
      <c r="K27" s="75" t="s">
        <v>67</v>
      </c>
      <c r="N27" s="565"/>
      <c r="O27" s="68"/>
      <c r="P27" s="565"/>
      <c r="Q27" s="565"/>
      <c r="V27" s="629" t="s">
        <v>63</v>
      </c>
      <c r="W27" s="629"/>
      <c r="X27" s="630" t="s">
        <v>64</v>
      </c>
      <c r="Y27" s="630"/>
      <c r="Z27" s="76" t="s">
        <v>65</v>
      </c>
      <c r="AA27" s="77" t="s">
        <v>66</v>
      </c>
      <c r="AB27" s="78" t="s">
        <v>67</v>
      </c>
      <c r="AC27" s="9"/>
      <c r="AD27" s="9"/>
    </row>
    <row r="28" spans="1:30" ht="15.75" customHeight="1" x14ac:dyDescent="0.25">
      <c r="A28" s="1" t="s">
        <v>68</v>
      </c>
      <c r="B28" s="631" t="s">
        <v>69</v>
      </c>
      <c r="C28" s="632"/>
      <c r="D28" s="13">
        <v>0</v>
      </c>
      <c r="E28" s="13">
        <v>0</v>
      </c>
      <c r="F28" s="79">
        <v>0</v>
      </c>
      <c r="G28" s="46">
        <f t="shared" ref="G28:G36" si="6">D28+E28</f>
        <v>0</v>
      </c>
      <c r="H28" s="80"/>
      <c r="I28" s="81" t="s">
        <v>70</v>
      </c>
      <c r="J28" s="82">
        <v>251</v>
      </c>
      <c r="K28" s="83">
        <v>1047</v>
      </c>
      <c r="L28" s="84">
        <f>ROUND(G28*K28,0)</f>
        <v>0</v>
      </c>
      <c r="N28" s="552">
        <v>5101</v>
      </c>
      <c r="O28" s="565">
        <v>251</v>
      </c>
      <c r="P28" s="86"/>
      <c r="Q28" s="87"/>
      <c r="V28" s="637" t="s">
        <v>69</v>
      </c>
      <c r="W28" s="637"/>
      <c r="X28" s="638"/>
      <c r="Y28" s="638"/>
      <c r="Z28" s="88" t="s">
        <v>70</v>
      </c>
      <c r="AA28" s="558">
        <v>251</v>
      </c>
      <c r="AB28" s="90">
        <f>+K28</f>
        <v>1047</v>
      </c>
      <c r="AC28" s="91">
        <f t="shared" ref="AC28:AC36" si="7">ROUND(X28*AB28,0)</f>
        <v>0</v>
      </c>
      <c r="AD28" s="9"/>
    </row>
    <row r="29" spans="1:30" x14ac:dyDescent="0.25">
      <c r="A29" s="1" t="s">
        <v>71</v>
      </c>
      <c r="B29" s="633"/>
      <c r="C29" s="634"/>
      <c r="D29" s="13">
        <v>0</v>
      </c>
      <c r="E29" s="13">
        <v>0</v>
      </c>
      <c r="F29" s="92">
        <v>0</v>
      </c>
      <c r="G29" s="46">
        <f t="shared" si="6"/>
        <v>0</v>
      </c>
      <c r="H29" s="80"/>
      <c r="I29" s="82" t="s">
        <v>70</v>
      </c>
      <c r="J29" s="82">
        <v>252</v>
      </c>
      <c r="K29" s="83">
        <v>3380</v>
      </c>
      <c r="L29" s="84">
        <f t="shared" ref="L29:L36" si="8">ROUND(G29*K29,0)</f>
        <v>0</v>
      </c>
      <c r="N29" s="552">
        <v>5101</v>
      </c>
      <c r="O29" s="565">
        <v>252</v>
      </c>
      <c r="P29" s="86"/>
      <c r="Q29" s="87"/>
      <c r="V29" s="637"/>
      <c r="W29" s="637"/>
      <c r="X29" s="638"/>
      <c r="Y29" s="638"/>
      <c r="Z29" s="558" t="s">
        <v>70</v>
      </c>
      <c r="AA29" s="558">
        <v>252</v>
      </c>
      <c r="AB29" s="90">
        <f t="shared" ref="AB29:AB36" si="9">+K29</f>
        <v>3380</v>
      </c>
      <c r="AC29" s="91">
        <f t="shared" si="7"/>
        <v>0</v>
      </c>
      <c r="AD29" s="9"/>
    </row>
    <row r="30" spans="1:30" x14ac:dyDescent="0.25">
      <c r="A30" s="1" t="s">
        <v>72</v>
      </c>
      <c r="B30" s="633"/>
      <c r="C30" s="634"/>
      <c r="D30" s="13">
        <v>0</v>
      </c>
      <c r="E30" s="13">
        <v>0</v>
      </c>
      <c r="F30" s="92">
        <v>0</v>
      </c>
      <c r="G30" s="46">
        <f t="shared" si="6"/>
        <v>0</v>
      </c>
      <c r="H30" s="80"/>
      <c r="I30" s="82" t="s">
        <v>70</v>
      </c>
      <c r="J30" s="82">
        <v>253</v>
      </c>
      <c r="K30" s="83">
        <v>6896</v>
      </c>
      <c r="L30" s="84">
        <f t="shared" si="8"/>
        <v>0</v>
      </c>
      <c r="N30" s="552">
        <v>5101</v>
      </c>
      <c r="O30" s="565">
        <v>253</v>
      </c>
      <c r="P30" s="86"/>
      <c r="Q30" s="68"/>
      <c r="V30" s="637"/>
      <c r="W30" s="637"/>
      <c r="X30" s="638"/>
      <c r="Y30" s="638"/>
      <c r="Z30" s="558" t="s">
        <v>70</v>
      </c>
      <c r="AA30" s="558">
        <v>253</v>
      </c>
      <c r="AB30" s="90">
        <f t="shared" si="9"/>
        <v>6896</v>
      </c>
      <c r="AC30" s="91">
        <f t="shared" si="7"/>
        <v>0</v>
      </c>
      <c r="AD30" s="9"/>
    </row>
    <row r="31" spans="1:30" x14ac:dyDescent="0.25">
      <c r="A31" s="1" t="s">
        <v>73</v>
      </c>
      <c r="B31" s="633"/>
      <c r="C31" s="634"/>
      <c r="D31" s="13">
        <v>0</v>
      </c>
      <c r="E31" s="13">
        <v>0</v>
      </c>
      <c r="F31" s="92">
        <v>0</v>
      </c>
      <c r="G31" s="46">
        <f t="shared" si="6"/>
        <v>0</v>
      </c>
      <c r="H31" s="80"/>
      <c r="I31" s="93" t="s">
        <v>74</v>
      </c>
      <c r="J31" s="82">
        <v>251</v>
      </c>
      <c r="K31" s="83">
        <v>1173</v>
      </c>
      <c r="L31" s="84">
        <f t="shared" si="8"/>
        <v>0</v>
      </c>
      <c r="N31" s="552">
        <v>5102</v>
      </c>
      <c r="O31" s="565">
        <v>251</v>
      </c>
      <c r="P31" s="86"/>
      <c r="Q31" s="68"/>
      <c r="V31" s="637"/>
      <c r="W31" s="637"/>
      <c r="X31" s="638"/>
      <c r="Y31" s="638"/>
      <c r="Z31" s="94" t="s">
        <v>74</v>
      </c>
      <c r="AA31" s="558">
        <v>251</v>
      </c>
      <c r="AB31" s="90">
        <f t="shared" si="9"/>
        <v>1173</v>
      </c>
      <c r="AC31" s="91">
        <f t="shared" si="7"/>
        <v>0</v>
      </c>
      <c r="AD31" s="9"/>
    </row>
    <row r="32" spans="1:30" x14ac:dyDescent="0.25">
      <c r="A32" s="1" t="s">
        <v>75</v>
      </c>
      <c r="B32" s="633"/>
      <c r="C32" s="634"/>
      <c r="D32" s="13">
        <v>0</v>
      </c>
      <c r="E32" s="13">
        <v>0</v>
      </c>
      <c r="F32" s="92">
        <v>0</v>
      </c>
      <c r="G32" s="46">
        <f t="shared" si="6"/>
        <v>0</v>
      </c>
      <c r="H32" s="80"/>
      <c r="I32" s="93" t="s">
        <v>74</v>
      </c>
      <c r="J32" s="82">
        <v>252</v>
      </c>
      <c r="K32" s="83">
        <v>3506</v>
      </c>
      <c r="L32" s="84">
        <f t="shared" si="8"/>
        <v>0</v>
      </c>
      <c r="N32" s="552">
        <v>5102</v>
      </c>
      <c r="O32" s="565">
        <v>252</v>
      </c>
      <c r="P32" s="86"/>
      <c r="Q32" s="565"/>
      <c r="V32" s="637"/>
      <c r="W32" s="637"/>
      <c r="X32" s="638"/>
      <c r="Y32" s="638"/>
      <c r="Z32" s="94" t="s">
        <v>74</v>
      </c>
      <c r="AA32" s="558">
        <v>252</v>
      </c>
      <c r="AB32" s="90">
        <f t="shared" si="9"/>
        <v>3506</v>
      </c>
      <c r="AC32" s="91">
        <f t="shared" si="7"/>
        <v>0</v>
      </c>
      <c r="AD32" s="9"/>
    </row>
    <row r="33" spans="1:30" x14ac:dyDescent="0.25">
      <c r="A33" s="1" t="s">
        <v>76</v>
      </c>
      <c r="B33" s="633"/>
      <c r="C33" s="634"/>
      <c r="D33" s="13">
        <v>0</v>
      </c>
      <c r="E33" s="13">
        <v>0</v>
      </c>
      <c r="F33" s="92">
        <v>0</v>
      </c>
      <c r="G33" s="46">
        <f t="shared" si="6"/>
        <v>0</v>
      </c>
      <c r="H33" s="80"/>
      <c r="I33" s="93" t="s">
        <v>74</v>
      </c>
      <c r="J33" s="82">
        <v>253</v>
      </c>
      <c r="K33" s="83">
        <v>7023</v>
      </c>
      <c r="L33" s="84">
        <f t="shared" si="8"/>
        <v>0</v>
      </c>
      <c r="N33" s="552">
        <v>5102</v>
      </c>
      <c r="O33" s="565">
        <v>253</v>
      </c>
      <c r="P33" s="86"/>
      <c r="Q33" s="87"/>
      <c r="V33" s="637"/>
      <c r="W33" s="637"/>
      <c r="X33" s="638"/>
      <c r="Y33" s="638"/>
      <c r="Z33" s="94" t="s">
        <v>74</v>
      </c>
      <c r="AA33" s="558">
        <v>253</v>
      </c>
      <c r="AB33" s="90">
        <f t="shared" si="9"/>
        <v>7023</v>
      </c>
      <c r="AC33" s="91">
        <f t="shared" si="7"/>
        <v>0</v>
      </c>
      <c r="AD33" s="9"/>
    </row>
    <row r="34" spans="1:30" x14ac:dyDescent="0.25">
      <c r="A34" s="1" t="s">
        <v>77</v>
      </c>
      <c r="B34" s="633"/>
      <c r="C34" s="634"/>
      <c r="D34" s="13">
        <v>0</v>
      </c>
      <c r="E34" s="13">
        <v>0</v>
      </c>
      <c r="F34" s="92">
        <v>0</v>
      </c>
      <c r="G34" s="46">
        <f t="shared" si="6"/>
        <v>0</v>
      </c>
      <c r="H34" s="80"/>
      <c r="I34" s="93" t="s">
        <v>78</v>
      </c>
      <c r="J34" s="82">
        <v>251</v>
      </c>
      <c r="K34" s="83">
        <v>835</v>
      </c>
      <c r="L34" s="84">
        <f t="shared" si="8"/>
        <v>0</v>
      </c>
      <c r="N34" s="552">
        <v>5103</v>
      </c>
      <c r="O34" s="565">
        <v>251</v>
      </c>
      <c r="P34" s="86"/>
      <c r="Q34" s="87"/>
      <c r="V34" s="637"/>
      <c r="W34" s="637"/>
      <c r="X34" s="638"/>
      <c r="Y34" s="638"/>
      <c r="Z34" s="94" t="s">
        <v>78</v>
      </c>
      <c r="AA34" s="558">
        <v>251</v>
      </c>
      <c r="AB34" s="90">
        <f t="shared" si="9"/>
        <v>835</v>
      </c>
      <c r="AC34" s="91">
        <f t="shared" si="7"/>
        <v>0</v>
      </c>
      <c r="AD34" s="9"/>
    </row>
    <row r="35" spans="1:30" x14ac:dyDescent="0.25">
      <c r="A35" s="1" t="s">
        <v>79</v>
      </c>
      <c r="B35" s="633"/>
      <c r="C35" s="634"/>
      <c r="D35" s="13">
        <v>0</v>
      </c>
      <c r="E35" s="13">
        <v>0</v>
      </c>
      <c r="F35" s="92">
        <v>0</v>
      </c>
      <c r="G35" s="46">
        <f t="shared" si="6"/>
        <v>0</v>
      </c>
      <c r="H35" s="80"/>
      <c r="I35" s="93" t="s">
        <v>78</v>
      </c>
      <c r="J35" s="82">
        <v>252</v>
      </c>
      <c r="K35" s="83">
        <v>3168</v>
      </c>
      <c r="L35" s="84">
        <f t="shared" si="8"/>
        <v>0</v>
      </c>
      <c r="N35" s="552">
        <v>5103</v>
      </c>
      <c r="O35" s="565">
        <v>252</v>
      </c>
      <c r="P35" s="86"/>
      <c r="Q35" s="95"/>
      <c r="V35" s="637"/>
      <c r="W35" s="637"/>
      <c r="X35" s="638"/>
      <c r="Y35" s="638"/>
      <c r="Z35" s="94" t="s">
        <v>78</v>
      </c>
      <c r="AA35" s="558">
        <v>252</v>
      </c>
      <c r="AB35" s="90">
        <f t="shared" si="9"/>
        <v>3168</v>
      </c>
      <c r="AC35" s="91">
        <f t="shared" si="7"/>
        <v>0</v>
      </c>
      <c r="AD35" s="9"/>
    </row>
    <row r="36" spans="1:30" ht="16.5" thickBot="1" x14ac:dyDescent="0.3">
      <c r="A36" s="1" t="s">
        <v>80</v>
      </c>
      <c r="B36" s="635"/>
      <c r="C36" s="636"/>
      <c r="D36" s="13">
        <v>0</v>
      </c>
      <c r="E36" s="13">
        <v>0</v>
      </c>
      <c r="F36" s="92">
        <v>0</v>
      </c>
      <c r="G36" s="46">
        <f t="shared" si="6"/>
        <v>0</v>
      </c>
      <c r="H36" s="80"/>
      <c r="I36" s="93" t="s">
        <v>78</v>
      </c>
      <c r="J36" s="82">
        <v>253</v>
      </c>
      <c r="K36" s="83">
        <v>6685</v>
      </c>
      <c r="L36" s="96">
        <f t="shared" si="8"/>
        <v>0</v>
      </c>
      <c r="N36" s="552">
        <v>5103</v>
      </c>
      <c r="O36" s="565">
        <v>253</v>
      </c>
      <c r="P36" s="86"/>
      <c r="Q36" s="97"/>
      <c r="V36" s="637"/>
      <c r="W36" s="637"/>
      <c r="X36" s="645"/>
      <c r="Y36" s="645"/>
      <c r="Z36" s="94" t="s">
        <v>78</v>
      </c>
      <c r="AA36" s="558">
        <v>253</v>
      </c>
      <c r="AB36" s="90">
        <f t="shared" si="9"/>
        <v>6685</v>
      </c>
      <c r="AC36" s="98">
        <f t="shared" si="7"/>
        <v>0</v>
      </c>
      <c r="AD36" s="9"/>
    </row>
    <row r="37" spans="1:30" ht="18.75" customHeight="1" x14ac:dyDescent="0.25">
      <c r="B37" s="13" t="s">
        <v>81</v>
      </c>
      <c r="C37" s="13"/>
      <c r="D37" s="63">
        <f t="shared" ref="D37:E37" si="10">SUM(D28:D36)</f>
        <v>0</v>
      </c>
      <c r="E37" s="63">
        <f t="shared" si="10"/>
        <v>0</v>
      </c>
      <c r="F37" s="63"/>
      <c r="G37" s="63">
        <f>SUM(G28:G36)</f>
        <v>0</v>
      </c>
      <c r="H37" s="64"/>
      <c r="I37" s="13" t="s">
        <v>82</v>
      </c>
      <c r="J37" s="13"/>
      <c r="K37" s="13"/>
      <c r="L37" s="50">
        <f>SUM(L28:L36)</f>
        <v>0</v>
      </c>
      <c r="N37" s="565"/>
      <c r="O37" s="68"/>
      <c r="P37" s="565"/>
      <c r="Q37" s="565"/>
      <c r="V37" s="646" t="s">
        <v>81</v>
      </c>
      <c r="W37" s="646"/>
      <c r="X37" s="626">
        <f>SUM(X28:X36)</f>
        <v>0</v>
      </c>
      <c r="Y37" s="626"/>
      <c r="Z37" s="646" t="s">
        <v>82</v>
      </c>
      <c r="AA37" s="646"/>
      <c r="AB37" s="646"/>
      <c r="AC37" s="56">
        <f>SUM(AC28:AC36)</f>
        <v>0</v>
      </c>
      <c r="AD37" s="9"/>
    </row>
    <row r="38" spans="1:30" ht="30.75" customHeight="1" x14ac:dyDescent="0.25">
      <c r="B38" s="99" t="s">
        <v>83</v>
      </c>
      <c r="C38" s="99"/>
      <c r="D38" s="99"/>
      <c r="E38" s="99"/>
      <c r="F38" s="99"/>
      <c r="G38" s="99"/>
      <c r="H38" s="100"/>
      <c r="I38" s="99"/>
      <c r="J38" s="99"/>
      <c r="K38" s="99"/>
      <c r="L38" s="99"/>
      <c r="M38" s="101"/>
      <c r="N38" s="565"/>
      <c r="O38" s="68"/>
      <c r="P38" s="565"/>
      <c r="Q38" s="565"/>
      <c r="V38" s="639" t="s">
        <v>83</v>
      </c>
      <c r="W38" s="639"/>
      <c r="X38" s="639"/>
      <c r="Y38" s="639"/>
      <c r="Z38" s="639"/>
      <c r="AA38" s="639"/>
      <c r="AB38" s="639"/>
      <c r="AC38" s="639"/>
      <c r="AD38" s="102"/>
    </row>
    <row r="39" spans="1:30" ht="15.75" customHeight="1" x14ac:dyDescent="0.25">
      <c r="B39" s="103" t="s">
        <v>84</v>
      </c>
      <c r="C39" s="103"/>
      <c r="D39" s="103"/>
      <c r="E39" s="103"/>
      <c r="F39" s="103"/>
      <c r="G39" s="104">
        <v>34389540</v>
      </c>
      <c r="H39" s="104"/>
      <c r="I39" s="13" t="s">
        <v>85</v>
      </c>
      <c r="J39" s="13"/>
      <c r="K39" s="13"/>
      <c r="L39" s="13"/>
      <c r="O39" s="1"/>
      <c r="V39" s="640" t="s">
        <v>84</v>
      </c>
      <c r="W39" s="640"/>
      <c r="X39" s="641">
        <f>+G39</f>
        <v>34389540</v>
      </c>
      <c r="Y39" s="641"/>
      <c r="Z39" s="642" t="s">
        <v>85</v>
      </c>
      <c r="AA39" s="642"/>
      <c r="AB39" s="642"/>
      <c r="AC39" s="642"/>
      <c r="AD39" s="9"/>
    </row>
    <row r="40" spans="1:30" ht="15.75" customHeight="1" x14ac:dyDescent="0.25">
      <c r="B40" s="566" t="s">
        <v>86</v>
      </c>
      <c r="C40" s="566"/>
      <c r="D40" s="566"/>
      <c r="E40" s="566"/>
      <c r="F40" s="566"/>
      <c r="G40" s="106">
        <v>180284.81</v>
      </c>
      <c r="H40" s="106"/>
      <c r="I40" s="106"/>
      <c r="J40" s="106"/>
      <c r="K40" s="50">
        <f>ROUND(G39/G40,0)</f>
        <v>191</v>
      </c>
      <c r="L40" s="50">
        <f>ROUND(K40*$G$26,0)</f>
        <v>5069</v>
      </c>
      <c r="N40" s="107"/>
      <c r="O40" s="107"/>
      <c r="P40" s="107"/>
      <c r="Q40" s="107"/>
      <c r="V40" s="674" t="s">
        <v>86</v>
      </c>
      <c r="W40" s="674"/>
      <c r="X40" s="644">
        <f>+G40</f>
        <v>180284.81</v>
      </c>
      <c r="Y40" s="644"/>
      <c r="Z40" s="644"/>
      <c r="AA40" s="644"/>
      <c r="AB40" s="56">
        <f>ROUND(X39/X40,0)</f>
        <v>191</v>
      </c>
      <c r="AC40" s="56">
        <f>ROUND(AB40*$X$26,0)</f>
        <v>5069</v>
      </c>
      <c r="AD40" s="9"/>
    </row>
    <row r="41" spans="1:30" ht="15.75" customHeight="1" x14ac:dyDescent="0.25">
      <c r="B41" s="108" t="s">
        <v>87</v>
      </c>
      <c r="C41" s="108"/>
      <c r="D41" s="108"/>
      <c r="E41" s="108"/>
      <c r="F41" s="108"/>
      <c r="G41" s="108"/>
      <c r="H41" s="108"/>
      <c r="I41" s="108"/>
      <c r="J41" s="108"/>
      <c r="K41" s="108"/>
      <c r="L41" s="108"/>
      <c r="N41" s="101"/>
      <c r="O41" s="109"/>
      <c r="P41" s="101"/>
      <c r="Q41" s="101"/>
      <c r="V41" s="652" t="s">
        <v>87</v>
      </c>
      <c r="W41" s="652"/>
      <c r="X41" s="652"/>
      <c r="Y41" s="652"/>
      <c r="Z41" s="652"/>
      <c r="AA41" s="652"/>
      <c r="AB41" s="652"/>
      <c r="AC41" s="652"/>
      <c r="AD41" s="9"/>
    </row>
    <row r="42" spans="1:30" ht="28.5" customHeight="1" x14ac:dyDescent="0.25">
      <c r="B42" s="99" t="s">
        <v>88</v>
      </c>
      <c r="C42" s="99"/>
      <c r="D42" s="99"/>
      <c r="E42" s="99"/>
      <c r="F42" s="99"/>
      <c r="G42" s="99"/>
      <c r="H42" s="99"/>
      <c r="I42" s="99"/>
      <c r="J42" s="99"/>
      <c r="K42" s="99"/>
      <c r="L42" s="99"/>
      <c r="M42" s="107"/>
      <c r="O42" s="1"/>
      <c r="V42" s="639" t="s">
        <v>88</v>
      </c>
      <c r="W42" s="639"/>
      <c r="X42" s="639"/>
      <c r="Y42" s="639"/>
      <c r="Z42" s="639"/>
      <c r="AA42" s="639"/>
      <c r="AB42" s="639"/>
      <c r="AC42" s="639"/>
      <c r="AD42" s="556"/>
    </row>
    <row r="43" spans="1:30" x14ac:dyDescent="0.25">
      <c r="B43" s="103" t="s">
        <v>89</v>
      </c>
      <c r="C43" s="103"/>
      <c r="D43" s="103"/>
      <c r="E43" s="103"/>
      <c r="F43" s="103"/>
      <c r="G43" s="103"/>
      <c r="H43" s="103"/>
      <c r="I43" s="103"/>
      <c r="J43" s="103"/>
      <c r="K43" s="103"/>
      <c r="L43" s="103"/>
      <c r="M43" s="112"/>
      <c r="N43" s="101"/>
      <c r="O43" s="101"/>
      <c r="P43" s="101"/>
      <c r="Q43" s="101"/>
      <c r="V43" s="676" t="s">
        <v>89</v>
      </c>
      <c r="W43" s="676"/>
      <c r="X43" s="676"/>
      <c r="Y43" s="676"/>
      <c r="Z43" s="676"/>
      <c r="AA43" s="676"/>
      <c r="AB43" s="676"/>
      <c r="AC43" s="676"/>
      <c r="AD43" s="113"/>
    </row>
    <row r="44" spans="1:30" ht="24" customHeight="1" x14ac:dyDescent="0.25">
      <c r="B44" s="62" t="s">
        <v>90</v>
      </c>
      <c r="C44" s="62"/>
      <c r="D44" s="62"/>
      <c r="E44" s="62"/>
      <c r="F44" s="62"/>
      <c r="G44" s="62"/>
      <c r="H44" s="62"/>
      <c r="I44" s="62"/>
      <c r="J44" s="62"/>
      <c r="K44" s="62"/>
      <c r="L44" s="114">
        <f>SUM(L26,L37,L40)</f>
        <v>498486</v>
      </c>
      <c r="O44" s="1"/>
      <c r="V44" s="654" t="s">
        <v>90</v>
      </c>
      <c r="W44" s="654"/>
      <c r="X44" s="654"/>
      <c r="Y44" s="654"/>
      <c r="Z44" s="654"/>
      <c r="AA44" s="654"/>
      <c r="AB44" s="654"/>
      <c r="AC44" s="115">
        <f>SUM(AC26,AC37,AC40)</f>
        <v>107902</v>
      </c>
      <c r="AD44" s="9"/>
    </row>
    <row r="45" spans="1:30" ht="30.75" customHeight="1" x14ac:dyDescent="0.25">
      <c r="B45" s="99" t="s">
        <v>91</v>
      </c>
      <c r="C45" s="99"/>
      <c r="D45" s="99"/>
      <c r="E45" s="99"/>
      <c r="F45" s="99"/>
      <c r="G45" s="99"/>
      <c r="H45" s="99"/>
      <c r="I45" s="99"/>
      <c r="J45" s="99"/>
      <c r="K45" s="99"/>
      <c r="L45" s="99"/>
      <c r="M45" s="116"/>
      <c r="O45" s="1"/>
      <c r="V45" s="639" t="s">
        <v>91</v>
      </c>
      <c r="W45" s="639"/>
      <c r="X45" s="639"/>
      <c r="Y45" s="639"/>
      <c r="Z45" s="639"/>
      <c r="AA45" s="639"/>
      <c r="AB45" s="639"/>
      <c r="AC45" s="639"/>
      <c r="AD45" s="553"/>
    </row>
    <row r="46" spans="1:30" ht="18.75" customHeight="1" x14ac:dyDescent="0.25">
      <c r="B46" s="1"/>
      <c r="C46" s="118" t="s">
        <v>92</v>
      </c>
      <c r="D46" s="118"/>
      <c r="E46" s="118"/>
      <c r="F46" s="118"/>
      <c r="G46" s="118" t="s">
        <v>93</v>
      </c>
      <c r="H46" s="119"/>
      <c r="I46" s="120" t="s">
        <v>94</v>
      </c>
      <c r="J46" s="121"/>
      <c r="K46" s="121"/>
      <c r="L46" s="121"/>
      <c r="M46" s="122"/>
      <c r="O46" s="1"/>
      <c r="V46" s="9"/>
      <c r="W46" s="555" t="s">
        <v>92</v>
      </c>
      <c r="X46" s="655" t="s">
        <v>95</v>
      </c>
      <c r="Y46" s="655"/>
      <c r="Z46" s="656" t="s">
        <v>94</v>
      </c>
      <c r="AA46" s="656"/>
      <c r="AB46" s="656"/>
      <c r="AC46" s="656"/>
      <c r="AD46" s="124"/>
    </row>
    <row r="47" spans="1:30" ht="18.75" customHeight="1" x14ac:dyDescent="0.25">
      <c r="B47" s="107" t="s">
        <v>96</v>
      </c>
      <c r="C47" s="125">
        <f>K10+K11+K16+K19+K22</f>
        <v>114.6233</v>
      </c>
      <c r="D47" s="125"/>
      <c r="E47" s="125"/>
      <c r="F47" s="125"/>
      <c r="G47" s="567">
        <f>K7</f>
        <v>1.0326</v>
      </c>
      <c r="H47" s="567"/>
      <c r="I47" s="127">
        <v>1316.85</v>
      </c>
      <c r="J47" s="128" t="s">
        <v>97</v>
      </c>
      <c r="K47" s="129">
        <f>ROUND(C47*G47*I47,0)</f>
        <v>155862</v>
      </c>
      <c r="L47" s="130"/>
      <c r="O47" s="1"/>
      <c r="V47" s="556" t="s">
        <v>96</v>
      </c>
      <c r="W47" s="131">
        <f>AB10+AB11+AB16+AB19+AB22</f>
        <v>24.04</v>
      </c>
      <c r="X47" s="675">
        <f>AB7</f>
        <v>1.0326</v>
      </c>
      <c r="Y47" s="675"/>
      <c r="Z47" s="132">
        <f>+I47</f>
        <v>1316.85</v>
      </c>
      <c r="AA47" s="133" t="s">
        <v>97</v>
      </c>
      <c r="AB47" s="134">
        <f>ROUND(W47*X47*Z47,0)</f>
        <v>32689</v>
      </c>
      <c r="AC47" s="135"/>
      <c r="AD47" s="9"/>
    </row>
    <row r="48" spans="1:30" ht="18" customHeight="1" x14ac:dyDescent="0.25">
      <c r="B48" s="136" t="s">
        <v>74</v>
      </c>
      <c r="C48" s="125">
        <f>K12+K13+K17+K20+K23</f>
        <v>12.7225</v>
      </c>
      <c r="D48" s="125"/>
      <c r="E48" s="125"/>
      <c r="F48" s="125"/>
      <c r="G48" s="567">
        <f>K7</f>
        <v>1.0326</v>
      </c>
      <c r="H48" s="567"/>
      <c r="I48" s="127">
        <v>898.23</v>
      </c>
      <c r="J48" s="128" t="s">
        <v>97</v>
      </c>
      <c r="K48" s="129">
        <f>ROUND(C48*G48*I48,0)</f>
        <v>11800</v>
      </c>
      <c r="L48" s="62"/>
      <c r="O48" s="1"/>
      <c r="V48" s="137" t="s">
        <v>74</v>
      </c>
      <c r="W48" s="131">
        <f>AB12+AB13+AB17+AB20+AB23</f>
        <v>2.5</v>
      </c>
      <c r="X48" s="675">
        <f>AB7</f>
        <v>1.0326</v>
      </c>
      <c r="Y48" s="675"/>
      <c r="Z48" s="132">
        <f>+I48</f>
        <v>898.23</v>
      </c>
      <c r="AA48" s="133" t="s">
        <v>97</v>
      </c>
      <c r="AB48" s="134">
        <f>ROUND(W48*X48*Z48,0)</f>
        <v>2319</v>
      </c>
      <c r="AC48" s="138"/>
      <c r="AD48" s="9"/>
    </row>
    <row r="49" spans="2:30" ht="19.5" customHeight="1" thickBot="1" x14ac:dyDescent="0.3">
      <c r="B49" s="139" t="s">
        <v>78</v>
      </c>
      <c r="C49" s="140">
        <f>K14+K15+K18+K21+K24+K25</f>
        <v>0</v>
      </c>
      <c r="D49" s="125"/>
      <c r="E49" s="125"/>
      <c r="F49" s="125"/>
      <c r="G49" s="567">
        <f>K7</f>
        <v>1.0326</v>
      </c>
      <c r="H49" s="567"/>
      <c r="I49" s="127">
        <v>900.39</v>
      </c>
      <c r="J49" s="128" t="s">
        <v>97</v>
      </c>
      <c r="K49" s="129">
        <f>ROUND(C49*G49*I49,0)</f>
        <v>0</v>
      </c>
      <c r="L49" s="62"/>
      <c r="M49" s="112"/>
      <c r="N49" s="141"/>
      <c r="O49" s="142"/>
      <c r="P49" s="101"/>
      <c r="Q49" s="143"/>
      <c r="V49" s="144" t="s">
        <v>78</v>
      </c>
      <c r="W49" s="145">
        <f>AB14+AB15+AB18+AB21+AB24+AB25</f>
        <v>0</v>
      </c>
      <c r="X49" s="675">
        <f>AB7</f>
        <v>1.0326</v>
      </c>
      <c r="Y49" s="675"/>
      <c r="Z49" s="132">
        <f>+I49</f>
        <v>900.39</v>
      </c>
      <c r="AA49" s="133" t="s">
        <v>97</v>
      </c>
      <c r="AB49" s="134">
        <f>ROUND(W49*X49*Z49,0)</f>
        <v>0</v>
      </c>
      <c r="AC49" s="138"/>
      <c r="AD49" s="113"/>
    </row>
    <row r="50" spans="2:30" ht="24" customHeight="1" thickBot="1" x14ac:dyDescent="0.3">
      <c r="B50" s="146" t="s">
        <v>98</v>
      </c>
      <c r="C50" s="147">
        <f>SUM(C47:C49)</f>
        <v>127.3458</v>
      </c>
      <c r="D50" s="148"/>
      <c r="E50" s="149"/>
      <c r="F50" s="149"/>
      <c r="G50" s="150" t="s">
        <v>99</v>
      </c>
      <c r="H50" s="150"/>
      <c r="I50" s="150"/>
      <c r="J50" s="150"/>
      <c r="K50" s="150"/>
      <c r="L50" s="50">
        <f>IF(B2=75,0,K49+K48+K47)</f>
        <v>167662</v>
      </c>
      <c r="N50" s="3"/>
      <c r="O50" s="1"/>
      <c r="V50" s="554" t="s">
        <v>98</v>
      </c>
      <c r="W50" s="152">
        <f>SUM(W47:W49)</f>
        <v>26.54</v>
      </c>
      <c r="X50" s="648" t="s">
        <v>99</v>
      </c>
      <c r="Y50" s="649"/>
      <c r="Z50" s="649"/>
      <c r="AA50" s="649"/>
      <c r="AB50" s="649"/>
      <c r="AC50" s="56">
        <f>IF(V2=75,0,AB49+AB48+AB47)</f>
        <v>35008</v>
      </c>
      <c r="AD50" s="9"/>
    </row>
    <row r="51" spans="2:30" ht="19.5" customHeight="1" x14ac:dyDescent="0.25">
      <c r="B51" s="153" t="s">
        <v>100</v>
      </c>
      <c r="C51" s="153"/>
      <c r="D51" s="153"/>
      <c r="E51" s="153"/>
      <c r="F51" s="153"/>
      <c r="G51" s="153"/>
      <c r="H51" s="153"/>
      <c r="I51" s="153"/>
      <c r="J51" s="153"/>
      <c r="K51" s="153"/>
      <c r="L51" s="153"/>
      <c r="M51" s="141"/>
      <c r="N51" s="101"/>
      <c r="O51" s="1"/>
      <c r="V51" s="650" t="s">
        <v>100</v>
      </c>
      <c r="W51" s="650"/>
      <c r="X51" s="650"/>
      <c r="Y51" s="650"/>
      <c r="Z51" s="650"/>
      <c r="AA51" s="650"/>
      <c r="AB51" s="650"/>
      <c r="AC51" s="650"/>
      <c r="AD51" s="154"/>
    </row>
    <row r="52" spans="2:30" ht="27.75" customHeight="1" x14ac:dyDescent="0.25">
      <c r="B52" s="13" t="s">
        <v>101</v>
      </c>
      <c r="C52" s="13"/>
      <c r="D52" s="13"/>
      <c r="E52" s="13"/>
      <c r="F52" s="13"/>
      <c r="G52" s="13"/>
      <c r="H52" s="13"/>
      <c r="I52" s="13"/>
      <c r="J52" s="13"/>
      <c r="K52" s="13"/>
      <c r="L52" s="13"/>
      <c r="O52" s="1"/>
      <c r="V52" s="651" t="s">
        <v>101</v>
      </c>
      <c r="W52" s="651"/>
      <c r="X52" s="651"/>
      <c r="Y52" s="651"/>
      <c r="Z52" s="651"/>
      <c r="AA52" s="651"/>
      <c r="AB52" s="651"/>
      <c r="AC52" s="651"/>
      <c r="AD52" s="9"/>
    </row>
    <row r="53" spans="2:30" x14ac:dyDescent="0.25">
      <c r="B53" s="13" t="s">
        <v>102</v>
      </c>
      <c r="C53" s="13"/>
      <c r="D53" s="13"/>
      <c r="E53" s="13"/>
      <c r="F53" s="13"/>
      <c r="G53" s="155">
        <f>K26</f>
        <v>127.3458</v>
      </c>
      <c r="H53" s="57" t="s">
        <v>103</v>
      </c>
      <c r="I53" s="57"/>
      <c r="J53" s="156">
        <v>197823.77</v>
      </c>
      <c r="K53" s="156"/>
      <c r="L53" s="156"/>
      <c r="N53" s="3"/>
      <c r="O53" s="1"/>
      <c r="V53" s="657" t="s">
        <v>102</v>
      </c>
      <c r="W53" s="657"/>
      <c r="X53" s="157">
        <f>AB26</f>
        <v>26.54</v>
      </c>
      <c r="Y53" s="658" t="s">
        <v>103</v>
      </c>
      <c r="Z53" s="658"/>
      <c r="AA53" s="659">
        <f>+J53</f>
        <v>197823.77</v>
      </c>
      <c r="AB53" s="659"/>
      <c r="AC53" s="659"/>
      <c r="AD53" s="9"/>
    </row>
    <row r="54" spans="2:30" x14ac:dyDescent="0.25">
      <c r="B54" s="13" t="s">
        <v>104</v>
      </c>
      <c r="C54" s="13"/>
      <c r="D54" s="13"/>
      <c r="E54" s="13"/>
      <c r="F54" s="13"/>
      <c r="G54" s="13"/>
      <c r="H54" s="13"/>
      <c r="I54" s="13"/>
      <c r="J54" s="13"/>
      <c r="K54" s="158">
        <f>ROUND(G53/J53,6)</f>
        <v>6.4400000000000004E-4</v>
      </c>
      <c r="L54" s="158"/>
      <c r="N54" s="101"/>
      <c r="O54" s="1"/>
      <c r="V54" s="657" t="s">
        <v>104</v>
      </c>
      <c r="W54" s="657"/>
      <c r="X54" s="657"/>
      <c r="Y54" s="657"/>
      <c r="Z54" s="657"/>
      <c r="AA54" s="657"/>
      <c r="AB54" s="660">
        <f>ROUND(X53/AA53,6)</f>
        <v>1.34E-4</v>
      </c>
      <c r="AC54" s="660"/>
      <c r="AD54" s="9"/>
    </row>
    <row r="55" spans="2:30" ht="24" customHeight="1" x14ac:dyDescent="0.25">
      <c r="B55" s="13" t="s">
        <v>105</v>
      </c>
      <c r="C55" s="13"/>
      <c r="D55" s="13"/>
      <c r="E55" s="13"/>
      <c r="F55" s="13"/>
      <c r="G55" s="13"/>
      <c r="H55" s="13"/>
      <c r="I55" s="13"/>
      <c r="J55" s="13"/>
      <c r="K55" s="13"/>
      <c r="L55" s="13"/>
      <c r="O55" s="1"/>
      <c r="V55" s="651" t="s">
        <v>105</v>
      </c>
      <c r="W55" s="651"/>
      <c r="X55" s="651"/>
      <c r="Y55" s="651"/>
      <c r="Z55" s="651"/>
      <c r="AA55" s="651"/>
      <c r="AB55" s="651"/>
      <c r="AC55" s="651"/>
      <c r="AD55" s="9"/>
    </row>
    <row r="56" spans="2:30" x14ac:dyDescent="0.25">
      <c r="B56" s="13" t="s">
        <v>106</v>
      </c>
      <c r="C56" s="13"/>
      <c r="D56" s="13"/>
      <c r="E56" s="13"/>
      <c r="F56" s="13"/>
      <c r="G56" s="159">
        <f>G26</f>
        <v>26.54</v>
      </c>
      <c r="H56" s="57" t="s">
        <v>107</v>
      </c>
      <c r="I56" s="57"/>
      <c r="J56" s="156">
        <f>+G40</f>
        <v>180284.81</v>
      </c>
      <c r="K56" s="156"/>
      <c r="L56" s="156"/>
      <c r="O56" s="1"/>
      <c r="V56" s="657" t="s">
        <v>106</v>
      </c>
      <c r="W56" s="657"/>
      <c r="X56" s="160">
        <f>X26</f>
        <v>26.54</v>
      </c>
      <c r="Y56" s="658" t="s">
        <v>107</v>
      </c>
      <c r="Z56" s="658"/>
      <c r="AA56" s="659">
        <f>+J56</f>
        <v>180284.81</v>
      </c>
      <c r="AB56" s="659"/>
      <c r="AC56" s="659"/>
      <c r="AD56" s="9"/>
    </row>
    <row r="57" spans="2:30" x14ac:dyDescent="0.25">
      <c r="B57" s="13" t="s">
        <v>108</v>
      </c>
      <c r="C57" s="13"/>
      <c r="D57" s="13"/>
      <c r="E57" s="13"/>
      <c r="F57" s="13"/>
      <c r="G57" s="13"/>
      <c r="H57" s="13"/>
      <c r="I57" s="13"/>
      <c r="J57" s="13"/>
      <c r="K57" s="158">
        <f>ROUND(G56/J56,6)</f>
        <v>1.47E-4</v>
      </c>
      <c r="L57" s="158"/>
      <c r="O57" s="1"/>
      <c r="V57" s="657" t="s">
        <v>108</v>
      </c>
      <c r="W57" s="657"/>
      <c r="X57" s="657"/>
      <c r="Y57" s="657"/>
      <c r="Z57" s="657"/>
      <c r="AA57" s="657"/>
      <c r="AB57" s="660">
        <f>ROUND(X56/AA56,6)</f>
        <v>1.47E-4</v>
      </c>
      <c r="AC57" s="660"/>
      <c r="AD57" s="9"/>
    </row>
    <row r="58" spans="2:30" ht="20.25" customHeight="1" x14ac:dyDescent="0.25">
      <c r="B58" s="161" t="s">
        <v>109</v>
      </c>
      <c r="C58" s="161"/>
      <c r="D58" s="161"/>
      <c r="E58" s="161"/>
      <c r="F58" s="161"/>
      <c r="G58" s="161"/>
      <c r="H58" s="161"/>
      <c r="I58" s="161"/>
      <c r="J58" s="161"/>
      <c r="K58" s="161"/>
      <c r="L58" s="161"/>
      <c r="N58" s="18"/>
      <c r="O58" s="18"/>
      <c r="V58" s="629" t="s">
        <v>110</v>
      </c>
      <c r="W58" s="629"/>
      <c r="X58" s="629"/>
      <c r="Y58" s="661">
        <f>X65+X64+X62+X61+X60</f>
        <v>4123852</v>
      </c>
      <c r="Z58" s="661"/>
      <c r="AA58" s="557" t="s">
        <v>111</v>
      </c>
      <c r="AB58" s="163">
        <f>AB54</f>
        <v>1.34E-4</v>
      </c>
      <c r="AC58" s="56">
        <f>ROUND(Y58*AB58,0)</f>
        <v>553</v>
      </c>
      <c r="AD58" s="9"/>
    </row>
    <row r="59" spans="2:30" x14ac:dyDescent="0.25">
      <c r="B59" s="62" t="s">
        <v>110</v>
      </c>
      <c r="C59" s="62"/>
      <c r="D59" s="62"/>
      <c r="E59" s="62"/>
      <c r="F59" s="62"/>
      <c r="G59" s="62"/>
      <c r="H59" s="164" t="s">
        <v>22</v>
      </c>
      <c r="I59" s="129">
        <v>4123852</v>
      </c>
      <c r="J59" s="165" t="s">
        <v>111</v>
      </c>
      <c r="K59" s="166">
        <f>K54</f>
        <v>6.4400000000000004E-4</v>
      </c>
      <c r="L59" s="50">
        <f>ROUND(I59*K59,0)</f>
        <v>2656</v>
      </c>
      <c r="O59" s="1"/>
      <c r="P59" s="165"/>
      <c r="Q59" s="165"/>
      <c r="V59" s="662" t="s">
        <v>112</v>
      </c>
      <c r="W59" s="662"/>
      <c r="X59" s="662"/>
      <c r="Y59" s="662"/>
      <c r="Z59" s="662"/>
      <c r="AA59" s="662"/>
      <c r="AB59" s="662"/>
      <c r="AC59" s="662"/>
      <c r="AD59" s="9"/>
    </row>
    <row r="60" spans="2:30" x14ac:dyDescent="0.25">
      <c r="B60" s="62" t="s">
        <v>112</v>
      </c>
      <c r="C60" s="62"/>
      <c r="D60" s="62"/>
      <c r="E60" s="62"/>
      <c r="F60" s="62"/>
      <c r="G60" s="62"/>
      <c r="H60" s="62"/>
      <c r="I60" s="62"/>
      <c r="J60" s="62"/>
      <c r="K60" s="62"/>
      <c r="L60" s="62"/>
      <c r="O60" s="1"/>
      <c r="P60" s="165"/>
      <c r="Q60" s="165"/>
      <c r="V60" s="663" t="s">
        <v>113</v>
      </c>
      <c r="W60" s="663"/>
      <c r="X60" s="664">
        <f>+G61</f>
        <v>0</v>
      </c>
      <c r="Y60" s="664"/>
      <c r="Z60" s="664"/>
      <c r="AA60" s="664"/>
      <c r="AB60" s="664"/>
      <c r="AC60" s="664"/>
      <c r="AD60" s="9"/>
    </row>
    <row r="61" spans="2:30" ht="15" customHeight="1" x14ac:dyDescent="0.25">
      <c r="B61" s="167" t="s">
        <v>113</v>
      </c>
      <c r="C61" s="62"/>
      <c r="D61" s="62"/>
      <c r="E61" s="62"/>
      <c r="F61" s="62"/>
      <c r="G61" s="168">
        <v>0</v>
      </c>
      <c r="H61" s="168"/>
      <c r="I61" s="168"/>
      <c r="J61" s="168"/>
      <c r="K61" s="168"/>
      <c r="L61" s="168"/>
      <c r="O61" s="1"/>
      <c r="P61" s="165"/>
      <c r="Q61" s="165"/>
      <c r="V61" s="663" t="s">
        <v>114</v>
      </c>
      <c r="W61" s="663"/>
      <c r="X61" s="664">
        <f>+G62</f>
        <v>0</v>
      </c>
      <c r="Y61" s="664"/>
      <c r="Z61" s="664"/>
      <c r="AA61" s="664"/>
      <c r="AB61" s="664"/>
      <c r="AC61" s="664"/>
      <c r="AD61" s="9"/>
    </row>
    <row r="62" spans="2:30" ht="13.5" customHeight="1" x14ac:dyDescent="0.25">
      <c r="B62" s="167" t="s">
        <v>114</v>
      </c>
      <c r="C62" s="62"/>
      <c r="D62" s="62"/>
      <c r="E62" s="62"/>
      <c r="F62" s="62"/>
      <c r="G62" s="168">
        <v>0</v>
      </c>
      <c r="H62" s="168"/>
      <c r="I62" s="168"/>
      <c r="J62" s="168"/>
      <c r="K62" s="168"/>
      <c r="L62" s="168"/>
      <c r="N62" s="165"/>
      <c r="O62" s="165"/>
      <c r="P62" s="165"/>
      <c r="Q62" s="165"/>
      <c r="V62" s="663" t="s">
        <v>115</v>
      </c>
      <c r="W62" s="663"/>
      <c r="X62" s="664">
        <v>0</v>
      </c>
      <c r="Y62" s="664"/>
      <c r="Z62" s="664"/>
      <c r="AA62" s="664"/>
      <c r="AB62" s="664"/>
      <c r="AC62" s="664"/>
      <c r="AD62" s="9"/>
    </row>
    <row r="63" spans="2:30" ht="13.5" hidden="1" customHeight="1" x14ac:dyDescent="0.25">
      <c r="B63" s="62" t="s">
        <v>115</v>
      </c>
      <c r="C63" s="62"/>
      <c r="D63" s="62"/>
      <c r="E63" s="62"/>
      <c r="F63" s="62"/>
      <c r="G63" s="168">
        <v>0</v>
      </c>
      <c r="H63" s="168"/>
      <c r="I63" s="168"/>
      <c r="J63" s="168"/>
      <c r="K63" s="168"/>
      <c r="L63" s="168"/>
      <c r="O63" s="1"/>
      <c r="P63" s="165"/>
      <c r="Q63" s="165"/>
      <c r="V63" s="662" t="s">
        <v>116</v>
      </c>
      <c r="W63" s="662"/>
      <c r="X63" s="662"/>
      <c r="Y63" s="662"/>
      <c r="Z63" s="662"/>
      <c r="AA63" s="662"/>
      <c r="AB63" s="662"/>
      <c r="AC63" s="662"/>
      <c r="AD63" s="553"/>
    </row>
    <row r="64" spans="2:30" ht="13.5" customHeight="1" x14ac:dyDescent="0.25">
      <c r="B64" s="62" t="s">
        <v>116</v>
      </c>
      <c r="C64" s="62"/>
      <c r="D64" s="62"/>
      <c r="E64" s="62"/>
      <c r="F64" s="62"/>
      <c r="G64" s="62"/>
      <c r="H64" s="62"/>
      <c r="I64" s="62"/>
      <c r="J64" s="62"/>
      <c r="K64" s="62"/>
      <c r="L64" s="62"/>
      <c r="M64" s="116"/>
      <c r="N64" s="18"/>
      <c r="O64" s="1"/>
      <c r="V64" s="663" t="s">
        <v>117</v>
      </c>
      <c r="W64" s="663"/>
      <c r="X64" s="664">
        <f>+G65</f>
        <v>4123852</v>
      </c>
      <c r="Y64" s="664"/>
      <c r="Z64" s="664"/>
      <c r="AA64" s="664"/>
      <c r="AB64" s="664"/>
      <c r="AC64" s="664"/>
      <c r="AD64" s="9"/>
    </row>
    <row r="65" spans="1:30" ht="12.75" customHeight="1" x14ac:dyDescent="0.25">
      <c r="B65" s="167" t="s">
        <v>117</v>
      </c>
      <c r="C65" s="62"/>
      <c r="D65" s="62"/>
      <c r="E65" s="62"/>
      <c r="F65" s="62"/>
      <c r="G65" s="168">
        <f>+I59</f>
        <v>4123852</v>
      </c>
      <c r="H65" s="168"/>
      <c r="I65" s="168"/>
      <c r="J65" s="168"/>
      <c r="K65" s="168"/>
      <c r="L65" s="168"/>
      <c r="O65" s="1"/>
      <c r="V65" s="663" t="s">
        <v>118</v>
      </c>
      <c r="W65" s="663"/>
      <c r="X65" s="664">
        <f>+G66</f>
        <v>0</v>
      </c>
      <c r="Y65" s="664"/>
      <c r="Z65" s="664"/>
      <c r="AA65" s="664"/>
      <c r="AB65" s="664"/>
      <c r="AC65" s="664"/>
      <c r="AD65" s="20"/>
    </row>
    <row r="66" spans="1:30" ht="15" customHeight="1" x14ac:dyDescent="0.25">
      <c r="B66" s="167" t="s">
        <v>118</v>
      </c>
      <c r="C66" s="62"/>
      <c r="D66" s="62"/>
      <c r="E66" s="62"/>
      <c r="F66" s="62"/>
      <c r="G66" s="168">
        <v>0</v>
      </c>
      <c r="H66" s="168"/>
      <c r="I66" s="168"/>
      <c r="J66" s="168"/>
      <c r="K66" s="168"/>
      <c r="L66" s="168"/>
      <c r="M66" s="18"/>
      <c r="N66" s="3"/>
      <c r="O66" s="169"/>
      <c r="P66" s="169"/>
      <c r="Q66" s="169"/>
      <c r="V66" s="651" t="s">
        <v>119</v>
      </c>
      <c r="W66" s="651"/>
      <c r="X66" s="651"/>
      <c r="Y66" s="661">
        <f>+I67</f>
        <v>96774526</v>
      </c>
      <c r="Z66" s="661"/>
      <c r="AA66" s="557" t="s">
        <v>111</v>
      </c>
      <c r="AB66" s="163">
        <f>AB54</f>
        <v>1.34E-4</v>
      </c>
      <c r="AC66" s="56">
        <f>ROUND(Y66*AB66,0)</f>
        <v>12968</v>
      </c>
      <c r="AD66" s="9"/>
    </row>
    <row r="67" spans="1:30" ht="20.25" customHeight="1" x14ac:dyDescent="0.25">
      <c r="B67" s="13" t="s">
        <v>119</v>
      </c>
      <c r="C67" s="13"/>
      <c r="D67" s="13"/>
      <c r="E67" s="13"/>
      <c r="F67" s="13"/>
      <c r="H67" s="164" t="s">
        <v>25</v>
      </c>
      <c r="I67" s="129">
        <v>96774526</v>
      </c>
      <c r="J67" s="165" t="s">
        <v>111</v>
      </c>
      <c r="K67" s="166">
        <f>K54</f>
        <v>6.4400000000000004E-4</v>
      </c>
      <c r="L67" s="50">
        <f>ROUND(I67*K67,0)</f>
        <v>62323</v>
      </c>
      <c r="O67" s="1"/>
      <c r="V67" s="651" t="s">
        <v>120</v>
      </c>
      <c r="W67" s="651"/>
      <c r="X67" s="651"/>
      <c r="Y67" s="651"/>
      <c r="Z67" s="651"/>
      <c r="AA67" s="651"/>
      <c r="AB67" s="651"/>
      <c r="AC67" s="651"/>
      <c r="AD67" s="9"/>
    </row>
    <row r="68" spans="1:30" ht="20.25" customHeight="1" x14ac:dyDescent="0.25">
      <c r="B68" s="13" t="s">
        <v>120</v>
      </c>
      <c r="C68" s="13"/>
      <c r="D68" s="13"/>
      <c r="E68" s="13"/>
      <c r="F68" s="13"/>
      <c r="H68" s="13"/>
      <c r="I68" s="13"/>
      <c r="J68" s="82"/>
      <c r="K68" s="13"/>
      <c r="L68" s="13"/>
      <c r="O68" s="1"/>
      <c r="V68" s="667" t="s">
        <v>121</v>
      </c>
      <c r="W68" s="667"/>
      <c r="X68" s="667"/>
      <c r="Y68" s="661">
        <f>+I69</f>
        <v>0</v>
      </c>
      <c r="Z68" s="661"/>
      <c r="AA68" s="557" t="s">
        <v>111</v>
      </c>
      <c r="AB68" s="163">
        <f>AB57</f>
        <v>1.47E-4</v>
      </c>
      <c r="AC68" s="56">
        <f>ROUND(Y68*AB68,0)</f>
        <v>0</v>
      </c>
      <c r="AD68" s="9"/>
    </row>
    <row r="69" spans="1:30" ht="15" customHeight="1" x14ac:dyDescent="0.25">
      <c r="B69" s="170" t="s">
        <v>121</v>
      </c>
      <c r="C69" s="13"/>
      <c r="D69" s="13"/>
      <c r="E69" s="13"/>
      <c r="F69" s="13"/>
      <c r="H69" s="164" t="s">
        <v>23</v>
      </c>
      <c r="I69" s="129">
        <v>0</v>
      </c>
      <c r="J69" s="165" t="s">
        <v>111</v>
      </c>
      <c r="K69" s="166">
        <f>K57</f>
        <v>1.47E-4</v>
      </c>
      <c r="L69" s="50">
        <f>ROUND(I69*K69,0)</f>
        <v>0</v>
      </c>
      <c r="O69" s="1"/>
      <c r="V69" s="651" t="s">
        <v>122</v>
      </c>
      <c r="W69" s="651"/>
      <c r="X69" s="651"/>
      <c r="Y69" s="668">
        <f>+I70</f>
        <v>-3460775</v>
      </c>
      <c r="Z69" s="668"/>
      <c r="AA69" s="557" t="s">
        <v>111</v>
      </c>
      <c r="AB69" s="163">
        <f>AB54</f>
        <v>1.34E-4</v>
      </c>
      <c r="AC69" s="56">
        <f>ROUND(Y69*AB69,0)</f>
        <v>-464</v>
      </c>
      <c r="AD69" s="9"/>
    </row>
    <row r="70" spans="1:30" ht="20.25" customHeight="1" x14ac:dyDescent="0.25">
      <c r="B70" s="13" t="s">
        <v>122</v>
      </c>
      <c r="C70" s="13"/>
      <c r="D70" s="13"/>
      <c r="E70" s="13"/>
      <c r="F70" s="13"/>
      <c r="H70" s="164" t="s">
        <v>22</v>
      </c>
      <c r="I70" s="129">
        <v>-3460775</v>
      </c>
      <c r="J70" s="165" t="s">
        <v>111</v>
      </c>
      <c r="K70" s="166">
        <f>K54</f>
        <v>6.4400000000000004E-4</v>
      </c>
      <c r="L70" s="50">
        <f>ROUND(I70*K70,0)</f>
        <v>-2229</v>
      </c>
      <c r="O70" s="1"/>
      <c r="V70" s="651" t="s">
        <v>123</v>
      </c>
      <c r="W70" s="651"/>
      <c r="X70" s="651"/>
      <c r="Y70" s="665">
        <f>+I71</f>
        <v>1874788</v>
      </c>
      <c r="Z70" s="665"/>
      <c r="AA70" s="557" t="s">
        <v>111</v>
      </c>
      <c r="AB70" s="163">
        <f>AB54</f>
        <v>1.34E-4</v>
      </c>
      <c r="AC70" s="56">
        <f>ROUND(Y70*AB70,0)</f>
        <v>251</v>
      </c>
      <c r="AD70" s="9"/>
    </row>
    <row r="71" spans="1:30" ht="20.25" customHeight="1" x14ac:dyDescent="0.25">
      <c r="B71" s="13" t="s">
        <v>123</v>
      </c>
      <c r="C71" s="13"/>
      <c r="D71" s="13"/>
      <c r="E71" s="13"/>
      <c r="F71" s="13"/>
      <c r="H71" s="164" t="s">
        <v>22</v>
      </c>
      <c r="I71" s="129">
        <v>1874788</v>
      </c>
      <c r="J71" s="165" t="s">
        <v>111</v>
      </c>
      <c r="K71" s="166">
        <f>K54</f>
        <v>6.4400000000000004E-4</v>
      </c>
      <c r="L71" s="50">
        <f>ROUND(I71*K71,0)</f>
        <v>1207</v>
      </c>
      <c r="O71" s="1"/>
      <c r="V71" s="651" t="s">
        <v>124</v>
      </c>
      <c r="W71" s="651"/>
      <c r="X71" s="651"/>
      <c r="Y71" s="665">
        <f>+I72</f>
        <v>14223298</v>
      </c>
      <c r="Z71" s="665"/>
      <c r="AA71" s="557" t="s">
        <v>111</v>
      </c>
      <c r="AB71" s="163">
        <f>AB57</f>
        <v>1.47E-4</v>
      </c>
      <c r="AC71" s="56">
        <f>ROUND(Y71*AB71,0)</f>
        <v>2091</v>
      </c>
      <c r="AD71" s="9"/>
    </row>
    <row r="72" spans="1:30" ht="21" customHeight="1" x14ac:dyDescent="0.25">
      <c r="B72" s="13" t="s">
        <v>124</v>
      </c>
      <c r="C72" s="13"/>
      <c r="D72" s="13"/>
      <c r="E72" s="13"/>
      <c r="F72" s="13"/>
      <c r="H72" s="164" t="s">
        <v>23</v>
      </c>
      <c r="I72" s="171">
        <v>14223298</v>
      </c>
      <c r="J72" s="165" t="s">
        <v>111</v>
      </c>
      <c r="K72" s="166">
        <f>K57</f>
        <v>1.47E-4</v>
      </c>
      <c r="L72" s="50">
        <f>ROUND(I72*K72,0)</f>
        <v>2091</v>
      </c>
      <c r="O72" s="1"/>
      <c r="V72" s="623" t="s">
        <v>125</v>
      </c>
      <c r="W72" s="623"/>
      <c r="X72" s="623"/>
      <c r="Y72" s="623"/>
      <c r="Z72" s="623"/>
      <c r="AA72" s="623"/>
      <c r="AB72" s="623"/>
      <c r="AC72" s="60"/>
      <c r="AD72" s="9"/>
    </row>
    <row r="73" spans="1:30" ht="17.25" customHeight="1" x14ac:dyDescent="0.25">
      <c r="B73" s="13" t="s">
        <v>125</v>
      </c>
      <c r="C73" s="13"/>
      <c r="D73" s="13"/>
      <c r="E73" s="13"/>
      <c r="F73" s="13"/>
      <c r="H73" s="13"/>
      <c r="I73" s="13"/>
      <c r="J73" s="82"/>
      <c r="K73" s="13"/>
      <c r="L73" s="59"/>
      <c r="O73" s="1"/>
      <c r="V73" s="651" t="s">
        <v>126</v>
      </c>
      <c r="W73" s="651"/>
      <c r="X73" s="651"/>
      <c r="Y73" s="651"/>
      <c r="Z73" s="651"/>
      <c r="AA73" s="651"/>
      <c r="AB73" s="651"/>
      <c r="AC73" s="651"/>
      <c r="AD73" s="9"/>
    </row>
    <row r="74" spans="1:30" ht="31.5" x14ac:dyDescent="0.25">
      <c r="B74" s="13" t="s">
        <v>126</v>
      </c>
      <c r="C74" s="13"/>
      <c r="D74" s="27" t="s">
        <v>13</v>
      </c>
      <c r="E74" s="27" t="s">
        <v>14</v>
      </c>
      <c r="F74" s="27"/>
      <c r="H74" s="164" t="s">
        <v>26</v>
      </c>
      <c r="I74" s="172"/>
      <c r="J74" s="164"/>
      <c r="K74" s="172"/>
      <c r="L74" s="112"/>
      <c r="O74" s="1"/>
      <c r="V74" s="666" t="s">
        <v>127</v>
      </c>
      <c r="W74" s="666"/>
      <c r="X74" s="173" t="s">
        <v>128</v>
      </c>
      <c r="Y74" s="174"/>
      <c r="Z74" s="175">
        <f>+I75</f>
        <v>15</v>
      </c>
      <c r="AA74" s="559" t="s">
        <v>129</v>
      </c>
      <c r="AB74" s="177">
        <f>+K75</f>
        <v>361</v>
      </c>
      <c r="AC74" s="56">
        <f>ROUND(AB74*Z74,0)</f>
        <v>5415</v>
      </c>
      <c r="AD74" s="9"/>
    </row>
    <row r="75" spans="1:30" ht="19.5" customHeight="1" x14ac:dyDescent="0.25">
      <c r="A75" s="1" t="s">
        <v>130</v>
      </c>
      <c r="B75" s="178" t="s">
        <v>127</v>
      </c>
      <c r="C75" s="179" t="s">
        <v>128</v>
      </c>
      <c r="D75" s="178">
        <v>14</v>
      </c>
      <c r="E75" s="178">
        <v>16</v>
      </c>
      <c r="F75" s="178">
        <v>0</v>
      </c>
      <c r="G75" s="180">
        <f>IF(E75=0,D75,E75)</f>
        <v>16</v>
      </c>
      <c r="H75" s="181"/>
      <c r="I75" s="182">
        <f>AVERAGE(G75,D75)</f>
        <v>15</v>
      </c>
      <c r="J75" s="183" t="s">
        <v>129</v>
      </c>
      <c r="K75" s="184">
        <v>361</v>
      </c>
      <c r="L75" s="50">
        <f>ROUND(K75*I75,0)</f>
        <v>5415</v>
      </c>
      <c r="N75" s="1">
        <v>7802</v>
      </c>
      <c r="O75" s="1">
        <v>0</v>
      </c>
      <c r="V75" s="666" t="s">
        <v>127</v>
      </c>
      <c r="W75" s="666"/>
      <c r="X75" s="173" t="s">
        <v>131</v>
      </c>
      <c r="Y75" s="185"/>
      <c r="Z75" s="186"/>
      <c r="AA75" s="559" t="s">
        <v>129</v>
      </c>
      <c r="AB75" s="187">
        <f>+K76</f>
        <v>1358</v>
      </c>
      <c r="AC75" s="56">
        <f>ROUND(AB75*Z75,0)</f>
        <v>0</v>
      </c>
      <c r="AD75" s="9"/>
    </row>
    <row r="76" spans="1:30" ht="19.5" customHeight="1" x14ac:dyDescent="0.25">
      <c r="A76" s="1" t="s">
        <v>132</v>
      </c>
      <c r="B76" s="178" t="s">
        <v>127</v>
      </c>
      <c r="C76" s="179" t="s">
        <v>131</v>
      </c>
      <c r="D76" s="178">
        <v>0</v>
      </c>
      <c r="E76" s="178">
        <v>0</v>
      </c>
      <c r="F76" s="178">
        <v>0</v>
      </c>
      <c r="G76" s="180">
        <f>IF(E76=0,D76,E76)</f>
        <v>0</v>
      </c>
      <c r="H76" s="181"/>
      <c r="I76" s="182">
        <f>AVERAGE(G76,D76)</f>
        <v>0</v>
      </c>
      <c r="J76" s="183" t="s">
        <v>129</v>
      </c>
      <c r="K76" s="188">
        <v>1358</v>
      </c>
      <c r="L76" s="50">
        <f>ROUND(K76*I76,0)</f>
        <v>0</v>
      </c>
      <c r="N76" s="1">
        <v>7802</v>
      </c>
      <c r="O76" s="1">
        <v>110</v>
      </c>
      <c r="V76" s="651" t="s">
        <v>133</v>
      </c>
      <c r="W76" s="651"/>
      <c r="X76" s="651"/>
      <c r="Y76" s="661">
        <f>+I77</f>
        <v>33305823</v>
      </c>
      <c r="Z76" s="661"/>
      <c r="AA76" s="559" t="s">
        <v>129</v>
      </c>
      <c r="AB76" s="163">
        <f>AB54</f>
        <v>1.34E-4</v>
      </c>
      <c r="AC76" s="56">
        <f>ROUND(Y76*AB76,0)</f>
        <v>4463</v>
      </c>
      <c r="AD76" s="9"/>
    </row>
    <row r="77" spans="1:30" ht="26.25" customHeight="1" x14ac:dyDescent="0.25">
      <c r="B77" s="13" t="s">
        <v>133</v>
      </c>
      <c r="C77" s="13"/>
      <c r="D77" s="13"/>
      <c r="E77" s="13"/>
      <c r="F77" s="13"/>
      <c r="H77" s="164" t="s">
        <v>134</v>
      </c>
      <c r="I77" s="189">
        <v>33305823</v>
      </c>
      <c r="J77" s="165" t="s">
        <v>111</v>
      </c>
      <c r="K77" s="166">
        <f>K54</f>
        <v>6.4400000000000004E-4</v>
      </c>
      <c r="L77" s="50">
        <f>ROUND(I77*K77,0)</f>
        <v>21449</v>
      </c>
      <c r="O77" s="1"/>
      <c r="V77" s="651" t="str">
        <f>+B78</f>
        <v>15.  Additional Allocation (WFTE share)</v>
      </c>
      <c r="W77" s="651"/>
      <c r="X77" s="651"/>
      <c r="Y77" s="661">
        <f>+I78</f>
        <v>680688</v>
      </c>
      <c r="Z77" s="661"/>
      <c r="AA77" s="559" t="s">
        <v>129</v>
      </c>
      <c r="AB77" s="163">
        <f>AB54</f>
        <v>1.34E-4</v>
      </c>
      <c r="AC77" s="56">
        <f>ROUND(Y77*AB77,0)</f>
        <v>91</v>
      </c>
      <c r="AD77" s="9"/>
    </row>
    <row r="78" spans="1:30" ht="26.25" customHeight="1" x14ac:dyDescent="0.25">
      <c r="B78" s="669" t="s">
        <v>135</v>
      </c>
      <c r="C78" s="669"/>
      <c r="D78" s="669"/>
      <c r="E78" s="13"/>
      <c r="F78" s="13"/>
      <c r="H78" s="164" t="s">
        <v>136</v>
      </c>
      <c r="I78" s="190">
        <v>680688</v>
      </c>
      <c r="J78" s="165" t="s">
        <v>111</v>
      </c>
      <c r="K78" s="166">
        <f>K54</f>
        <v>6.4400000000000004E-4</v>
      </c>
      <c r="L78" s="50">
        <f>ROUND(I78*K78,0)</f>
        <v>438</v>
      </c>
      <c r="O78" s="1"/>
      <c r="V78" s="651" t="str">
        <f t="shared" ref="V78:V79" si="11">+B79</f>
        <v>16.  Florida Teachers Lead Program Stipend</v>
      </c>
      <c r="W78" s="651"/>
      <c r="X78" s="651"/>
      <c r="Y78" s="191"/>
      <c r="Z78" s="191"/>
      <c r="AA78" s="191"/>
      <c r="AB78" s="191"/>
      <c r="AC78" s="134"/>
      <c r="AD78" s="9"/>
    </row>
    <row r="79" spans="1:30" ht="21" customHeight="1" x14ac:dyDescent="0.25">
      <c r="B79" s="669" t="s">
        <v>137</v>
      </c>
      <c r="C79" s="669"/>
      <c r="D79" s="669"/>
      <c r="E79" s="13"/>
      <c r="F79" s="13"/>
      <c r="H79" s="164"/>
      <c r="I79" s="172"/>
      <c r="J79" s="172"/>
      <c r="K79" s="172"/>
      <c r="L79" s="129"/>
      <c r="N79" s="192"/>
      <c r="O79" s="1"/>
      <c r="Q79" s="164"/>
      <c r="V79" s="651" t="str">
        <f t="shared" si="11"/>
        <v>17.  Food Service Allocation</v>
      </c>
      <c r="W79" s="651"/>
      <c r="X79" s="651"/>
      <c r="Y79" s="191"/>
      <c r="Z79" s="191"/>
      <c r="AA79" s="191"/>
      <c r="AB79" s="191"/>
      <c r="AC79" s="193"/>
      <c r="AD79" s="9"/>
    </row>
    <row r="80" spans="1:30" ht="21" customHeight="1" x14ac:dyDescent="0.25">
      <c r="B80" s="669" t="s">
        <v>138</v>
      </c>
      <c r="C80" s="669"/>
      <c r="D80" s="669"/>
      <c r="E80" s="13"/>
      <c r="F80" s="13"/>
      <c r="H80" s="194" t="s">
        <v>139</v>
      </c>
      <c r="I80" s="195"/>
      <c r="J80" s="195"/>
      <c r="K80" s="195"/>
      <c r="L80" s="196"/>
      <c r="N80" s="197"/>
      <c r="O80" s="1"/>
      <c r="Q80" s="164"/>
      <c r="V80" s="191"/>
      <c r="W80" s="191"/>
      <c r="X80" s="191"/>
      <c r="Y80" s="191"/>
      <c r="Z80" s="191"/>
      <c r="AA80" s="191"/>
      <c r="AB80" s="191"/>
      <c r="AC80" s="193"/>
      <c r="AD80" s="9"/>
    </row>
    <row r="81" spans="1:30" ht="21" customHeight="1" thickBot="1" x14ac:dyDescent="0.3">
      <c r="B81" s="13"/>
      <c r="C81" s="13"/>
      <c r="D81" s="13"/>
      <c r="E81" s="13"/>
      <c r="F81" s="13"/>
      <c r="G81" s="13"/>
      <c r="H81" s="13"/>
      <c r="I81" s="13"/>
      <c r="J81" s="13"/>
      <c r="K81" s="13"/>
      <c r="L81" s="196"/>
      <c r="M81" s="198"/>
      <c r="N81" s="197"/>
      <c r="O81" s="1"/>
      <c r="Q81" s="164"/>
      <c r="V81" s="191" t="s">
        <v>140</v>
      </c>
      <c r="W81" s="191"/>
      <c r="X81" s="191"/>
      <c r="Y81" s="191"/>
      <c r="Z81" s="191"/>
      <c r="AA81" s="191"/>
      <c r="AB81" s="191"/>
      <c r="AC81" s="199">
        <f>SUM(AC44:AC80)</f>
        <v>168278</v>
      </c>
      <c r="AD81" s="200"/>
    </row>
    <row r="82" spans="1:30" ht="22.5" customHeight="1" thickTop="1" thickBot="1" x14ac:dyDescent="0.3">
      <c r="B82" s="13" t="s">
        <v>141</v>
      </c>
      <c r="C82" s="13"/>
      <c r="D82" s="13"/>
      <c r="E82" s="13"/>
      <c r="F82" s="13"/>
      <c r="G82" s="13"/>
      <c r="H82" s="13"/>
      <c r="I82" s="13"/>
      <c r="J82" s="13"/>
      <c r="K82" s="13"/>
      <c r="L82" s="201">
        <f>SUM(L44:L81)</f>
        <v>759498</v>
      </c>
      <c r="M82" s="202"/>
      <c r="N82" s="203"/>
      <c r="O82" s="1"/>
      <c r="Q82" s="164"/>
      <c r="V82" s="191"/>
      <c r="W82" s="191"/>
      <c r="X82" s="191"/>
      <c r="Y82" s="191"/>
      <c r="Z82" s="191"/>
      <c r="AA82" s="191"/>
      <c r="AB82" s="191"/>
      <c r="AC82" s="204"/>
      <c r="AD82" s="200"/>
    </row>
    <row r="83" spans="1:30" ht="27.75" customHeight="1" thickTop="1" x14ac:dyDescent="0.25">
      <c r="B83" s="13" t="s">
        <v>142</v>
      </c>
      <c r="C83" s="13"/>
      <c r="D83" s="13"/>
      <c r="E83" s="13"/>
      <c r="F83" s="13"/>
      <c r="G83" s="13"/>
      <c r="H83" s="13"/>
      <c r="I83" s="13"/>
      <c r="J83" s="13"/>
      <c r="K83" s="82" t="s">
        <v>143</v>
      </c>
      <c r="L83" s="205" t="s">
        <v>144</v>
      </c>
      <c r="M83" s="202"/>
      <c r="N83" s="203"/>
      <c r="O83" s="1"/>
      <c r="Q83" s="164"/>
      <c r="V83" s="9" t="s">
        <v>145</v>
      </c>
      <c r="W83" s="9"/>
      <c r="X83" s="9"/>
      <c r="Y83" s="9"/>
      <c r="Z83" s="9"/>
      <c r="AA83" s="9"/>
      <c r="AB83" s="9"/>
      <c r="AC83" s="9"/>
      <c r="AD83" s="9"/>
    </row>
    <row r="84" spans="1:30" ht="18.75" customHeight="1" thickBot="1" x14ac:dyDescent="0.3">
      <c r="B84" s="13" t="s">
        <v>146</v>
      </c>
      <c r="C84" s="13"/>
      <c r="D84" s="13"/>
      <c r="E84" s="13"/>
      <c r="F84" s="13"/>
      <c r="G84" s="13"/>
      <c r="H84" s="13"/>
      <c r="I84" s="13"/>
      <c r="J84" s="13"/>
      <c r="K84" s="207">
        <f>IF(G26=0,"",IF((G11+G13+SUM(G15:G21))/G26&gt;0.75,1,""))</f>
        <v>1</v>
      </c>
      <c r="L84" s="201">
        <f>'2531'!AC81</f>
        <v>168278</v>
      </c>
      <c r="M84" s="202"/>
      <c r="N84" s="203"/>
      <c r="O84" s="1"/>
      <c r="Q84" s="164"/>
      <c r="V84" s="191" t="s">
        <v>147</v>
      </c>
      <c r="W84" s="191"/>
      <c r="X84" s="191"/>
      <c r="Y84" s="191"/>
      <c r="Z84" s="191"/>
      <c r="AA84" s="191"/>
      <c r="AB84" s="191"/>
      <c r="AC84" s="191"/>
      <c r="AD84" s="9"/>
    </row>
    <row r="85" spans="1:30" ht="18.75" customHeight="1" thickTop="1" x14ac:dyDescent="0.25">
      <c r="B85" s="13"/>
      <c r="C85" s="13"/>
      <c r="D85" s="13"/>
      <c r="E85" s="13"/>
      <c r="F85" s="13"/>
      <c r="G85" s="13"/>
      <c r="H85" s="13"/>
      <c r="I85" s="13"/>
      <c r="J85" s="13"/>
      <c r="M85" s="202"/>
      <c r="N85" s="203"/>
      <c r="O85" s="1"/>
      <c r="Q85" s="164"/>
      <c r="V85" s="191" t="s">
        <v>148</v>
      </c>
      <c r="W85" s="191"/>
      <c r="X85" s="191"/>
      <c r="Y85" s="191"/>
      <c r="Z85" s="191"/>
      <c r="AA85" s="191"/>
      <c r="AB85" s="191"/>
      <c r="AC85" s="191"/>
      <c r="AD85" s="9"/>
    </row>
    <row r="86" spans="1:30" ht="18.75" customHeight="1" x14ac:dyDescent="0.25">
      <c r="B86" s="2" t="s">
        <v>149</v>
      </c>
      <c r="C86" s="13"/>
      <c r="D86" s="13"/>
      <c r="E86" s="13"/>
      <c r="F86" s="13"/>
      <c r="G86" s="13"/>
      <c r="H86" s="13"/>
      <c r="I86" s="13"/>
      <c r="J86" s="209" t="s">
        <v>150</v>
      </c>
      <c r="K86" s="210">
        <f>IF(K84=1,L84,L82)</f>
        <v>168278</v>
      </c>
      <c r="L86" s="211">
        <f>IF(G26=0,0,IF(G26&gt;250,-(((250/G26)*K86)*IF(M86="H",0.02,0.05)),IF(M86="H",-0.02*K86,-0.05*K86)))</f>
        <v>-8413.9</v>
      </c>
      <c r="M86" s="212" t="str">
        <f>IF(B123="2801","H",IF(B123="2911","H",IF(B123="3382","H"," ")))</f>
        <v xml:space="preserve"> </v>
      </c>
      <c r="N86" s="203"/>
      <c r="O86" s="1"/>
      <c r="Q86" s="164"/>
      <c r="V86" s="191" t="s">
        <v>151</v>
      </c>
      <c r="W86" s="191"/>
      <c r="X86" s="191"/>
      <c r="Y86" s="191"/>
      <c r="Z86" s="191"/>
      <c r="AA86" s="191"/>
      <c r="AB86" s="191"/>
      <c r="AC86" s="191"/>
      <c r="AD86" s="9"/>
    </row>
    <row r="87" spans="1:30" ht="18.75" customHeight="1" x14ac:dyDescent="0.25">
      <c r="B87" s="2" t="s">
        <v>152</v>
      </c>
      <c r="C87" s="13"/>
      <c r="D87" s="13"/>
      <c r="E87" s="13"/>
      <c r="F87" s="13"/>
      <c r="G87" s="13"/>
      <c r="H87" s="13"/>
      <c r="I87" s="13"/>
      <c r="J87" s="13"/>
      <c r="K87" s="213"/>
      <c r="L87" s="205">
        <f>L82+L86</f>
        <v>751084.1</v>
      </c>
      <c r="M87" s="202"/>
      <c r="N87" s="203"/>
      <c r="O87" s="1"/>
      <c r="Q87" s="164"/>
      <c r="V87" s="198"/>
      <c r="W87" s="198"/>
      <c r="X87" s="198"/>
      <c r="Y87" s="198"/>
      <c r="Z87" s="198"/>
      <c r="AA87" s="198"/>
      <c r="AB87" s="198"/>
      <c r="AC87" s="198"/>
      <c r="AD87" s="198"/>
    </row>
    <row r="88" spans="1:30" x14ac:dyDescent="0.25">
      <c r="V88" s="198"/>
      <c r="W88" s="198"/>
      <c r="X88" s="198"/>
      <c r="Y88" s="198"/>
      <c r="Z88" s="198"/>
      <c r="AA88" s="198"/>
      <c r="AB88" s="198"/>
      <c r="AC88" s="198"/>
      <c r="AD88" s="568"/>
    </row>
    <row r="89" spans="1:30" ht="18.75" customHeight="1" x14ac:dyDescent="0.25">
      <c r="A89" s="1" t="s">
        <v>153</v>
      </c>
      <c r="B89" s="13" t="s">
        <v>154</v>
      </c>
      <c r="C89" s="13"/>
      <c r="D89" s="13">
        <v>405761</v>
      </c>
      <c r="E89" s="13">
        <v>51777</v>
      </c>
      <c r="F89" s="13">
        <v>612595</v>
      </c>
      <c r="G89" s="13"/>
      <c r="H89" s="13"/>
      <c r="I89" s="13"/>
      <c r="J89" s="13"/>
      <c r="K89" s="213"/>
      <c r="L89" s="84">
        <f>-F89-72132</f>
        <v>-684727</v>
      </c>
      <c r="M89" s="202"/>
      <c r="N89" s="203"/>
      <c r="O89" s="1"/>
      <c r="Q89" s="164"/>
      <c r="V89" s="198">
        <v>2801</v>
      </c>
      <c r="W89" s="198"/>
      <c r="X89" s="198"/>
      <c r="Y89" s="198"/>
      <c r="Z89" s="198"/>
      <c r="AA89" s="198"/>
      <c r="AB89" s="198"/>
      <c r="AC89" s="198"/>
      <c r="AD89" s="198"/>
    </row>
    <row r="90" spans="1:30" ht="18.75" customHeight="1" x14ac:dyDescent="0.25">
      <c r="B90" s="13" t="s">
        <v>155</v>
      </c>
      <c r="C90" s="13"/>
      <c r="D90" s="13"/>
      <c r="E90" s="13"/>
      <c r="F90" s="13"/>
      <c r="G90" s="13"/>
      <c r="H90" s="13"/>
      <c r="I90" s="13"/>
      <c r="J90" s="13"/>
      <c r="K90" s="213"/>
      <c r="L90" s="205">
        <f>L87+L89</f>
        <v>66357.099999999977</v>
      </c>
      <c r="M90" s="202"/>
      <c r="N90" s="203"/>
      <c r="O90" s="1"/>
      <c r="Q90" s="164"/>
      <c r="V90" s="198">
        <v>2911</v>
      </c>
      <c r="W90" s="569"/>
      <c r="X90" s="569"/>
      <c r="Y90" s="569"/>
      <c r="Z90" s="569"/>
      <c r="AA90" s="569"/>
      <c r="AB90" s="569"/>
      <c r="AC90" s="569"/>
      <c r="AD90" s="198"/>
    </row>
    <row r="91" spans="1:30" ht="18.75" customHeight="1" x14ac:dyDescent="0.25">
      <c r="B91" s="13" t="s">
        <v>156</v>
      </c>
      <c r="C91" s="13"/>
      <c r="D91" s="13"/>
      <c r="E91" s="13"/>
      <c r="F91" s="13"/>
      <c r="G91" s="13"/>
      <c r="H91" s="13"/>
      <c r="I91" s="13"/>
      <c r="J91" s="13"/>
      <c r="K91" s="213"/>
      <c r="L91" s="205">
        <v>1</v>
      </c>
      <c r="M91" s="202"/>
      <c r="N91" s="203"/>
      <c r="O91" s="1"/>
      <c r="Q91" s="164"/>
      <c r="V91" s="198">
        <v>3382</v>
      </c>
      <c r="W91" s="569"/>
      <c r="X91" s="569"/>
      <c r="Y91" s="569"/>
      <c r="Z91" s="569"/>
      <c r="AA91" s="569"/>
      <c r="AB91" s="569"/>
      <c r="AC91" s="569"/>
      <c r="AD91" s="198"/>
    </row>
    <row r="92" spans="1:30" ht="18.75" customHeight="1" thickBot="1" x14ac:dyDescent="0.3">
      <c r="B92" s="13" t="s">
        <v>157</v>
      </c>
      <c r="C92" s="13"/>
      <c r="D92" s="13"/>
      <c r="E92" s="13"/>
      <c r="F92" s="13"/>
      <c r="G92" s="13"/>
      <c r="H92" s="13"/>
      <c r="I92" s="13"/>
      <c r="J92" s="13"/>
      <c r="K92" s="213"/>
      <c r="L92" s="217">
        <f>L90/L91</f>
        <v>66357.099999999977</v>
      </c>
      <c r="M92" s="202"/>
      <c r="N92" s="203"/>
      <c r="O92" s="1"/>
      <c r="Q92" s="164"/>
      <c r="V92" s="570"/>
      <c r="W92" s="570"/>
      <c r="X92" s="570"/>
      <c r="Y92" s="570"/>
      <c r="Z92" s="570"/>
      <c r="AA92" s="570"/>
      <c r="AB92" s="570"/>
      <c r="AC92" s="570"/>
    </row>
    <row r="93" spans="1:30" ht="18.75" customHeight="1" thickTop="1" x14ac:dyDescent="0.25">
      <c r="V93" s="570"/>
      <c r="W93" s="570"/>
      <c r="X93" s="570"/>
      <c r="Y93" s="570"/>
      <c r="Z93" s="570"/>
      <c r="AA93" s="570"/>
      <c r="AB93" s="570"/>
      <c r="AC93" s="570"/>
      <c r="AD93" s="198"/>
    </row>
    <row r="94" spans="1:30" ht="18.75" customHeight="1" thickBot="1" x14ac:dyDescent="0.3">
      <c r="B94" s="221" t="s">
        <v>158</v>
      </c>
      <c r="C94" s="13"/>
      <c r="D94" s="13"/>
      <c r="E94" s="13"/>
      <c r="G94" s="13"/>
      <c r="H94" s="13"/>
      <c r="I94" s="13"/>
      <c r="J94" s="13"/>
      <c r="L94" s="222">
        <f>IF(M86="H",(K86*0.02)+L86,(K86*0.05)+L86)</f>
        <v>0</v>
      </c>
      <c r="M94" s="202"/>
      <c r="V94" s="571"/>
      <c r="W94" s="571"/>
      <c r="X94" s="571"/>
      <c r="Y94" s="571"/>
      <c r="Z94" s="571"/>
      <c r="AA94" s="571"/>
      <c r="AB94" s="571"/>
      <c r="AC94" s="571"/>
      <c r="AD94" s="198"/>
    </row>
    <row r="95" spans="1:30" ht="21.75" customHeight="1" thickTop="1" x14ac:dyDescent="0.25">
      <c r="B95" s="13" t="s">
        <v>159</v>
      </c>
      <c r="C95" s="13"/>
      <c r="D95" s="13"/>
      <c r="E95" s="13"/>
      <c r="F95" s="13"/>
      <c r="G95" s="13"/>
      <c r="H95" s="13"/>
      <c r="I95" s="13"/>
      <c r="J95" s="13"/>
      <c r="K95" s="13"/>
      <c r="L95" s="13"/>
      <c r="V95" s="571"/>
      <c r="W95" s="571"/>
      <c r="X95" s="571"/>
      <c r="Y95" s="571"/>
      <c r="Z95" s="571"/>
      <c r="AA95" s="571"/>
      <c r="AB95" s="571"/>
      <c r="AC95" s="571"/>
      <c r="AD95" s="198"/>
    </row>
    <row r="96" spans="1:30" x14ac:dyDescent="0.25">
      <c r="B96" s="225"/>
      <c r="V96" s="571"/>
      <c r="W96" s="571"/>
      <c r="X96" s="571"/>
      <c r="Y96" s="571"/>
      <c r="Z96" s="571"/>
      <c r="AA96" s="571"/>
      <c r="AB96" s="571"/>
      <c r="AC96" s="571"/>
    </row>
    <row r="97" spans="2:30" x14ac:dyDescent="0.25">
      <c r="B97" s="225"/>
      <c r="V97" s="571"/>
      <c r="W97" s="571"/>
      <c r="X97" s="571"/>
      <c r="Y97" s="571"/>
      <c r="Z97" s="571"/>
      <c r="AA97" s="571"/>
      <c r="AB97" s="571"/>
      <c r="AC97" s="571"/>
    </row>
    <row r="98" spans="2:30" hidden="1" x14ac:dyDescent="0.25">
      <c r="B98" s="226" t="s">
        <v>160</v>
      </c>
      <c r="C98" s="227"/>
      <c r="V98" s="572"/>
      <c r="W98" s="572"/>
      <c r="X98" s="572"/>
      <c r="Y98" s="572"/>
      <c r="Z98" s="572"/>
      <c r="AA98" s="572"/>
      <c r="AB98" s="572"/>
      <c r="AC98" s="572"/>
    </row>
    <row r="99" spans="2:30" hidden="1" x14ac:dyDescent="0.25">
      <c r="B99" s="229"/>
      <c r="C99" s="227"/>
      <c r="V99" s="225"/>
      <c r="W99" s="13"/>
      <c r="X99" s="13"/>
      <c r="Y99" s="13"/>
      <c r="Z99" s="13"/>
      <c r="AA99" s="13"/>
      <c r="AB99" s="13"/>
      <c r="AC99" s="13"/>
    </row>
    <row r="100" spans="2:30" hidden="1" x14ac:dyDescent="0.25">
      <c r="B100" s="230" t="s">
        <v>161</v>
      </c>
      <c r="C100" s="226" t="s">
        <v>162</v>
      </c>
      <c r="V100" s="225"/>
    </row>
    <row r="101" spans="2:30" hidden="1" x14ac:dyDescent="0.25">
      <c r="B101" s="230" t="s">
        <v>163</v>
      </c>
      <c r="C101" s="226" t="s">
        <v>164</v>
      </c>
      <c r="V101" s="225"/>
    </row>
    <row r="102" spans="2:30" hidden="1" x14ac:dyDescent="0.25">
      <c r="B102" s="230" t="s">
        <v>165</v>
      </c>
      <c r="C102" s="226" t="s">
        <v>166</v>
      </c>
      <c r="V102" s="225"/>
      <c r="W102" s="231"/>
      <c r="X102" s="231"/>
      <c r="Y102" s="231"/>
      <c r="Z102" s="231"/>
      <c r="AA102" s="231"/>
      <c r="AB102" s="231"/>
      <c r="AC102" s="231"/>
      <c r="AD102" s="231"/>
    </row>
    <row r="103" spans="2:30" hidden="1" x14ac:dyDescent="0.25">
      <c r="B103" s="230" t="s">
        <v>167</v>
      </c>
      <c r="C103" s="226" t="s">
        <v>168</v>
      </c>
      <c r="V103" s="225"/>
    </row>
    <row r="104" spans="2:30" hidden="1" x14ac:dyDescent="0.25">
      <c r="B104" s="232"/>
      <c r="C104" s="226" t="s">
        <v>169</v>
      </c>
      <c r="V104" s="225"/>
    </row>
    <row r="105" spans="2:30" hidden="1" x14ac:dyDescent="0.25">
      <c r="B105" s="230" t="s">
        <v>170</v>
      </c>
      <c r="C105" s="226" t="s">
        <v>171</v>
      </c>
      <c r="V105" s="225"/>
    </row>
    <row r="106" spans="2:30" hidden="1" x14ac:dyDescent="0.25">
      <c r="B106" s="230" t="s">
        <v>172</v>
      </c>
      <c r="C106" s="226" t="s">
        <v>173</v>
      </c>
      <c r="V106" s="225"/>
    </row>
    <row r="107" spans="2:30" hidden="1" x14ac:dyDescent="0.25">
      <c r="B107" s="230" t="s">
        <v>228</v>
      </c>
      <c r="C107" s="226" t="s">
        <v>175</v>
      </c>
      <c r="V107" s="225"/>
    </row>
    <row r="108" spans="2:30" hidden="1" x14ac:dyDescent="0.25">
      <c r="B108" s="230" t="s">
        <v>176</v>
      </c>
      <c r="C108" s="226" t="s">
        <v>177</v>
      </c>
      <c r="V108" s="225"/>
    </row>
    <row r="109" spans="2:30" hidden="1" x14ac:dyDescent="0.25">
      <c r="B109" s="230" t="s">
        <v>178</v>
      </c>
      <c r="C109" s="226" t="s">
        <v>179</v>
      </c>
      <c r="V109" s="225"/>
    </row>
    <row r="110" spans="2:30" hidden="1" x14ac:dyDescent="0.25">
      <c r="B110" s="232"/>
      <c r="C110" s="226"/>
      <c r="V110" s="225"/>
    </row>
    <row r="111" spans="2:30" hidden="1" x14ac:dyDescent="0.25">
      <c r="B111" s="230" t="s">
        <v>180</v>
      </c>
      <c r="C111" s="226" t="s">
        <v>181</v>
      </c>
      <c r="V111" s="225"/>
    </row>
    <row r="112" spans="2:30" hidden="1" x14ac:dyDescent="0.25">
      <c r="B112" s="230" t="s">
        <v>180</v>
      </c>
      <c r="C112" s="226" t="s">
        <v>182</v>
      </c>
    </row>
    <row r="113" spans="2:3" hidden="1" x14ac:dyDescent="0.25">
      <c r="B113" s="230" t="s">
        <v>183</v>
      </c>
      <c r="C113" s="226" t="s">
        <v>184</v>
      </c>
    </row>
    <row r="114" spans="2:3" hidden="1" x14ac:dyDescent="0.25">
      <c r="B114" s="230" t="s">
        <v>185</v>
      </c>
      <c r="C114" s="226" t="s">
        <v>186</v>
      </c>
    </row>
    <row r="115" spans="2:3" hidden="1" x14ac:dyDescent="0.25">
      <c r="B115" s="230" t="s">
        <v>183</v>
      </c>
      <c r="C115" s="226" t="s">
        <v>187</v>
      </c>
    </row>
    <row r="116" spans="2:3" hidden="1" x14ac:dyDescent="0.25">
      <c r="B116" s="230" t="s">
        <v>188</v>
      </c>
      <c r="C116" s="226" t="s">
        <v>189</v>
      </c>
    </row>
    <row r="117" spans="2:3" hidden="1" x14ac:dyDescent="0.25">
      <c r="B117" s="230" t="s">
        <v>190</v>
      </c>
      <c r="C117" s="226" t="s">
        <v>191</v>
      </c>
    </row>
    <row r="118" spans="2:3" hidden="1" x14ac:dyDescent="0.25">
      <c r="B118" s="232" t="s">
        <v>192</v>
      </c>
      <c r="C118" s="226" t="s">
        <v>193</v>
      </c>
    </row>
    <row r="119" spans="2:3" hidden="1" x14ac:dyDescent="0.25">
      <c r="B119" s="232"/>
      <c r="C119" s="226"/>
    </row>
    <row r="120" spans="2:3" hidden="1" x14ac:dyDescent="0.25">
      <c r="B120" s="230" t="s">
        <v>161</v>
      </c>
      <c r="C120" s="226" t="s">
        <v>194</v>
      </c>
    </row>
    <row r="121" spans="2:3" hidden="1" x14ac:dyDescent="0.25">
      <c r="B121" s="230" t="s">
        <v>195</v>
      </c>
      <c r="C121" s="226" t="s">
        <v>196</v>
      </c>
    </row>
    <row r="122" spans="2:3" hidden="1" x14ac:dyDescent="0.25">
      <c r="B122" s="230" t="s">
        <v>197</v>
      </c>
      <c r="C122" s="226" t="s">
        <v>198</v>
      </c>
    </row>
    <row r="123" spans="2:3" hidden="1" x14ac:dyDescent="0.25">
      <c r="B123" s="230" t="s">
        <v>229</v>
      </c>
      <c r="C123" s="226" t="s">
        <v>200</v>
      </c>
    </row>
    <row r="124" spans="2:3" hidden="1" x14ac:dyDescent="0.25">
      <c r="B124" s="230" t="s">
        <v>230</v>
      </c>
      <c r="C124" s="226" t="s">
        <v>202</v>
      </c>
    </row>
    <row r="125" spans="2:3" hidden="1" x14ac:dyDescent="0.25">
      <c r="B125" s="230" t="s">
        <v>203</v>
      </c>
      <c r="C125" s="226" t="s">
        <v>204</v>
      </c>
    </row>
    <row r="126" spans="2:3" hidden="1" x14ac:dyDescent="0.25">
      <c r="B126" s="230" t="s">
        <v>203</v>
      </c>
      <c r="C126" s="226" t="s">
        <v>205</v>
      </c>
    </row>
    <row r="127" spans="2:3" hidden="1" x14ac:dyDescent="0.25">
      <c r="B127" s="230" t="s">
        <v>203</v>
      </c>
      <c r="C127" s="226" t="s">
        <v>206</v>
      </c>
    </row>
    <row r="128" spans="2:3" hidden="1" x14ac:dyDescent="0.25">
      <c r="B128" s="230" t="s">
        <v>203</v>
      </c>
      <c r="C128" s="226" t="s">
        <v>207</v>
      </c>
    </row>
    <row r="129" spans="2:3" hidden="1" x14ac:dyDescent="0.25">
      <c r="B129" s="230" t="s">
        <v>167</v>
      </c>
      <c r="C129" s="226" t="s">
        <v>208</v>
      </c>
    </row>
    <row r="130" spans="2:3" hidden="1" x14ac:dyDescent="0.25">
      <c r="B130" s="230" t="s">
        <v>209</v>
      </c>
      <c r="C130" s="226" t="s">
        <v>210</v>
      </c>
    </row>
    <row r="131" spans="2:3" hidden="1" x14ac:dyDescent="0.25">
      <c r="B131" s="230" t="s">
        <v>203</v>
      </c>
      <c r="C131" s="226" t="s">
        <v>211</v>
      </c>
    </row>
    <row r="132" spans="2:3" hidden="1" x14ac:dyDescent="0.25">
      <c r="B132" s="226"/>
      <c r="C132" s="226"/>
    </row>
    <row r="133" spans="2:3" hidden="1" x14ac:dyDescent="0.25">
      <c r="B133" s="226"/>
      <c r="C133" s="226"/>
    </row>
    <row r="134" spans="2:3" hidden="1" x14ac:dyDescent="0.25">
      <c r="B134" s="232"/>
      <c r="C134" s="232"/>
    </row>
    <row r="135" spans="2:3" hidden="1" x14ac:dyDescent="0.25">
      <c r="B135" s="232">
        <f>NvsElapsedTime</f>
        <v>1.15740767796524E-5</v>
      </c>
      <c r="C135" s="232"/>
    </row>
    <row r="136" spans="2:3" hidden="1" x14ac:dyDescent="0.25">
      <c r="B136" s="233">
        <f>NvsEndTime</f>
        <v>41754.487708333298</v>
      </c>
      <c r="C136" s="233" t="s">
        <v>212</v>
      </c>
    </row>
    <row r="137" spans="2:3" x14ac:dyDescent="0.25">
      <c r="B137" s="226"/>
      <c r="C137" s="573"/>
    </row>
    <row r="138" spans="2:3" x14ac:dyDescent="0.25">
      <c r="B138" s="226"/>
      <c r="C138" s="226"/>
    </row>
    <row r="139" spans="2:3" x14ac:dyDescent="0.25">
      <c r="B139" s="226"/>
      <c r="C139" s="226"/>
    </row>
    <row r="140" spans="2:3" x14ac:dyDescent="0.25">
      <c r="B140" s="226"/>
      <c r="C140" s="226"/>
    </row>
    <row r="141" spans="2:3" x14ac:dyDescent="0.25">
      <c r="B141" s="226"/>
      <c r="C141" s="226"/>
    </row>
    <row r="142" spans="2:3" x14ac:dyDescent="0.25">
      <c r="B142" s="226"/>
      <c r="C142" s="226"/>
    </row>
    <row r="143" spans="2:3" x14ac:dyDescent="0.25">
      <c r="B143" s="226"/>
      <c r="C143" s="226"/>
    </row>
    <row r="144" spans="2:3" x14ac:dyDescent="0.25">
      <c r="B144" s="226"/>
      <c r="C144" s="226"/>
    </row>
    <row r="145" spans="2:3" x14ac:dyDescent="0.25">
      <c r="B145" s="226"/>
      <c r="C145" s="226"/>
    </row>
    <row r="146" spans="2:3" x14ac:dyDescent="0.25">
      <c r="B146" s="226"/>
      <c r="C146" s="226"/>
    </row>
    <row r="147" spans="2:3" x14ac:dyDescent="0.25">
      <c r="B147" s="226"/>
      <c r="C147" s="226"/>
    </row>
    <row r="148" spans="2:3" x14ac:dyDescent="0.25">
      <c r="B148" s="226"/>
      <c r="C148" s="226"/>
    </row>
    <row r="149" spans="2:3" x14ac:dyDescent="0.25">
      <c r="B149" s="226"/>
      <c r="C149" s="226"/>
    </row>
    <row r="150" spans="2:3" x14ac:dyDescent="0.25">
      <c r="B150" s="226"/>
      <c r="C150" s="226"/>
    </row>
    <row r="151" spans="2:3" x14ac:dyDescent="0.25">
      <c r="B151" s="226"/>
      <c r="C151" s="226"/>
    </row>
  </sheetData>
  <mergeCells count="151">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9:W9"/>
    <mergeCell ref="X9:Y9"/>
    <mergeCell ref="Z9:AA9"/>
    <mergeCell ref="V10:W10"/>
    <mergeCell ref="X10:Y10"/>
    <mergeCell ref="Z10:AA10"/>
    <mergeCell ref="V7:W7"/>
    <mergeCell ref="X7:Y7"/>
    <mergeCell ref="Z7:AA7"/>
    <mergeCell ref="AB7:AC7"/>
    <mergeCell ref="V8:W8"/>
    <mergeCell ref="X8:Y8"/>
    <mergeCell ref="Z8:AA8"/>
    <mergeCell ref="W2:AC2"/>
    <mergeCell ref="V3:AC3"/>
    <mergeCell ref="V4:AC4"/>
    <mergeCell ref="V5:W5"/>
    <mergeCell ref="X5:Y5"/>
    <mergeCell ref="V6:AC6"/>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51"/>
  <sheetViews>
    <sheetView topLeftCell="B2" zoomScale="70" zoomScaleNormal="70" workbookViewId="0">
      <selection activeCell="L86" sqref="L86"/>
    </sheetView>
  </sheetViews>
  <sheetFormatPr defaultColWidth="16" defaultRowHeight="14.25" x14ac:dyDescent="0.2"/>
  <cols>
    <col min="1" max="1" width="0" style="338" hidden="1" customWidth="1"/>
    <col min="2" max="2" width="16" style="339"/>
    <col min="3" max="3" width="25.28515625" style="338" customWidth="1"/>
    <col min="4" max="4" width="10.7109375" style="338" customWidth="1"/>
    <col min="5" max="5" width="11.42578125" style="338" customWidth="1"/>
    <col min="6" max="6" width="10" style="338" hidden="1" customWidth="1"/>
    <col min="7" max="7" width="18.140625" style="338" customWidth="1"/>
    <col min="8" max="8" width="10.28515625" style="338" customWidth="1"/>
    <col min="9" max="9" width="16" style="338"/>
    <col min="10" max="10" width="15" style="338" customWidth="1"/>
    <col min="11" max="14" width="16" style="338"/>
    <col min="15" max="15" width="16" style="340"/>
    <col min="16" max="16384" width="16" style="338"/>
  </cols>
  <sheetData>
    <row r="1" spans="1:30" ht="15.6" hidden="1" customHeight="1" thickBot="1" x14ac:dyDescent="0.25">
      <c r="A1" s="338" t="s">
        <v>0</v>
      </c>
      <c r="D1" s="338" t="s">
        <v>1</v>
      </c>
      <c r="E1" s="338" t="s">
        <v>2</v>
      </c>
      <c r="F1" s="338" t="s">
        <v>3</v>
      </c>
    </row>
    <row r="2" spans="1:30" ht="15" thickBot="1" x14ac:dyDescent="0.25">
      <c r="B2" s="341">
        <v>50</v>
      </c>
      <c r="C2" s="5" t="s">
        <v>4</v>
      </c>
      <c r="D2" s="6"/>
      <c r="E2" s="6"/>
      <c r="F2" s="6"/>
      <c r="G2" s="6"/>
      <c r="H2" s="7"/>
      <c r="I2" s="7"/>
      <c r="J2" s="7"/>
      <c r="K2" s="7"/>
      <c r="L2" s="7"/>
      <c r="N2" s="340"/>
      <c r="O2" s="338"/>
      <c r="V2" s="342">
        <f>'2531 June final'!B2</f>
        <v>50</v>
      </c>
      <c r="W2" s="606" t="s">
        <v>4</v>
      </c>
      <c r="X2" s="607"/>
      <c r="Y2" s="608"/>
      <c r="Z2" s="608"/>
      <c r="AA2" s="608"/>
      <c r="AB2" s="608"/>
      <c r="AC2" s="608"/>
      <c r="AD2" s="343"/>
    </row>
    <row r="3" spans="1:30" x14ac:dyDescent="0.2">
      <c r="B3" s="344" t="str">
        <f>"Revenue Estimate Worksheet for "&amp;B124</f>
        <v>Revenue Estimate Worksheet for Potentials Charter School</v>
      </c>
      <c r="C3" s="345"/>
      <c r="D3" s="345"/>
      <c r="E3" s="345"/>
      <c r="F3" s="345"/>
      <c r="G3" s="345"/>
      <c r="H3" s="345"/>
      <c r="I3" s="345"/>
      <c r="J3" s="345"/>
      <c r="K3" s="345"/>
      <c r="L3" s="345"/>
      <c r="M3" s="344"/>
      <c r="N3" s="344"/>
      <c r="O3" s="344"/>
      <c r="P3" s="344"/>
      <c r="Q3" s="344"/>
      <c r="V3" s="681" t="s">
        <v>5</v>
      </c>
      <c r="W3" s="681"/>
      <c r="X3" s="681"/>
      <c r="Y3" s="681"/>
      <c r="Z3" s="681"/>
      <c r="AA3" s="681"/>
      <c r="AB3" s="681"/>
      <c r="AC3" s="681"/>
      <c r="AD3" s="346"/>
    </row>
    <row r="4" spans="1:30" x14ac:dyDescent="0.2">
      <c r="B4" s="339" t="s">
        <v>6</v>
      </c>
      <c r="C4" s="344"/>
      <c r="D4" s="344"/>
      <c r="E4" s="344"/>
      <c r="F4" s="344"/>
      <c r="G4" s="344"/>
      <c r="H4" s="344"/>
      <c r="I4" s="344"/>
      <c r="J4" s="344"/>
      <c r="K4" s="344"/>
      <c r="L4" s="344"/>
      <c r="M4" s="344"/>
      <c r="N4" s="344"/>
      <c r="O4" s="344"/>
      <c r="P4" s="344"/>
      <c r="Q4" s="344"/>
      <c r="V4" s="681" t="str">
        <f>+Based_on_the_Second_Calculation_of_the_FEFP_2010_11</f>
        <v>Based on the Fourth Calculation of the FEFP 2013-14</v>
      </c>
      <c r="W4" s="681"/>
      <c r="X4" s="681"/>
      <c r="Y4" s="681"/>
      <c r="Z4" s="681"/>
      <c r="AA4" s="681"/>
      <c r="AB4" s="681"/>
      <c r="AC4" s="681"/>
      <c r="AD4" s="346"/>
    </row>
    <row r="5" spans="1:30" ht="18.75" customHeight="1" x14ac:dyDescent="0.2">
      <c r="B5" s="347" t="s">
        <v>7</v>
      </c>
      <c r="C5" s="347"/>
      <c r="D5" s="347"/>
      <c r="E5" s="347"/>
      <c r="F5" s="347"/>
      <c r="G5" s="348" t="s">
        <v>8</v>
      </c>
      <c r="H5" s="348"/>
      <c r="I5" s="348"/>
      <c r="J5" s="348"/>
      <c r="K5" s="348"/>
      <c r="L5" s="348"/>
      <c r="M5" s="349"/>
      <c r="N5" s="349"/>
      <c r="O5" s="349"/>
      <c r="P5" s="349"/>
      <c r="Q5" s="349"/>
      <c r="V5" s="682" t="s">
        <v>7</v>
      </c>
      <c r="W5" s="682"/>
      <c r="X5" s="683" t="s">
        <v>8</v>
      </c>
      <c r="Y5" s="683"/>
      <c r="Z5" s="350"/>
      <c r="AA5" s="350"/>
      <c r="AB5" s="350"/>
      <c r="AC5" s="350"/>
      <c r="AD5" s="351"/>
    </row>
    <row r="6" spans="1:30" ht="21" customHeight="1" x14ac:dyDescent="0.2">
      <c r="B6" s="347" t="s">
        <v>9</v>
      </c>
      <c r="C6" s="347"/>
      <c r="D6" s="347"/>
      <c r="E6" s="347"/>
      <c r="F6" s="347"/>
      <c r="G6" s="347"/>
      <c r="H6" s="347"/>
      <c r="I6" s="347"/>
      <c r="J6" s="347"/>
      <c r="K6" s="347"/>
      <c r="L6" s="347"/>
      <c r="M6" s="352"/>
      <c r="N6" s="352"/>
      <c r="O6" s="349"/>
      <c r="P6" s="349"/>
      <c r="Q6" s="349"/>
      <c r="V6" s="684" t="s">
        <v>9</v>
      </c>
      <c r="W6" s="684"/>
      <c r="X6" s="684"/>
      <c r="Y6" s="684"/>
      <c r="Z6" s="684"/>
      <c r="AA6" s="684"/>
      <c r="AB6" s="684"/>
      <c r="AC6" s="684"/>
      <c r="AD6" s="353"/>
    </row>
    <row r="7" spans="1:30" ht="18" customHeight="1" x14ac:dyDescent="0.25">
      <c r="B7" s="354" t="s">
        <v>10</v>
      </c>
      <c r="C7" s="354"/>
      <c r="D7" s="354"/>
      <c r="E7" s="354"/>
      <c r="F7" s="354"/>
      <c r="G7" s="355">
        <v>3752.3</v>
      </c>
      <c r="H7" s="355"/>
      <c r="I7" s="354" t="s">
        <v>11</v>
      </c>
      <c r="J7" s="354"/>
      <c r="K7" s="356">
        <v>1.0326</v>
      </c>
      <c r="L7" s="356"/>
      <c r="O7" s="338"/>
      <c r="V7" s="691" t="s">
        <v>10</v>
      </c>
      <c r="W7" s="691"/>
      <c r="X7" s="692">
        <f>'2531 June final'!G7</f>
        <v>3752.3</v>
      </c>
      <c r="Y7" s="692"/>
      <c r="Z7" s="693" t="s">
        <v>11</v>
      </c>
      <c r="AA7" s="693"/>
      <c r="AB7" s="677">
        <f>+K7</f>
        <v>1.0326</v>
      </c>
      <c r="AC7" s="677"/>
      <c r="AD7" s="343"/>
    </row>
    <row r="8" spans="1:30" ht="51" customHeight="1" x14ac:dyDescent="0.2">
      <c r="B8" s="357" t="s">
        <v>12</v>
      </c>
      <c r="C8" s="357"/>
      <c r="D8" s="358" t="s">
        <v>13</v>
      </c>
      <c r="E8" s="358" t="s">
        <v>14</v>
      </c>
      <c r="F8" s="358"/>
      <c r="G8" s="359" t="s">
        <v>15</v>
      </c>
      <c r="H8" s="360"/>
      <c r="I8" s="361" t="s">
        <v>16</v>
      </c>
      <c r="J8" s="362"/>
      <c r="K8" s="363" t="s">
        <v>17</v>
      </c>
      <c r="L8" s="364" t="s">
        <v>18</v>
      </c>
      <c r="N8" s="338" t="s">
        <v>19</v>
      </c>
      <c r="O8" s="338" t="s">
        <v>20</v>
      </c>
      <c r="V8" s="678" t="s">
        <v>12</v>
      </c>
      <c r="W8" s="678"/>
      <c r="X8" s="679" t="s">
        <v>15</v>
      </c>
      <c r="Y8" s="679"/>
      <c r="Z8" s="680" t="s">
        <v>16</v>
      </c>
      <c r="AA8" s="680"/>
      <c r="AB8" s="365" t="s">
        <v>17</v>
      </c>
      <c r="AC8" s="366" t="s">
        <v>21</v>
      </c>
      <c r="AD8" s="343"/>
    </row>
    <row r="9" spans="1:30" ht="14.25" customHeight="1" x14ac:dyDescent="0.2">
      <c r="B9" s="367" t="s">
        <v>22</v>
      </c>
      <c r="C9" s="367"/>
      <c r="D9" s="367"/>
      <c r="E9" s="367"/>
      <c r="F9" s="367"/>
      <c r="G9" s="368" t="s">
        <v>23</v>
      </c>
      <c r="H9" s="369"/>
      <c r="I9" s="370" t="s">
        <v>24</v>
      </c>
      <c r="J9" s="371"/>
      <c r="K9" s="372" t="s">
        <v>25</v>
      </c>
      <c r="L9" s="373" t="s">
        <v>26</v>
      </c>
      <c r="O9" s="338"/>
      <c r="V9" s="685" t="s">
        <v>22</v>
      </c>
      <c r="W9" s="685"/>
      <c r="X9" s="686" t="s">
        <v>23</v>
      </c>
      <c r="Y9" s="686"/>
      <c r="Z9" s="687" t="s">
        <v>24</v>
      </c>
      <c r="AA9" s="687"/>
      <c r="AB9" s="374" t="s">
        <v>25</v>
      </c>
      <c r="AC9" s="375" t="s">
        <v>26</v>
      </c>
      <c r="AD9" s="343"/>
    </row>
    <row r="10" spans="1:30" x14ac:dyDescent="0.2">
      <c r="A10" s="338" t="s">
        <v>27</v>
      </c>
      <c r="B10" s="376" t="s">
        <v>28</v>
      </c>
      <c r="C10" s="376"/>
      <c r="D10" s="376">
        <v>0</v>
      </c>
      <c r="E10" s="376">
        <v>0</v>
      </c>
      <c r="F10" s="376">
        <v>0</v>
      </c>
      <c r="G10" s="377">
        <f>D10+E10</f>
        <v>0</v>
      </c>
      <c r="H10" s="378"/>
      <c r="I10" s="379">
        <v>1.125</v>
      </c>
      <c r="J10" s="379"/>
      <c r="K10" s="380">
        <f>ROUND(G10*I10,4)</f>
        <v>0</v>
      </c>
      <c r="L10" s="381">
        <f>ROUND(ROUND(K10*$G$7,4)*($K$7),0)</f>
        <v>0</v>
      </c>
      <c r="N10" s="382">
        <v>5101</v>
      </c>
      <c r="O10" s="383">
        <v>101</v>
      </c>
      <c r="P10" s="384"/>
      <c r="Q10" s="385"/>
      <c r="V10" s="688" t="s">
        <v>28</v>
      </c>
      <c r="W10" s="688"/>
      <c r="X10" s="689">
        <f>IF('2531 June final'!K$84=1,'2531 June final'!G10,0)</f>
        <v>0</v>
      </c>
      <c r="Y10" s="689"/>
      <c r="Z10" s="690">
        <v>1</v>
      </c>
      <c r="AA10" s="690"/>
      <c r="AB10" s="386">
        <f t="shared" ref="AB10:AB25" si="0">ROUND(X10*Z10,4)</f>
        <v>0</v>
      </c>
      <c r="AC10" s="387">
        <f t="shared" ref="AC10:AC25" si="1">ROUND(ROUND(AB10*$X$7,4)*($AB$7),0)</f>
        <v>0</v>
      </c>
      <c r="AD10" s="343">
        <v>1</v>
      </c>
    </row>
    <row r="11" spans="1:30" x14ac:dyDescent="0.2">
      <c r="A11" s="338" t="s">
        <v>29</v>
      </c>
      <c r="B11" s="344" t="s">
        <v>30</v>
      </c>
      <c r="C11" s="344"/>
      <c r="D11" s="344">
        <v>0</v>
      </c>
      <c r="E11" s="344">
        <v>0</v>
      </c>
      <c r="F11" s="344">
        <v>0</v>
      </c>
      <c r="G11" s="377">
        <f t="shared" ref="G11:G25" si="2">D11+E11</f>
        <v>0</v>
      </c>
      <c r="H11" s="378"/>
      <c r="I11" s="388">
        <f>I10</f>
        <v>1.125</v>
      </c>
      <c r="J11" s="388"/>
      <c r="K11" s="380">
        <f t="shared" ref="K11:K25" si="3">ROUND(G11*I11,4)</f>
        <v>0</v>
      </c>
      <c r="L11" s="381">
        <f t="shared" ref="L11:L25" si="4">ROUND(ROUND(K11*$G$7,4)*($K$7),0)</f>
        <v>0</v>
      </c>
      <c r="M11" s="338" t="str">
        <f>IF(ROUND(G11,2)=ROUND(SUM(G28:G30),2)," ","CHECK 2. PK-3 Lines Below")</f>
        <v xml:space="preserve"> </v>
      </c>
      <c r="N11" s="382">
        <v>5101</v>
      </c>
      <c r="O11" s="389" t="s">
        <v>31</v>
      </c>
      <c r="P11" s="384"/>
      <c r="Q11" s="385"/>
      <c r="V11" s="694" t="s">
        <v>30</v>
      </c>
      <c r="W11" s="694"/>
      <c r="X11" s="689">
        <f>IF('2531 June final'!K$84=1,'2531 June final'!G11,0)</f>
        <v>0</v>
      </c>
      <c r="Y11" s="689"/>
      <c r="Z11" s="695">
        <v>1</v>
      </c>
      <c r="AA11" s="695"/>
      <c r="AB11" s="386">
        <f t="shared" si="0"/>
        <v>0</v>
      </c>
      <c r="AC11" s="387">
        <f t="shared" si="1"/>
        <v>0</v>
      </c>
      <c r="AD11" s="343"/>
    </row>
    <row r="12" spans="1:30" x14ac:dyDescent="0.2">
      <c r="A12" s="338" t="s">
        <v>32</v>
      </c>
      <c r="B12" s="344" t="s">
        <v>33</v>
      </c>
      <c r="C12" s="344"/>
      <c r="D12" s="344">
        <v>0</v>
      </c>
      <c r="E12" s="344">
        <v>0</v>
      </c>
      <c r="F12" s="344">
        <v>0</v>
      </c>
      <c r="G12" s="377">
        <f t="shared" si="2"/>
        <v>0</v>
      </c>
      <c r="H12" s="378"/>
      <c r="I12" s="388">
        <v>1</v>
      </c>
      <c r="J12" s="388"/>
      <c r="K12" s="380">
        <f t="shared" si="3"/>
        <v>0</v>
      </c>
      <c r="L12" s="381">
        <f t="shared" si="4"/>
        <v>0</v>
      </c>
      <c r="N12" s="382">
        <v>5102</v>
      </c>
      <c r="O12" s="383">
        <v>102</v>
      </c>
      <c r="P12" s="384"/>
      <c r="Q12" s="385"/>
      <c r="V12" s="694" t="s">
        <v>33</v>
      </c>
      <c r="W12" s="694"/>
      <c r="X12" s="689">
        <f>IF('2531 June final'!K$84=1,'2531 June final'!G12,0)</f>
        <v>0</v>
      </c>
      <c r="Y12" s="689"/>
      <c r="Z12" s="695">
        <v>1</v>
      </c>
      <c r="AA12" s="695"/>
      <c r="AB12" s="386">
        <f t="shared" si="0"/>
        <v>0</v>
      </c>
      <c r="AC12" s="387">
        <f t="shared" si="1"/>
        <v>0</v>
      </c>
      <c r="AD12" s="343"/>
    </row>
    <row r="13" spans="1:30" x14ac:dyDescent="0.2">
      <c r="A13" s="338" t="s">
        <v>34</v>
      </c>
      <c r="B13" s="344" t="s">
        <v>35</v>
      </c>
      <c r="C13" s="344"/>
      <c r="D13" s="344">
        <v>0</v>
      </c>
      <c r="E13" s="344">
        <v>0</v>
      </c>
      <c r="F13" s="344">
        <v>0</v>
      </c>
      <c r="G13" s="377">
        <f t="shared" si="2"/>
        <v>0</v>
      </c>
      <c r="H13" s="378"/>
      <c r="I13" s="388">
        <f>I12</f>
        <v>1</v>
      </c>
      <c r="J13" s="388"/>
      <c r="K13" s="380">
        <f t="shared" si="3"/>
        <v>0</v>
      </c>
      <c r="L13" s="381">
        <f t="shared" si="4"/>
        <v>0</v>
      </c>
      <c r="M13" s="338" t="str">
        <f>IF(ROUND(G13,2)=ROUND(SUM(G31:G33),2)," ","CHECK 2. PK-3 Lines Below")</f>
        <v xml:space="preserve"> </v>
      </c>
      <c r="N13" s="382">
        <v>5102</v>
      </c>
      <c r="O13" s="389" t="s">
        <v>36</v>
      </c>
      <c r="P13" s="384"/>
      <c r="Q13" s="385"/>
      <c r="V13" s="694" t="s">
        <v>35</v>
      </c>
      <c r="W13" s="694"/>
      <c r="X13" s="689">
        <f>IF('2531 June final'!K$84=1,'2531 June final'!G13,0)</f>
        <v>0</v>
      </c>
      <c r="Y13" s="689"/>
      <c r="Z13" s="695">
        <v>1</v>
      </c>
      <c r="AA13" s="695"/>
      <c r="AB13" s="386">
        <f t="shared" si="0"/>
        <v>0</v>
      </c>
      <c r="AC13" s="387">
        <f t="shared" si="1"/>
        <v>0</v>
      </c>
      <c r="AD13" s="343"/>
    </row>
    <row r="14" spans="1:30" x14ac:dyDescent="0.2">
      <c r="A14" s="338" t="s">
        <v>37</v>
      </c>
      <c r="B14" s="344" t="s">
        <v>38</v>
      </c>
      <c r="C14" s="344"/>
      <c r="D14" s="344">
        <v>0</v>
      </c>
      <c r="E14" s="344">
        <v>0</v>
      </c>
      <c r="F14" s="344">
        <v>0</v>
      </c>
      <c r="G14" s="377">
        <f t="shared" si="2"/>
        <v>0</v>
      </c>
      <c r="H14" s="378"/>
      <c r="I14" s="388">
        <v>1.0109999999999999</v>
      </c>
      <c r="J14" s="388"/>
      <c r="K14" s="380">
        <f t="shared" si="3"/>
        <v>0</v>
      </c>
      <c r="L14" s="381">
        <f t="shared" si="4"/>
        <v>0</v>
      </c>
      <c r="N14" s="382">
        <v>5103</v>
      </c>
      <c r="O14" s="383">
        <v>103</v>
      </c>
      <c r="P14" s="384"/>
      <c r="Q14" s="385"/>
      <c r="V14" s="694" t="s">
        <v>38</v>
      </c>
      <c r="W14" s="694"/>
      <c r="X14" s="689">
        <f>IF('2531 June final'!K$84=1,'2531 June final'!G14,0)</f>
        <v>0</v>
      </c>
      <c r="Y14" s="689"/>
      <c r="Z14" s="695">
        <v>1</v>
      </c>
      <c r="AA14" s="695"/>
      <c r="AB14" s="386">
        <f t="shared" si="0"/>
        <v>0</v>
      </c>
      <c r="AC14" s="387">
        <f t="shared" si="1"/>
        <v>0</v>
      </c>
      <c r="AD14" s="343"/>
    </row>
    <row r="15" spans="1:30" x14ac:dyDescent="0.2">
      <c r="A15" s="338" t="s">
        <v>39</v>
      </c>
      <c r="B15" s="344" t="s">
        <v>40</v>
      </c>
      <c r="C15" s="344"/>
      <c r="D15" s="344">
        <v>0</v>
      </c>
      <c r="E15" s="344">
        <v>0</v>
      </c>
      <c r="F15" s="344">
        <v>0</v>
      </c>
      <c r="G15" s="377">
        <f t="shared" si="2"/>
        <v>0</v>
      </c>
      <c r="H15" s="378"/>
      <c r="I15" s="388">
        <f>I14</f>
        <v>1.0109999999999999</v>
      </c>
      <c r="J15" s="388"/>
      <c r="K15" s="380">
        <f t="shared" si="3"/>
        <v>0</v>
      </c>
      <c r="L15" s="390">
        <f t="shared" si="4"/>
        <v>0</v>
      </c>
      <c r="M15" s="338" t="str">
        <f>IF(ROUND(G15,2)=ROUND(SUM(G34:G36),2)," ","CHECK 2. PK-3 Lines Below")</f>
        <v xml:space="preserve"> </v>
      </c>
      <c r="N15" s="382">
        <v>5103</v>
      </c>
      <c r="O15" s="389" t="s">
        <v>41</v>
      </c>
      <c r="P15" s="384"/>
      <c r="Q15" s="385"/>
      <c r="V15" s="694" t="s">
        <v>40</v>
      </c>
      <c r="W15" s="694"/>
      <c r="X15" s="689">
        <f>IF('2531 June final'!K$84=1,'2531 June final'!G15,0)</f>
        <v>0</v>
      </c>
      <c r="Y15" s="689"/>
      <c r="Z15" s="695">
        <v>1</v>
      </c>
      <c r="AA15" s="695"/>
      <c r="AB15" s="386">
        <f t="shared" si="0"/>
        <v>0</v>
      </c>
      <c r="AC15" s="391">
        <f t="shared" si="1"/>
        <v>0</v>
      </c>
      <c r="AD15" s="343"/>
    </row>
    <row r="16" spans="1:30" ht="15" x14ac:dyDescent="0.25">
      <c r="A16" s="338" t="s">
        <v>42</v>
      </c>
      <c r="B16" s="344" t="s">
        <v>435</v>
      </c>
      <c r="C16" s="344"/>
      <c r="D16" s="344">
        <v>2</v>
      </c>
      <c r="E16" s="344">
        <v>3.04</v>
      </c>
      <c r="F16" s="344">
        <v>2.75</v>
      </c>
      <c r="G16" s="377">
        <f t="shared" si="2"/>
        <v>5.04</v>
      </c>
      <c r="H16" s="378"/>
      <c r="I16" s="388">
        <v>3.5579999999999998</v>
      </c>
      <c r="J16" s="388"/>
      <c r="K16" s="380">
        <f t="shared" si="3"/>
        <v>17.932300000000001</v>
      </c>
      <c r="L16" s="381">
        <f t="shared" si="4"/>
        <v>69481</v>
      </c>
      <c r="N16" s="382">
        <v>5101</v>
      </c>
      <c r="O16" s="384">
        <v>254</v>
      </c>
      <c r="P16" s="384"/>
      <c r="Q16" s="385"/>
      <c r="V16" s="694" t="s">
        <v>435</v>
      </c>
      <c r="W16" s="694"/>
      <c r="X16" s="689">
        <f>IF('2531 June final'!K$84=1,'2531 June final'!G16,0)</f>
        <v>5.04</v>
      </c>
      <c r="Y16" s="689"/>
      <c r="Z16" s="695">
        <v>1</v>
      </c>
      <c r="AA16" s="695"/>
      <c r="AB16" s="386">
        <f t="shared" si="0"/>
        <v>5.04</v>
      </c>
      <c r="AC16" s="387">
        <f t="shared" si="1"/>
        <v>19528</v>
      </c>
      <c r="AD16" s="343"/>
    </row>
    <row r="17" spans="1:30" ht="15" x14ac:dyDescent="0.25">
      <c r="A17" s="338" t="s">
        <v>44</v>
      </c>
      <c r="B17" s="344" t="s">
        <v>436</v>
      </c>
      <c r="C17" s="344"/>
      <c r="D17" s="344">
        <v>0</v>
      </c>
      <c r="E17" s="344">
        <v>0</v>
      </c>
      <c r="F17" s="344">
        <v>2.75</v>
      </c>
      <c r="G17" s="377">
        <f t="shared" si="2"/>
        <v>0</v>
      </c>
      <c r="H17" s="378"/>
      <c r="I17" s="388">
        <f>I16</f>
        <v>3.5579999999999998</v>
      </c>
      <c r="J17" s="388"/>
      <c r="K17" s="380">
        <f t="shared" si="3"/>
        <v>0</v>
      </c>
      <c r="L17" s="381">
        <f t="shared" si="4"/>
        <v>0</v>
      </c>
      <c r="N17" s="382">
        <v>5102</v>
      </c>
      <c r="O17" s="385">
        <v>254</v>
      </c>
      <c r="P17" s="384"/>
      <c r="Q17" s="385"/>
      <c r="V17" s="694" t="s">
        <v>436</v>
      </c>
      <c r="W17" s="694"/>
      <c r="X17" s="689">
        <f>IF('2531 June final'!K$84=1,'2531 June final'!G17,0)</f>
        <v>0</v>
      </c>
      <c r="Y17" s="689"/>
      <c r="Z17" s="695">
        <v>1</v>
      </c>
      <c r="AA17" s="695"/>
      <c r="AB17" s="386">
        <f t="shared" si="0"/>
        <v>0</v>
      </c>
      <c r="AC17" s="387">
        <f t="shared" si="1"/>
        <v>0</v>
      </c>
      <c r="AD17" s="343"/>
    </row>
    <row r="18" spans="1:30" ht="15" x14ac:dyDescent="0.25">
      <c r="A18" s="338" t="s">
        <v>46</v>
      </c>
      <c r="B18" s="344" t="s">
        <v>437</v>
      </c>
      <c r="C18" s="344"/>
      <c r="D18" s="344">
        <v>0</v>
      </c>
      <c r="E18" s="344">
        <v>0</v>
      </c>
      <c r="F18" s="344">
        <v>0</v>
      </c>
      <c r="G18" s="377">
        <f t="shared" si="2"/>
        <v>0</v>
      </c>
      <c r="H18" s="378"/>
      <c r="I18" s="388">
        <f>I17</f>
        <v>3.5579999999999998</v>
      </c>
      <c r="J18" s="388"/>
      <c r="K18" s="380">
        <f t="shared" si="3"/>
        <v>0</v>
      </c>
      <c r="L18" s="381">
        <f t="shared" si="4"/>
        <v>0</v>
      </c>
      <c r="N18" s="382">
        <v>5103</v>
      </c>
      <c r="O18" s="385">
        <v>254</v>
      </c>
      <c r="P18" s="384"/>
      <c r="Q18" s="385"/>
      <c r="V18" s="694" t="s">
        <v>437</v>
      </c>
      <c r="W18" s="694"/>
      <c r="X18" s="689">
        <f>IF('2531 June final'!K$84=1,'2531 June final'!G18,0)</f>
        <v>0</v>
      </c>
      <c r="Y18" s="689"/>
      <c r="Z18" s="695">
        <v>1</v>
      </c>
      <c r="AA18" s="695"/>
      <c r="AB18" s="386">
        <f t="shared" si="0"/>
        <v>0</v>
      </c>
      <c r="AC18" s="387">
        <f t="shared" si="1"/>
        <v>0</v>
      </c>
      <c r="AD18" s="343"/>
    </row>
    <row r="19" spans="1:30" ht="15" customHeight="1" x14ac:dyDescent="0.25">
      <c r="A19" s="338" t="s">
        <v>48</v>
      </c>
      <c r="B19" s="344" t="s">
        <v>438</v>
      </c>
      <c r="C19" s="344"/>
      <c r="D19" s="344">
        <v>8</v>
      </c>
      <c r="E19" s="344">
        <v>8.5</v>
      </c>
      <c r="F19" s="344">
        <v>13.05</v>
      </c>
      <c r="G19" s="377">
        <f t="shared" si="2"/>
        <v>16.5</v>
      </c>
      <c r="H19" s="378"/>
      <c r="I19" s="388">
        <v>5.0890000000000004</v>
      </c>
      <c r="J19" s="388"/>
      <c r="K19" s="380">
        <f t="shared" si="3"/>
        <v>83.968500000000006</v>
      </c>
      <c r="L19" s="381">
        <f t="shared" si="4"/>
        <v>325346</v>
      </c>
      <c r="N19" s="382">
        <v>5101</v>
      </c>
      <c r="O19" s="384">
        <v>255</v>
      </c>
      <c r="P19" s="384"/>
      <c r="Q19" s="385"/>
      <c r="V19" s="694" t="s">
        <v>438</v>
      </c>
      <c r="W19" s="694"/>
      <c r="X19" s="689">
        <f>IF('2531 June final'!K$84=1,'2531 June final'!G19,0)</f>
        <v>16.5</v>
      </c>
      <c r="Y19" s="689"/>
      <c r="Z19" s="695">
        <v>1</v>
      </c>
      <c r="AA19" s="695"/>
      <c r="AB19" s="386">
        <f t="shared" si="0"/>
        <v>16.5</v>
      </c>
      <c r="AC19" s="387">
        <f t="shared" si="1"/>
        <v>63931</v>
      </c>
      <c r="AD19" s="343"/>
    </row>
    <row r="20" spans="1:30" ht="15" customHeight="1" x14ac:dyDescent="0.25">
      <c r="A20" s="338" t="s">
        <v>50</v>
      </c>
      <c r="B20" s="344" t="s">
        <v>439</v>
      </c>
      <c r="C20" s="344"/>
      <c r="D20" s="344">
        <v>2.5</v>
      </c>
      <c r="E20" s="344">
        <v>2.5</v>
      </c>
      <c r="F20" s="344">
        <v>13.05</v>
      </c>
      <c r="G20" s="377">
        <f t="shared" si="2"/>
        <v>5</v>
      </c>
      <c r="H20" s="378"/>
      <c r="I20" s="388">
        <f>I19</f>
        <v>5.0890000000000004</v>
      </c>
      <c r="J20" s="388"/>
      <c r="K20" s="380">
        <f t="shared" si="3"/>
        <v>25.445</v>
      </c>
      <c r="L20" s="381">
        <f t="shared" si="4"/>
        <v>98590</v>
      </c>
      <c r="N20" s="382">
        <v>5102</v>
      </c>
      <c r="O20" s="385">
        <v>255</v>
      </c>
      <c r="P20" s="384"/>
      <c r="Q20" s="385"/>
      <c r="V20" s="694" t="s">
        <v>439</v>
      </c>
      <c r="W20" s="694"/>
      <c r="X20" s="689">
        <f>IF('2531 June final'!K$84=1,'2531 June final'!G20,0)</f>
        <v>5</v>
      </c>
      <c r="Y20" s="689"/>
      <c r="Z20" s="695">
        <v>1</v>
      </c>
      <c r="AA20" s="695"/>
      <c r="AB20" s="386">
        <f t="shared" si="0"/>
        <v>5</v>
      </c>
      <c r="AC20" s="387">
        <f t="shared" si="1"/>
        <v>19373</v>
      </c>
      <c r="AD20" s="343"/>
    </row>
    <row r="21" spans="1:30" ht="15" customHeight="1" x14ac:dyDescent="0.25">
      <c r="A21" s="338" t="s">
        <v>52</v>
      </c>
      <c r="B21" s="344" t="s">
        <v>440</v>
      </c>
      <c r="C21" s="344"/>
      <c r="D21" s="344">
        <v>0</v>
      </c>
      <c r="E21" s="344">
        <v>0</v>
      </c>
      <c r="F21" s="344">
        <v>0</v>
      </c>
      <c r="G21" s="377">
        <f t="shared" si="2"/>
        <v>0</v>
      </c>
      <c r="H21" s="378"/>
      <c r="I21" s="388">
        <f>I20</f>
        <v>5.0890000000000004</v>
      </c>
      <c r="J21" s="388"/>
      <c r="K21" s="380">
        <f t="shared" si="3"/>
        <v>0</v>
      </c>
      <c r="L21" s="381">
        <f t="shared" si="4"/>
        <v>0</v>
      </c>
      <c r="N21" s="382">
        <v>5103</v>
      </c>
      <c r="O21" s="385">
        <v>255</v>
      </c>
      <c r="P21" s="384"/>
      <c r="Q21" s="385"/>
      <c r="V21" s="694" t="s">
        <v>440</v>
      </c>
      <c r="W21" s="694"/>
      <c r="X21" s="689">
        <f>IF('2531 June final'!K$84=1,'2531 June final'!G21,0)</f>
        <v>0</v>
      </c>
      <c r="Y21" s="689"/>
      <c r="Z21" s="695">
        <v>1</v>
      </c>
      <c r="AA21" s="695"/>
      <c r="AB21" s="386">
        <f t="shared" si="0"/>
        <v>0</v>
      </c>
      <c r="AC21" s="387">
        <f t="shared" si="1"/>
        <v>0</v>
      </c>
      <c r="AD21" s="343"/>
    </row>
    <row r="22" spans="1:30" ht="15" x14ac:dyDescent="0.25">
      <c r="A22" s="338" t="s">
        <v>54</v>
      </c>
      <c r="B22" s="344" t="s">
        <v>441</v>
      </c>
      <c r="C22" s="344"/>
      <c r="D22" s="344">
        <v>0</v>
      </c>
      <c r="E22" s="344">
        <v>0</v>
      </c>
      <c r="F22" s="344">
        <v>0</v>
      </c>
      <c r="G22" s="377">
        <f t="shared" si="2"/>
        <v>0</v>
      </c>
      <c r="H22" s="378"/>
      <c r="I22" s="388">
        <v>1.145</v>
      </c>
      <c r="J22" s="388"/>
      <c r="K22" s="380">
        <f t="shared" si="3"/>
        <v>0</v>
      </c>
      <c r="L22" s="381">
        <f t="shared" si="4"/>
        <v>0</v>
      </c>
      <c r="N22" s="382">
        <v>5101</v>
      </c>
      <c r="O22" s="383">
        <v>130</v>
      </c>
      <c r="P22" s="384"/>
      <c r="Q22" s="385"/>
      <c r="V22" s="694" t="s">
        <v>441</v>
      </c>
      <c r="W22" s="694"/>
      <c r="X22" s="689">
        <f>IF('2531 June final'!K$84=1,'2531 June final'!G22,0)</f>
        <v>0</v>
      </c>
      <c r="Y22" s="689"/>
      <c r="Z22" s="695">
        <v>1</v>
      </c>
      <c r="AA22" s="695"/>
      <c r="AB22" s="386">
        <f t="shared" si="0"/>
        <v>0</v>
      </c>
      <c r="AC22" s="387">
        <f t="shared" si="1"/>
        <v>0</v>
      </c>
      <c r="AD22" s="343"/>
    </row>
    <row r="23" spans="1:30" ht="15" x14ac:dyDescent="0.25">
      <c r="A23" s="338" t="s">
        <v>56</v>
      </c>
      <c r="B23" s="344" t="s">
        <v>442</v>
      </c>
      <c r="C23" s="344"/>
      <c r="D23" s="344">
        <v>0</v>
      </c>
      <c r="E23" s="344">
        <v>0</v>
      </c>
      <c r="F23" s="344">
        <v>0</v>
      </c>
      <c r="G23" s="377">
        <f t="shared" si="2"/>
        <v>0</v>
      </c>
      <c r="H23" s="378"/>
      <c r="I23" s="388">
        <f>I22</f>
        <v>1.145</v>
      </c>
      <c r="J23" s="388"/>
      <c r="K23" s="380">
        <f t="shared" si="3"/>
        <v>0</v>
      </c>
      <c r="L23" s="381">
        <f t="shared" si="4"/>
        <v>0</v>
      </c>
      <c r="N23" s="382">
        <v>5102</v>
      </c>
      <c r="O23" s="383">
        <v>130</v>
      </c>
      <c r="P23" s="384"/>
      <c r="Q23" s="385"/>
      <c r="V23" s="694" t="s">
        <v>442</v>
      </c>
      <c r="W23" s="694"/>
      <c r="X23" s="689">
        <f>IF('2531 June final'!K$84=1,'2531 June final'!G23,0)</f>
        <v>0</v>
      </c>
      <c r="Y23" s="689"/>
      <c r="Z23" s="695">
        <v>1</v>
      </c>
      <c r="AA23" s="695"/>
      <c r="AB23" s="386">
        <f t="shared" si="0"/>
        <v>0</v>
      </c>
      <c r="AC23" s="387">
        <f t="shared" si="1"/>
        <v>0</v>
      </c>
      <c r="AD23" s="343"/>
    </row>
    <row r="24" spans="1:30" ht="15" x14ac:dyDescent="0.25">
      <c r="A24" s="338" t="s">
        <v>58</v>
      </c>
      <c r="B24" s="344" t="s">
        <v>443</v>
      </c>
      <c r="C24" s="344"/>
      <c r="D24" s="344">
        <v>0</v>
      </c>
      <c r="E24" s="344">
        <v>0</v>
      </c>
      <c r="F24" s="344">
        <v>0</v>
      </c>
      <c r="G24" s="377">
        <f t="shared" si="2"/>
        <v>0</v>
      </c>
      <c r="H24" s="378"/>
      <c r="I24" s="388">
        <f>I23</f>
        <v>1.145</v>
      </c>
      <c r="J24" s="388"/>
      <c r="K24" s="380">
        <f t="shared" si="3"/>
        <v>0</v>
      </c>
      <c r="L24" s="381">
        <f t="shared" si="4"/>
        <v>0</v>
      </c>
      <c r="N24" s="382">
        <v>5103</v>
      </c>
      <c r="O24" s="383">
        <v>130</v>
      </c>
      <c r="P24" s="384"/>
      <c r="Q24" s="385"/>
      <c r="V24" s="694" t="s">
        <v>443</v>
      </c>
      <c r="W24" s="694"/>
      <c r="X24" s="689">
        <f>IF('2531 June final'!K$84=1,'2531 June final'!G24,0)</f>
        <v>0</v>
      </c>
      <c r="Y24" s="689"/>
      <c r="Z24" s="695">
        <v>1</v>
      </c>
      <c r="AA24" s="695"/>
      <c r="AB24" s="386">
        <f t="shared" si="0"/>
        <v>0</v>
      </c>
      <c r="AC24" s="387">
        <f t="shared" si="1"/>
        <v>0</v>
      </c>
      <c r="AD24" s="343"/>
    </row>
    <row r="25" spans="1:30" ht="15.75" thickBot="1" x14ac:dyDescent="0.3">
      <c r="A25" s="338" t="s">
        <v>60</v>
      </c>
      <c r="B25" s="344" t="s">
        <v>444</v>
      </c>
      <c r="C25" s="344"/>
      <c r="D25" s="344">
        <v>0</v>
      </c>
      <c r="E25" s="344">
        <v>0</v>
      </c>
      <c r="F25" s="344">
        <v>0</v>
      </c>
      <c r="G25" s="377">
        <f t="shared" si="2"/>
        <v>0</v>
      </c>
      <c r="H25" s="378"/>
      <c r="I25" s="388">
        <v>1.0109999999999999</v>
      </c>
      <c r="J25" s="388"/>
      <c r="K25" s="380">
        <f t="shared" si="3"/>
        <v>0</v>
      </c>
      <c r="L25" s="381">
        <f t="shared" si="4"/>
        <v>0</v>
      </c>
      <c r="N25" s="382">
        <v>5310</v>
      </c>
      <c r="O25" s="383">
        <v>300</v>
      </c>
      <c r="P25" s="384"/>
      <c r="Q25" s="385"/>
      <c r="V25" s="694" t="s">
        <v>444</v>
      </c>
      <c r="W25" s="694"/>
      <c r="X25" s="689">
        <f>IF('2531 June final'!K$84=1,'2531 June final'!G25,0)</f>
        <v>0</v>
      </c>
      <c r="Y25" s="689"/>
      <c r="Z25" s="695">
        <v>1</v>
      </c>
      <c r="AA25" s="695"/>
      <c r="AB25" s="386">
        <f t="shared" si="0"/>
        <v>0</v>
      </c>
      <c r="AC25" s="387">
        <f t="shared" si="1"/>
        <v>0</v>
      </c>
      <c r="AD25" s="343"/>
    </row>
    <row r="26" spans="1:30" ht="20.25" customHeight="1" thickBot="1" x14ac:dyDescent="0.25">
      <c r="B26" s="392" t="s">
        <v>62</v>
      </c>
      <c r="C26" s="392"/>
      <c r="D26" s="393">
        <f t="shared" ref="D26:E26" si="5">SUM(D10:D25)</f>
        <v>12.5</v>
      </c>
      <c r="E26" s="393">
        <f t="shared" si="5"/>
        <v>14.04</v>
      </c>
      <c r="F26" s="393"/>
      <c r="G26" s="393">
        <f>SUM(G10:G25)</f>
        <v>26.54</v>
      </c>
      <c r="H26" s="394"/>
      <c r="I26" s="394"/>
      <c r="J26" s="395"/>
      <c r="K26" s="396">
        <f>SUM(K10:K25)</f>
        <v>127.3458</v>
      </c>
      <c r="L26" s="397">
        <f>SUM(L10:L25)</f>
        <v>493417</v>
      </c>
      <c r="N26" s="385"/>
      <c r="O26" s="398"/>
      <c r="P26" s="385"/>
      <c r="Q26" s="385"/>
      <c r="V26" s="696" t="s">
        <v>62</v>
      </c>
      <c r="W26" s="696"/>
      <c r="X26" s="697">
        <f>SUM(X10:X25)</f>
        <v>26.54</v>
      </c>
      <c r="Y26" s="697"/>
      <c r="Z26" s="698"/>
      <c r="AA26" s="699"/>
      <c r="AB26" s="399">
        <f>SUM(AB10:AB25)</f>
        <v>26.54</v>
      </c>
      <c r="AC26" s="400">
        <f>SUM(AC10:AC25)</f>
        <v>102832</v>
      </c>
      <c r="AD26" s="343"/>
    </row>
    <row r="27" spans="1:30" ht="51.75" customHeight="1" x14ac:dyDescent="0.2">
      <c r="B27" s="392" t="s">
        <v>63</v>
      </c>
      <c r="C27" s="392"/>
      <c r="D27" s="401" t="s">
        <v>13</v>
      </c>
      <c r="E27" s="401" t="s">
        <v>14</v>
      </c>
      <c r="F27" s="358"/>
      <c r="G27" s="402" t="s">
        <v>64</v>
      </c>
      <c r="H27" s="403"/>
      <c r="I27" s="404" t="s">
        <v>65</v>
      </c>
      <c r="J27" s="404" t="s">
        <v>66</v>
      </c>
      <c r="K27" s="405" t="s">
        <v>67</v>
      </c>
      <c r="N27" s="385"/>
      <c r="O27" s="398"/>
      <c r="P27" s="385"/>
      <c r="Q27" s="385"/>
      <c r="V27" s="700" t="s">
        <v>63</v>
      </c>
      <c r="W27" s="700"/>
      <c r="X27" s="701" t="s">
        <v>64</v>
      </c>
      <c r="Y27" s="701"/>
      <c r="Z27" s="406" t="s">
        <v>65</v>
      </c>
      <c r="AA27" s="407" t="s">
        <v>66</v>
      </c>
      <c r="AB27" s="408" t="s">
        <v>67</v>
      </c>
      <c r="AC27" s="343"/>
      <c r="AD27" s="343"/>
    </row>
    <row r="28" spans="1:30" ht="15.75" customHeight="1" x14ac:dyDescent="0.25">
      <c r="A28" s="338" t="s">
        <v>68</v>
      </c>
      <c r="B28" s="702" t="s">
        <v>69</v>
      </c>
      <c r="C28" s="703"/>
      <c r="D28" s="344">
        <v>0</v>
      </c>
      <c r="E28" s="344">
        <v>0</v>
      </c>
      <c r="F28" s="409">
        <v>0</v>
      </c>
      <c r="G28" s="377">
        <f t="shared" ref="G28:G36" si="6">D28+E28</f>
        <v>0</v>
      </c>
      <c r="H28" s="410"/>
      <c r="I28" s="411" t="s">
        <v>70</v>
      </c>
      <c r="J28" s="345">
        <v>251</v>
      </c>
      <c r="K28" s="412">
        <v>1047</v>
      </c>
      <c r="L28" s="413">
        <f>ROUND(G28*K28,0)</f>
        <v>0</v>
      </c>
      <c r="N28" s="414">
        <v>5101</v>
      </c>
      <c r="O28" s="385">
        <v>251</v>
      </c>
      <c r="P28" s="415"/>
      <c r="Q28" s="416"/>
      <c r="V28" s="708" t="s">
        <v>69</v>
      </c>
      <c r="W28" s="708"/>
      <c r="X28" s="709"/>
      <c r="Y28" s="709"/>
      <c r="Z28" s="417" t="s">
        <v>70</v>
      </c>
      <c r="AA28" s="418">
        <v>251</v>
      </c>
      <c r="AB28" s="419">
        <f>+K28</f>
        <v>1047</v>
      </c>
      <c r="AC28" s="420">
        <f t="shared" ref="AC28:AC36" si="7">ROUND(X28*AB28,0)</f>
        <v>0</v>
      </c>
      <c r="AD28" s="343"/>
    </row>
    <row r="29" spans="1:30" ht="15" x14ac:dyDescent="0.25">
      <c r="A29" s="338" t="s">
        <v>71</v>
      </c>
      <c r="B29" s="704"/>
      <c r="C29" s="705"/>
      <c r="D29" s="344">
        <v>0</v>
      </c>
      <c r="E29" s="344">
        <v>0</v>
      </c>
      <c r="F29" s="421">
        <v>0</v>
      </c>
      <c r="G29" s="377">
        <f t="shared" si="6"/>
        <v>0</v>
      </c>
      <c r="H29" s="410"/>
      <c r="I29" s="345" t="s">
        <v>70</v>
      </c>
      <c r="J29" s="345">
        <v>252</v>
      </c>
      <c r="K29" s="412">
        <v>3380</v>
      </c>
      <c r="L29" s="413">
        <f t="shared" ref="L29:L36" si="8">ROUND(G29*K29,0)</f>
        <v>0</v>
      </c>
      <c r="N29" s="414">
        <v>5101</v>
      </c>
      <c r="O29" s="385">
        <v>252</v>
      </c>
      <c r="P29" s="415"/>
      <c r="Q29" s="416"/>
      <c r="V29" s="708"/>
      <c r="W29" s="708"/>
      <c r="X29" s="709"/>
      <c r="Y29" s="709"/>
      <c r="Z29" s="418" t="s">
        <v>70</v>
      </c>
      <c r="AA29" s="418">
        <v>252</v>
      </c>
      <c r="AB29" s="419">
        <f t="shared" ref="AB29:AB36" si="9">+K29</f>
        <v>3380</v>
      </c>
      <c r="AC29" s="420">
        <f t="shared" si="7"/>
        <v>0</v>
      </c>
      <c r="AD29" s="343"/>
    </row>
    <row r="30" spans="1:30" ht="15" x14ac:dyDescent="0.2">
      <c r="A30" s="338" t="s">
        <v>72</v>
      </c>
      <c r="B30" s="704"/>
      <c r="C30" s="705"/>
      <c r="D30" s="344">
        <v>0</v>
      </c>
      <c r="E30" s="344">
        <v>0</v>
      </c>
      <c r="F30" s="421">
        <v>0</v>
      </c>
      <c r="G30" s="377">
        <f t="shared" si="6"/>
        <v>0</v>
      </c>
      <c r="H30" s="410"/>
      <c r="I30" s="345" t="s">
        <v>70</v>
      </c>
      <c r="J30" s="345">
        <v>253</v>
      </c>
      <c r="K30" s="412">
        <v>6896</v>
      </c>
      <c r="L30" s="413">
        <f t="shared" si="8"/>
        <v>0</v>
      </c>
      <c r="N30" s="414">
        <v>5101</v>
      </c>
      <c r="O30" s="385">
        <v>253</v>
      </c>
      <c r="P30" s="415"/>
      <c r="Q30" s="398"/>
      <c r="V30" s="708"/>
      <c r="W30" s="708"/>
      <c r="X30" s="709"/>
      <c r="Y30" s="709"/>
      <c r="Z30" s="418" t="s">
        <v>70</v>
      </c>
      <c r="AA30" s="418">
        <v>253</v>
      </c>
      <c r="AB30" s="419">
        <f t="shared" si="9"/>
        <v>6896</v>
      </c>
      <c r="AC30" s="420">
        <f t="shared" si="7"/>
        <v>0</v>
      </c>
      <c r="AD30" s="343"/>
    </row>
    <row r="31" spans="1:30" ht="15" x14ac:dyDescent="0.2">
      <c r="A31" s="338" t="s">
        <v>73</v>
      </c>
      <c r="B31" s="704"/>
      <c r="C31" s="705"/>
      <c r="D31" s="344">
        <v>0</v>
      </c>
      <c r="E31" s="344">
        <v>0</v>
      </c>
      <c r="F31" s="421">
        <v>0</v>
      </c>
      <c r="G31" s="377">
        <f t="shared" si="6"/>
        <v>0</v>
      </c>
      <c r="H31" s="410"/>
      <c r="I31" s="422" t="s">
        <v>74</v>
      </c>
      <c r="J31" s="345">
        <v>251</v>
      </c>
      <c r="K31" s="412">
        <v>1173</v>
      </c>
      <c r="L31" s="413">
        <f t="shared" si="8"/>
        <v>0</v>
      </c>
      <c r="N31" s="414">
        <v>5102</v>
      </c>
      <c r="O31" s="385">
        <v>251</v>
      </c>
      <c r="P31" s="415"/>
      <c r="Q31" s="398"/>
      <c r="V31" s="708"/>
      <c r="W31" s="708"/>
      <c r="X31" s="709"/>
      <c r="Y31" s="709"/>
      <c r="Z31" s="423" t="s">
        <v>74</v>
      </c>
      <c r="AA31" s="418">
        <v>251</v>
      </c>
      <c r="AB31" s="419">
        <f t="shared" si="9"/>
        <v>1173</v>
      </c>
      <c r="AC31" s="420">
        <f t="shared" si="7"/>
        <v>0</v>
      </c>
      <c r="AD31" s="343"/>
    </row>
    <row r="32" spans="1:30" ht="15" x14ac:dyDescent="0.2">
      <c r="A32" s="338" t="s">
        <v>75</v>
      </c>
      <c r="B32" s="704"/>
      <c r="C32" s="705"/>
      <c r="D32" s="344">
        <v>0</v>
      </c>
      <c r="E32" s="344">
        <v>0</v>
      </c>
      <c r="F32" s="421">
        <v>0</v>
      </c>
      <c r="G32" s="377">
        <f t="shared" si="6"/>
        <v>0</v>
      </c>
      <c r="H32" s="410"/>
      <c r="I32" s="422" t="s">
        <v>74</v>
      </c>
      <c r="J32" s="345">
        <v>252</v>
      </c>
      <c r="K32" s="412">
        <v>3506</v>
      </c>
      <c r="L32" s="413">
        <f t="shared" si="8"/>
        <v>0</v>
      </c>
      <c r="N32" s="414">
        <v>5102</v>
      </c>
      <c r="O32" s="385">
        <v>252</v>
      </c>
      <c r="P32" s="415"/>
      <c r="Q32" s="385"/>
      <c r="V32" s="708"/>
      <c r="W32" s="708"/>
      <c r="X32" s="709"/>
      <c r="Y32" s="709"/>
      <c r="Z32" s="423" t="s">
        <v>74</v>
      </c>
      <c r="AA32" s="418">
        <v>252</v>
      </c>
      <c r="AB32" s="419">
        <f t="shared" si="9"/>
        <v>3506</v>
      </c>
      <c r="AC32" s="420">
        <f t="shared" si="7"/>
        <v>0</v>
      </c>
      <c r="AD32" s="343"/>
    </row>
    <row r="33" spans="1:30" ht="15" x14ac:dyDescent="0.25">
      <c r="A33" s="338" t="s">
        <v>76</v>
      </c>
      <c r="B33" s="704"/>
      <c r="C33" s="705"/>
      <c r="D33" s="344">
        <v>0</v>
      </c>
      <c r="E33" s="344">
        <v>0</v>
      </c>
      <c r="F33" s="421">
        <v>0</v>
      </c>
      <c r="G33" s="377">
        <f t="shared" si="6"/>
        <v>0</v>
      </c>
      <c r="H33" s="410"/>
      <c r="I33" s="422" t="s">
        <v>74</v>
      </c>
      <c r="J33" s="345">
        <v>253</v>
      </c>
      <c r="K33" s="412">
        <v>7023</v>
      </c>
      <c r="L33" s="413">
        <f t="shared" si="8"/>
        <v>0</v>
      </c>
      <c r="N33" s="414">
        <v>5102</v>
      </c>
      <c r="O33" s="385">
        <v>253</v>
      </c>
      <c r="P33" s="415"/>
      <c r="Q33" s="416"/>
      <c r="V33" s="708"/>
      <c r="W33" s="708"/>
      <c r="X33" s="709"/>
      <c r="Y33" s="709"/>
      <c r="Z33" s="423" t="s">
        <v>74</v>
      </c>
      <c r="AA33" s="418">
        <v>253</v>
      </c>
      <c r="AB33" s="419">
        <f t="shared" si="9"/>
        <v>7023</v>
      </c>
      <c r="AC33" s="420">
        <f t="shared" si="7"/>
        <v>0</v>
      </c>
      <c r="AD33" s="343"/>
    </row>
    <row r="34" spans="1:30" ht="15" x14ac:dyDescent="0.25">
      <c r="A34" s="338" t="s">
        <v>77</v>
      </c>
      <c r="B34" s="704"/>
      <c r="C34" s="705"/>
      <c r="D34" s="344">
        <v>0</v>
      </c>
      <c r="E34" s="344">
        <v>0</v>
      </c>
      <c r="F34" s="421">
        <v>0</v>
      </c>
      <c r="G34" s="377">
        <f t="shared" si="6"/>
        <v>0</v>
      </c>
      <c r="H34" s="410"/>
      <c r="I34" s="422" t="s">
        <v>78</v>
      </c>
      <c r="J34" s="345">
        <v>251</v>
      </c>
      <c r="K34" s="412">
        <v>835</v>
      </c>
      <c r="L34" s="413">
        <f t="shared" si="8"/>
        <v>0</v>
      </c>
      <c r="N34" s="414">
        <v>5103</v>
      </c>
      <c r="O34" s="385">
        <v>251</v>
      </c>
      <c r="P34" s="415"/>
      <c r="Q34" s="416"/>
      <c r="V34" s="708"/>
      <c r="W34" s="708"/>
      <c r="X34" s="709"/>
      <c r="Y34" s="709"/>
      <c r="Z34" s="423" t="s">
        <v>78</v>
      </c>
      <c r="AA34" s="418">
        <v>251</v>
      </c>
      <c r="AB34" s="419">
        <f t="shared" si="9"/>
        <v>835</v>
      </c>
      <c r="AC34" s="420">
        <f t="shared" si="7"/>
        <v>0</v>
      </c>
      <c r="AD34" s="343"/>
    </row>
    <row r="35" spans="1:30" ht="15" x14ac:dyDescent="0.25">
      <c r="A35" s="338" t="s">
        <v>79</v>
      </c>
      <c r="B35" s="704"/>
      <c r="C35" s="705"/>
      <c r="D35" s="344">
        <v>0</v>
      </c>
      <c r="E35" s="344">
        <v>0</v>
      </c>
      <c r="F35" s="421">
        <v>0</v>
      </c>
      <c r="G35" s="377">
        <f t="shared" si="6"/>
        <v>0</v>
      </c>
      <c r="H35" s="410"/>
      <c r="I35" s="422" t="s">
        <v>78</v>
      </c>
      <c r="J35" s="345">
        <v>252</v>
      </c>
      <c r="K35" s="412">
        <v>3168</v>
      </c>
      <c r="L35" s="413">
        <f t="shared" si="8"/>
        <v>0</v>
      </c>
      <c r="N35" s="414">
        <v>5103</v>
      </c>
      <c r="O35" s="385">
        <v>252</v>
      </c>
      <c r="P35" s="415"/>
      <c r="Q35" s="424"/>
      <c r="V35" s="708"/>
      <c r="W35" s="708"/>
      <c r="X35" s="709"/>
      <c r="Y35" s="709"/>
      <c r="Z35" s="423" t="s">
        <v>78</v>
      </c>
      <c r="AA35" s="418">
        <v>252</v>
      </c>
      <c r="AB35" s="419">
        <f t="shared" si="9"/>
        <v>3168</v>
      </c>
      <c r="AC35" s="420">
        <f t="shared" si="7"/>
        <v>0</v>
      </c>
      <c r="AD35" s="343"/>
    </row>
    <row r="36" spans="1:30" ht="15.75" thickBot="1" x14ac:dyDescent="0.3">
      <c r="A36" s="338" t="s">
        <v>80</v>
      </c>
      <c r="B36" s="706"/>
      <c r="C36" s="707"/>
      <c r="D36" s="344">
        <v>0</v>
      </c>
      <c r="E36" s="344">
        <v>0</v>
      </c>
      <c r="F36" s="421">
        <v>0</v>
      </c>
      <c r="G36" s="377">
        <f t="shared" si="6"/>
        <v>0</v>
      </c>
      <c r="H36" s="410"/>
      <c r="I36" s="422" t="s">
        <v>78</v>
      </c>
      <c r="J36" s="345">
        <v>253</v>
      </c>
      <c r="K36" s="412">
        <v>6685</v>
      </c>
      <c r="L36" s="425">
        <f t="shared" si="8"/>
        <v>0</v>
      </c>
      <c r="N36" s="414">
        <v>5103</v>
      </c>
      <c r="O36" s="385">
        <v>253</v>
      </c>
      <c r="P36" s="415"/>
      <c r="Q36" s="426"/>
      <c r="V36" s="708"/>
      <c r="W36" s="708"/>
      <c r="X36" s="715"/>
      <c r="Y36" s="715"/>
      <c r="Z36" s="423" t="s">
        <v>78</v>
      </c>
      <c r="AA36" s="418">
        <v>253</v>
      </c>
      <c r="AB36" s="419">
        <f t="shared" si="9"/>
        <v>6685</v>
      </c>
      <c r="AC36" s="427">
        <f t="shared" si="7"/>
        <v>0</v>
      </c>
      <c r="AD36" s="343"/>
    </row>
    <row r="37" spans="1:30" ht="18.75" customHeight="1" x14ac:dyDescent="0.2">
      <c r="B37" s="344" t="s">
        <v>81</v>
      </c>
      <c r="C37" s="344"/>
      <c r="D37" s="393">
        <f t="shared" ref="D37:E37" si="10">SUM(D28:D36)</f>
        <v>0</v>
      </c>
      <c r="E37" s="393">
        <f t="shared" si="10"/>
        <v>0</v>
      </c>
      <c r="F37" s="393"/>
      <c r="G37" s="393">
        <f>SUM(G28:G36)</f>
        <v>0</v>
      </c>
      <c r="H37" s="394"/>
      <c r="I37" s="344" t="s">
        <v>82</v>
      </c>
      <c r="J37" s="344"/>
      <c r="K37" s="344"/>
      <c r="L37" s="381">
        <f>SUM(L28:L36)</f>
        <v>0</v>
      </c>
      <c r="N37" s="385"/>
      <c r="O37" s="398"/>
      <c r="P37" s="385"/>
      <c r="Q37" s="385"/>
      <c r="V37" s="716" t="s">
        <v>81</v>
      </c>
      <c r="W37" s="716"/>
      <c r="X37" s="697">
        <f>SUM(X28:X36)</f>
        <v>0</v>
      </c>
      <c r="Y37" s="697"/>
      <c r="Z37" s="716" t="s">
        <v>82</v>
      </c>
      <c r="AA37" s="716"/>
      <c r="AB37" s="716"/>
      <c r="AC37" s="387">
        <f>SUM(AC28:AC36)</f>
        <v>0</v>
      </c>
      <c r="AD37" s="343"/>
    </row>
    <row r="38" spans="1:30" ht="30.75" customHeight="1" x14ac:dyDescent="0.25">
      <c r="B38" s="428" t="s">
        <v>83</v>
      </c>
      <c r="C38" s="428"/>
      <c r="D38" s="428"/>
      <c r="E38" s="428"/>
      <c r="F38" s="428"/>
      <c r="G38" s="428"/>
      <c r="H38" s="429"/>
      <c r="I38" s="428"/>
      <c r="J38" s="428"/>
      <c r="K38" s="428"/>
      <c r="L38" s="428"/>
      <c r="M38" s="430"/>
      <c r="N38" s="385"/>
      <c r="O38" s="398"/>
      <c r="P38" s="385"/>
      <c r="Q38" s="385"/>
      <c r="V38" s="710" t="s">
        <v>83</v>
      </c>
      <c r="W38" s="710"/>
      <c r="X38" s="710"/>
      <c r="Y38" s="710"/>
      <c r="Z38" s="710"/>
      <c r="AA38" s="710"/>
      <c r="AB38" s="710"/>
      <c r="AC38" s="710"/>
      <c r="AD38" s="431"/>
    </row>
    <row r="39" spans="1:30" ht="15.75" customHeight="1" x14ac:dyDescent="0.2">
      <c r="B39" s="111" t="s">
        <v>84</v>
      </c>
      <c r="C39" s="111"/>
      <c r="D39" s="111"/>
      <c r="E39" s="111"/>
      <c r="F39" s="111"/>
      <c r="G39" s="432">
        <v>34389540</v>
      </c>
      <c r="H39" s="432"/>
      <c r="I39" s="344" t="s">
        <v>85</v>
      </c>
      <c r="J39" s="344"/>
      <c r="K39" s="344"/>
      <c r="L39" s="344"/>
      <c r="O39" s="338"/>
      <c r="V39" s="711" t="s">
        <v>84</v>
      </c>
      <c r="W39" s="711"/>
      <c r="X39" s="712">
        <f>+G39</f>
        <v>34389540</v>
      </c>
      <c r="Y39" s="712"/>
      <c r="Z39" s="713" t="s">
        <v>85</v>
      </c>
      <c r="AA39" s="713"/>
      <c r="AB39" s="713"/>
      <c r="AC39" s="713"/>
      <c r="AD39" s="343"/>
    </row>
    <row r="40" spans="1:30" ht="15.75" customHeight="1" x14ac:dyDescent="0.2">
      <c r="B40" s="105" t="s">
        <v>86</v>
      </c>
      <c r="C40" s="105"/>
      <c r="D40" s="105"/>
      <c r="E40" s="105"/>
      <c r="F40" s="105"/>
      <c r="G40" s="433">
        <v>180284.81</v>
      </c>
      <c r="H40" s="433"/>
      <c r="I40" s="433"/>
      <c r="J40" s="433"/>
      <c r="K40" s="381">
        <f>ROUND(G39/G40,0)</f>
        <v>191</v>
      </c>
      <c r="L40" s="381">
        <f>ROUND(K40*$G$26,0)</f>
        <v>5069</v>
      </c>
      <c r="N40" s="434"/>
      <c r="O40" s="434"/>
      <c r="P40" s="434"/>
      <c r="Q40" s="434"/>
      <c r="V40" s="643" t="s">
        <v>86</v>
      </c>
      <c r="W40" s="643"/>
      <c r="X40" s="714">
        <f>+G40</f>
        <v>180284.81</v>
      </c>
      <c r="Y40" s="714"/>
      <c r="Z40" s="714"/>
      <c r="AA40" s="714"/>
      <c r="AB40" s="387">
        <f>ROUND(X39/X40,0)</f>
        <v>191</v>
      </c>
      <c r="AC40" s="387">
        <f>ROUND(AB40*$X$26,0)</f>
        <v>5069</v>
      </c>
      <c r="AD40" s="343"/>
    </row>
    <row r="41" spans="1:30" ht="15.75" customHeight="1" x14ac:dyDescent="0.2">
      <c r="B41" s="435" t="s">
        <v>87</v>
      </c>
      <c r="C41" s="435"/>
      <c r="D41" s="435"/>
      <c r="E41" s="435"/>
      <c r="F41" s="435"/>
      <c r="G41" s="435"/>
      <c r="H41" s="435"/>
      <c r="I41" s="435"/>
      <c r="J41" s="435"/>
      <c r="K41" s="435"/>
      <c r="L41" s="435"/>
      <c r="N41" s="430"/>
      <c r="O41" s="436"/>
      <c r="P41" s="430"/>
      <c r="Q41" s="430"/>
      <c r="V41" s="721" t="s">
        <v>87</v>
      </c>
      <c r="W41" s="721"/>
      <c r="X41" s="721"/>
      <c r="Y41" s="721"/>
      <c r="Z41" s="721"/>
      <c r="AA41" s="721"/>
      <c r="AB41" s="721"/>
      <c r="AC41" s="721"/>
      <c r="AD41" s="343"/>
    </row>
    <row r="42" spans="1:30" ht="28.5" customHeight="1" x14ac:dyDescent="0.25">
      <c r="B42" s="428" t="s">
        <v>88</v>
      </c>
      <c r="C42" s="428"/>
      <c r="D42" s="428"/>
      <c r="E42" s="428"/>
      <c r="F42" s="428"/>
      <c r="G42" s="428"/>
      <c r="H42" s="428"/>
      <c r="I42" s="428"/>
      <c r="J42" s="428"/>
      <c r="K42" s="428"/>
      <c r="L42" s="428"/>
      <c r="M42" s="434"/>
      <c r="O42" s="338"/>
      <c r="V42" s="710" t="s">
        <v>88</v>
      </c>
      <c r="W42" s="710"/>
      <c r="X42" s="710"/>
      <c r="Y42" s="710"/>
      <c r="Z42" s="710"/>
      <c r="AA42" s="710"/>
      <c r="AB42" s="710"/>
      <c r="AC42" s="710"/>
      <c r="AD42" s="437"/>
    </row>
    <row r="43" spans="1:30" x14ac:dyDescent="0.2">
      <c r="B43" s="111" t="s">
        <v>89</v>
      </c>
      <c r="C43" s="111"/>
      <c r="D43" s="111"/>
      <c r="E43" s="111"/>
      <c r="F43" s="111"/>
      <c r="G43" s="111"/>
      <c r="H43" s="111"/>
      <c r="I43" s="111"/>
      <c r="J43" s="111"/>
      <c r="K43" s="111"/>
      <c r="L43" s="111"/>
      <c r="M43" s="438"/>
      <c r="N43" s="430"/>
      <c r="O43" s="430"/>
      <c r="P43" s="430"/>
      <c r="Q43" s="430"/>
      <c r="V43" s="653" t="s">
        <v>89</v>
      </c>
      <c r="W43" s="653"/>
      <c r="X43" s="653"/>
      <c r="Y43" s="653"/>
      <c r="Z43" s="653"/>
      <c r="AA43" s="653"/>
      <c r="AB43" s="653"/>
      <c r="AC43" s="653"/>
      <c r="AD43" s="439"/>
    </row>
    <row r="44" spans="1:30" ht="24" customHeight="1" x14ac:dyDescent="0.2">
      <c r="B44" s="392" t="s">
        <v>90</v>
      </c>
      <c r="C44" s="392"/>
      <c r="D44" s="392"/>
      <c r="E44" s="392"/>
      <c r="F44" s="392"/>
      <c r="G44" s="392"/>
      <c r="H44" s="392"/>
      <c r="I44" s="392"/>
      <c r="J44" s="392"/>
      <c r="K44" s="392"/>
      <c r="L44" s="440">
        <f>SUM(L26,L37,L40)</f>
        <v>498486</v>
      </c>
      <c r="O44" s="338"/>
      <c r="V44" s="722" t="s">
        <v>90</v>
      </c>
      <c r="W44" s="722"/>
      <c r="X44" s="722"/>
      <c r="Y44" s="722"/>
      <c r="Z44" s="722"/>
      <c r="AA44" s="722"/>
      <c r="AB44" s="722"/>
      <c r="AC44" s="441">
        <f>SUM(AC26,AC37,AC40)</f>
        <v>107901</v>
      </c>
      <c r="AD44" s="343"/>
    </row>
    <row r="45" spans="1:30" ht="30.75" customHeight="1" x14ac:dyDescent="0.25">
      <c r="B45" s="428" t="s">
        <v>91</v>
      </c>
      <c r="C45" s="428"/>
      <c r="D45" s="428"/>
      <c r="E45" s="428"/>
      <c r="F45" s="428"/>
      <c r="G45" s="428"/>
      <c r="H45" s="428"/>
      <c r="I45" s="428"/>
      <c r="J45" s="428"/>
      <c r="K45" s="428"/>
      <c r="L45" s="428"/>
      <c r="M45" s="442"/>
      <c r="O45" s="338"/>
      <c r="V45" s="710" t="s">
        <v>91</v>
      </c>
      <c r="W45" s="710"/>
      <c r="X45" s="710"/>
      <c r="Y45" s="710"/>
      <c r="Z45" s="710"/>
      <c r="AA45" s="710"/>
      <c r="AB45" s="710"/>
      <c r="AC45" s="710"/>
      <c r="AD45" s="443"/>
    </row>
    <row r="46" spans="1:30" ht="18.75" customHeight="1" x14ac:dyDescent="0.2">
      <c r="B46" s="338"/>
      <c r="C46" s="444" t="s">
        <v>92</v>
      </c>
      <c r="D46" s="444"/>
      <c r="E46" s="444"/>
      <c r="F46" s="444"/>
      <c r="G46" s="444" t="s">
        <v>445</v>
      </c>
      <c r="H46" s="445"/>
      <c r="I46" s="446" t="s">
        <v>94</v>
      </c>
      <c r="J46" s="447"/>
      <c r="K46" s="447"/>
      <c r="L46" s="447"/>
      <c r="M46" s="448"/>
      <c r="O46" s="338"/>
      <c r="V46" s="343"/>
      <c r="W46" s="449" t="s">
        <v>92</v>
      </c>
      <c r="X46" s="723" t="s">
        <v>446</v>
      </c>
      <c r="Y46" s="723"/>
      <c r="Z46" s="724" t="s">
        <v>94</v>
      </c>
      <c r="AA46" s="724"/>
      <c r="AB46" s="724"/>
      <c r="AC46" s="724"/>
      <c r="AD46" s="450"/>
    </row>
    <row r="47" spans="1:30" ht="18.75" customHeight="1" x14ac:dyDescent="0.2">
      <c r="B47" s="434" t="s">
        <v>96</v>
      </c>
      <c r="C47" s="451">
        <f>K10+K11+K16+K19+K22</f>
        <v>101.9008</v>
      </c>
      <c r="D47" s="451"/>
      <c r="E47" s="451"/>
      <c r="F47" s="451"/>
      <c r="G47" s="126">
        <f>K7</f>
        <v>1.0326</v>
      </c>
      <c r="H47" s="126"/>
      <c r="I47" s="452">
        <v>1316.85</v>
      </c>
      <c r="J47" s="453" t="s">
        <v>97</v>
      </c>
      <c r="K47" s="454">
        <f>ROUND(C47*G47*I47,0)</f>
        <v>138563</v>
      </c>
      <c r="L47" s="455"/>
      <c r="O47" s="338"/>
      <c r="V47" s="437" t="s">
        <v>96</v>
      </c>
      <c r="W47" s="329">
        <f>AB10+AB11+AB16+AB19+AB22</f>
        <v>21.54</v>
      </c>
      <c r="X47" s="647">
        <f>AB7</f>
        <v>1.0326</v>
      </c>
      <c r="Y47" s="647"/>
      <c r="Z47" s="456">
        <f>+I47</f>
        <v>1316.85</v>
      </c>
      <c r="AA47" s="457" t="s">
        <v>97</v>
      </c>
      <c r="AB47" s="458">
        <f>ROUND(W47*X47*Z47,0)</f>
        <v>29290</v>
      </c>
      <c r="AC47" s="459"/>
      <c r="AD47" s="343"/>
    </row>
    <row r="48" spans="1:30" ht="18" customHeight="1" x14ac:dyDescent="0.2">
      <c r="B48" s="460" t="s">
        <v>74</v>
      </c>
      <c r="C48" s="451">
        <f>K12+K13+K17+K20+K23</f>
        <v>25.445</v>
      </c>
      <c r="D48" s="451"/>
      <c r="E48" s="451"/>
      <c r="F48" s="451"/>
      <c r="G48" s="126">
        <f>K7</f>
        <v>1.0326</v>
      </c>
      <c r="H48" s="126"/>
      <c r="I48" s="452">
        <v>898.23</v>
      </c>
      <c r="J48" s="453" t="s">
        <v>97</v>
      </c>
      <c r="K48" s="454">
        <f>ROUND(C48*G48*I48,0)</f>
        <v>23601</v>
      </c>
      <c r="L48" s="392"/>
      <c r="O48" s="338"/>
      <c r="V48" s="461" t="s">
        <v>74</v>
      </c>
      <c r="W48" s="329">
        <f>AB12+AB13+AB17+AB20+AB23</f>
        <v>5</v>
      </c>
      <c r="X48" s="647">
        <f>AB7</f>
        <v>1.0326</v>
      </c>
      <c r="Y48" s="647"/>
      <c r="Z48" s="456">
        <f>+I48</f>
        <v>898.23</v>
      </c>
      <c r="AA48" s="457" t="s">
        <v>97</v>
      </c>
      <c r="AB48" s="458">
        <f>ROUND(W48*X48*Z48,0)</f>
        <v>4638</v>
      </c>
      <c r="AC48" s="462"/>
      <c r="AD48" s="343"/>
    </row>
    <row r="49" spans="2:30" ht="19.5" customHeight="1" thickBot="1" x14ac:dyDescent="0.3">
      <c r="B49" s="463" t="s">
        <v>78</v>
      </c>
      <c r="C49" s="464">
        <f>K14+K15+K18+K21+K24+K25</f>
        <v>0</v>
      </c>
      <c r="D49" s="451"/>
      <c r="E49" s="451"/>
      <c r="F49" s="451"/>
      <c r="G49" s="126">
        <f>K7</f>
        <v>1.0326</v>
      </c>
      <c r="H49" s="126"/>
      <c r="I49" s="452">
        <v>900.39</v>
      </c>
      <c r="J49" s="453" t="s">
        <v>97</v>
      </c>
      <c r="K49" s="454">
        <f>ROUND(C49*G49*I49,0)</f>
        <v>0</v>
      </c>
      <c r="L49" s="392"/>
      <c r="M49" s="438"/>
      <c r="N49" s="465"/>
      <c r="O49" s="466"/>
      <c r="P49" s="430"/>
      <c r="Q49" s="467"/>
      <c r="V49" s="468" t="s">
        <v>78</v>
      </c>
      <c r="W49" s="469">
        <f>AB14+AB15+AB18+AB21+AB24+AB25</f>
        <v>0</v>
      </c>
      <c r="X49" s="647">
        <f>AB7</f>
        <v>1.0326</v>
      </c>
      <c r="Y49" s="647"/>
      <c r="Z49" s="456">
        <f>+I49</f>
        <v>900.39</v>
      </c>
      <c r="AA49" s="457" t="s">
        <v>97</v>
      </c>
      <c r="AB49" s="458">
        <f>ROUND(W49*X49*Z49,0)</f>
        <v>0</v>
      </c>
      <c r="AC49" s="462"/>
      <c r="AD49" s="439"/>
    </row>
    <row r="50" spans="2:30" ht="24" customHeight="1" thickBot="1" x14ac:dyDescent="0.25">
      <c r="B50" s="470" t="s">
        <v>447</v>
      </c>
      <c r="C50" s="471">
        <f>SUM(C47:C49)</f>
        <v>127.3458</v>
      </c>
      <c r="D50" s="472"/>
      <c r="E50" s="473"/>
      <c r="F50" s="473"/>
      <c r="G50" s="474" t="s">
        <v>99</v>
      </c>
      <c r="H50" s="474"/>
      <c r="I50" s="474"/>
      <c r="J50" s="474"/>
      <c r="K50" s="474"/>
      <c r="L50" s="381">
        <f>IF(B2=75,0,K49+K48+K47)</f>
        <v>162164</v>
      </c>
      <c r="N50" s="340"/>
      <c r="O50" s="338"/>
      <c r="V50" s="475" t="s">
        <v>447</v>
      </c>
      <c r="W50" s="476">
        <f>SUM(W47:W49)</f>
        <v>26.54</v>
      </c>
      <c r="X50" s="717" t="s">
        <v>99</v>
      </c>
      <c r="Y50" s="718"/>
      <c r="Z50" s="718"/>
      <c r="AA50" s="718"/>
      <c r="AB50" s="718"/>
      <c r="AC50" s="387">
        <f>IF(V2=75,0,AB49+AB48+AB47)</f>
        <v>33928</v>
      </c>
      <c r="AD50" s="343"/>
    </row>
    <row r="51" spans="2:30" ht="19.5" customHeight="1" x14ac:dyDescent="0.25">
      <c r="B51" s="477" t="s">
        <v>100</v>
      </c>
      <c r="C51" s="477"/>
      <c r="D51" s="477"/>
      <c r="E51" s="477"/>
      <c r="F51" s="477"/>
      <c r="G51" s="477"/>
      <c r="H51" s="477"/>
      <c r="I51" s="477"/>
      <c r="J51" s="477"/>
      <c r="K51" s="477"/>
      <c r="L51" s="477"/>
      <c r="M51" s="465"/>
      <c r="N51" s="430"/>
      <c r="O51" s="338"/>
      <c r="V51" s="719" t="s">
        <v>100</v>
      </c>
      <c r="W51" s="719"/>
      <c r="X51" s="719"/>
      <c r="Y51" s="719"/>
      <c r="Z51" s="719"/>
      <c r="AA51" s="719"/>
      <c r="AB51" s="719"/>
      <c r="AC51" s="719"/>
      <c r="AD51" s="478"/>
    </row>
    <row r="52" spans="2:30" ht="27.75" customHeight="1" x14ac:dyDescent="0.2">
      <c r="B52" s="344" t="s">
        <v>101</v>
      </c>
      <c r="C52" s="344"/>
      <c r="D52" s="344"/>
      <c r="E52" s="344"/>
      <c r="F52" s="344"/>
      <c r="G52" s="344"/>
      <c r="H52" s="344"/>
      <c r="I52" s="344"/>
      <c r="J52" s="344"/>
      <c r="K52" s="344"/>
      <c r="L52" s="344"/>
      <c r="O52" s="338"/>
      <c r="V52" s="720" t="s">
        <v>101</v>
      </c>
      <c r="W52" s="720"/>
      <c r="X52" s="720"/>
      <c r="Y52" s="720"/>
      <c r="Z52" s="720"/>
      <c r="AA52" s="720"/>
      <c r="AB52" s="720"/>
      <c r="AC52" s="720"/>
      <c r="AD52" s="343"/>
    </row>
    <row r="53" spans="2:30" ht="15" x14ac:dyDescent="0.25">
      <c r="B53" s="344" t="s">
        <v>102</v>
      </c>
      <c r="C53" s="344"/>
      <c r="D53" s="344"/>
      <c r="E53" s="344"/>
      <c r="F53" s="344"/>
      <c r="G53" s="479">
        <f>K26</f>
        <v>127.3458</v>
      </c>
      <c r="H53" s="388" t="s">
        <v>103</v>
      </c>
      <c r="I53" s="388"/>
      <c r="J53" s="480">
        <v>197823.77</v>
      </c>
      <c r="K53" s="480"/>
      <c r="L53" s="480"/>
      <c r="N53" s="340"/>
      <c r="O53" s="338"/>
      <c r="V53" s="725" t="s">
        <v>102</v>
      </c>
      <c r="W53" s="725"/>
      <c r="X53" s="481">
        <f>AB26</f>
        <v>26.54</v>
      </c>
      <c r="Y53" s="726" t="s">
        <v>103</v>
      </c>
      <c r="Z53" s="726"/>
      <c r="AA53" s="727">
        <f>+J53</f>
        <v>197823.77</v>
      </c>
      <c r="AB53" s="727"/>
      <c r="AC53" s="727"/>
      <c r="AD53" s="343"/>
    </row>
    <row r="54" spans="2:30" x14ac:dyDescent="0.2">
      <c r="B54" s="344" t="s">
        <v>104</v>
      </c>
      <c r="C54" s="344"/>
      <c r="D54" s="344"/>
      <c r="E54" s="344"/>
      <c r="F54" s="344"/>
      <c r="G54" s="344"/>
      <c r="H54" s="344"/>
      <c r="I54" s="344"/>
      <c r="J54" s="344"/>
      <c r="K54" s="482">
        <f>ROUND(G53/J53,6)</f>
        <v>6.4400000000000004E-4</v>
      </c>
      <c r="L54" s="482"/>
      <c r="N54" s="430"/>
      <c r="O54" s="338"/>
      <c r="V54" s="725" t="s">
        <v>104</v>
      </c>
      <c r="W54" s="725"/>
      <c r="X54" s="725"/>
      <c r="Y54" s="725"/>
      <c r="Z54" s="725"/>
      <c r="AA54" s="725"/>
      <c r="AB54" s="728">
        <f>ROUND(X53/AA53,6)</f>
        <v>1.34E-4</v>
      </c>
      <c r="AC54" s="728"/>
      <c r="AD54" s="343"/>
    </row>
    <row r="55" spans="2:30" ht="24" customHeight="1" x14ac:dyDescent="0.2">
      <c r="B55" s="344" t="s">
        <v>105</v>
      </c>
      <c r="C55" s="344"/>
      <c r="D55" s="344"/>
      <c r="E55" s="344"/>
      <c r="F55" s="344"/>
      <c r="G55" s="344"/>
      <c r="H55" s="344"/>
      <c r="I55" s="344"/>
      <c r="J55" s="344"/>
      <c r="K55" s="344"/>
      <c r="L55" s="344"/>
      <c r="O55" s="338"/>
      <c r="V55" s="720" t="s">
        <v>105</v>
      </c>
      <c r="W55" s="720"/>
      <c r="X55" s="720"/>
      <c r="Y55" s="720"/>
      <c r="Z55" s="720"/>
      <c r="AA55" s="720"/>
      <c r="AB55" s="720"/>
      <c r="AC55" s="720"/>
      <c r="AD55" s="343"/>
    </row>
    <row r="56" spans="2:30" ht="15" x14ac:dyDescent="0.25">
      <c r="B56" s="344" t="s">
        <v>106</v>
      </c>
      <c r="C56" s="344"/>
      <c r="D56" s="344"/>
      <c r="E56" s="344"/>
      <c r="F56" s="344"/>
      <c r="G56" s="483">
        <f>G26</f>
        <v>26.54</v>
      </c>
      <c r="H56" s="388" t="s">
        <v>107</v>
      </c>
      <c r="I56" s="388"/>
      <c r="J56" s="480">
        <f>+G40</f>
        <v>180284.81</v>
      </c>
      <c r="K56" s="480"/>
      <c r="L56" s="480"/>
      <c r="O56" s="338"/>
      <c r="V56" s="725" t="s">
        <v>106</v>
      </c>
      <c r="W56" s="725"/>
      <c r="X56" s="484">
        <f>X26</f>
        <v>26.54</v>
      </c>
      <c r="Y56" s="726" t="s">
        <v>107</v>
      </c>
      <c r="Z56" s="726"/>
      <c r="AA56" s="727">
        <f>+J56</f>
        <v>180284.81</v>
      </c>
      <c r="AB56" s="727"/>
      <c r="AC56" s="727"/>
      <c r="AD56" s="343"/>
    </row>
    <row r="57" spans="2:30" x14ac:dyDescent="0.2">
      <c r="B57" s="344" t="s">
        <v>108</v>
      </c>
      <c r="C57" s="344"/>
      <c r="D57" s="344"/>
      <c r="E57" s="344"/>
      <c r="F57" s="344"/>
      <c r="G57" s="344"/>
      <c r="H57" s="344"/>
      <c r="I57" s="344"/>
      <c r="J57" s="344"/>
      <c r="K57" s="482">
        <f>ROUND(G56/J56,6)</f>
        <v>1.47E-4</v>
      </c>
      <c r="L57" s="482"/>
      <c r="O57" s="338"/>
      <c r="V57" s="725" t="s">
        <v>108</v>
      </c>
      <c r="W57" s="725"/>
      <c r="X57" s="725"/>
      <c r="Y57" s="725"/>
      <c r="Z57" s="725"/>
      <c r="AA57" s="725"/>
      <c r="AB57" s="728">
        <f>ROUND(X56/AA56,6)</f>
        <v>1.47E-4</v>
      </c>
      <c r="AC57" s="728"/>
      <c r="AD57" s="343"/>
    </row>
    <row r="58" spans="2:30" ht="20.25" customHeight="1" x14ac:dyDescent="0.2">
      <c r="B58" s="485" t="s">
        <v>109</v>
      </c>
      <c r="C58" s="485"/>
      <c r="D58" s="485"/>
      <c r="E58" s="485"/>
      <c r="F58" s="485"/>
      <c r="G58" s="485"/>
      <c r="H58" s="485"/>
      <c r="I58" s="485"/>
      <c r="J58" s="485"/>
      <c r="K58" s="485"/>
      <c r="L58" s="485"/>
      <c r="N58" s="349"/>
      <c r="O58" s="349"/>
      <c r="V58" s="700" t="s">
        <v>110</v>
      </c>
      <c r="W58" s="700"/>
      <c r="X58" s="700"/>
      <c r="Y58" s="729">
        <f>X65+X64+X62+X61+X60</f>
        <v>4123852</v>
      </c>
      <c r="Z58" s="729"/>
      <c r="AA58" s="486" t="s">
        <v>111</v>
      </c>
      <c r="AB58" s="487">
        <f>AB54</f>
        <v>1.34E-4</v>
      </c>
      <c r="AC58" s="387">
        <f>ROUND(Y58*AB58,0)</f>
        <v>553</v>
      </c>
      <c r="AD58" s="343"/>
    </row>
    <row r="59" spans="2:30" x14ac:dyDescent="0.2">
      <c r="B59" s="392" t="s">
        <v>110</v>
      </c>
      <c r="C59" s="392"/>
      <c r="D59" s="392"/>
      <c r="E59" s="392"/>
      <c r="F59" s="392"/>
      <c r="G59" s="392"/>
      <c r="H59" s="488" t="s">
        <v>22</v>
      </c>
      <c r="I59" s="454">
        <v>4123852</v>
      </c>
      <c r="J59" s="489" t="s">
        <v>111</v>
      </c>
      <c r="K59" s="490">
        <f>K54</f>
        <v>6.4400000000000004E-4</v>
      </c>
      <c r="L59" s="381">
        <f>ROUND(I59*K59,0)</f>
        <v>2656</v>
      </c>
      <c r="O59" s="338"/>
      <c r="P59" s="489"/>
      <c r="Q59" s="489"/>
      <c r="V59" s="730" t="s">
        <v>112</v>
      </c>
      <c r="W59" s="730"/>
      <c r="X59" s="730"/>
      <c r="Y59" s="730"/>
      <c r="Z59" s="730"/>
      <c r="AA59" s="730"/>
      <c r="AB59" s="730"/>
      <c r="AC59" s="730"/>
      <c r="AD59" s="343"/>
    </row>
    <row r="60" spans="2:30" x14ac:dyDescent="0.2">
      <c r="B60" s="392" t="s">
        <v>112</v>
      </c>
      <c r="C60" s="392"/>
      <c r="D60" s="392"/>
      <c r="E60" s="392"/>
      <c r="F60" s="392"/>
      <c r="G60" s="392"/>
      <c r="H60" s="392"/>
      <c r="I60" s="392"/>
      <c r="J60" s="392"/>
      <c r="K60" s="392"/>
      <c r="L60" s="392"/>
      <c r="O60" s="338"/>
      <c r="P60" s="489"/>
      <c r="Q60" s="489"/>
      <c r="V60" s="731" t="s">
        <v>113</v>
      </c>
      <c r="W60" s="731"/>
      <c r="X60" s="732">
        <f>+G61</f>
        <v>0</v>
      </c>
      <c r="Y60" s="732"/>
      <c r="Z60" s="732"/>
      <c r="AA60" s="732"/>
      <c r="AB60" s="732"/>
      <c r="AC60" s="732"/>
      <c r="AD60" s="343"/>
    </row>
    <row r="61" spans="2:30" ht="15" customHeight="1" x14ac:dyDescent="0.2">
      <c r="B61" s="491" t="s">
        <v>113</v>
      </c>
      <c r="C61" s="392"/>
      <c r="D61" s="392"/>
      <c r="E61" s="392"/>
      <c r="F61" s="392"/>
      <c r="G61" s="492">
        <v>0</v>
      </c>
      <c r="H61" s="492"/>
      <c r="I61" s="492"/>
      <c r="J61" s="492"/>
      <c r="K61" s="492"/>
      <c r="L61" s="492"/>
      <c r="O61" s="338"/>
      <c r="P61" s="489"/>
      <c r="Q61" s="489"/>
      <c r="V61" s="731" t="s">
        <v>114</v>
      </c>
      <c r="W61" s="731"/>
      <c r="X61" s="732">
        <f>+G62</f>
        <v>0</v>
      </c>
      <c r="Y61" s="732"/>
      <c r="Z61" s="732"/>
      <c r="AA61" s="732"/>
      <c r="AB61" s="732"/>
      <c r="AC61" s="732"/>
      <c r="AD61" s="343"/>
    </row>
    <row r="62" spans="2:30" ht="13.5" customHeight="1" x14ac:dyDescent="0.2">
      <c r="B62" s="491" t="s">
        <v>114</v>
      </c>
      <c r="C62" s="392"/>
      <c r="D62" s="392"/>
      <c r="E62" s="392"/>
      <c r="F62" s="392"/>
      <c r="G62" s="492">
        <v>0</v>
      </c>
      <c r="H62" s="492"/>
      <c r="I62" s="492"/>
      <c r="J62" s="492"/>
      <c r="K62" s="492"/>
      <c r="L62" s="492"/>
      <c r="N62" s="489"/>
      <c r="O62" s="489"/>
      <c r="P62" s="489"/>
      <c r="Q62" s="489"/>
      <c r="V62" s="731" t="s">
        <v>115</v>
      </c>
      <c r="W62" s="731"/>
      <c r="X62" s="732">
        <v>0</v>
      </c>
      <c r="Y62" s="732"/>
      <c r="Z62" s="732"/>
      <c r="AA62" s="732"/>
      <c r="AB62" s="732"/>
      <c r="AC62" s="732"/>
      <c r="AD62" s="343"/>
    </row>
    <row r="63" spans="2:30" ht="13.5" hidden="1" customHeight="1" x14ac:dyDescent="0.2">
      <c r="B63" s="392" t="s">
        <v>115</v>
      </c>
      <c r="C63" s="392"/>
      <c r="D63" s="392"/>
      <c r="E63" s="392"/>
      <c r="F63" s="392"/>
      <c r="G63" s="492">
        <v>0</v>
      </c>
      <c r="H63" s="492"/>
      <c r="I63" s="492"/>
      <c r="J63" s="492"/>
      <c r="K63" s="492"/>
      <c r="L63" s="492"/>
      <c r="O63" s="338"/>
      <c r="P63" s="489"/>
      <c r="Q63" s="489"/>
      <c r="V63" s="730" t="s">
        <v>116</v>
      </c>
      <c r="W63" s="730"/>
      <c r="X63" s="730"/>
      <c r="Y63" s="730"/>
      <c r="Z63" s="730"/>
      <c r="AA63" s="730"/>
      <c r="AB63" s="730"/>
      <c r="AC63" s="730"/>
      <c r="AD63" s="443"/>
    </row>
    <row r="64" spans="2:30" ht="13.5" customHeight="1" x14ac:dyDescent="0.2">
      <c r="B64" s="392" t="s">
        <v>116</v>
      </c>
      <c r="C64" s="392"/>
      <c r="D64" s="392"/>
      <c r="E64" s="392"/>
      <c r="F64" s="392"/>
      <c r="G64" s="392"/>
      <c r="H64" s="392"/>
      <c r="I64" s="392"/>
      <c r="J64" s="392"/>
      <c r="K64" s="392"/>
      <c r="L64" s="392"/>
      <c r="M64" s="442"/>
      <c r="N64" s="349"/>
      <c r="O64" s="338"/>
      <c r="V64" s="731" t="s">
        <v>117</v>
      </c>
      <c r="W64" s="731"/>
      <c r="X64" s="732">
        <f>+G65</f>
        <v>4123852</v>
      </c>
      <c r="Y64" s="732"/>
      <c r="Z64" s="732"/>
      <c r="AA64" s="732"/>
      <c r="AB64" s="732"/>
      <c r="AC64" s="732"/>
      <c r="AD64" s="343"/>
    </row>
    <row r="65" spans="1:30" ht="12.75" customHeight="1" x14ac:dyDescent="0.2">
      <c r="B65" s="491" t="s">
        <v>117</v>
      </c>
      <c r="C65" s="392"/>
      <c r="D65" s="392"/>
      <c r="E65" s="392"/>
      <c r="F65" s="392"/>
      <c r="G65" s="492">
        <f>+I59</f>
        <v>4123852</v>
      </c>
      <c r="H65" s="492"/>
      <c r="I65" s="492"/>
      <c r="J65" s="492"/>
      <c r="K65" s="492"/>
      <c r="L65" s="492"/>
      <c r="O65" s="338"/>
      <c r="V65" s="731" t="s">
        <v>118</v>
      </c>
      <c r="W65" s="731"/>
      <c r="X65" s="732">
        <f>+G66</f>
        <v>0</v>
      </c>
      <c r="Y65" s="732"/>
      <c r="Z65" s="732"/>
      <c r="AA65" s="732"/>
      <c r="AB65" s="732"/>
      <c r="AC65" s="732"/>
      <c r="AD65" s="351"/>
    </row>
    <row r="66" spans="1:30" ht="15" customHeight="1" x14ac:dyDescent="0.25">
      <c r="B66" s="491" t="s">
        <v>118</v>
      </c>
      <c r="C66" s="392"/>
      <c r="D66" s="392"/>
      <c r="E66" s="392"/>
      <c r="F66" s="392"/>
      <c r="G66" s="492">
        <v>0</v>
      </c>
      <c r="H66" s="492"/>
      <c r="I66" s="492"/>
      <c r="J66" s="492"/>
      <c r="K66" s="492"/>
      <c r="L66" s="492"/>
      <c r="M66" s="349"/>
      <c r="N66" s="340"/>
      <c r="O66" s="493"/>
      <c r="P66" s="493"/>
      <c r="Q66" s="493"/>
      <c r="V66" s="720" t="s">
        <v>119</v>
      </c>
      <c r="W66" s="720"/>
      <c r="X66" s="720"/>
      <c r="Y66" s="729">
        <f>+I67</f>
        <v>96774526</v>
      </c>
      <c r="Z66" s="729"/>
      <c r="AA66" s="486" t="s">
        <v>111</v>
      </c>
      <c r="AB66" s="487">
        <f>AB54</f>
        <v>1.34E-4</v>
      </c>
      <c r="AC66" s="387">
        <f>ROUND(Y66*AB66,0)</f>
        <v>12968</v>
      </c>
      <c r="AD66" s="343"/>
    </row>
    <row r="67" spans="1:30" ht="20.25" customHeight="1" x14ac:dyDescent="0.2">
      <c r="B67" s="344" t="s">
        <v>119</v>
      </c>
      <c r="C67" s="344"/>
      <c r="D67" s="344"/>
      <c r="E67" s="344"/>
      <c r="F67" s="344"/>
      <c r="H67" s="488" t="s">
        <v>25</v>
      </c>
      <c r="I67" s="454">
        <v>96774526</v>
      </c>
      <c r="J67" s="489" t="s">
        <v>111</v>
      </c>
      <c r="K67" s="490">
        <f>K54</f>
        <v>6.4400000000000004E-4</v>
      </c>
      <c r="L67" s="381">
        <f>ROUND(I67*K67,0)</f>
        <v>62323</v>
      </c>
      <c r="O67" s="338"/>
      <c r="V67" s="720" t="s">
        <v>120</v>
      </c>
      <c r="W67" s="720"/>
      <c r="X67" s="720"/>
      <c r="Y67" s="720"/>
      <c r="Z67" s="720"/>
      <c r="AA67" s="720"/>
      <c r="AB67" s="720"/>
      <c r="AC67" s="720"/>
      <c r="AD67" s="343"/>
    </row>
    <row r="68" spans="1:30" ht="20.25" customHeight="1" x14ac:dyDescent="0.2">
      <c r="B68" s="344" t="s">
        <v>120</v>
      </c>
      <c r="C68" s="344"/>
      <c r="D68" s="344"/>
      <c r="E68" s="344"/>
      <c r="F68" s="344"/>
      <c r="H68" s="344"/>
      <c r="I68" s="344"/>
      <c r="J68" s="345"/>
      <c r="K68" s="344"/>
      <c r="L68" s="344"/>
      <c r="O68" s="338"/>
      <c r="V68" s="735" t="s">
        <v>121</v>
      </c>
      <c r="W68" s="735"/>
      <c r="X68" s="735"/>
      <c r="Y68" s="729">
        <f>+I69</f>
        <v>0</v>
      </c>
      <c r="Z68" s="729"/>
      <c r="AA68" s="486" t="s">
        <v>111</v>
      </c>
      <c r="AB68" s="487">
        <f>AB57</f>
        <v>1.47E-4</v>
      </c>
      <c r="AC68" s="387">
        <f>ROUND(Y68*AB68,0)</f>
        <v>0</v>
      </c>
      <c r="AD68" s="343"/>
    </row>
    <row r="69" spans="1:30" ht="15" customHeight="1" x14ac:dyDescent="0.2">
      <c r="B69" s="494" t="s">
        <v>121</v>
      </c>
      <c r="C69" s="344"/>
      <c r="D69" s="344"/>
      <c r="E69" s="344"/>
      <c r="F69" s="344"/>
      <c r="H69" s="488" t="s">
        <v>23</v>
      </c>
      <c r="I69" s="454">
        <v>0</v>
      </c>
      <c r="J69" s="489" t="s">
        <v>111</v>
      </c>
      <c r="K69" s="490">
        <f>K57</f>
        <v>1.47E-4</v>
      </c>
      <c r="L69" s="381">
        <f>ROUND(I69*K69,0)</f>
        <v>0</v>
      </c>
      <c r="O69" s="338"/>
      <c r="V69" s="720" t="s">
        <v>122</v>
      </c>
      <c r="W69" s="720"/>
      <c r="X69" s="720"/>
      <c r="Y69" s="736">
        <f>+I70</f>
        <v>-3460775</v>
      </c>
      <c r="Z69" s="736"/>
      <c r="AA69" s="486" t="s">
        <v>111</v>
      </c>
      <c r="AB69" s="487">
        <f>AB54</f>
        <v>1.34E-4</v>
      </c>
      <c r="AC69" s="387">
        <f>ROUND(Y69*AB69,0)</f>
        <v>-464</v>
      </c>
      <c r="AD69" s="343"/>
    </row>
    <row r="70" spans="1:30" ht="20.25" customHeight="1" x14ac:dyDescent="0.2">
      <c r="B70" s="344" t="s">
        <v>122</v>
      </c>
      <c r="C70" s="344"/>
      <c r="D70" s="344"/>
      <c r="E70" s="344"/>
      <c r="F70" s="344"/>
      <c r="H70" s="488" t="s">
        <v>22</v>
      </c>
      <c r="I70" s="454">
        <v>-3460775</v>
      </c>
      <c r="J70" s="489" t="s">
        <v>111</v>
      </c>
      <c r="K70" s="490">
        <f>K54</f>
        <v>6.4400000000000004E-4</v>
      </c>
      <c r="L70" s="381">
        <f>ROUND(I70*K70,0)</f>
        <v>-2229</v>
      </c>
      <c r="O70" s="338"/>
      <c r="V70" s="720" t="s">
        <v>123</v>
      </c>
      <c r="W70" s="720"/>
      <c r="X70" s="720"/>
      <c r="Y70" s="733">
        <f>+I71</f>
        <v>1874788</v>
      </c>
      <c r="Z70" s="733"/>
      <c r="AA70" s="486" t="s">
        <v>111</v>
      </c>
      <c r="AB70" s="487">
        <f>AB54</f>
        <v>1.34E-4</v>
      </c>
      <c r="AC70" s="387">
        <f>ROUND(Y70*AB70,0)</f>
        <v>251</v>
      </c>
      <c r="AD70" s="343"/>
    </row>
    <row r="71" spans="1:30" ht="20.25" customHeight="1" x14ac:dyDescent="0.2">
      <c r="B71" s="344" t="s">
        <v>123</v>
      </c>
      <c r="C71" s="344"/>
      <c r="D71" s="344"/>
      <c r="E71" s="344"/>
      <c r="F71" s="344"/>
      <c r="H71" s="488" t="s">
        <v>22</v>
      </c>
      <c r="I71" s="454">
        <v>1874788</v>
      </c>
      <c r="J71" s="489" t="s">
        <v>111</v>
      </c>
      <c r="K71" s="490">
        <f>K54</f>
        <v>6.4400000000000004E-4</v>
      </c>
      <c r="L71" s="381">
        <f>ROUND(I71*K71,0)</f>
        <v>1207</v>
      </c>
      <c r="O71" s="338"/>
      <c r="V71" s="720" t="s">
        <v>124</v>
      </c>
      <c r="W71" s="720"/>
      <c r="X71" s="720"/>
      <c r="Y71" s="733">
        <f>+I72</f>
        <v>14223298</v>
      </c>
      <c r="Z71" s="733"/>
      <c r="AA71" s="486" t="s">
        <v>111</v>
      </c>
      <c r="AB71" s="487">
        <f>AB57</f>
        <v>1.47E-4</v>
      </c>
      <c r="AC71" s="387">
        <f>ROUND(Y71*AB71,0)</f>
        <v>2091</v>
      </c>
      <c r="AD71" s="343"/>
    </row>
    <row r="72" spans="1:30" ht="21" customHeight="1" x14ac:dyDescent="0.25">
      <c r="B72" s="344" t="s">
        <v>124</v>
      </c>
      <c r="C72" s="344"/>
      <c r="D72" s="344"/>
      <c r="E72" s="344"/>
      <c r="F72" s="344"/>
      <c r="H72" s="488" t="s">
        <v>23</v>
      </c>
      <c r="I72" s="495">
        <v>14223298</v>
      </c>
      <c r="J72" s="489" t="s">
        <v>111</v>
      </c>
      <c r="K72" s="490">
        <f>K57</f>
        <v>1.47E-4</v>
      </c>
      <c r="L72" s="381">
        <f>ROUND(I72*K72,0)</f>
        <v>2091</v>
      </c>
      <c r="O72" s="338"/>
      <c r="V72" s="694" t="s">
        <v>448</v>
      </c>
      <c r="W72" s="694"/>
      <c r="X72" s="694"/>
      <c r="Y72" s="694"/>
      <c r="Z72" s="694"/>
      <c r="AA72" s="694"/>
      <c r="AB72" s="694"/>
      <c r="AC72" s="391"/>
      <c r="AD72" s="343"/>
    </row>
    <row r="73" spans="1:30" ht="17.25" customHeight="1" x14ac:dyDescent="0.25">
      <c r="B73" s="344" t="s">
        <v>448</v>
      </c>
      <c r="C73" s="344"/>
      <c r="D73" s="344"/>
      <c r="E73" s="344"/>
      <c r="F73" s="344"/>
      <c r="H73" s="344"/>
      <c r="I73" s="344"/>
      <c r="J73" s="345"/>
      <c r="K73" s="344"/>
      <c r="L73" s="390"/>
      <c r="O73" s="338"/>
      <c r="V73" s="720" t="s">
        <v>126</v>
      </c>
      <c r="W73" s="720"/>
      <c r="X73" s="720"/>
      <c r="Y73" s="720"/>
      <c r="Z73" s="720"/>
      <c r="AA73" s="720"/>
      <c r="AB73" s="720"/>
      <c r="AC73" s="720"/>
      <c r="AD73" s="343"/>
    </row>
    <row r="74" spans="1:30" ht="28.5" x14ac:dyDescent="0.2">
      <c r="B74" s="344" t="s">
        <v>126</v>
      </c>
      <c r="C74" s="344"/>
      <c r="D74" s="358" t="s">
        <v>13</v>
      </c>
      <c r="E74" s="358" t="s">
        <v>14</v>
      </c>
      <c r="F74" s="358"/>
      <c r="H74" s="488" t="s">
        <v>26</v>
      </c>
      <c r="I74" s="496"/>
      <c r="J74" s="488"/>
      <c r="K74" s="496"/>
      <c r="L74" s="438"/>
      <c r="O74" s="338"/>
      <c r="V74" s="734" t="s">
        <v>127</v>
      </c>
      <c r="W74" s="734"/>
      <c r="X74" s="497" t="s">
        <v>128</v>
      </c>
      <c r="Y74" s="498"/>
      <c r="Z74" s="499">
        <f>+I75</f>
        <v>15</v>
      </c>
      <c r="AA74" s="500" t="s">
        <v>129</v>
      </c>
      <c r="AB74" s="501">
        <f>+K75</f>
        <v>361</v>
      </c>
      <c r="AC74" s="387">
        <f>ROUND(AB74*Z74,0)</f>
        <v>5415</v>
      </c>
      <c r="AD74" s="343"/>
    </row>
    <row r="75" spans="1:30" ht="19.5" customHeight="1" x14ac:dyDescent="0.2">
      <c r="A75" s="338" t="s">
        <v>130</v>
      </c>
      <c r="B75" s="502" t="s">
        <v>127</v>
      </c>
      <c r="C75" s="503" t="s">
        <v>128</v>
      </c>
      <c r="D75" s="502">
        <v>14</v>
      </c>
      <c r="E75" s="502">
        <v>16</v>
      </c>
      <c r="F75" s="502">
        <v>0</v>
      </c>
      <c r="G75" s="504">
        <f>IF(E75=0,D75,E75)</f>
        <v>16</v>
      </c>
      <c r="H75" s="505"/>
      <c r="I75" s="506">
        <f>AVERAGE(G75,D75)</f>
        <v>15</v>
      </c>
      <c r="J75" s="507" t="s">
        <v>129</v>
      </c>
      <c r="K75" s="508">
        <v>361</v>
      </c>
      <c r="L75" s="381">
        <f>ROUND(K75*I75,0)</f>
        <v>5415</v>
      </c>
      <c r="N75" s="338">
        <v>7802</v>
      </c>
      <c r="O75" s="338">
        <v>0</v>
      </c>
      <c r="V75" s="734" t="s">
        <v>127</v>
      </c>
      <c r="W75" s="734"/>
      <c r="X75" s="497" t="s">
        <v>131</v>
      </c>
      <c r="Y75" s="509"/>
      <c r="Z75" s="510"/>
      <c r="AA75" s="500" t="s">
        <v>129</v>
      </c>
      <c r="AB75" s="511">
        <f>+K76</f>
        <v>1358</v>
      </c>
      <c r="AC75" s="387">
        <f>ROUND(AB75*Z75,0)</f>
        <v>0</v>
      </c>
      <c r="AD75" s="343"/>
    </row>
    <row r="76" spans="1:30" ht="19.5" customHeight="1" x14ac:dyDescent="0.2">
      <c r="A76" s="338" t="s">
        <v>132</v>
      </c>
      <c r="B76" s="502" t="s">
        <v>127</v>
      </c>
      <c r="C76" s="503" t="s">
        <v>131</v>
      </c>
      <c r="D76" s="502">
        <v>0</v>
      </c>
      <c r="E76" s="502">
        <v>0</v>
      </c>
      <c r="F76" s="502">
        <v>0</v>
      </c>
      <c r="G76" s="504">
        <f>IF(E76=0,D76,E76)</f>
        <v>0</v>
      </c>
      <c r="H76" s="505"/>
      <c r="I76" s="506">
        <f>AVERAGE(G76,D76)</f>
        <v>0</v>
      </c>
      <c r="J76" s="507" t="s">
        <v>129</v>
      </c>
      <c r="K76" s="512">
        <v>1358</v>
      </c>
      <c r="L76" s="381">
        <f>ROUND(K76*I76,0)</f>
        <v>0</v>
      </c>
      <c r="N76" s="338">
        <v>7802</v>
      </c>
      <c r="O76" s="338">
        <v>110</v>
      </c>
      <c r="V76" s="720" t="s">
        <v>133</v>
      </c>
      <c r="W76" s="720"/>
      <c r="X76" s="720"/>
      <c r="Y76" s="729">
        <f>+I77</f>
        <v>33305823</v>
      </c>
      <c r="Z76" s="729"/>
      <c r="AA76" s="500" t="s">
        <v>129</v>
      </c>
      <c r="AB76" s="487">
        <f>AB54</f>
        <v>1.34E-4</v>
      </c>
      <c r="AC76" s="387">
        <f>ROUND(Y76*AB76,0)</f>
        <v>4463</v>
      </c>
      <c r="AD76" s="343"/>
    </row>
    <row r="77" spans="1:30" ht="26.25" customHeight="1" x14ac:dyDescent="0.2">
      <c r="B77" s="344" t="s">
        <v>133</v>
      </c>
      <c r="C77" s="344"/>
      <c r="D77" s="344"/>
      <c r="E77" s="344"/>
      <c r="F77" s="344"/>
      <c r="H77" s="488" t="s">
        <v>134</v>
      </c>
      <c r="I77" s="513">
        <v>33305823</v>
      </c>
      <c r="J77" s="489" t="s">
        <v>111</v>
      </c>
      <c r="K77" s="490">
        <f>K54</f>
        <v>6.4400000000000004E-4</v>
      </c>
      <c r="L77" s="381">
        <f>ROUND(I77*K77,0)</f>
        <v>21449</v>
      </c>
      <c r="O77" s="338"/>
      <c r="V77" s="720" t="str">
        <f>+B78</f>
        <v>15.  Additional Allocation (WFTE share)</v>
      </c>
      <c r="W77" s="720"/>
      <c r="X77" s="720"/>
      <c r="Y77" s="729">
        <f>+I78</f>
        <v>680688</v>
      </c>
      <c r="Z77" s="729"/>
      <c r="AA77" s="500" t="s">
        <v>129</v>
      </c>
      <c r="AB77" s="487">
        <f>AB54</f>
        <v>1.34E-4</v>
      </c>
      <c r="AC77" s="387">
        <f>ROUND(Y77*AB77,0)</f>
        <v>91</v>
      </c>
      <c r="AD77" s="343"/>
    </row>
    <row r="78" spans="1:30" ht="26.25" customHeight="1" x14ac:dyDescent="0.2">
      <c r="B78" s="737" t="s">
        <v>135</v>
      </c>
      <c r="C78" s="737"/>
      <c r="D78" s="737"/>
      <c r="E78" s="344"/>
      <c r="F78" s="344"/>
      <c r="H78" s="488" t="s">
        <v>136</v>
      </c>
      <c r="I78" s="514">
        <v>680688</v>
      </c>
      <c r="J78" s="489" t="s">
        <v>111</v>
      </c>
      <c r="K78" s="490">
        <f>K54</f>
        <v>6.4400000000000004E-4</v>
      </c>
      <c r="L78" s="381">
        <f>ROUND(I78*K78,0)</f>
        <v>438</v>
      </c>
      <c r="O78" s="338"/>
      <c r="V78" s="720" t="str">
        <f t="shared" ref="V78:V79" si="11">+B79</f>
        <v>16.  Florida Teachers Lead Program Stipend</v>
      </c>
      <c r="W78" s="720"/>
      <c r="X78" s="720"/>
      <c r="Y78" s="346"/>
      <c r="Z78" s="346"/>
      <c r="AA78" s="346"/>
      <c r="AB78" s="346"/>
      <c r="AC78" s="458"/>
      <c r="AD78" s="343"/>
    </row>
    <row r="79" spans="1:30" ht="21" customHeight="1" x14ac:dyDescent="0.2">
      <c r="B79" s="737" t="s">
        <v>137</v>
      </c>
      <c r="C79" s="737"/>
      <c r="D79" s="737"/>
      <c r="E79" s="344"/>
      <c r="F79" s="344"/>
      <c r="H79" s="488"/>
      <c r="I79" s="496"/>
      <c r="J79" s="496"/>
      <c r="K79" s="496"/>
      <c r="L79" s="454"/>
      <c r="N79" s="515"/>
      <c r="O79" s="338"/>
      <c r="Q79" s="488"/>
      <c r="V79" s="720" t="str">
        <f t="shared" si="11"/>
        <v>17.  Food Service Allocation</v>
      </c>
      <c r="W79" s="720"/>
      <c r="X79" s="720"/>
      <c r="Y79" s="346"/>
      <c r="Z79" s="346"/>
      <c r="AA79" s="346"/>
      <c r="AB79" s="346"/>
      <c r="AC79" s="516"/>
      <c r="AD79" s="343"/>
    </row>
    <row r="80" spans="1:30" ht="21" customHeight="1" x14ac:dyDescent="0.2">
      <c r="B80" s="737" t="s">
        <v>138</v>
      </c>
      <c r="C80" s="737"/>
      <c r="D80" s="737"/>
      <c r="E80" s="344"/>
      <c r="F80" s="344"/>
      <c r="H80" s="517" t="s">
        <v>139</v>
      </c>
      <c r="I80" s="518"/>
      <c r="J80" s="518"/>
      <c r="K80" s="518"/>
      <c r="L80" s="519"/>
      <c r="N80" s="520"/>
      <c r="O80" s="338"/>
      <c r="Q80" s="488"/>
      <c r="V80" s="346"/>
      <c r="W80" s="346"/>
      <c r="X80" s="346"/>
      <c r="Y80" s="346"/>
      <c r="Z80" s="346"/>
      <c r="AA80" s="346"/>
      <c r="AB80" s="346"/>
      <c r="AC80" s="516"/>
      <c r="AD80" s="343"/>
    </row>
    <row r="81" spans="1:30" ht="21" customHeight="1" thickBot="1" x14ac:dyDescent="0.25">
      <c r="B81" s="344"/>
      <c r="C81" s="344"/>
      <c r="D81" s="344"/>
      <c r="E81" s="344"/>
      <c r="F81" s="344"/>
      <c r="G81" s="344"/>
      <c r="H81" s="344"/>
      <c r="I81" s="344"/>
      <c r="J81" s="344"/>
      <c r="K81" s="344"/>
      <c r="L81" s="519"/>
      <c r="M81" s="521"/>
      <c r="N81" s="520"/>
      <c r="O81" s="338"/>
      <c r="Q81" s="488"/>
      <c r="V81" s="346" t="s">
        <v>140</v>
      </c>
      <c r="W81" s="346"/>
      <c r="X81" s="346"/>
      <c r="Y81" s="346"/>
      <c r="Z81" s="346"/>
      <c r="AA81" s="346"/>
      <c r="AB81" s="346"/>
      <c r="AC81" s="522">
        <f>SUM(AC44:AC80)</f>
        <v>167197</v>
      </c>
      <c r="AD81" s="523"/>
    </row>
    <row r="82" spans="1:30" ht="22.5" customHeight="1" thickTop="1" thickBot="1" x14ac:dyDescent="0.25">
      <c r="B82" s="344" t="s">
        <v>141</v>
      </c>
      <c r="C82" s="344"/>
      <c r="D82" s="344"/>
      <c r="E82" s="344"/>
      <c r="F82" s="344"/>
      <c r="G82" s="344"/>
      <c r="H82" s="344"/>
      <c r="I82" s="344"/>
      <c r="J82" s="344"/>
      <c r="K82" s="344"/>
      <c r="L82" s="524">
        <f>SUM(L44:L81)</f>
        <v>754000</v>
      </c>
      <c r="M82" s="525"/>
      <c r="N82" s="526"/>
      <c r="O82" s="338"/>
      <c r="Q82" s="488"/>
      <c r="V82" s="346"/>
      <c r="W82" s="346"/>
      <c r="X82" s="346"/>
      <c r="Y82" s="346"/>
      <c r="Z82" s="346"/>
      <c r="AA82" s="346"/>
      <c r="AB82" s="346"/>
      <c r="AC82" s="527"/>
      <c r="AD82" s="523"/>
    </row>
    <row r="83" spans="1:30" ht="27.75" customHeight="1" thickTop="1" x14ac:dyDescent="0.2">
      <c r="B83" s="344" t="s">
        <v>142</v>
      </c>
      <c r="C83" s="344"/>
      <c r="D83" s="344"/>
      <c r="E83" s="344"/>
      <c r="F83" s="344"/>
      <c r="G83" s="344"/>
      <c r="H83" s="344"/>
      <c r="I83" s="344"/>
      <c r="J83" s="344"/>
      <c r="K83" s="345" t="s">
        <v>143</v>
      </c>
      <c r="L83" s="528" t="s">
        <v>144</v>
      </c>
      <c r="M83" s="525"/>
      <c r="N83" s="526"/>
      <c r="O83" s="338"/>
      <c r="Q83" s="488"/>
      <c r="V83" s="343" t="s">
        <v>145</v>
      </c>
      <c r="W83" s="343"/>
      <c r="X83" s="343"/>
      <c r="Y83" s="343"/>
      <c r="Z83" s="343"/>
      <c r="AA83" s="343"/>
      <c r="AB83" s="343"/>
      <c r="AC83" s="343"/>
      <c r="AD83" s="343"/>
    </row>
    <row r="84" spans="1:30" ht="18.75" customHeight="1" thickBot="1" x14ac:dyDescent="0.25">
      <c r="B84" s="344" t="s">
        <v>146</v>
      </c>
      <c r="C84" s="344"/>
      <c r="D84" s="344"/>
      <c r="E84" s="344"/>
      <c r="F84" s="344"/>
      <c r="G84" s="344"/>
      <c r="H84" s="344"/>
      <c r="I84" s="344"/>
      <c r="J84" s="344"/>
      <c r="K84" s="529">
        <f>IF(G26=0,"",IF((G11+G13+SUM(G15:G21))/G26&gt;0.75,1,""))</f>
        <v>1</v>
      </c>
      <c r="L84" s="524">
        <f>'2531 June final'!AC81</f>
        <v>167197</v>
      </c>
      <c r="M84" s="525"/>
      <c r="N84" s="526"/>
      <c r="O84" s="338"/>
      <c r="Q84" s="488"/>
      <c r="V84" s="346" t="s">
        <v>147</v>
      </c>
      <c r="W84" s="346"/>
      <c r="X84" s="346"/>
      <c r="Y84" s="346"/>
      <c r="Z84" s="346"/>
      <c r="AA84" s="346"/>
      <c r="AB84" s="346"/>
      <c r="AC84" s="346"/>
      <c r="AD84" s="343"/>
    </row>
    <row r="85" spans="1:30" ht="18.75" customHeight="1" thickTop="1" x14ac:dyDescent="0.2">
      <c r="B85" s="344"/>
      <c r="C85" s="344"/>
      <c r="D85" s="344"/>
      <c r="E85" s="344"/>
      <c r="F85" s="344"/>
      <c r="G85" s="344"/>
      <c r="H85" s="344"/>
      <c r="I85" s="344"/>
      <c r="J85" s="344"/>
      <c r="M85" s="525"/>
      <c r="N85" s="526"/>
      <c r="O85" s="338"/>
      <c r="Q85" s="488"/>
      <c r="V85" s="346" t="s">
        <v>148</v>
      </c>
      <c r="W85" s="346"/>
      <c r="X85" s="346"/>
      <c r="Y85" s="346"/>
      <c r="Z85" s="346"/>
      <c r="AA85" s="346"/>
      <c r="AB85" s="346"/>
      <c r="AC85" s="346"/>
      <c r="AD85" s="343"/>
    </row>
    <row r="86" spans="1:30" ht="18.75" customHeight="1" x14ac:dyDescent="0.2">
      <c r="B86" s="339" t="s">
        <v>149</v>
      </c>
      <c r="C86" s="344"/>
      <c r="D86" s="344"/>
      <c r="E86" s="344"/>
      <c r="F86" s="344"/>
      <c r="G86" s="344"/>
      <c r="H86" s="344"/>
      <c r="I86" s="344"/>
      <c r="J86" s="530" t="s">
        <v>150</v>
      </c>
      <c r="K86" s="531">
        <f>IF(K84=1,L84,L82)</f>
        <v>167197</v>
      </c>
      <c r="L86" s="532">
        <f>IF(G26=0,0,IF(G26&gt;250,-(((250/G26)*K86)*IF(M86="H",0.02,0.05)),IF(M86="H",-0.02*K86,-0.05*K86)))</f>
        <v>-8359.85</v>
      </c>
      <c r="M86" s="533" t="str">
        <f>IF(B123="2801","H",IF(B123="2911","H",IF(B123="3382","H"," ")))</f>
        <v xml:space="preserve"> </v>
      </c>
      <c r="N86" s="526"/>
      <c r="O86" s="338"/>
      <c r="Q86" s="488"/>
      <c r="V86" s="346" t="s">
        <v>151</v>
      </c>
      <c r="W86" s="346"/>
      <c r="X86" s="346"/>
      <c r="Y86" s="346"/>
      <c r="Z86" s="346"/>
      <c r="AA86" s="346"/>
      <c r="AB86" s="346"/>
      <c r="AC86" s="346"/>
      <c r="AD86" s="343"/>
    </row>
    <row r="87" spans="1:30" ht="18.75" customHeight="1" x14ac:dyDescent="0.2">
      <c r="B87" s="339" t="s">
        <v>152</v>
      </c>
      <c r="C87" s="344"/>
      <c r="D87" s="344"/>
      <c r="E87" s="344"/>
      <c r="F87" s="344"/>
      <c r="G87" s="344"/>
      <c r="H87" s="344"/>
      <c r="I87" s="344"/>
      <c r="J87" s="344"/>
      <c r="K87" s="534"/>
      <c r="L87" s="528">
        <f>L82+L86</f>
        <v>745640.15</v>
      </c>
      <c r="M87" s="525"/>
      <c r="N87" s="526"/>
      <c r="O87" s="338"/>
      <c r="Q87" s="488"/>
      <c r="V87" s="521"/>
      <c r="W87" s="521"/>
      <c r="X87" s="521"/>
      <c r="Y87" s="521"/>
      <c r="Z87" s="521"/>
      <c r="AA87" s="521"/>
      <c r="AB87" s="521"/>
      <c r="AC87" s="521"/>
      <c r="AD87" s="521"/>
    </row>
    <row r="88" spans="1:30" x14ac:dyDescent="0.2">
      <c r="V88" s="521"/>
      <c r="W88" s="521"/>
      <c r="X88" s="521"/>
      <c r="Y88" s="521"/>
      <c r="Z88" s="521"/>
      <c r="AA88" s="521"/>
      <c r="AB88" s="521"/>
      <c r="AC88" s="521"/>
      <c r="AD88" s="535"/>
    </row>
    <row r="89" spans="1:30" ht="18.75" customHeight="1" x14ac:dyDescent="0.2">
      <c r="A89" s="338" t="s">
        <v>153</v>
      </c>
      <c r="B89" s="344" t="s">
        <v>154</v>
      </c>
      <c r="C89" s="344"/>
      <c r="D89" s="344">
        <v>405761</v>
      </c>
      <c r="E89" s="344">
        <v>51777</v>
      </c>
      <c r="F89" s="344">
        <v>612595</v>
      </c>
      <c r="G89" s="344"/>
      <c r="H89" s="344"/>
      <c r="I89" s="344"/>
      <c r="J89" s="344"/>
      <c r="K89" s="534"/>
      <c r="L89" s="413">
        <v>-751084.1</v>
      </c>
      <c r="M89" s="525"/>
      <c r="N89" s="526"/>
      <c r="O89" s="338"/>
      <c r="Q89" s="488"/>
      <c r="V89" s="521">
        <v>2801</v>
      </c>
      <c r="W89" s="521"/>
      <c r="X89" s="521"/>
      <c r="Y89" s="521"/>
      <c r="Z89" s="521"/>
      <c r="AA89" s="521"/>
      <c r="AB89" s="521"/>
      <c r="AC89" s="521"/>
      <c r="AD89" s="521"/>
    </row>
    <row r="90" spans="1:30" ht="18.75" customHeight="1" x14ac:dyDescent="0.2">
      <c r="B90" s="344" t="s">
        <v>155</v>
      </c>
      <c r="C90" s="344"/>
      <c r="D90" s="344"/>
      <c r="E90" s="344"/>
      <c r="F90" s="344"/>
      <c r="G90" s="344"/>
      <c r="H90" s="344"/>
      <c r="I90" s="344"/>
      <c r="J90" s="344"/>
      <c r="K90" s="534"/>
      <c r="L90" s="528">
        <f>L87+L89</f>
        <v>-5443.9499999999534</v>
      </c>
      <c r="M90" s="525"/>
      <c r="N90" s="526"/>
      <c r="O90" s="338"/>
      <c r="Q90" s="488"/>
      <c r="V90" s="521">
        <v>2911</v>
      </c>
      <c r="W90" s="536"/>
      <c r="X90" s="536"/>
      <c r="Y90" s="536"/>
      <c r="Z90" s="536"/>
      <c r="AA90" s="536"/>
      <c r="AB90" s="536"/>
      <c r="AC90" s="536"/>
      <c r="AD90" s="521"/>
    </row>
    <row r="91" spans="1:30" ht="18.75" customHeight="1" x14ac:dyDescent="0.2">
      <c r="B91" s="344" t="s">
        <v>156</v>
      </c>
      <c r="C91" s="344"/>
      <c r="D91" s="344"/>
      <c r="E91" s="344"/>
      <c r="F91" s="344"/>
      <c r="G91" s="344"/>
      <c r="H91" s="344"/>
      <c r="I91" s="344"/>
      <c r="J91" s="344"/>
      <c r="K91" s="534"/>
      <c r="L91" s="528">
        <v>1</v>
      </c>
      <c r="M91" s="525"/>
      <c r="N91" s="526"/>
      <c r="O91" s="338"/>
      <c r="Q91" s="488"/>
      <c r="V91" s="521">
        <v>3382</v>
      </c>
      <c r="W91" s="536"/>
      <c r="X91" s="536"/>
      <c r="Y91" s="536"/>
      <c r="Z91" s="536"/>
      <c r="AA91" s="536"/>
      <c r="AB91" s="536"/>
      <c r="AC91" s="536"/>
      <c r="AD91" s="521"/>
    </row>
    <row r="92" spans="1:30" ht="18.75" customHeight="1" thickBot="1" x14ac:dyDescent="0.25">
      <c r="B92" s="344" t="s">
        <v>434</v>
      </c>
      <c r="C92" s="344"/>
      <c r="D92" s="344"/>
      <c r="E92" s="344"/>
      <c r="F92" s="344"/>
      <c r="G92" s="344"/>
      <c r="H92" s="344"/>
      <c r="I92" s="344"/>
      <c r="J92" s="344"/>
      <c r="K92" s="534"/>
      <c r="L92" s="537">
        <f>L90/L91</f>
        <v>-5443.9499999999534</v>
      </c>
      <c r="M92" s="525"/>
      <c r="N92" s="526"/>
      <c r="O92" s="338"/>
      <c r="Q92" s="488"/>
      <c r="V92" s="538"/>
      <c r="W92" s="538"/>
      <c r="X92" s="538"/>
      <c r="Y92" s="538"/>
      <c r="Z92" s="538"/>
      <c r="AA92" s="538"/>
      <c r="AB92" s="538"/>
      <c r="AC92" s="538"/>
    </row>
    <row r="93" spans="1:30" ht="18.75" customHeight="1" thickTop="1" x14ac:dyDescent="0.2">
      <c r="V93" s="538"/>
      <c r="W93" s="538"/>
      <c r="X93" s="538"/>
      <c r="Y93" s="538"/>
      <c r="Z93" s="538"/>
      <c r="AA93" s="538"/>
      <c r="AB93" s="538"/>
      <c r="AC93" s="538"/>
      <c r="AD93" s="521"/>
    </row>
    <row r="94" spans="1:30" ht="18.75" customHeight="1" thickBot="1" x14ac:dyDescent="0.25">
      <c r="B94" s="539" t="s">
        <v>158</v>
      </c>
      <c r="C94" s="344"/>
      <c r="D94" s="344"/>
      <c r="E94" s="344"/>
      <c r="G94" s="344"/>
      <c r="H94" s="344"/>
      <c r="I94" s="344"/>
      <c r="J94" s="344"/>
      <c r="L94" s="540">
        <f>IF(M86="H",(K86*0.02)+L86,(K86*0.05)+L86)</f>
        <v>0</v>
      </c>
      <c r="M94" s="525"/>
      <c r="V94" s="541"/>
      <c r="W94" s="541"/>
      <c r="X94" s="541"/>
      <c r="Y94" s="541"/>
      <c r="Z94" s="541"/>
      <c r="AA94" s="541"/>
      <c r="AB94" s="541"/>
      <c r="AC94" s="541"/>
      <c r="AD94" s="521"/>
    </row>
    <row r="95" spans="1:30" ht="21.75" customHeight="1" thickTop="1" x14ac:dyDescent="0.2">
      <c r="B95" s="344" t="s">
        <v>159</v>
      </c>
      <c r="C95" s="344"/>
      <c r="D95" s="344"/>
      <c r="E95" s="344"/>
      <c r="F95" s="344"/>
      <c r="G95" s="344"/>
      <c r="H95" s="344"/>
      <c r="I95" s="344"/>
      <c r="J95" s="344"/>
      <c r="K95" s="344"/>
      <c r="L95" s="344"/>
      <c r="V95" s="541"/>
      <c r="W95" s="541"/>
      <c r="X95" s="541"/>
      <c r="Y95" s="541"/>
      <c r="Z95" s="541"/>
      <c r="AA95" s="541"/>
      <c r="AB95" s="541"/>
      <c r="AC95" s="541"/>
      <c r="AD95" s="521"/>
    </row>
    <row r="96" spans="1:30" ht="15" x14ac:dyDescent="0.2">
      <c r="B96" s="542"/>
      <c r="V96" s="541"/>
      <c r="W96" s="541"/>
      <c r="X96" s="541"/>
      <c r="Y96" s="541"/>
      <c r="Z96" s="541"/>
      <c r="AA96" s="541"/>
      <c r="AB96" s="541"/>
      <c r="AC96" s="541"/>
    </row>
    <row r="97" spans="2:30" ht="15" x14ac:dyDescent="0.2">
      <c r="B97" s="542"/>
      <c r="V97" s="541"/>
      <c r="W97" s="541"/>
      <c r="X97" s="541"/>
      <c r="Y97" s="541"/>
      <c r="Z97" s="541"/>
      <c r="AA97" s="541"/>
      <c r="AB97" s="541"/>
      <c r="AC97" s="541"/>
    </row>
    <row r="98" spans="2:30" ht="15" hidden="1" x14ac:dyDescent="0.25">
      <c r="B98" s="543" t="s">
        <v>160</v>
      </c>
      <c r="C98" s="544"/>
      <c r="V98" s="545"/>
      <c r="W98" s="545"/>
      <c r="X98" s="545"/>
      <c r="Y98" s="545"/>
      <c r="Z98" s="545"/>
      <c r="AA98" s="545"/>
      <c r="AB98" s="545"/>
      <c r="AC98" s="545"/>
    </row>
    <row r="99" spans="2:30" ht="15" hidden="1" x14ac:dyDescent="0.25">
      <c r="B99" s="546"/>
      <c r="C99" s="544"/>
      <c r="V99" s="542"/>
      <c r="W99" s="344"/>
      <c r="X99" s="344"/>
      <c r="Y99" s="344"/>
      <c r="Z99" s="344"/>
      <c r="AA99" s="344"/>
      <c r="AB99" s="344"/>
      <c r="AC99" s="344"/>
    </row>
    <row r="100" spans="2:30" ht="15" hidden="1" x14ac:dyDescent="0.25">
      <c r="B100" s="547" t="s">
        <v>161</v>
      </c>
      <c r="C100" s="543" t="s">
        <v>162</v>
      </c>
      <c r="V100" s="542"/>
    </row>
    <row r="101" spans="2:30" ht="15" hidden="1" x14ac:dyDescent="0.25">
      <c r="B101" s="547" t="s">
        <v>163</v>
      </c>
      <c r="C101" s="543" t="s">
        <v>164</v>
      </c>
      <c r="V101" s="542"/>
    </row>
    <row r="102" spans="2:30" ht="15" hidden="1" x14ac:dyDescent="0.25">
      <c r="B102" s="547" t="s">
        <v>165</v>
      </c>
      <c r="C102" s="543" t="s">
        <v>166</v>
      </c>
      <c r="V102" s="542"/>
      <c r="W102" s="548"/>
      <c r="X102" s="548"/>
      <c r="Y102" s="548"/>
      <c r="Z102" s="548"/>
      <c r="AA102" s="548"/>
      <c r="AB102" s="548"/>
      <c r="AC102" s="548"/>
      <c r="AD102" s="548"/>
    </row>
    <row r="103" spans="2:30" ht="15" hidden="1" x14ac:dyDescent="0.25">
      <c r="B103" s="547" t="s">
        <v>167</v>
      </c>
      <c r="C103" s="543" t="s">
        <v>168</v>
      </c>
      <c r="V103" s="542"/>
    </row>
    <row r="104" spans="2:30" ht="15" hidden="1" x14ac:dyDescent="0.25">
      <c r="B104" s="549"/>
      <c r="C104" s="543" t="s">
        <v>169</v>
      </c>
      <c r="V104" s="542"/>
    </row>
    <row r="105" spans="2:30" ht="15" hidden="1" x14ac:dyDescent="0.25">
      <c r="B105" s="547" t="s">
        <v>170</v>
      </c>
      <c r="C105" s="543" t="s">
        <v>171</v>
      </c>
      <c r="V105" s="542"/>
    </row>
    <row r="106" spans="2:30" ht="15" hidden="1" x14ac:dyDescent="0.25">
      <c r="B106" s="547" t="s">
        <v>172</v>
      </c>
      <c r="C106" s="543" t="s">
        <v>173</v>
      </c>
      <c r="V106" s="542"/>
    </row>
    <row r="107" spans="2:30" ht="15" hidden="1" x14ac:dyDescent="0.25">
      <c r="B107" s="547" t="s">
        <v>228</v>
      </c>
      <c r="C107" s="543" t="s">
        <v>175</v>
      </c>
      <c r="V107" s="542"/>
    </row>
    <row r="108" spans="2:30" ht="15" hidden="1" x14ac:dyDescent="0.25">
      <c r="B108" s="547" t="s">
        <v>176</v>
      </c>
      <c r="C108" s="543" t="s">
        <v>177</v>
      </c>
      <c r="V108" s="542"/>
    </row>
    <row r="109" spans="2:30" ht="15" hidden="1" x14ac:dyDescent="0.25">
      <c r="B109" s="547" t="s">
        <v>178</v>
      </c>
      <c r="C109" s="543" t="s">
        <v>179</v>
      </c>
      <c r="V109" s="542"/>
    </row>
    <row r="110" spans="2:30" ht="15" hidden="1" x14ac:dyDescent="0.25">
      <c r="B110" s="549"/>
      <c r="C110" s="543"/>
      <c r="V110" s="542"/>
    </row>
    <row r="111" spans="2:30" ht="15" hidden="1" x14ac:dyDescent="0.25">
      <c r="B111" s="547" t="s">
        <v>180</v>
      </c>
      <c r="C111" s="543" t="s">
        <v>181</v>
      </c>
      <c r="V111" s="542"/>
    </row>
    <row r="112" spans="2:30" ht="15" hidden="1" x14ac:dyDescent="0.25">
      <c r="B112" s="547" t="s">
        <v>180</v>
      </c>
      <c r="C112" s="543" t="s">
        <v>182</v>
      </c>
    </row>
    <row r="113" spans="2:3" ht="15" hidden="1" x14ac:dyDescent="0.25">
      <c r="B113" s="547" t="s">
        <v>183</v>
      </c>
      <c r="C113" s="543" t="s">
        <v>184</v>
      </c>
    </row>
    <row r="114" spans="2:3" ht="15" hidden="1" x14ac:dyDescent="0.25">
      <c r="B114" s="547" t="s">
        <v>185</v>
      </c>
      <c r="C114" s="543" t="s">
        <v>186</v>
      </c>
    </row>
    <row r="115" spans="2:3" ht="15" hidden="1" x14ac:dyDescent="0.25">
      <c r="B115" s="547" t="s">
        <v>183</v>
      </c>
      <c r="C115" s="543" t="s">
        <v>187</v>
      </c>
    </row>
    <row r="116" spans="2:3" ht="15" hidden="1" x14ac:dyDescent="0.25">
      <c r="B116" s="547" t="s">
        <v>188</v>
      </c>
      <c r="C116" s="543" t="s">
        <v>189</v>
      </c>
    </row>
    <row r="117" spans="2:3" ht="15" hidden="1" x14ac:dyDescent="0.25">
      <c r="B117" s="547" t="s">
        <v>190</v>
      </c>
      <c r="C117" s="543" t="s">
        <v>191</v>
      </c>
    </row>
    <row r="118" spans="2:3" ht="15" hidden="1" x14ac:dyDescent="0.25">
      <c r="B118" s="549" t="s">
        <v>192</v>
      </c>
      <c r="C118" s="543" t="s">
        <v>193</v>
      </c>
    </row>
    <row r="119" spans="2:3" ht="15" hidden="1" x14ac:dyDescent="0.25">
      <c r="B119" s="549"/>
      <c r="C119" s="543"/>
    </row>
    <row r="120" spans="2:3" ht="15" hidden="1" x14ac:dyDescent="0.25">
      <c r="B120" s="547" t="s">
        <v>161</v>
      </c>
      <c r="C120" s="543" t="s">
        <v>194</v>
      </c>
    </row>
    <row r="121" spans="2:3" ht="15" hidden="1" x14ac:dyDescent="0.25">
      <c r="B121" s="547" t="s">
        <v>195</v>
      </c>
      <c r="C121" s="543" t="s">
        <v>196</v>
      </c>
    </row>
    <row r="122" spans="2:3" ht="15" hidden="1" x14ac:dyDescent="0.25">
      <c r="B122" s="547" t="s">
        <v>197</v>
      </c>
      <c r="C122" s="543" t="s">
        <v>198</v>
      </c>
    </row>
    <row r="123" spans="2:3" ht="15" hidden="1" x14ac:dyDescent="0.25">
      <c r="B123" s="547" t="s">
        <v>229</v>
      </c>
      <c r="C123" s="543" t="s">
        <v>200</v>
      </c>
    </row>
    <row r="124" spans="2:3" ht="15" hidden="1" x14ac:dyDescent="0.25">
      <c r="B124" s="547" t="s">
        <v>230</v>
      </c>
      <c r="C124" s="543" t="s">
        <v>202</v>
      </c>
    </row>
    <row r="125" spans="2:3" ht="15" hidden="1" x14ac:dyDescent="0.25">
      <c r="B125" s="547" t="s">
        <v>203</v>
      </c>
      <c r="C125" s="543" t="s">
        <v>204</v>
      </c>
    </row>
    <row r="126" spans="2:3" ht="15" hidden="1" x14ac:dyDescent="0.25">
      <c r="B126" s="547" t="s">
        <v>203</v>
      </c>
      <c r="C126" s="543" t="s">
        <v>205</v>
      </c>
    </row>
    <row r="127" spans="2:3" ht="15" hidden="1" x14ac:dyDescent="0.25">
      <c r="B127" s="547" t="s">
        <v>203</v>
      </c>
      <c r="C127" s="543" t="s">
        <v>206</v>
      </c>
    </row>
    <row r="128" spans="2:3" ht="15" hidden="1" x14ac:dyDescent="0.25">
      <c r="B128" s="547" t="s">
        <v>203</v>
      </c>
      <c r="C128" s="543" t="s">
        <v>207</v>
      </c>
    </row>
    <row r="129" spans="2:3" ht="15" hidden="1" x14ac:dyDescent="0.25">
      <c r="B129" s="547" t="s">
        <v>167</v>
      </c>
      <c r="C129" s="543" t="s">
        <v>208</v>
      </c>
    </row>
    <row r="130" spans="2:3" ht="15" hidden="1" x14ac:dyDescent="0.25">
      <c r="B130" s="547" t="s">
        <v>209</v>
      </c>
      <c r="C130" s="543" t="s">
        <v>210</v>
      </c>
    </row>
    <row r="131" spans="2:3" ht="15" hidden="1" x14ac:dyDescent="0.25">
      <c r="B131" s="547" t="s">
        <v>203</v>
      </c>
      <c r="C131" s="543" t="s">
        <v>211</v>
      </c>
    </row>
    <row r="132" spans="2:3" ht="15" hidden="1" x14ac:dyDescent="0.25">
      <c r="B132" s="543"/>
      <c r="C132" s="543"/>
    </row>
    <row r="133" spans="2:3" ht="15" hidden="1" x14ac:dyDescent="0.25">
      <c r="B133" s="543"/>
      <c r="C133" s="543"/>
    </row>
    <row r="134" spans="2:3" ht="15" hidden="1" x14ac:dyDescent="0.25">
      <c r="B134" s="549"/>
      <c r="C134" s="549"/>
    </row>
    <row r="135" spans="2:3" ht="15" hidden="1" x14ac:dyDescent="0.25">
      <c r="B135" s="549">
        <f>NvsElapsedTime</f>
        <v>1.15740767796524E-5</v>
      </c>
      <c r="C135" s="549"/>
    </row>
    <row r="136" spans="2:3" ht="15" hidden="1" x14ac:dyDescent="0.25">
      <c r="B136" s="550">
        <f>NvsEndTime</f>
        <v>41754.487708333298</v>
      </c>
      <c r="C136" s="550" t="s">
        <v>212</v>
      </c>
    </row>
    <row r="137" spans="2:3" ht="15" x14ac:dyDescent="0.25">
      <c r="B137" s="543"/>
      <c r="C137" s="551"/>
    </row>
    <row r="138" spans="2:3" ht="15" x14ac:dyDescent="0.25">
      <c r="B138" s="543"/>
      <c r="C138" s="543"/>
    </row>
    <row r="139" spans="2:3" ht="15" x14ac:dyDescent="0.25">
      <c r="B139" s="543"/>
      <c r="C139" s="543"/>
    </row>
    <row r="140" spans="2:3" ht="15" x14ac:dyDescent="0.25">
      <c r="B140" s="543"/>
      <c r="C140" s="543"/>
    </row>
    <row r="141" spans="2:3" ht="15" x14ac:dyDescent="0.25">
      <c r="B141" s="543"/>
      <c r="C141" s="543"/>
    </row>
    <row r="142" spans="2:3" ht="15" x14ac:dyDescent="0.25">
      <c r="B142" s="543"/>
      <c r="C142" s="543"/>
    </row>
    <row r="143" spans="2:3" ht="15" x14ac:dyDescent="0.25">
      <c r="B143" s="543"/>
      <c r="C143" s="543"/>
    </row>
    <row r="144" spans="2:3" ht="15" x14ac:dyDescent="0.25">
      <c r="B144" s="543"/>
      <c r="C144" s="543"/>
    </row>
    <row r="145" spans="2:3" ht="15" x14ac:dyDescent="0.25">
      <c r="B145" s="543"/>
      <c r="C145" s="543"/>
    </row>
    <row r="146" spans="2:3" ht="15" x14ac:dyDescent="0.25">
      <c r="B146" s="543"/>
      <c r="C146" s="543"/>
    </row>
    <row r="147" spans="2:3" ht="15" x14ac:dyDescent="0.25">
      <c r="B147" s="543"/>
      <c r="C147" s="543"/>
    </row>
    <row r="148" spans="2:3" ht="15" x14ac:dyDescent="0.25">
      <c r="B148" s="543"/>
      <c r="C148" s="543"/>
    </row>
    <row r="149" spans="2:3" ht="15" x14ac:dyDescent="0.25">
      <c r="B149" s="543"/>
      <c r="C149" s="543"/>
    </row>
    <row r="150" spans="2:3" ht="15" x14ac:dyDescent="0.25">
      <c r="B150" s="543"/>
      <c r="C150" s="543"/>
    </row>
    <row r="151" spans="2:3" ht="15" x14ac:dyDescent="0.25">
      <c r="B151" s="543"/>
      <c r="C151" s="543"/>
    </row>
  </sheetData>
  <mergeCells count="151">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9:W9"/>
    <mergeCell ref="X9:Y9"/>
    <mergeCell ref="Z9:AA9"/>
    <mergeCell ref="V10:W10"/>
    <mergeCell ref="X10:Y10"/>
    <mergeCell ref="Z10:AA10"/>
    <mergeCell ref="V7:W7"/>
    <mergeCell ref="X7:Y7"/>
    <mergeCell ref="Z7:AA7"/>
    <mergeCell ref="AB7:AC7"/>
    <mergeCell ref="V8:W8"/>
    <mergeCell ref="X8:Y8"/>
    <mergeCell ref="Z8:AA8"/>
    <mergeCell ref="W2:AC2"/>
    <mergeCell ref="V3:AC3"/>
    <mergeCell ref="V4:AC4"/>
    <mergeCell ref="V5:W5"/>
    <mergeCell ref="X5:Y5"/>
    <mergeCell ref="V6:AC6"/>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AD151"/>
  <sheetViews>
    <sheetView topLeftCell="B2" zoomScale="70" zoomScaleNormal="70" workbookViewId="0">
      <selection activeCell="B2" sqref="B2"/>
    </sheetView>
  </sheetViews>
  <sheetFormatPr defaultColWidth="8.85546875" defaultRowHeight="15.75" x14ac:dyDescent="0.25"/>
  <cols>
    <col min="1" max="1" width="11.28515625" style="1" hidden="1" customWidth="1"/>
    <col min="2" max="2" width="10.28515625" style="2" customWidth="1"/>
    <col min="3" max="3" width="29" style="1" customWidth="1"/>
    <col min="4" max="5" width="12.28515625" style="1" customWidth="1"/>
    <col min="6" max="6" width="12.28515625" style="1" hidden="1" customWidth="1"/>
    <col min="7" max="7" width="15.28515625" style="1" customWidth="1"/>
    <col min="8" max="8" width="6.7109375" style="1" customWidth="1"/>
    <col min="9" max="9" width="12.5703125" style="1" customWidth="1"/>
    <col min="10" max="10" width="12.85546875" style="1" customWidth="1"/>
    <col min="11" max="11" width="15.5703125" style="1" bestFit="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28515625" style="1" customWidth="1"/>
    <col min="18" max="18" width="8.85546875" style="1"/>
    <col min="19" max="21" width="0" style="1" hidden="1" customWidth="1"/>
    <col min="22" max="23" width="8.85546875" style="1"/>
    <col min="24" max="24" width="12.7109375" style="1" customWidth="1"/>
    <col min="25" max="27" width="8.85546875" style="1"/>
    <col min="28" max="28" width="13.140625" style="1" bestFit="1" customWidth="1"/>
    <col min="29" max="16384" width="8.85546875" style="1"/>
  </cols>
  <sheetData>
    <row r="1" spans="1:30" ht="15.6"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7"/>
      <c r="N2" s="3"/>
      <c r="O2" s="1"/>
      <c r="V2" s="8">
        <f>'2641'!B2</f>
        <v>50</v>
      </c>
      <c r="W2" s="606" t="s">
        <v>4</v>
      </c>
      <c r="X2" s="607"/>
      <c r="Y2" s="608"/>
      <c r="Z2" s="608"/>
      <c r="AA2" s="608"/>
      <c r="AB2" s="608"/>
      <c r="AC2" s="608"/>
      <c r="AD2" s="9"/>
    </row>
    <row r="3" spans="1:30" ht="20.25" x14ac:dyDescent="0.3">
      <c r="B3" s="10" t="str">
        <f>"Revenue Estimate Worksheet for "&amp;B124</f>
        <v>Revenue Estimate Worksheet for Lakeside Academy Charter</v>
      </c>
      <c r="C3" s="11"/>
      <c r="D3" s="11"/>
      <c r="E3" s="11"/>
      <c r="F3" s="11"/>
      <c r="G3" s="11"/>
      <c r="H3" s="11"/>
      <c r="I3" s="11"/>
      <c r="J3" s="11"/>
      <c r="K3" s="11"/>
      <c r="L3" s="11"/>
      <c r="M3" s="10"/>
      <c r="N3" s="10"/>
      <c r="O3" s="10"/>
      <c r="P3" s="10"/>
      <c r="Q3" s="10"/>
      <c r="V3" s="609" t="s">
        <v>5</v>
      </c>
      <c r="W3" s="609"/>
      <c r="X3" s="609"/>
      <c r="Y3" s="609"/>
      <c r="Z3" s="609"/>
      <c r="AA3" s="609"/>
      <c r="AB3" s="609"/>
      <c r="AC3" s="609"/>
      <c r="AD3" s="12"/>
    </row>
    <row r="4" spans="1:30" ht="18.75" x14ac:dyDescent="0.3">
      <c r="B4" s="2" t="s">
        <v>6</v>
      </c>
      <c r="C4" s="13"/>
      <c r="D4" s="13"/>
      <c r="E4" s="13"/>
      <c r="F4" s="13"/>
      <c r="G4" s="13"/>
      <c r="H4" s="13"/>
      <c r="I4" s="13"/>
      <c r="J4" s="13"/>
      <c r="K4" s="13"/>
      <c r="L4" s="13"/>
      <c r="M4" s="14"/>
      <c r="N4" s="14"/>
      <c r="O4" s="14"/>
      <c r="P4" s="14"/>
      <c r="Q4" s="14"/>
      <c r="V4" s="610" t="str">
        <f>+Based_on_the_Second_Calculation_of_the_FEFP_2010_11</f>
        <v>Based on the Fourth Calculation of the FEFP 2013-14</v>
      </c>
      <c r="W4" s="610"/>
      <c r="X4" s="610"/>
      <c r="Y4" s="610"/>
      <c r="Z4" s="610"/>
      <c r="AA4" s="610"/>
      <c r="AB4" s="610"/>
      <c r="AC4" s="610"/>
      <c r="AD4" s="15"/>
    </row>
    <row r="5" spans="1:30" ht="18.75" customHeight="1" x14ac:dyDescent="0.25">
      <c r="B5" s="16" t="s">
        <v>7</v>
      </c>
      <c r="C5" s="16"/>
      <c r="D5" s="16"/>
      <c r="E5" s="16"/>
      <c r="F5" s="16"/>
      <c r="G5" s="17" t="s">
        <v>8</v>
      </c>
      <c r="H5" s="17"/>
      <c r="I5" s="17"/>
      <c r="J5" s="17"/>
      <c r="K5" s="17"/>
      <c r="L5" s="17"/>
      <c r="M5" s="18"/>
      <c r="N5" s="18"/>
      <c r="O5" s="18"/>
      <c r="P5" s="18"/>
      <c r="Q5" s="18"/>
      <c r="V5" s="611" t="s">
        <v>7</v>
      </c>
      <c r="W5" s="611"/>
      <c r="X5" s="612" t="s">
        <v>8</v>
      </c>
      <c r="Y5" s="612"/>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613" t="s">
        <v>9</v>
      </c>
      <c r="W6" s="613"/>
      <c r="X6" s="613"/>
      <c r="Y6" s="613"/>
      <c r="Z6" s="613"/>
      <c r="AA6" s="613"/>
      <c r="AB6" s="613"/>
      <c r="AC6" s="613"/>
      <c r="AD6" s="22"/>
    </row>
    <row r="7" spans="1:30" ht="18" customHeight="1" x14ac:dyDescent="0.25">
      <c r="B7" s="23" t="s">
        <v>10</v>
      </c>
      <c r="C7" s="23"/>
      <c r="D7" s="23"/>
      <c r="E7" s="23"/>
      <c r="F7" s="23"/>
      <c r="G7" s="24">
        <v>3752.3</v>
      </c>
      <c r="H7" s="24"/>
      <c r="I7" s="23" t="s">
        <v>11</v>
      </c>
      <c r="J7" s="23"/>
      <c r="K7" s="25">
        <v>1.0326</v>
      </c>
      <c r="L7" s="25"/>
      <c r="O7" s="1"/>
      <c r="V7" s="620" t="s">
        <v>10</v>
      </c>
      <c r="W7" s="620"/>
      <c r="X7" s="621">
        <f>'2641'!G7</f>
        <v>3752.3</v>
      </c>
      <c r="Y7" s="621"/>
      <c r="Z7" s="622" t="s">
        <v>11</v>
      </c>
      <c r="AA7" s="622"/>
      <c r="AB7" s="602">
        <f>+K7</f>
        <v>1.0326</v>
      </c>
      <c r="AC7" s="602"/>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603" t="s">
        <v>12</v>
      </c>
      <c r="W8" s="603"/>
      <c r="X8" s="604" t="s">
        <v>15</v>
      </c>
      <c r="Y8" s="604"/>
      <c r="Z8" s="605" t="s">
        <v>16</v>
      </c>
      <c r="AA8" s="605"/>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614" t="s">
        <v>22</v>
      </c>
      <c r="W9" s="614"/>
      <c r="X9" s="615" t="s">
        <v>23</v>
      </c>
      <c r="Y9" s="615"/>
      <c r="Z9" s="616" t="s">
        <v>24</v>
      </c>
      <c r="AA9" s="616"/>
      <c r="AB9" s="43" t="s">
        <v>25</v>
      </c>
      <c r="AC9" s="44" t="s">
        <v>26</v>
      </c>
      <c r="AD9" s="9"/>
    </row>
    <row r="10" spans="1:30" x14ac:dyDescent="0.25">
      <c r="A10" s="1" t="s">
        <v>27</v>
      </c>
      <c r="B10" s="45" t="s">
        <v>28</v>
      </c>
      <c r="C10" s="45"/>
      <c r="D10" s="45">
        <v>21.82</v>
      </c>
      <c r="E10" s="45">
        <v>22.73</v>
      </c>
      <c r="F10" s="45">
        <v>26.15</v>
      </c>
      <c r="G10" s="46">
        <f>D10+E10</f>
        <v>44.55</v>
      </c>
      <c r="H10" s="47"/>
      <c r="I10" s="48">
        <v>1.125</v>
      </c>
      <c r="J10" s="48"/>
      <c r="K10" s="49">
        <f>ROUND(G10*I10,4)</f>
        <v>50.1188</v>
      </c>
      <c r="L10" s="50">
        <f>ROUND(ROUND(K10*$G$7,4)*($K$7),0)</f>
        <v>194192</v>
      </c>
      <c r="N10" s="51">
        <v>5101</v>
      </c>
      <c r="O10" s="52">
        <v>101</v>
      </c>
      <c r="P10" s="53"/>
      <c r="Q10" s="54"/>
      <c r="V10" s="617" t="s">
        <v>28</v>
      </c>
      <c r="W10" s="617"/>
      <c r="X10" s="618">
        <f>IF('2641'!K$84=1,'2641'!G10,0)</f>
        <v>0</v>
      </c>
      <c r="Y10" s="618"/>
      <c r="Z10" s="619">
        <v>1</v>
      </c>
      <c r="AA10" s="619"/>
      <c r="AB10" s="55">
        <f t="shared" ref="AB10:AB25" si="0">ROUND(X10*Z10,4)</f>
        <v>0</v>
      </c>
      <c r="AC10" s="56">
        <f t="shared" ref="AC10:AC25" si="1">ROUND(ROUND(AB10*$X$7,4)*($AB$7),0)</f>
        <v>0</v>
      </c>
      <c r="AD10" s="9">
        <v>1</v>
      </c>
    </row>
    <row r="11" spans="1:30" x14ac:dyDescent="0.25">
      <c r="A11" s="1" t="s">
        <v>29</v>
      </c>
      <c r="B11" s="13" t="s">
        <v>30</v>
      </c>
      <c r="C11" s="13"/>
      <c r="D11" s="13">
        <v>3.97</v>
      </c>
      <c r="E11" s="13">
        <v>3.5</v>
      </c>
      <c r="F11" s="13">
        <v>4.88</v>
      </c>
      <c r="G11" s="46">
        <f t="shared" ref="G11:G25" si="2">D11+E11</f>
        <v>7.4700000000000006</v>
      </c>
      <c r="H11" s="47"/>
      <c r="I11" s="57">
        <f>I10</f>
        <v>1.125</v>
      </c>
      <c r="J11" s="57"/>
      <c r="K11" s="49">
        <f t="shared" ref="K11:K25" si="3">ROUND(G11*I11,4)</f>
        <v>8.4038000000000004</v>
      </c>
      <c r="L11" s="50">
        <f t="shared" ref="L11:L25" si="4">ROUND(ROUND(K11*$G$7,4)*($K$7),0)</f>
        <v>32562</v>
      </c>
      <c r="M11" s="1" t="str">
        <f>IF(ROUND(G11,2)=ROUND(SUM(G28:G30),2)," ","CHECK 2. PK-3 Lines Below")</f>
        <v xml:space="preserve"> </v>
      </c>
      <c r="N11" s="51">
        <v>5101</v>
      </c>
      <c r="O11" s="58" t="s">
        <v>31</v>
      </c>
      <c r="P11" s="53"/>
      <c r="Q11" s="54"/>
      <c r="V11" s="623" t="s">
        <v>30</v>
      </c>
      <c r="W11" s="623"/>
      <c r="X11" s="618">
        <f>IF('2641'!K$84=1,'2641'!G11,0)</f>
        <v>0</v>
      </c>
      <c r="Y11" s="618"/>
      <c r="Z11" s="624">
        <v>1</v>
      </c>
      <c r="AA11" s="624"/>
      <c r="AB11" s="55">
        <f t="shared" si="0"/>
        <v>0</v>
      </c>
      <c r="AC11" s="56">
        <f t="shared" si="1"/>
        <v>0</v>
      </c>
      <c r="AD11" s="9"/>
    </row>
    <row r="12" spans="1:30" x14ac:dyDescent="0.25">
      <c r="A12" s="1" t="s">
        <v>32</v>
      </c>
      <c r="B12" s="13" t="s">
        <v>33</v>
      </c>
      <c r="C12" s="13"/>
      <c r="D12" s="13">
        <v>12.04</v>
      </c>
      <c r="E12" s="13">
        <v>14.04</v>
      </c>
      <c r="F12" s="13">
        <v>14.45</v>
      </c>
      <c r="G12" s="46">
        <f t="shared" si="2"/>
        <v>26.08</v>
      </c>
      <c r="H12" s="47"/>
      <c r="I12" s="57">
        <v>1</v>
      </c>
      <c r="J12" s="57"/>
      <c r="K12" s="49">
        <f t="shared" si="3"/>
        <v>26.08</v>
      </c>
      <c r="L12" s="50">
        <f t="shared" si="4"/>
        <v>101050</v>
      </c>
      <c r="N12" s="51">
        <v>5102</v>
      </c>
      <c r="O12" s="52">
        <v>102</v>
      </c>
      <c r="P12" s="53"/>
      <c r="Q12" s="54"/>
      <c r="V12" s="623" t="s">
        <v>33</v>
      </c>
      <c r="W12" s="623"/>
      <c r="X12" s="618">
        <f>IF('2641'!K$84=1,'2641'!G12,0)</f>
        <v>0</v>
      </c>
      <c r="Y12" s="618"/>
      <c r="Z12" s="624">
        <v>1</v>
      </c>
      <c r="AA12" s="624"/>
      <c r="AB12" s="55">
        <f t="shared" si="0"/>
        <v>0</v>
      </c>
      <c r="AC12" s="56">
        <f t="shared" si="1"/>
        <v>0</v>
      </c>
      <c r="AD12" s="9"/>
    </row>
    <row r="13" spans="1:30" x14ac:dyDescent="0.25">
      <c r="A13" s="1" t="s">
        <v>34</v>
      </c>
      <c r="B13" s="13" t="s">
        <v>35</v>
      </c>
      <c r="C13" s="13"/>
      <c r="D13" s="13">
        <v>6.01</v>
      </c>
      <c r="E13" s="13">
        <v>6.01</v>
      </c>
      <c r="F13" s="13">
        <v>7.36</v>
      </c>
      <c r="G13" s="46">
        <f t="shared" si="2"/>
        <v>12.02</v>
      </c>
      <c r="H13" s="47"/>
      <c r="I13" s="57">
        <f>I12</f>
        <v>1</v>
      </c>
      <c r="J13" s="57"/>
      <c r="K13" s="49">
        <f t="shared" si="3"/>
        <v>12.02</v>
      </c>
      <c r="L13" s="50">
        <f t="shared" si="4"/>
        <v>46573</v>
      </c>
      <c r="M13" s="1" t="str">
        <f>IF(ROUND(G13,2)=ROUND(SUM(G31:G33),2)," ","CHECK 2. PK-3 Lines Below")</f>
        <v xml:space="preserve"> </v>
      </c>
      <c r="N13" s="51">
        <v>5102</v>
      </c>
      <c r="O13" s="58" t="s">
        <v>36</v>
      </c>
      <c r="P13" s="53"/>
      <c r="Q13" s="54"/>
      <c r="V13" s="623" t="s">
        <v>35</v>
      </c>
      <c r="W13" s="623"/>
      <c r="X13" s="618">
        <f>IF('2641'!K$84=1,'2641'!G13,0)</f>
        <v>0</v>
      </c>
      <c r="Y13" s="618"/>
      <c r="Z13" s="624">
        <v>1</v>
      </c>
      <c r="AA13" s="624"/>
      <c r="AB13" s="55">
        <f t="shared" si="0"/>
        <v>0</v>
      </c>
      <c r="AC13" s="56">
        <f t="shared" si="1"/>
        <v>0</v>
      </c>
      <c r="AD13" s="9"/>
    </row>
    <row r="14" spans="1:30" x14ac:dyDescent="0.25">
      <c r="A14" s="1" t="s">
        <v>37</v>
      </c>
      <c r="B14" s="13" t="s">
        <v>38</v>
      </c>
      <c r="C14" s="13"/>
      <c r="D14" s="13">
        <v>0</v>
      </c>
      <c r="E14" s="13">
        <v>0</v>
      </c>
      <c r="F14" s="13">
        <v>0</v>
      </c>
      <c r="G14" s="46">
        <f t="shared" si="2"/>
        <v>0</v>
      </c>
      <c r="H14" s="47"/>
      <c r="I14" s="57">
        <v>1.0109999999999999</v>
      </c>
      <c r="J14" s="57"/>
      <c r="K14" s="49">
        <f t="shared" si="3"/>
        <v>0</v>
      </c>
      <c r="L14" s="50">
        <f t="shared" si="4"/>
        <v>0</v>
      </c>
      <c r="N14" s="51">
        <v>5103</v>
      </c>
      <c r="O14" s="52">
        <v>103</v>
      </c>
      <c r="P14" s="53"/>
      <c r="Q14" s="54"/>
      <c r="V14" s="623" t="s">
        <v>38</v>
      </c>
      <c r="W14" s="623"/>
      <c r="X14" s="618">
        <f>IF('2641'!K$84=1,'2641'!G14,0)</f>
        <v>0</v>
      </c>
      <c r="Y14" s="618"/>
      <c r="Z14" s="624">
        <v>1</v>
      </c>
      <c r="AA14" s="624"/>
      <c r="AB14" s="55">
        <f t="shared" si="0"/>
        <v>0</v>
      </c>
      <c r="AC14" s="56">
        <f t="shared" si="1"/>
        <v>0</v>
      </c>
      <c r="AD14" s="9"/>
    </row>
    <row r="15" spans="1:30" x14ac:dyDescent="0.25">
      <c r="A15" s="1" t="s">
        <v>39</v>
      </c>
      <c r="B15" s="13" t="s">
        <v>40</v>
      </c>
      <c r="C15" s="13"/>
      <c r="D15" s="13">
        <v>0</v>
      </c>
      <c r="E15" s="13">
        <v>0</v>
      </c>
      <c r="F15" s="13">
        <v>0</v>
      </c>
      <c r="G15" s="46">
        <f t="shared" si="2"/>
        <v>0</v>
      </c>
      <c r="H15" s="47"/>
      <c r="I15" s="57">
        <f>I14</f>
        <v>1.0109999999999999</v>
      </c>
      <c r="J15" s="57"/>
      <c r="K15" s="49">
        <f t="shared" si="3"/>
        <v>0</v>
      </c>
      <c r="L15" s="59">
        <f t="shared" si="4"/>
        <v>0</v>
      </c>
      <c r="M15" s="1" t="str">
        <f>IF(ROUND(G15,2)=ROUND(SUM(G34:G36),2)," ","CHECK 2. PK-3 Lines Below")</f>
        <v xml:space="preserve"> </v>
      </c>
      <c r="N15" s="51">
        <v>5103</v>
      </c>
      <c r="O15" s="58" t="s">
        <v>41</v>
      </c>
      <c r="P15" s="53"/>
      <c r="Q15" s="54"/>
      <c r="V15" s="623" t="s">
        <v>40</v>
      </c>
      <c r="W15" s="623"/>
      <c r="X15" s="618">
        <f>IF('2641'!K$84=1,'2641'!G15,0)</f>
        <v>0</v>
      </c>
      <c r="Y15" s="618"/>
      <c r="Z15" s="624">
        <v>1</v>
      </c>
      <c r="AA15" s="624"/>
      <c r="AB15" s="55">
        <f t="shared" si="0"/>
        <v>0</v>
      </c>
      <c r="AC15" s="60">
        <f t="shared" si="1"/>
        <v>0</v>
      </c>
      <c r="AD15" s="9"/>
    </row>
    <row r="16" spans="1:30" x14ac:dyDescent="0.25">
      <c r="A16" s="1" t="s">
        <v>42</v>
      </c>
      <c r="B16" s="13" t="s">
        <v>43</v>
      </c>
      <c r="C16" s="13"/>
      <c r="D16" s="13">
        <v>0</v>
      </c>
      <c r="E16" s="13">
        <v>0</v>
      </c>
      <c r="F16" s="13">
        <v>0</v>
      </c>
      <c r="G16" s="46">
        <f t="shared" si="2"/>
        <v>0</v>
      </c>
      <c r="H16" s="47"/>
      <c r="I16" s="57">
        <v>3.5579999999999998</v>
      </c>
      <c r="J16" s="57"/>
      <c r="K16" s="49">
        <f t="shared" si="3"/>
        <v>0</v>
      </c>
      <c r="L16" s="50">
        <f t="shared" si="4"/>
        <v>0</v>
      </c>
      <c r="N16" s="51">
        <v>5101</v>
      </c>
      <c r="O16" s="53">
        <v>254</v>
      </c>
      <c r="P16" s="53"/>
      <c r="Q16" s="54"/>
      <c r="V16" s="623" t="s">
        <v>43</v>
      </c>
      <c r="W16" s="623"/>
      <c r="X16" s="618">
        <f>IF('2641'!K$84=1,'2641'!G16,0)</f>
        <v>0</v>
      </c>
      <c r="Y16" s="618"/>
      <c r="Z16" s="624">
        <v>1</v>
      </c>
      <c r="AA16" s="624"/>
      <c r="AB16" s="55">
        <f t="shared" si="0"/>
        <v>0</v>
      </c>
      <c r="AC16" s="56">
        <f t="shared" si="1"/>
        <v>0</v>
      </c>
      <c r="AD16" s="9"/>
    </row>
    <row r="17" spans="1:30" x14ac:dyDescent="0.25">
      <c r="A17" s="1" t="s">
        <v>44</v>
      </c>
      <c r="B17" s="13" t="s">
        <v>45</v>
      </c>
      <c r="C17" s="13"/>
      <c r="D17" s="13">
        <v>0</v>
      </c>
      <c r="E17" s="13">
        <v>0</v>
      </c>
      <c r="F17" s="13">
        <v>0</v>
      </c>
      <c r="G17" s="46">
        <f t="shared" si="2"/>
        <v>0</v>
      </c>
      <c r="H17" s="47"/>
      <c r="I17" s="57">
        <f>I16</f>
        <v>3.5579999999999998</v>
      </c>
      <c r="J17" s="57"/>
      <c r="K17" s="49">
        <f t="shared" si="3"/>
        <v>0</v>
      </c>
      <c r="L17" s="50">
        <f t="shared" si="4"/>
        <v>0</v>
      </c>
      <c r="N17" s="51">
        <v>5102</v>
      </c>
      <c r="O17" s="54">
        <v>254</v>
      </c>
      <c r="P17" s="53"/>
      <c r="Q17" s="54"/>
      <c r="V17" s="623" t="s">
        <v>45</v>
      </c>
      <c r="W17" s="623"/>
      <c r="X17" s="618">
        <f>IF('2641'!K$84=1,'2641'!G17,0)</f>
        <v>0</v>
      </c>
      <c r="Y17" s="618"/>
      <c r="Z17" s="624">
        <v>1</v>
      </c>
      <c r="AA17" s="624"/>
      <c r="AB17" s="55">
        <f t="shared" si="0"/>
        <v>0</v>
      </c>
      <c r="AC17" s="56">
        <f t="shared" si="1"/>
        <v>0</v>
      </c>
      <c r="AD17" s="9"/>
    </row>
    <row r="18" spans="1:30" x14ac:dyDescent="0.25">
      <c r="A18" s="1" t="s">
        <v>46</v>
      </c>
      <c r="B18" s="13" t="s">
        <v>47</v>
      </c>
      <c r="C18" s="13"/>
      <c r="D18" s="13">
        <v>0</v>
      </c>
      <c r="E18" s="13">
        <v>0</v>
      </c>
      <c r="F18" s="13">
        <v>0</v>
      </c>
      <c r="G18" s="46">
        <f t="shared" si="2"/>
        <v>0</v>
      </c>
      <c r="H18" s="47"/>
      <c r="I18" s="57">
        <f>I17</f>
        <v>3.5579999999999998</v>
      </c>
      <c r="J18" s="57"/>
      <c r="K18" s="49">
        <f t="shared" si="3"/>
        <v>0</v>
      </c>
      <c r="L18" s="50">
        <f t="shared" si="4"/>
        <v>0</v>
      </c>
      <c r="N18" s="51">
        <v>5103</v>
      </c>
      <c r="O18" s="54">
        <v>254</v>
      </c>
      <c r="P18" s="53"/>
      <c r="Q18" s="54"/>
      <c r="V18" s="623" t="s">
        <v>47</v>
      </c>
      <c r="W18" s="623"/>
      <c r="X18" s="618">
        <f>IF('2641'!K$84=1,'2641'!G18,0)</f>
        <v>0</v>
      </c>
      <c r="Y18" s="618"/>
      <c r="Z18" s="624">
        <v>1</v>
      </c>
      <c r="AA18" s="624"/>
      <c r="AB18" s="55">
        <f t="shared" si="0"/>
        <v>0</v>
      </c>
      <c r="AC18" s="56">
        <f t="shared" si="1"/>
        <v>0</v>
      </c>
      <c r="AD18" s="9"/>
    </row>
    <row r="19" spans="1:30" ht="15" customHeight="1" x14ac:dyDescent="0.25">
      <c r="A19" s="1" t="s">
        <v>48</v>
      </c>
      <c r="B19" s="13" t="s">
        <v>49</v>
      </c>
      <c r="C19" s="13"/>
      <c r="D19" s="13">
        <v>0</v>
      </c>
      <c r="E19" s="13">
        <v>0</v>
      </c>
      <c r="F19" s="13">
        <v>0</v>
      </c>
      <c r="G19" s="46">
        <f t="shared" si="2"/>
        <v>0</v>
      </c>
      <c r="H19" s="47"/>
      <c r="I19" s="57">
        <v>5.0890000000000004</v>
      </c>
      <c r="J19" s="57"/>
      <c r="K19" s="49">
        <f t="shared" si="3"/>
        <v>0</v>
      </c>
      <c r="L19" s="50">
        <f t="shared" si="4"/>
        <v>0</v>
      </c>
      <c r="N19" s="51">
        <v>5101</v>
      </c>
      <c r="O19" s="53">
        <v>255</v>
      </c>
      <c r="P19" s="53"/>
      <c r="Q19" s="54"/>
      <c r="V19" s="623" t="s">
        <v>49</v>
      </c>
      <c r="W19" s="623"/>
      <c r="X19" s="618">
        <f>IF('2641'!K$84=1,'2641'!G19,0)</f>
        <v>0</v>
      </c>
      <c r="Y19" s="618"/>
      <c r="Z19" s="624">
        <v>1</v>
      </c>
      <c r="AA19" s="624"/>
      <c r="AB19" s="55">
        <f t="shared" si="0"/>
        <v>0</v>
      </c>
      <c r="AC19" s="56">
        <f t="shared" si="1"/>
        <v>0</v>
      </c>
      <c r="AD19" s="9"/>
    </row>
    <row r="20" spans="1:30" ht="15" customHeight="1" x14ac:dyDescent="0.25">
      <c r="A20" s="1" t="s">
        <v>50</v>
      </c>
      <c r="B20" s="13" t="s">
        <v>51</v>
      </c>
      <c r="C20" s="13"/>
      <c r="D20" s="13">
        <v>0</v>
      </c>
      <c r="E20" s="13">
        <v>0</v>
      </c>
      <c r="F20" s="13">
        <v>0</v>
      </c>
      <c r="G20" s="46">
        <f t="shared" si="2"/>
        <v>0</v>
      </c>
      <c r="H20" s="47"/>
      <c r="I20" s="57">
        <f>I19</f>
        <v>5.0890000000000004</v>
      </c>
      <c r="J20" s="57"/>
      <c r="K20" s="49">
        <f t="shared" si="3"/>
        <v>0</v>
      </c>
      <c r="L20" s="50">
        <f t="shared" si="4"/>
        <v>0</v>
      </c>
      <c r="N20" s="51">
        <v>5102</v>
      </c>
      <c r="O20" s="54">
        <v>255</v>
      </c>
      <c r="P20" s="53"/>
      <c r="Q20" s="54"/>
      <c r="V20" s="623" t="s">
        <v>51</v>
      </c>
      <c r="W20" s="623"/>
      <c r="X20" s="618">
        <f>IF('2641'!K$84=1,'2641'!G20,0)</f>
        <v>0</v>
      </c>
      <c r="Y20" s="618"/>
      <c r="Z20" s="624">
        <v>1</v>
      </c>
      <c r="AA20" s="624"/>
      <c r="AB20" s="55">
        <f t="shared" si="0"/>
        <v>0</v>
      </c>
      <c r="AC20" s="56">
        <f t="shared" si="1"/>
        <v>0</v>
      </c>
      <c r="AD20" s="9"/>
    </row>
    <row r="21" spans="1:30" ht="15" customHeight="1" x14ac:dyDescent="0.25">
      <c r="A21" s="1" t="s">
        <v>52</v>
      </c>
      <c r="B21" s="13" t="s">
        <v>53</v>
      </c>
      <c r="C21" s="13"/>
      <c r="D21" s="13">
        <v>0</v>
      </c>
      <c r="E21" s="13">
        <v>0</v>
      </c>
      <c r="F21" s="13">
        <v>0</v>
      </c>
      <c r="G21" s="46">
        <f t="shared" si="2"/>
        <v>0</v>
      </c>
      <c r="H21" s="47"/>
      <c r="I21" s="57">
        <f>I20</f>
        <v>5.0890000000000004</v>
      </c>
      <c r="J21" s="57"/>
      <c r="K21" s="49">
        <f t="shared" si="3"/>
        <v>0</v>
      </c>
      <c r="L21" s="50">
        <f t="shared" si="4"/>
        <v>0</v>
      </c>
      <c r="N21" s="51">
        <v>5103</v>
      </c>
      <c r="O21" s="54">
        <v>255</v>
      </c>
      <c r="P21" s="53"/>
      <c r="Q21" s="54"/>
      <c r="V21" s="623" t="s">
        <v>53</v>
      </c>
      <c r="W21" s="623"/>
      <c r="X21" s="618">
        <f>IF('2641'!K$84=1,'2641'!G21,0)</f>
        <v>0</v>
      </c>
      <c r="Y21" s="618"/>
      <c r="Z21" s="624">
        <v>1</v>
      </c>
      <c r="AA21" s="624"/>
      <c r="AB21" s="55">
        <f t="shared" si="0"/>
        <v>0</v>
      </c>
      <c r="AC21" s="56">
        <f t="shared" si="1"/>
        <v>0</v>
      </c>
      <c r="AD21" s="9"/>
    </row>
    <row r="22" spans="1:30" x14ac:dyDescent="0.25">
      <c r="A22" s="1" t="s">
        <v>54</v>
      </c>
      <c r="B22" s="13" t="s">
        <v>55</v>
      </c>
      <c r="C22" s="13"/>
      <c r="D22" s="13">
        <v>3.65</v>
      </c>
      <c r="E22" s="13">
        <v>3.65</v>
      </c>
      <c r="F22" s="13">
        <v>4.4000000000000004</v>
      </c>
      <c r="G22" s="46">
        <f t="shared" si="2"/>
        <v>7.3</v>
      </c>
      <c r="H22" s="47"/>
      <c r="I22" s="57">
        <v>1.145</v>
      </c>
      <c r="J22" s="57"/>
      <c r="K22" s="49">
        <f t="shared" si="3"/>
        <v>8.3584999999999994</v>
      </c>
      <c r="L22" s="50">
        <f t="shared" si="4"/>
        <v>32386</v>
      </c>
      <c r="N22" s="51">
        <v>5101</v>
      </c>
      <c r="O22" s="52">
        <v>130</v>
      </c>
      <c r="P22" s="53"/>
      <c r="Q22" s="54"/>
      <c r="V22" s="623" t="s">
        <v>55</v>
      </c>
      <c r="W22" s="623"/>
      <c r="X22" s="618">
        <f>IF('2641'!K$84=1,'2641'!G22,0)</f>
        <v>0</v>
      </c>
      <c r="Y22" s="618"/>
      <c r="Z22" s="624">
        <v>1</v>
      </c>
      <c r="AA22" s="624"/>
      <c r="AB22" s="55">
        <f t="shared" si="0"/>
        <v>0</v>
      </c>
      <c r="AC22" s="56">
        <f t="shared" si="1"/>
        <v>0</v>
      </c>
      <c r="AD22" s="9"/>
    </row>
    <row r="23" spans="1:30" x14ac:dyDescent="0.25">
      <c r="A23" s="1" t="s">
        <v>56</v>
      </c>
      <c r="B23" s="13" t="s">
        <v>57</v>
      </c>
      <c r="C23" s="13"/>
      <c r="D23" s="13">
        <v>0</v>
      </c>
      <c r="E23" s="13">
        <v>0</v>
      </c>
      <c r="F23" s="13">
        <v>0</v>
      </c>
      <c r="G23" s="46">
        <f t="shared" si="2"/>
        <v>0</v>
      </c>
      <c r="H23" s="47"/>
      <c r="I23" s="57">
        <f>I22</f>
        <v>1.145</v>
      </c>
      <c r="J23" s="57"/>
      <c r="K23" s="49">
        <f t="shared" si="3"/>
        <v>0</v>
      </c>
      <c r="L23" s="50">
        <f t="shared" si="4"/>
        <v>0</v>
      </c>
      <c r="N23" s="51">
        <v>5102</v>
      </c>
      <c r="O23" s="52">
        <v>130</v>
      </c>
      <c r="P23" s="53"/>
      <c r="Q23" s="54"/>
      <c r="V23" s="623" t="s">
        <v>57</v>
      </c>
      <c r="W23" s="623"/>
      <c r="X23" s="618">
        <f>IF('2641'!K$84=1,'2641'!G23,0)</f>
        <v>0</v>
      </c>
      <c r="Y23" s="618"/>
      <c r="Z23" s="624">
        <v>1</v>
      </c>
      <c r="AA23" s="624"/>
      <c r="AB23" s="55">
        <f t="shared" si="0"/>
        <v>0</v>
      </c>
      <c r="AC23" s="56">
        <f t="shared" si="1"/>
        <v>0</v>
      </c>
      <c r="AD23" s="9"/>
    </row>
    <row r="24" spans="1:30" x14ac:dyDescent="0.25">
      <c r="A24" s="1" t="s">
        <v>58</v>
      </c>
      <c r="B24" s="13" t="s">
        <v>59</v>
      </c>
      <c r="C24" s="13"/>
      <c r="D24" s="13">
        <v>0</v>
      </c>
      <c r="E24" s="13">
        <v>0</v>
      </c>
      <c r="F24" s="13">
        <v>0</v>
      </c>
      <c r="G24" s="46">
        <f t="shared" si="2"/>
        <v>0</v>
      </c>
      <c r="H24" s="47"/>
      <c r="I24" s="57">
        <f>I23</f>
        <v>1.145</v>
      </c>
      <c r="J24" s="57"/>
      <c r="K24" s="49">
        <f t="shared" si="3"/>
        <v>0</v>
      </c>
      <c r="L24" s="50">
        <f t="shared" si="4"/>
        <v>0</v>
      </c>
      <c r="N24" s="51">
        <v>5103</v>
      </c>
      <c r="O24" s="52">
        <v>130</v>
      </c>
      <c r="P24" s="53"/>
      <c r="Q24" s="54"/>
      <c r="V24" s="623" t="s">
        <v>59</v>
      </c>
      <c r="W24" s="623"/>
      <c r="X24" s="618">
        <f>IF('2641'!K$84=1,'2641'!G24,0)</f>
        <v>0</v>
      </c>
      <c r="Y24" s="618"/>
      <c r="Z24" s="624">
        <v>1</v>
      </c>
      <c r="AA24" s="624"/>
      <c r="AB24" s="55">
        <f t="shared" si="0"/>
        <v>0</v>
      </c>
      <c r="AC24" s="56">
        <f t="shared" si="1"/>
        <v>0</v>
      </c>
      <c r="AD24" s="9"/>
    </row>
    <row r="25" spans="1:30" ht="16.5" thickBot="1" x14ac:dyDescent="0.3">
      <c r="A25" s="1" t="s">
        <v>60</v>
      </c>
      <c r="B25" s="13" t="s">
        <v>61</v>
      </c>
      <c r="C25" s="13"/>
      <c r="D25" s="13">
        <v>0</v>
      </c>
      <c r="E25" s="13">
        <v>0</v>
      </c>
      <c r="F25" s="13">
        <v>0</v>
      </c>
      <c r="G25" s="46">
        <f t="shared" si="2"/>
        <v>0</v>
      </c>
      <c r="H25" s="47"/>
      <c r="I25" s="57">
        <v>1.0109999999999999</v>
      </c>
      <c r="J25" s="57"/>
      <c r="K25" s="49">
        <f t="shared" si="3"/>
        <v>0</v>
      </c>
      <c r="L25" s="50">
        <f t="shared" si="4"/>
        <v>0</v>
      </c>
      <c r="N25" s="51">
        <v>5310</v>
      </c>
      <c r="O25" s="52">
        <v>300</v>
      </c>
      <c r="P25" s="53"/>
      <c r="Q25" s="54"/>
      <c r="V25" s="623" t="s">
        <v>61</v>
      </c>
      <c r="W25" s="623"/>
      <c r="X25" s="618">
        <f>IF('2641'!K$84=1,'2641'!G25,0)</f>
        <v>0</v>
      </c>
      <c r="Y25" s="618"/>
      <c r="Z25" s="624">
        <v>1</v>
      </c>
      <c r="AA25" s="624"/>
      <c r="AB25" s="55">
        <f t="shared" si="0"/>
        <v>0</v>
      </c>
      <c r="AC25" s="56">
        <f t="shared" si="1"/>
        <v>0</v>
      </c>
      <c r="AD25" s="9"/>
    </row>
    <row r="26" spans="1:30" ht="20.25" customHeight="1" thickBot="1" x14ac:dyDescent="0.3">
      <c r="B26" s="62" t="s">
        <v>62</v>
      </c>
      <c r="C26" s="62"/>
      <c r="D26" s="63">
        <f t="shared" ref="D26:E26" si="5">SUM(D10:D25)</f>
        <v>47.489999999999995</v>
      </c>
      <c r="E26" s="63">
        <f t="shared" si="5"/>
        <v>49.929999999999993</v>
      </c>
      <c r="F26" s="63"/>
      <c r="G26" s="63">
        <f>SUM(G10:G25)</f>
        <v>97.419999999999987</v>
      </c>
      <c r="H26" s="64"/>
      <c r="I26" s="64"/>
      <c r="J26" s="65"/>
      <c r="K26" s="66">
        <f>SUM(K10:K25)</f>
        <v>104.9811</v>
      </c>
      <c r="L26" s="67">
        <f>SUM(L10:L25)</f>
        <v>406763</v>
      </c>
      <c r="N26" s="54"/>
      <c r="O26" s="68"/>
      <c r="P26" s="54"/>
      <c r="Q26" s="54"/>
      <c r="V26" s="625" t="s">
        <v>62</v>
      </c>
      <c r="W26" s="625"/>
      <c r="X26" s="626">
        <f>SUM(X10:X25)</f>
        <v>0</v>
      </c>
      <c r="Y26" s="626"/>
      <c r="Z26" s="627"/>
      <c r="AA26" s="628"/>
      <c r="AB26" s="69">
        <f>SUM(AB10:AB25)</f>
        <v>0</v>
      </c>
      <c r="AC26" s="70">
        <f>SUM(AC10:AC25)</f>
        <v>0</v>
      </c>
      <c r="AD26" s="9"/>
    </row>
    <row r="27" spans="1:30" ht="51.75" customHeight="1" x14ac:dyDescent="0.25">
      <c r="B27" s="62" t="s">
        <v>63</v>
      </c>
      <c r="C27" s="62"/>
      <c r="D27" s="71" t="s">
        <v>13</v>
      </c>
      <c r="E27" s="71" t="s">
        <v>14</v>
      </c>
      <c r="F27" s="27"/>
      <c r="G27" s="72" t="s">
        <v>64</v>
      </c>
      <c r="H27" s="73"/>
      <c r="I27" s="74" t="s">
        <v>65</v>
      </c>
      <c r="J27" s="74" t="s">
        <v>66</v>
      </c>
      <c r="K27" s="75" t="s">
        <v>67</v>
      </c>
      <c r="N27" s="54"/>
      <c r="O27" s="68"/>
      <c r="P27" s="54"/>
      <c r="Q27" s="54"/>
      <c r="V27" s="629" t="s">
        <v>63</v>
      </c>
      <c r="W27" s="629"/>
      <c r="X27" s="630" t="s">
        <v>64</v>
      </c>
      <c r="Y27" s="630"/>
      <c r="Z27" s="76" t="s">
        <v>65</v>
      </c>
      <c r="AA27" s="77" t="s">
        <v>66</v>
      </c>
      <c r="AB27" s="78" t="s">
        <v>67</v>
      </c>
      <c r="AC27" s="9"/>
      <c r="AD27" s="9"/>
    </row>
    <row r="28" spans="1:30" ht="15.75" customHeight="1" x14ac:dyDescent="0.25">
      <c r="A28" s="1" t="s">
        <v>68</v>
      </c>
      <c r="B28" s="631" t="s">
        <v>69</v>
      </c>
      <c r="C28" s="632"/>
      <c r="D28" s="13">
        <v>3.97</v>
      </c>
      <c r="E28" s="13">
        <v>3.5</v>
      </c>
      <c r="F28" s="79">
        <v>4</v>
      </c>
      <c r="G28" s="46">
        <f t="shared" ref="G28:G36" si="6">D28+E28</f>
        <v>7.4700000000000006</v>
      </c>
      <c r="H28" s="80"/>
      <c r="I28" s="81" t="s">
        <v>70</v>
      </c>
      <c r="J28" s="82">
        <v>251</v>
      </c>
      <c r="K28" s="83">
        <v>1047</v>
      </c>
      <c r="L28" s="84">
        <f>ROUND(G28*K28,0)</f>
        <v>7821</v>
      </c>
      <c r="N28" s="85">
        <v>5101</v>
      </c>
      <c r="O28" s="54">
        <v>251</v>
      </c>
      <c r="P28" s="86"/>
      <c r="Q28" s="87"/>
      <c r="V28" s="637" t="s">
        <v>69</v>
      </c>
      <c r="W28" s="637"/>
      <c r="X28" s="638"/>
      <c r="Y28" s="638"/>
      <c r="Z28" s="88" t="s">
        <v>70</v>
      </c>
      <c r="AA28" s="89">
        <v>251</v>
      </c>
      <c r="AB28" s="90">
        <f>+K28</f>
        <v>1047</v>
      </c>
      <c r="AC28" s="91">
        <f t="shared" ref="AC28:AC36" si="7">ROUND(X28*AB28,0)</f>
        <v>0</v>
      </c>
      <c r="AD28" s="9"/>
    </row>
    <row r="29" spans="1:30" x14ac:dyDescent="0.25">
      <c r="A29" s="1" t="s">
        <v>71</v>
      </c>
      <c r="B29" s="633"/>
      <c r="C29" s="634"/>
      <c r="D29" s="13">
        <v>0</v>
      </c>
      <c r="E29" s="13">
        <v>0</v>
      </c>
      <c r="F29" s="92">
        <v>0</v>
      </c>
      <c r="G29" s="46">
        <f t="shared" si="6"/>
        <v>0</v>
      </c>
      <c r="H29" s="80"/>
      <c r="I29" s="82" t="s">
        <v>70</v>
      </c>
      <c r="J29" s="82">
        <v>252</v>
      </c>
      <c r="K29" s="83">
        <v>3380</v>
      </c>
      <c r="L29" s="84">
        <f t="shared" ref="L29:L36" si="8">ROUND(G29*K29,0)</f>
        <v>0</v>
      </c>
      <c r="N29" s="85">
        <v>5101</v>
      </c>
      <c r="O29" s="54">
        <v>252</v>
      </c>
      <c r="P29" s="86"/>
      <c r="Q29" s="87"/>
      <c r="V29" s="637"/>
      <c r="W29" s="637"/>
      <c r="X29" s="638"/>
      <c r="Y29" s="638"/>
      <c r="Z29" s="89" t="s">
        <v>70</v>
      </c>
      <c r="AA29" s="89">
        <v>252</v>
      </c>
      <c r="AB29" s="90">
        <f t="shared" ref="AB29:AB36" si="9">+K29</f>
        <v>3380</v>
      </c>
      <c r="AC29" s="91">
        <f t="shared" si="7"/>
        <v>0</v>
      </c>
      <c r="AD29" s="9"/>
    </row>
    <row r="30" spans="1:30" x14ac:dyDescent="0.25">
      <c r="A30" s="1" t="s">
        <v>72</v>
      </c>
      <c r="B30" s="633"/>
      <c r="C30" s="634"/>
      <c r="D30" s="13">
        <v>0</v>
      </c>
      <c r="E30" s="13">
        <v>0</v>
      </c>
      <c r="F30" s="92">
        <v>0</v>
      </c>
      <c r="G30" s="46">
        <f t="shared" si="6"/>
        <v>0</v>
      </c>
      <c r="H30" s="80"/>
      <c r="I30" s="82" t="s">
        <v>70</v>
      </c>
      <c r="J30" s="82">
        <v>253</v>
      </c>
      <c r="K30" s="83">
        <v>6896</v>
      </c>
      <c r="L30" s="84">
        <f t="shared" si="8"/>
        <v>0</v>
      </c>
      <c r="N30" s="85">
        <v>5101</v>
      </c>
      <c r="O30" s="54">
        <v>253</v>
      </c>
      <c r="P30" s="86"/>
      <c r="Q30" s="68"/>
      <c r="V30" s="637"/>
      <c r="W30" s="637"/>
      <c r="X30" s="638"/>
      <c r="Y30" s="638"/>
      <c r="Z30" s="89" t="s">
        <v>70</v>
      </c>
      <c r="AA30" s="89">
        <v>253</v>
      </c>
      <c r="AB30" s="90">
        <f t="shared" si="9"/>
        <v>6896</v>
      </c>
      <c r="AC30" s="91">
        <f t="shared" si="7"/>
        <v>0</v>
      </c>
      <c r="AD30" s="9"/>
    </row>
    <row r="31" spans="1:30" x14ac:dyDescent="0.25">
      <c r="A31" s="1" t="s">
        <v>73</v>
      </c>
      <c r="B31" s="633"/>
      <c r="C31" s="634"/>
      <c r="D31" s="13">
        <v>5.5</v>
      </c>
      <c r="E31" s="13">
        <v>5.52</v>
      </c>
      <c r="F31" s="92">
        <v>5</v>
      </c>
      <c r="G31" s="46">
        <f t="shared" si="6"/>
        <v>11.02</v>
      </c>
      <c r="H31" s="80"/>
      <c r="I31" s="93" t="s">
        <v>74</v>
      </c>
      <c r="J31" s="82">
        <v>251</v>
      </c>
      <c r="K31" s="83">
        <v>1173</v>
      </c>
      <c r="L31" s="84">
        <f t="shared" si="8"/>
        <v>12926</v>
      </c>
      <c r="N31" s="85">
        <v>5102</v>
      </c>
      <c r="O31" s="54">
        <v>251</v>
      </c>
      <c r="P31" s="86"/>
      <c r="Q31" s="68"/>
      <c r="V31" s="637"/>
      <c r="W31" s="637"/>
      <c r="X31" s="638"/>
      <c r="Y31" s="638"/>
      <c r="Z31" s="94" t="s">
        <v>74</v>
      </c>
      <c r="AA31" s="89">
        <v>251</v>
      </c>
      <c r="AB31" s="90">
        <f t="shared" si="9"/>
        <v>1173</v>
      </c>
      <c r="AC31" s="91">
        <f t="shared" si="7"/>
        <v>0</v>
      </c>
      <c r="AD31" s="9"/>
    </row>
    <row r="32" spans="1:30" x14ac:dyDescent="0.25">
      <c r="A32" s="1" t="s">
        <v>75</v>
      </c>
      <c r="B32" s="633"/>
      <c r="C32" s="634"/>
      <c r="D32" s="312">
        <v>0.52</v>
      </c>
      <c r="E32" s="13">
        <v>0.48</v>
      </c>
      <c r="F32" s="92">
        <v>0.5</v>
      </c>
      <c r="G32" s="46">
        <f t="shared" si="6"/>
        <v>1</v>
      </c>
      <c r="H32" s="80"/>
      <c r="I32" s="93" t="s">
        <v>74</v>
      </c>
      <c r="J32" s="82">
        <v>252</v>
      </c>
      <c r="K32" s="83">
        <v>3506</v>
      </c>
      <c r="L32" s="84">
        <f t="shared" si="8"/>
        <v>3506</v>
      </c>
      <c r="N32" s="85">
        <v>5102</v>
      </c>
      <c r="O32" s="54">
        <v>252</v>
      </c>
      <c r="P32" s="86"/>
      <c r="Q32" s="54"/>
      <c r="V32" s="637"/>
      <c r="W32" s="637"/>
      <c r="X32" s="638"/>
      <c r="Y32" s="638"/>
      <c r="Z32" s="94" t="s">
        <v>74</v>
      </c>
      <c r="AA32" s="89">
        <v>252</v>
      </c>
      <c r="AB32" s="90">
        <f t="shared" si="9"/>
        <v>3506</v>
      </c>
      <c r="AC32" s="91">
        <f t="shared" si="7"/>
        <v>0</v>
      </c>
      <c r="AD32" s="9"/>
    </row>
    <row r="33" spans="1:30" x14ac:dyDescent="0.25">
      <c r="A33" s="1" t="s">
        <v>76</v>
      </c>
      <c r="B33" s="633"/>
      <c r="C33" s="634"/>
      <c r="D33" s="13">
        <v>0</v>
      </c>
      <c r="E33" s="13">
        <v>0</v>
      </c>
      <c r="F33" s="92">
        <v>0</v>
      </c>
      <c r="G33" s="46">
        <f t="shared" si="6"/>
        <v>0</v>
      </c>
      <c r="H33" s="80"/>
      <c r="I33" s="93" t="s">
        <v>74</v>
      </c>
      <c r="J33" s="82">
        <v>253</v>
      </c>
      <c r="K33" s="83">
        <v>7023</v>
      </c>
      <c r="L33" s="84">
        <f t="shared" si="8"/>
        <v>0</v>
      </c>
      <c r="N33" s="85">
        <v>5102</v>
      </c>
      <c r="O33" s="54">
        <v>253</v>
      </c>
      <c r="P33" s="86"/>
      <c r="Q33" s="87"/>
      <c r="V33" s="637"/>
      <c r="W33" s="637"/>
      <c r="X33" s="638"/>
      <c r="Y33" s="638"/>
      <c r="Z33" s="94" t="s">
        <v>74</v>
      </c>
      <c r="AA33" s="89">
        <v>253</v>
      </c>
      <c r="AB33" s="90">
        <f t="shared" si="9"/>
        <v>7023</v>
      </c>
      <c r="AC33" s="91">
        <f t="shared" si="7"/>
        <v>0</v>
      </c>
      <c r="AD33" s="9"/>
    </row>
    <row r="34" spans="1:30" x14ac:dyDescent="0.25">
      <c r="A34" s="1" t="s">
        <v>77</v>
      </c>
      <c r="B34" s="633"/>
      <c r="C34" s="634"/>
      <c r="D34" s="13">
        <v>0</v>
      </c>
      <c r="E34" s="13">
        <v>0</v>
      </c>
      <c r="F34" s="92">
        <v>0</v>
      </c>
      <c r="G34" s="46">
        <f t="shared" si="6"/>
        <v>0</v>
      </c>
      <c r="H34" s="80"/>
      <c r="I34" s="93" t="s">
        <v>78</v>
      </c>
      <c r="J34" s="82">
        <v>251</v>
      </c>
      <c r="K34" s="83">
        <v>835</v>
      </c>
      <c r="L34" s="84">
        <f t="shared" si="8"/>
        <v>0</v>
      </c>
      <c r="N34" s="85">
        <v>5103</v>
      </c>
      <c r="O34" s="54">
        <v>251</v>
      </c>
      <c r="P34" s="86"/>
      <c r="Q34" s="87"/>
      <c r="V34" s="637"/>
      <c r="W34" s="637"/>
      <c r="X34" s="638"/>
      <c r="Y34" s="638"/>
      <c r="Z34" s="94" t="s">
        <v>78</v>
      </c>
      <c r="AA34" s="89">
        <v>251</v>
      </c>
      <c r="AB34" s="90">
        <f t="shared" si="9"/>
        <v>835</v>
      </c>
      <c r="AC34" s="91">
        <f t="shared" si="7"/>
        <v>0</v>
      </c>
      <c r="AD34" s="9"/>
    </row>
    <row r="35" spans="1:30" x14ac:dyDescent="0.25">
      <c r="A35" s="1" t="s">
        <v>79</v>
      </c>
      <c r="B35" s="633"/>
      <c r="C35" s="634"/>
      <c r="D35" s="13">
        <v>0</v>
      </c>
      <c r="E35" s="13">
        <v>0</v>
      </c>
      <c r="F35" s="92">
        <v>0</v>
      </c>
      <c r="G35" s="46">
        <f t="shared" si="6"/>
        <v>0</v>
      </c>
      <c r="H35" s="80"/>
      <c r="I35" s="93" t="s">
        <v>78</v>
      </c>
      <c r="J35" s="82">
        <v>252</v>
      </c>
      <c r="K35" s="83">
        <v>3168</v>
      </c>
      <c r="L35" s="84">
        <f t="shared" si="8"/>
        <v>0</v>
      </c>
      <c r="N35" s="85">
        <v>5103</v>
      </c>
      <c r="O35" s="54">
        <v>252</v>
      </c>
      <c r="P35" s="86"/>
      <c r="Q35" s="95"/>
      <c r="V35" s="637"/>
      <c r="W35" s="637"/>
      <c r="X35" s="638"/>
      <c r="Y35" s="638"/>
      <c r="Z35" s="94" t="s">
        <v>78</v>
      </c>
      <c r="AA35" s="89">
        <v>252</v>
      </c>
      <c r="AB35" s="90">
        <f t="shared" si="9"/>
        <v>3168</v>
      </c>
      <c r="AC35" s="91">
        <f t="shared" si="7"/>
        <v>0</v>
      </c>
      <c r="AD35" s="9"/>
    </row>
    <row r="36" spans="1:30" ht="16.5" thickBot="1" x14ac:dyDescent="0.3">
      <c r="A36" s="1" t="s">
        <v>80</v>
      </c>
      <c r="B36" s="635"/>
      <c r="C36" s="636"/>
      <c r="D36" s="13">
        <v>0</v>
      </c>
      <c r="E36" s="13">
        <v>0</v>
      </c>
      <c r="F36" s="92">
        <v>0</v>
      </c>
      <c r="G36" s="46">
        <f t="shared" si="6"/>
        <v>0</v>
      </c>
      <c r="H36" s="80"/>
      <c r="I36" s="93" t="s">
        <v>78</v>
      </c>
      <c r="J36" s="82">
        <v>253</v>
      </c>
      <c r="K36" s="83">
        <v>6685</v>
      </c>
      <c r="L36" s="96">
        <f t="shared" si="8"/>
        <v>0</v>
      </c>
      <c r="N36" s="85">
        <v>5103</v>
      </c>
      <c r="O36" s="54">
        <v>253</v>
      </c>
      <c r="P36" s="86"/>
      <c r="Q36" s="97"/>
      <c r="V36" s="637"/>
      <c r="W36" s="637"/>
      <c r="X36" s="645"/>
      <c r="Y36" s="645"/>
      <c r="Z36" s="94" t="s">
        <v>78</v>
      </c>
      <c r="AA36" s="89">
        <v>253</v>
      </c>
      <c r="AB36" s="90">
        <f t="shared" si="9"/>
        <v>6685</v>
      </c>
      <c r="AC36" s="98">
        <f t="shared" si="7"/>
        <v>0</v>
      </c>
      <c r="AD36" s="9"/>
    </row>
    <row r="37" spans="1:30" ht="18.75" customHeight="1" x14ac:dyDescent="0.25">
      <c r="B37" s="13" t="s">
        <v>81</v>
      </c>
      <c r="C37" s="13"/>
      <c r="D37" s="63">
        <f t="shared" ref="D37:E37" si="10">SUM(D28:D36)</f>
        <v>9.99</v>
      </c>
      <c r="E37" s="63">
        <f t="shared" si="10"/>
        <v>9.5</v>
      </c>
      <c r="F37" s="63"/>
      <c r="G37" s="63">
        <f>SUM(G28:G36)</f>
        <v>19.490000000000002</v>
      </c>
      <c r="H37" s="64"/>
      <c r="I37" s="13" t="s">
        <v>82</v>
      </c>
      <c r="J37" s="13"/>
      <c r="K37" s="13"/>
      <c r="L37" s="50">
        <f>SUM(L28:L36)</f>
        <v>24253</v>
      </c>
      <c r="N37" s="54"/>
      <c r="O37" s="68"/>
      <c r="P37" s="54"/>
      <c r="Q37" s="54"/>
      <c r="V37" s="646" t="s">
        <v>81</v>
      </c>
      <c r="W37" s="646"/>
      <c r="X37" s="626">
        <f>SUM(X28:X36)</f>
        <v>0</v>
      </c>
      <c r="Y37" s="626"/>
      <c r="Z37" s="646" t="s">
        <v>82</v>
      </c>
      <c r="AA37" s="646"/>
      <c r="AB37" s="646"/>
      <c r="AC37" s="56">
        <f>SUM(AC28:AC36)</f>
        <v>0</v>
      </c>
      <c r="AD37" s="9"/>
    </row>
    <row r="38" spans="1:30" ht="30.75" customHeight="1" x14ac:dyDescent="0.25">
      <c r="B38" s="99" t="s">
        <v>83</v>
      </c>
      <c r="C38" s="99"/>
      <c r="D38" s="99"/>
      <c r="E38" s="99"/>
      <c r="F38" s="99"/>
      <c r="G38" s="99"/>
      <c r="H38" s="100"/>
      <c r="I38" s="99"/>
      <c r="J38" s="99"/>
      <c r="K38" s="99"/>
      <c r="L38" s="99"/>
      <c r="M38" s="101"/>
      <c r="N38" s="54"/>
      <c r="O38" s="68"/>
      <c r="P38" s="54"/>
      <c r="Q38" s="54"/>
      <c r="V38" s="639" t="s">
        <v>83</v>
      </c>
      <c r="W38" s="639"/>
      <c r="X38" s="639"/>
      <c r="Y38" s="639"/>
      <c r="Z38" s="639"/>
      <c r="AA38" s="639"/>
      <c r="AB38" s="639"/>
      <c r="AC38" s="639"/>
      <c r="AD38" s="102"/>
    </row>
    <row r="39" spans="1:30" ht="15.75" customHeight="1" x14ac:dyDescent="0.25">
      <c r="B39" s="103" t="s">
        <v>84</v>
      </c>
      <c r="C39" s="103"/>
      <c r="D39" s="103"/>
      <c r="E39" s="103"/>
      <c r="F39" s="103"/>
      <c r="G39" s="104">
        <v>34389540</v>
      </c>
      <c r="H39" s="104"/>
      <c r="I39" s="13" t="s">
        <v>85</v>
      </c>
      <c r="J39" s="13"/>
      <c r="K39" s="13"/>
      <c r="L39" s="13"/>
      <c r="O39" s="1"/>
      <c r="V39" s="640" t="s">
        <v>84</v>
      </c>
      <c r="W39" s="640"/>
      <c r="X39" s="641">
        <f>+G39</f>
        <v>34389540</v>
      </c>
      <c r="Y39" s="641"/>
      <c r="Z39" s="642" t="s">
        <v>85</v>
      </c>
      <c r="AA39" s="642"/>
      <c r="AB39" s="642"/>
      <c r="AC39" s="642"/>
      <c r="AD39" s="9"/>
    </row>
    <row r="40" spans="1:30" ht="15.75" customHeight="1" x14ac:dyDescent="0.25">
      <c r="B40" s="105" t="s">
        <v>86</v>
      </c>
      <c r="C40" s="105"/>
      <c r="D40" s="105"/>
      <c r="E40" s="105"/>
      <c r="F40" s="105"/>
      <c r="G40" s="106">
        <v>180284.81</v>
      </c>
      <c r="H40" s="106"/>
      <c r="I40" s="106"/>
      <c r="J40" s="106"/>
      <c r="K40" s="50">
        <f>ROUND(G39/G40,0)</f>
        <v>191</v>
      </c>
      <c r="L40" s="50">
        <f>ROUND(K40*$G$26,0)</f>
        <v>18607</v>
      </c>
      <c r="N40" s="107"/>
      <c r="O40" s="107"/>
      <c r="P40" s="107"/>
      <c r="Q40" s="107"/>
      <c r="V40" s="643" t="s">
        <v>86</v>
      </c>
      <c r="W40" s="643"/>
      <c r="X40" s="644">
        <f>+G40</f>
        <v>180284.81</v>
      </c>
      <c r="Y40" s="644"/>
      <c r="Z40" s="644"/>
      <c r="AA40" s="644"/>
      <c r="AB40" s="56">
        <f>ROUND(X39/X40,0)</f>
        <v>191</v>
      </c>
      <c r="AC40" s="56">
        <f>ROUND(AB40*$X$26,0)</f>
        <v>0</v>
      </c>
      <c r="AD40" s="9"/>
    </row>
    <row r="41" spans="1:30" ht="15.75" customHeight="1" x14ac:dyDescent="0.25">
      <c r="B41" s="108" t="s">
        <v>87</v>
      </c>
      <c r="C41" s="108"/>
      <c r="D41" s="108"/>
      <c r="E41" s="108"/>
      <c r="F41" s="108"/>
      <c r="G41" s="108"/>
      <c r="H41" s="108"/>
      <c r="I41" s="108"/>
      <c r="J41" s="108"/>
      <c r="K41" s="108"/>
      <c r="L41" s="108"/>
      <c r="N41" s="101"/>
      <c r="O41" s="109"/>
      <c r="P41" s="101"/>
      <c r="Q41" s="101"/>
      <c r="V41" s="652" t="s">
        <v>87</v>
      </c>
      <c r="W41" s="652"/>
      <c r="X41" s="652"/>
      <c r="Y41" s="652"/>
      <c r="Z41" s="652"/>
      <c r="AA41" s="652"/>
      <c r="AB41" s="652"/>
      <c r="AC41" s="652"/>
      <c r="AD41" s="9"/>
    </row>
    <row r="42" spans="1:30" ht="28.5" customHeight="1" x14ac:dyDescent="0.25">
      <c r="B42" s="99" t="s">
        <v>88</v>
      </c>
      <c r="C42" s="99"/>
      <c r="D42" s="99"/>
      <c r="E42" s="99"/>
      <c r="F42" s="99"/>
      <c r="G42" s="99"/>
      <c r="H42" s="99"/>
      <c r="I42" s="99"/>
      <c r="J42" s="99"/>
      <c r="K42" s="99"/>
      <c r="L42" s="99"/>
      <c r="M42" s="107"/>
      <c r="O42" s="1"/>
      <c r="V42" s="639" t="s">
        <v>88</v>
      </c>
      <c r="W42" s="639"/>
      <c r="X42" s="639"/>
      <c r="Y42" s="639"/>
      <c r="Z42" s="639"/>
      <c r="AA42" s="639"/>
      <c r="AB42" s="639"/>
      <c r="AC42" s="639"/>
      <c r="AD42" s="110"/>
    </row>
    <row r="43" spans="1:30" x14ac:dyDescent="0.25">
      <c r="B43" s="111" t="s">
        <v>89</v>
      </c>
      <c r="C43" s="111"/>
      <c r="D43" s="111"/>
      <c r="E43" s="111"/>
      <c r="F43" s="111"/>
      <c r="G43" s="111"/>
      <c r="H43" s="111"/>
      <c r="I43" s="111"/>
      <c r="J43" s="111"/>
      <c r="K43" s="111"/>
      <c r="L43" s="111"/>
      <c r="M43" s="112"/>
      <c r="N43" s="101"/>
      <c r="O43" s="101"/>
      <c r="P43" s="101"/>
      <c r="Q43" s="101"/>
      <c r="V43" s="653" t="s">
        <v>89</v>
      </c>
      <c r="W43" s="653"/>
      <c r="X43" s="653"/>
      <c r="Y43" s="653"/>
      <c r="Z43" s="653"/>
      <c r="AA43" s="653"/>
      <c r="AB43" s="653"/>
      <c r="AC43" s="653"/>
      <c r="AD43" s="113"/>
    </row>
    <row r="44" spans="1:30" ht="24" customHeight="1" x14ac:dyDescent="0.25">
      <c r="B44" s="62" t="s">
        <v>90</v>
      </c>
      <c r="C44" s="62"/>
      <c r="D44" s="62"/>
      <c r="E44" s="62"/>
      <c r="F44" s="62"/>
      <c r="G44" s="62"/>
      <c r="H44" s="62"/>
      <c r="I44" s="62"/>
      <c r="J44" s="62"/>
      <c r="K44" s="62"/>
      <c r="L44" s="114">
        <f>SUM(L26,L37,L40)</f>
        <v>449623</v>
      </c>
      <c r="O44" s="1"/>
      <c r="V44" s="654" t="s">
        <v>90</v>
      </c>
      <c r="W44" s="654"/>
      <c r="X44" s="654"/>
      <c r="Y44" s="654"/>
      <c r="Z44" s="654"/>
      <c r="AA44" s="654"/>
      <c r="AB44" s="654"/>
      <c r="AC44" s="115">
        <f>SUM(AC26,AC37,AC40)</f>
        <v>0</v>
      </c>
      <c r="AD44" s="9"/>
    </row>
    <row r="45" spans="1:30" ht="30.75" customHeight="1" x14ac:dyDescent="0.25">
      <c r="B45" s="99" t="s">
        <v>91</v>
      </c>
      <c r="C45" s="99"/>
      <c r="D45" s="99"/>
      <c r="E45" s="99"/>
      <c r="F45" s="99"/>
      <c r="G45" s="99"/>
      <c r="H45" s="99"/>
      <c r="I45" s="99"/>
      <c r="J45" s="99"/>
      <c r="K45" s="99"/>
      <c r="L45" s="99"/>
      <c r="M45" s="116"/>
      <c r="O45" s="1"/>
      <c r="V45" s="639" t="s">
        <v>91</v>
      </c>
      <c r="W45" s="639"/>
      <c r="X45" s="639"/>
      <c r="Y45" s="639"/>
      <c r="Z45" s="639"/>
      <c r="AA45" s="639"/>
      <c r="AB45" s="639"/>
      <c r="AC45" s="639"/>
      <c r="AD45" s="117"/>
    </row>
    <row r="46" spans="1:30" ht="18.75" customHeight="1" x14ac:dyDescent="0.25">
      <c r="B46" s="1"/>
      <c r="C46" s="118" t="s">
        <v>92</v>
      </c>
      <c r="D46" s="118"/>
      <c r="E46" s="118"/>
      <c r="F46" s="118"/>
      <c r="G46" s="118" t="s">
        <v>93</v>
      </c>
      <c r="H46" s="119"/>
      <c r="I46" s="120" t="s">
        <v>94</v>
      </c>
      <c r="J46" s="121"/>
      <c r="K46" s="121"/>
      <c r="L46" s="121"/>
      <c r="M46" s="122"/>
      <c r="O46" s="1"/>
      <c r="V46" s="9"/>
      <c r="W46" s="123" t="s">
        <v>92</v>
      </c>
      <c r="X46" s="655" t="s">
        <v>95</v>
      </c>
      <c r="Y46" s="655"/>
      <c r="Z46" s="656" t="s">
        <v>94</v>
      </c>
      <c r="AA46" s="656"/>
      <c r="AB46" s="656"/>
      <c r="AC46" s="656"/>
      <c r="AD46" s="124"/>
    </row>
    <row r="47" spans="1:30" ht="18.75" customHeight="1" x14ac:dyDescent="0.25">
      <c r="B47" s="107" t="s">
        <v>96</v>
      </c>
      <c r="C47" s="125">
        <f>K10+K11+K16+K19+K22</f>
        <v>66.881100000000004</v>
      </c>
      <c r="D47" s="125"/>
      <c r="E47" s="125"/>
      <c r="F47" s="125"/>
      <c r="G47" s="126">
        <f>K7</f>
        <v>1.0326</v>
      </c>
      <c r="H47" s="126"/>
      <c r="I47" s="127">
        <v>1316.85</v>
      </c>
      <c r="J47" s="128" t="s">
        <v>97</v>
      </c>
      <c r="K47" s="129">
        <f>ROUND(C47*G47*I47,0)</f>
        <v>90944</v>
      </c>
      <c r="L47" s="130"/>
      <c r="O47" s="1"/>
      <c r="V47" s="110" t="s">
        <v>96</v>
      </c>
      <c r="W47" s="131">
        <f>AB10+AB11+AB16+AB19+AB22</f>
        <v>0</v>
      </c>
      <c r="X47" s="647">
        <f>AB7</f>
        <v>1.0326</v>
      </c>
      <c r="Y47" s="647"/>
      <c r="Z47" s="132">
        <f>+I47</f>
        <v>1316.85</v>
      </c>
      <c r="AA47" s="133" t="s">
        <v>97</v>
      </c>
      <c r="AB47" s="134">
        <f>ROUND(W47*X47*Z47,0)</f>
        <v>0</v>
      </c>
      <c r="AC47" s="135"/>
      <c r="AD47" s="9"/>
    </row>
    <row r="48" spans="1:30" ht="18" customHeight="1" x14ac:dyDescent="0.25">
      <c r="B48" s="136" t="s">
        <v>74</v>
      </c>
      <c r="C48" s="125">
        <f>K12+K13+K17+K20+K23</f>
        <v>38.099999999999994</v>
      </c>
      <c r="D48" s="125"/>
      <c r="E48" s="125"/>
      <c r="F48" s="125"/>
      <c r="G48" s="126">
        <f>K7</f>
        <v>1.0326</v>
      </c>
      <c r="H48" s="126"/>
      <c r="I48" s="127">
        <v>898.23</v>
      </c>
      <c r="J48" s="128" t="s">
        <v>97</v>
      </c>
      <c r="K48" s="129">
        <f>ROUND(C48*G48*I48,0)</f>
        <v>35338</v>
      </c>
      <c r="L48" s="62"/>
      <c r="O48" s="1"/>
      <c r="V48" s="137" t="s">
        <v>74</v>
      </c>
      <c r="W48" s="131">
        <f>AB12+AB13+AB17+AB20+AB23</f>
        <v>0</v>
      </c>
      <c r="X48" s="647">
        <f>AB7</f>
        <v>1.0326</v>
      </c>
      <c r="Y48" s="647"/>
      <c r="Z48" s="132">
        <f>+I48</f>
        <v>898.23</v>
      </c>
      <c r="AA48" s="133" t="s">
        <v>97</v>
      </c>
      <c r="AB48" s="134">
        <f>ROUND(W48*X48*Z48,0)</f>
        <v>0</v>
      </c>
      <c r="AC48" s="138"/>
      <c r="AD48" s="9"/>
    </row>
    <row r="49" spans="2:30" ht="19.5" customHeight="1" thickBot="1" x14ac:dyDescent="0.3">
      <c r="B49" s="139" t="s">
        <v>78</v>
      </c>
      <c r="C49" s="140">
        <f>K14+K15+K18+K21+K24+K25</f>
        <v>0</v>
      </c>
      <c r="D49" s="125"/>
      <c r="E49" s="125"/>
      <c r="F49" s="125"/>
      <c r="G49" s="126">
        <f>K7</f>
        <v>1.0326</v>
      </c>
      <c r="H49" s="126"/>
      <c r="I49" s="127">
        <v>900.39</v>
      </c>
      <c r="J49" s="128" t="s">
        <v>97</v>
      </c>
      <c r="K49" s="129">
        <f>ROUND(C49*G49*I49,0)</f>
        <v>0</v>
      </c>
      <c r="L49" s="62"/>
      <c r="M49" s="112"/>
      <c r="N49" s="141"/>
      <c r="O49" s="142"/>
      <c r="P49" s="101"/>
      <c r="Q49" s="143"/>
      <c r="V49" s="144" t="s">
        <v>78</v>
      </c>
      <c r="W49" s="145">
        <f>AB14+AB15+AB18+AB21+AB24+AB25</f>
        <v>0</v>
      </c>
      <c r="X49" s="647">
        <f>AB7</f>
        <v>1.0326</v>
      </c>
      <c r="Y49" s="647"/>
      <c r="Z49" s="132">
        <f>+I49</f>
        <v>900.39</v>
      </c>
      <c r="AA49" s="133" t="s">
        <v>97</v>
      </c>
      <c r="AB49" s="134">
        <f>ROUND(W49*X49*Z49,0)</f>
        <v>0</v>
      </c>
      <c r="AC49" s="138"/>
      <c r="AD49" s="113"/>
    </row>
    <row r="50" spans="2:30" ht="24" customHeight="1" thickBot="1" x14ac:dyDescent="0.3">
      <c r="B50" s="146" t="s">
        <v>98</v>
      </c>
      <c r="C50" s="147">
        <f>SUM(C47:C49)</f>
        <v>104.9811</v>
      </c>
      <c r="D50" s="148"/>
      <c r="E50" s="149"/>
      <c r="F50" s="149"/>
      <c r="G50" s="150" t="s">
        <v>99</v>
      </c>
      <c r="H50" s="150"/>
      <c r="I50" s="150"/>
      <c r="J50" s="150"/>
      <c r="K50" s="150"/>
      <c r="L50" s="50">
        <f>IF(B2=75,0,K49+K48+K47)</f>
        <v>126282</v>
      </c>
      <c r="N50" s="3"/>
      <c r="O50" s="1"/>
      <c r="V50" s="151" t="s">
        <v>98</v>
      </c>
      <c r="W50" s="152">
        <f>SUM(W47:W49)</f>
        <v>0</v>
      </c>
      <c r="X50" s="648" t="s">
        <v>99</v>
      </c>
      <c r="Y50" s="649"/>
      <c r="Z50" s="649"/>
      <c r="AA50" s="649"/>
      <c r="AB50" s="649"/>
      <c r="AC50" s="56">
        <f>IF(V2=75,0,AB49+AB48+AB47)</f>
        <v>0</v>
      </c>
      <c r="AD50" s="9"/>
    </row>
    <row r="51" spans="2:30" ht="19.5" customHeight="1" x14ac:dyDescent="0.25">
      <c r="B51" s="153" t="s">
        <v>100</v>
      </c>
      <c r="C51" s="153"/>
      <c r="D51" s="153"/>
      <c r="E51" s="153"/>
      <c r="F51" s="153"/>
      <c r="G51" s="153"/>
      <c r="H51" s="153"/>
      <c r="I51" s="153"/>
      <c r="J51" s="153"/>
      <c r="K51" s="153"/>
      <c r="L51" s="153"/>
      <c r="M51" s="141"/>
      <c r="N51" s="101"/>
      <c r="O51" s="1"/>
      <c r="V51" s="650" t="s">
        <v>100</v>
      </c>
      <c r="W51" s="650"/>
      <c r="X51" s="650"/>
      <c r="Y51" s="650"/>
      <c r="Z51" s="650"/>
      <c r="AA51" s="650"/>
      <c r="AB51" s="650"/>
      <c r="AC51" s="650"/>
      <c r="AD51" s="154"/>
    </row>
    <row r="52" spans="2:30" ht="27.75" customHeight="1" x14ac:dyDescent="0.25">
      <c r="B52" s="13" t="s">
        <v>101</v>
      </c>
      <c r="C52" s="13"/>
      <c r="D52" s="13"/>
      <c r="E52" s="13"/>
      <c r="F52" s="13"/>
      <c r="G52" s="13"/>
      <c r="H52" s="13"/>
      <c r="I52" s="13"/>
      <c r="J52" s="13"/>
      <c r="K52" s="13"/>
      <c r="L52" s="13"/>
      <c r="O52" s="1"/>
      <c r="V52" s="651" t="s">
        <v>101</v>
      </c>
      <c r="W52" s="651"/>
      <c r="X52" s="651"/>
      <c r="Y52" s="651"/>
      <c r="Z52" s="651"/>
      <c r="AA52" s="651"/>
      <c r="AB52" s="651"/>
      <c r="AC52" s="651"/>
      <c r="AD52" s="9"/>
    </row>
    <row r="53" spans="2:30" x14ac:dyDescent="0.25">
      <c r="B53" s="13" t="s">
        <v>102</v>
      </c>
      <c r="C53" s="13"/>
      <c r="D53" s="13"/>
      <c r="E53" s="13"/>
      <c r="F53" s="13"/>
      <c r="G53" s="155">
        <f>K26</f>
        <v>104.9811</v>
      </c>
      <c r="H53" s="57" t="s">
        <v>103</v>
      </c>
      <c r="I53" s="57"/>
      <c r="J53" s="156">
        <v>197823.77</v>
      </c>
      <c r="K53" s="156"/>
      <c r="L53" s="156"/>
      <c r="N53" s="3"/>
      <c r="O53" s="1"/>
      <c r="V53" s="657" t="s">
        <v>102</v>
      </c>
      <c r="W53" s="657"/>
      <c r="X53" s="157">
        <f>AB26</f>
        <v>0</v>
      </c>
      <c r="Y53" s="658" t="s">
        <v>103</v>
      </c>
      <c r="Z53" s="658"/>
      <c r="AA53" s="659">
        <f>+J53</f>
        <v>197823.77</v>
      </c>
      <c r="AB53" s="659"/>
      <c r="AC53" s="659"/>
      <c r="AD53" s="9"/>
    </row>
    <row r="54" spans="2:30" x14ac:dyDescent="0.25">
      <c r="B54" s="13" t="s">
        <v>104</v>
      </c>
      <c r="C54" s="13"/>
      <c r="D54" s="13"/>
      <c r="E54" s="13"/>
      <c r="F54" s="13"/>
      <c r="G54" s="13"/>
      <c r="H54" s="13"/>
      <c r="I54" s="13"/>
      <c r="J54" s="13"/>
      <c r="K54" s="158">
        <f>ROUND(G53/J53,6)</f>
        <v>5.31E-4</v>
      </c>
      <c r="L54" s="158"/>
      <c r="N54" s="101"/>
      <c r="O54" s="1"/>
      <c r="V54" s="657" t="s">
        <v>104</v>
      </c>
      <c r="W54" s="657"/>
      <c r="X54" s="657"/>
      <c r="Y54" s="657"/>
      <c r="Z54" s="657"/>
      <c r="AA54" s="657"/>
      <c r="AB54" s="660">
        <f>ROUND(X53/AA53,6)</f>
        <v>0</v>
      </c>
      <c r="AC54" s="660"/>
      <c r="AD54" s="9"/>
    </row>
    <row r="55" spans="2:30" ht="24" customHeight="1" x14ac:dyDescent="0.25">
      <c r="B55" s="13" t="s">
        <v>105</v>
      </c>
      <c r="C55" s="13"/>
      <c r="D55" s="13"/>
      <c r="E55" s="13"/>
      <c r="F55" s="13"/>
      <c r="G55" s="13"/>
      <c r="H55" s="13"/>
      <c r="I55" s="13"/>
      <c r="J55" s="13"/>
      <c r="K55" s="13"/>
      <c r="L55" s="13"/>
      <c r="O55" s="1"/>
      <c r="V55" s="651" t="s">
        <v>105</v>
      </c>
      <c r="W55" s="651"/>
      <c r="X55" s="651"/>
      <c r="Y55" s="651"/>
      <c r="Z55" s="651"/>
      <c r="AA55" s="651"/>
      <c r="AB55" s="651"/>
      <c r="AC55" s="651"/>
      <c r="AD55" s="9"/>
    </row>
    <row r="56" spans="2:30" x14ac:dyDescent="0.25">
      <c r="B56" s="13" t="s">
        <v>106</v>
      </c>
      <c r="C56" s="13"/>
      <c r="D56" s="13"/>
      <c r="E56" s="13"/>
      <c r="F56" s="13"/>
      <c r="G56" s="159">
        <f>G26</f>
        <v>97.419999999999987</v>
      </c>
      <c r="H56" s="57" t="s">
        <v>107</v>
      </c>
      <c r="I56" s="57"/>
      <c r="J56" s="156">
        <f>+G40</f>
        <v>180284.81</v>
      </c>
      <c r="K56" s="156"/>
      <c r="L56" s="156"/>
      <c r="O56" s="1"/>
      <c r="V56" s="657" t="s">
        <v>106</v>
      </c>
      <c r="W56" s="657"/>
      <c r="X56" s="160">
        <f>X26</f>
        <v>0</v>
      </c>
      <c r="Y56" s="658" t="s">
        <v>107</v>
      </c>
      <c r="Z56" s="658"/>
      <c r="AA56" s="659">
        <f>+J56</f>
        <v>180284.81</v>
      </c>
      <c r="AB56" s="659"/>
      <c r="AC56" s="659"/>
      <c r="AD56" s="9"/>
    </row>
    <row r="57" spans="2:30" x14ac:dyDescent="0.25">
      <c r="B57" s="13" t="s">
        <v>108</v>
      </c>
      <c r="C57" s="13"/>
      <c r="D57" s="13"/>
      <c r="E57" s="13"/>
      <c r="F57" s="13"/>
      <c r="G57" s="13"/>
      <c r="H57" s="13"/>
      <c r="I57" s="13"/>
      <c r="J57" s="13"/>
      <c r="K57" s="158">
        <f>ROUND(G56/J56,6)</f>
        <v>5.4000000000000001E-4</v>
      </c>
      <c r="L57" s="158"/>
      <c r="O57" s="1"/>
      <c r="V57" s="657" t="s">
        <v>108</v>
      </c>
      <c r="W57" s="657"/>
      <c r="X57" s="657"/>
      <c r="Y57" s="657"/>
      <c r="Z57" s="657"/>
      <c r="AA57" s="657"/>
      <c r="AB57" s="660">
        <f>ROUND(X56/AA56,6)</f>
        <v>0</v>
      </c>
      <c r="AC57" s="660"/>
      <c r="AD57" s="9"/>
    </row>
    <row r="58" spans="2:30" ht="20.25" customHeight="1" x14ac:dyDescent="0.25">
      <c r="B58" s="161" t="s">
        <v>109</v>
      </c>
      <c r="C58" s="161"/>
      <c r="D58" s="161"/>
      <c r="E58" s="161"/>
      <c r="F58" s="161"/>
      <c r="G58" s="161"/>
      <c r="H58" s="161"/>
      <c r="I58" s="161"/>
      <c r="J58" s="161"/>
      <c r="K58" s="161"/>
      <c r="L58" s="161"/>
      <c r="N58" s="18"/>
      <c r="O58" s="18"/>
      <c r="V58" s="629" t="s">
        <v>110</v>
      </c>
      <c r="W58" s="629"/>
      <c r="X58" s="629"/>
      <c r="Y58" s="661">
        <f>X65+X64+X62+X61+X60</f>
        <v>4123852</v>
      </c>
      <c r="Z58" s="661"/>
      <c r="AA58" s="162" t="s">
        <v>111</v>
      </c>
      <c r="AB58" s="163">
        <f>AB54</f>
        <v>0</v>
      </c>
      <c r="AC58" s="56">
        <f>ROUND(Y58*AB58,0)</f>
        <v>0</v>
      </c>
      <c r="AD58" s="9"/>
    </row>
    <row r="59" spans="2:30" x14ac:dyDescent="0.25">
      <c r="B59" s="62" t="s">
        <v>110</v>
      </c>
      <c r="C59" s="62"/>
      <c r="D59" s="62"/>
      <c r="E59" s="62"/>
      <c r="F59" s="62"/>
      <c r="G59" s="62"/>
      <c r="H59" s="164" t="s">
        <v>22</v>
      </c>
      <c r="I59" s="129">
        <v>4123852</v>
      </c>
      <c r="J59" s="165" t="s">
        <v>111</v>
      </c>
      <c r="K59" s="166">
        <f>K54</f>
        <v>5.31E-4</v>
      </c>
      <c r="L59" s="50">
        <f>ROUND(I59*K59,0)</f>
        <v>2190</v>
      </c>
      <c r="O59" s="1"/>
      <c r="P59" s="165"/>
      <c r="Q59" s="165"/>
      <c r="V59" s="662" t="s">
        <v>112</v>
      </c>
      <c r="W59" s="662"/>
      <c r="X59" s="662"/>
      <c r="Y59" s="662"/>
      <c r="Z59" s="662"/>
      <c r="AA59" s="662"/>
      <c r="AB59" s="662"/>
      <c r="AC59" s="662"/>
      <c r="AD59" s="9"/>
    </row>
    <row r="60" spans="2:30" x14ac:dyDescent="0.25">
      <c r="B60" s="62" t="s">
        <v>112</v>
      </c>
      <c r="C60" s="62"/>
      <c r="D60" s="62"/>
      <c r="E60" s="62"/>
      <c r="F60" s="62"/>
      <c r="G60" s="62"/>
      <c r="H60" s="62"/>
      <c r="I60" s="62"/>
      <c r="J60" s="62"/>
      <c r="K60" s="62"/>
      <c r="L60" s="62"/>
      <c r="O60" s="1"/>
      <c r="P60" s="165"/>
      <c r="Q60" s="165"/>
      <c r="V60" s="663" t="s">
        <v>113</v>
      </c>
      <c r="W60" s="663"/>
      <c r="X60" s="664">
        <f>+G61</f>
        <v>0</v>
      </c>
      <c r="Y60" s="664"/>
      <c r="Z60" s="664"/>
      <c r="AA60" s="664"/>
      <c r="AB60" s="664"/>
      <c r="AC60" s="664"/>
      <c r="AD60" s="9"/>
    </row>
    <row r="61" spans="2:30" ht="15" customHeight="1" x14ac:dyDescent="0.25">
      <c r="B61" s="167" t="s">
        <v>113</v>
      </c>
      <c r="C61" s="62"/>
      <c r="D61" s="62"/>
      <c r="E61" s="62"/>
      <c r="F61" s="62"/>
      <c r="G61" s="168">
        <v>0</v>
      </c>
      <c r="H61" s="168"/>
      <c r="I61" s="168"/>
      <c r="J61" s="168"/>
      <c r="K61" s="168"/>
      <c r="L61" s="168"/>
      <c r="O61" s="1"/>
      <c r="P61" s="165"/>
      <c r="Q61" s="165"/>
      <c r="V61" s="663" t="s">
        <v>114</v>
      </c>
      <c r="W61" s="663"/>
      <c r="X61" s="664">
        <f>+G62</f>
        <v>0</v>
      </c>
      <c r="Y61" s="664"/>
      <c r="Z61" s="664"/>
      <c r="AA61" s="664"/>
      <c r="AB61" s="664"/>
      <c r="AC61" s="664"/>
      <c r="AD61" s="9"/>
    </row>
    <row r="62" spans="2:30" ht="13.5" customHeight="1" x14ac:dyDescent="0.25">
      <c r="B62" s="167" t="s">
        <v>114</v>
      </c>
      <c r="C62" s="62"/>
      <c r="D62" s="62"/>
      <c r="E62" s="62"/>
      <c r="F62" s="62"/>
      <c r="G62" s="168">
        <v>0</v>
      </c>
      <c r="H62" s="168"/>
      <c r="I62" s="168"/>
      <c r="J62" s="168"/>
      <c r="K62" s="168"/>
      <c r="L62" s="168"/>
      <c r="N62" s="165"/>
      <c r="O62" s="165"/>
      <c r="P62" s="165"/>
      <c r="Q62" s="165"/>
      <c r="V62" s="663" t="s">
        <v>115</v>
      </c>
      <c r="W62" s="663"/>
      <c r="X62" s="664">
        <v>0</v>
      </c>
      <c r="Y62" s="664"/>
      <c r="Z62" s="664"/>
      <c r="AA62" s="664"/>
      <c r="AB62" s="664"/>
      <c r="AC62" s="664"/>
      <c r="AD62" s="9"/>
    </row>
    <row r="63" spans="2:30" ht="13.5" hidden="1" customHeight="1" x14ac:dyDescent="0.25">
      <c r="B63" s="62" t="s">
        <v>115</v>
      </c>
      <c r="C63" s="62"/>
      <c r="D63" s="62"/>
      <c r="E63" s="62"/>
      <c r="F63" s="62"/>
      <c r="G63" s="168">
        <v>0</v>
      </c>
      <c r="H63" s="168"/>
      <c r="I63" s="168"/>
      <c r="J63" s="168"/>
      <c r="K63" s="168"/>
      <c r="L63" s="168"/>
      <c r="O63" s="1"/>
      <c r="P63" s="165"/>
      <c r="Q63" s="165"/>
      <c r="V63" s="662" t="s">
        <v>116</v>
      </c>
      <c r="W63" s="662"/>
      <c r="X63" s="662"/>
      <c r="Y63" s="662"/>
      <c r="Z63" s="662"/>
      <c r="AA63" s="662"/>
      <c r="AB63" s="662"/>
      <c r="AC63" s="662"/>
      <c r="AD63" s="117"/>
    </row>
    <row r="64" spans="2:30" ht="13.5" customHeight="1" x14ac:dyDescent="0.25">
      <c r="B64" s="62" t="s">
        <v>116</v>
      </c>
      <c r="C64" s="62"/>
      <c r="D64" s="62"/>
      <c r="E64" s="62"/>
      <c r="F64" s="62"/>
      <c r="G64" s="62"/>
      <c r="H64" s="62"/>
      <c r="I64" s="62"/>
      <c r="J64" s="62"/>
      <c r="K64" s="62"/>
      <c r="L64" s="62"/>
      <c r="M64" s="116"/>
      <c r="N64" s="18"/>
      <c r="O64" s="1"/>
      <c r="V64" s="663" t="s">
        <v>117</v>
      </c>
      <c r="W64" s="663"/>
      <c r="X64" s="664">
        <f>+G65</f>
        <v>4123852</v>
      </c>
      <c r="Y64" s="664"/>
      <c r="Z64" s="664"/>
      <c r="AA64" s="664"/>
      <c r="AB64" s="664"/>
      <c r="AC64" s="664"/>
      <c r="AD64" s="9"/>
    </row>
    <row r="65" spans="1:30" ht="12.75" customHeight="1" x14ac:dyDescent="0.25">
      <c r="B65" s="167" t="s">
        <v>117</v>
      </c>
      <c r="C65" s="62"/>
      <c r="D65" s="62"/>
      <c r="E65" s="62"/>
      <c r="F65" s="62"/>
      <c r="G65" s="168">
        <f>+I59</f>
        <v>4123852</v>
      </c>
      <c r="H65" s="168"/>
      <c r="I65" s="168"/>
      <c r="J65" s="168"/>
      <c r="K65" s="168"/>
      <c r="L65" s="168"/>
      <c r="O65" s="1"/>
      <c r="V65" s="663" t="s">
        <v>118</v>
      </c>
      <c r="W65" s="663"/>
      <c r="X65" s="664">
        <f>+G66</f>
        <v>0</v>
      </c>
      <c r="Y65" s="664"/>
      <c r="Z65" s="664"/>
      <c r="AA65" s="664"/>
      <c r="AB65" s="664"/>
      <c r="AC65" s="664"/>
      <c r="AD65" s="20"/>
    </row>
    <row r="66" spans="1:30" ht="15" customHeight="1" x14ac:dyDescent="0.25">
      <c r="B66" s="167" t="s">
        <v>118</v>
      </c>
      <c r="C66" s="62"/>
      <c r="D66" s="62"/>
      <c r="E66" s="62"/>
      <c r="F66" s="62"/>
      <c r="G66" s="168">
        <v>0</v>
      </c>
      <c r="H66" s="168"/>
      <c r="I66" s="168"/>
      <c r="J66" s="168"/>
      <c r="K66" s="168"/>
      <c r="L66" s="168"/>
      <c r="M66" s="18"/>
      <c r="N66" s="3"/>
      <c r="O66" s="169"/>
      <c r="P66" s="169"/>
      <c r="Q66" s="169"/>
      <c r="V66" s="651" t="s">
        <v>119</v>
      </c>
      <c r="W66" s="651"/>
      <c r="X66" s="651"/>
      <c r="Y66" s="661">
        <f>+I67</f>
        <v>96774526</v>
      </c>
      <c r="Z66" s="661"/>
      <c r="AA66" s="162" t="s">
        <v>111</v>
      </c>
      <c r="AB66" s="163">
        <f>AB54</f>
        <v>0</v>
      </c>
      <c r="AC66" s="56">
        <f>ROUND(Y66*AB66,0)</f>
        <v>0</v>
      </c>
      <c r="AD66" s="9"/>
    </row>
    <row r="67" spans="1:30" ht="20.25" customHeight="1" x14ac:dyDescent="0.25">
      <c r="B67" s="13" t="s">
        <v>119</v>
      </c>
      <c r="C67" s="13"/>
      <c r="D67" s="13"/>
      <c r="E67" s="13"/>
      <c r="F67" s="13"/>
      <c r="H67" s="164" t="s">
        <v>25</v>
      </c>
      <c r="I67" s="129">
        <v>96774526</v>
      </c>
      <c r="J67" s="165" t="s">
        <v>111</v>
      </c>
      <c r="K67" s="166">
        <f>K54</f>
        <v>5.31E-4</v>
      </c>
      <c r="L67" s="50">
        <f>ROUND(I67*K67,0)</f>
        <v>51387</v>
      </c>
      <c r="O67" s="1"/>
      <c r="V67" s="651" t="s">
        <v>120</v>
      </c>
      <c r="W67" s="651"/>
      <c r="X67" s="651"/>
      <c r="Y67" s="651"/>
      <c r="Z67" s="651"/>
      <c r="AA67" s="651"/>
      <c r="AB67" s="651"/>
      <c r="AC67" s="651"/>
      <c r="AD67" s="9"/>
    </row>
    <row r="68" spans="1:30" ht="20.25" customHeight="1" x14ac:dyDescent="0.25">
      <c r="B68" s="13" t="s">
        <v>120</v>
      </c>
      <c r="C68" s="13"/>
      <c r="D68" s="13"/>
      <c r="E68" s="13"/>
      <c r="F68" s="13"/>
      <c r="H68" s="13"/>
      <c r="I68" s="13"/>
      <c r="J68" s="82"/>
      <c r="K68" s="13"/>
      <c r="L68" s="13"/>
      <c r="O68" s="1"/>
      <c r="V68" s="667" t="s">
        <v>121</v>
      </c>
      <c r="W68" s="667"/>
      <c r="X68" s="667"/>
      <c r="Y68" s="661">
        <f>+I69</f>
        <v>0</v>
      </c>
      <c r="Z68" s="661"/>
      <c r="AA68" s="162" t="s">
        <v>111</v>
      </c>
      <c r="AB68" s="163">
        <f>AB57</f>
        <v>0</v>
      </c>
      <c r="AC68" s="56">
        <f>ROUND(Y68*AB68,0)</f>
        <v>0</v>
      </c>
      <c r="AD68" s="9"/>
    </row>
    <row r="69" spans="1:30" ht="15" customHeight="1" x14ac:dyDescent="0.25">
      <c r="B69" s="170" t="s">
        <v>121</v>
      </c>
      <c r="C69" s="13"/>
      <c r="D69" s="13"/>
      <c r="E69" s="13"/>
      <c r="F69" s="13"/>
      <c r="H69" s="164" t="s">
        <v>23</v>
      </c>
      <c r="I69" s="129">
        <v>0</v>
      </c>
      <c r="J69" s="165" t="s">
        <v>111</v>
      </c>
      <c r="K69" s="166">
        <f>K57</f>
        <v>5.4000000000000001E-4</v>
      </c>
      <c r="L69" s="50">
        <f>ROUND(I69*K69,0)</f>
        <v>0</v>
      </c>
      <c r="O69" s="1"/>
      <c r="V69" s="651" t="s">
        <v>122</v>
      </c>
      <c r="W69" s="651"/>
      <c r="X69" s="651"/>
      <c r="Y69" s="668">
        <f>+I70</f>
        <v>-3460775</v>
      </c>
      <c r="Z69" s="668"/>
      <c r="AA69" s="162" t="s">
        <v>111</v>
      </c>
      <c r="AB69" s="163">
        <f>AB54</f>
        <v>0</v>
      </c>
      <c r="AC69" s="56">
        <f>ROUND(Y69*AB69,0)</f>
        <v>0</v>
      </c>
      <c r="AD69" s="9"/>
    </row>
    <row r="70" spans="1:30" ht="20.25" customHeight="1" x14ac:dyDescent="0.25">
      <c r="B70" s="13" t="s">
        <v>122</v>
      </c>
      <c r="C70" s="13"/>
      <c r="D70" s="13"/>
      <c r="E70" s="13"/>
      <c r="F70" s="13"/>
      <c r="H70" s="164" t="s">
        <v>22</v>
      </c>
      <c r="I70" s="129">
        <v>-3460775</v>
      </c>
      <c r="J70" s="165" t="s">
        <v>111</v>
      </c>
      <c r="K70" s="166">
        <f>K54</f>
        <v>5.31E-4</v>
      </c>
      <c r="L70" s="50">
        <f>ROUND(I70*K70,0)</f>
        <v>-1838</v>
      </c>
      <c r="O70" s="1"/>
      <c r="V70" s="651" t="s">
        <v>123</v>
      </c>
      <c r="W70" s="651"/>
      <c r="X70" s="651"/>
      <c r="Y70" s="665">
        <f>+I71</f>
        <v>1874788</v>
      </c>
      <c r="Z70" s="665"/>
      <c r="AA70" s="162" t="s">
        <v>111</v>
      </c>
      <c r="AB70" s="163">
        <f>AB54</f>
        <v>0</v>
      </c>
      <c r="AC70" s="56">
        <f>ROUND(Y70*AB70,0)</f>
        <v>0</v>
      </c>
      <c r="AD70" s="9"/>
    </row>
    <row r="71" spans="1:30" ht="20.25" customHeight="1" x14ac:dyDescent="0.25">
      <c r="B71" s="13" t="s">
        <v>123</v>
      </c>
      <c r="C71" s="13"/>
      <c r="D71" s="13"/>
      <c r="E71" s="13"/>
      <c r="F71" s="13"/>
      <c r="H71" s="164" t="s">
        <v>22</v>
      </c>
      <c r="I71" s="129">
        <v>1874788</v>
      </c>
      <c r="J71" s="165" t="s">
        <v>111</v>
      </c>
      <c r="K71" s="166">
        <f>K54</f>
        <v>5.31E-4</v>
      </c>
      <c r="L71" s="50">
        <f>ROUND(I71*K71,0)</f>
        <v>996</v>
      </c>
      <c r="O71" s="1"/>
      <c r="V71" s="651" t="s">
        <v>124</v>
      </c>
      <c r="W71" s="651"/>
      <c r="X71" s="651"/>
      <c r="Y71" s="665">
        <f>+I72</f>
        <v>14223298</v>
      </c>
      <c r="Z71" s="665"/>
      <c r="AA71" s="162" t="s">
        <v>111</v>
      </c>
      <c r="AB71" s="163">
        <f>AB57</f>
        <v>0</v>
      </c>
      <c r="AC71" s="56">
        <f>ROUND(Y71*AB71,0)</f>
        <v>0</v>
      </c>
      <c r="AD71" s="9"/>
    </row>
    <row r="72" spans="1:30" ht="21" customHeight="1" x14ac:dyDescent="0.25">
      <c r="B72" s="13" t="s">
        <v>124</v>
      </c>
      <c r="C72" s="13"/>
      <c r="D72" s="13"/>
      <c r="E72" s="13"/>
      <c r="F72" s="13"/>
      <c r="H72" s="164" t="s">
        <v>23</v>
      </c>
      <c r="I72" s="171">
        <v>14223298</v>
      </c>
      <c r="J72" s="165" t="s">
        <v>111</v>
      </c>
      <c r="K72" s="166">
        <f>K57</f>
        <v>5.4000000000000001E-4</v>
      </c>
      <c r="L72" s="50">
        <f>ROUND(I72*K72,0)</f>
        <v>7681</v>
      </c>
      <c r="O72" s="1"/>
      <c r="V72" s="623" t="s">
        <v>125</v>
      </c>
      <c r="W72" s="623"/>
      <c r="X72" s="623"/>
      <c r="Y72" s="623"/>
      <c r="Z72" s="623"/>
      <c r="AA72" s="623"/>
      <c r="AB72" s="623"/>
      <c r="AC72" s="60"/>
      <c r="AD72" s="9"/>
    </row>
    <row r="73" spans="1:30" ht="17.25" customHeight="1" x14ac:dyDescent="0.25">
      <c r="B73" s="13" t="s">
        <v>125</v>
      </c>
      <c r="C73" s="13"/>
      <c r="D73" s="13"/>
      <c r="E73" s="13"/>
      <c r="F73" s="13"/>
      <c r="H73" s="13"/>
      <c r="I73" s="13"/>
      <c r="J73" s="82"/>
      <c r="K73" s="13"/>
      <c r="L73" s="59"/>
      <c r="O73" s="1"/>
      <c r="V73" s="651" t="s">
        <v>126</v>
      </c>
      <c r="W73" s="651"/>
      <c r="X73" s="651"/>
      <c r="Y73" s="651"/>
      <c r="Z73" s="651"/>
      <c r="AA73" s="651"/>
      <c r="AB73" s="651"/>
      <c r="AC73" s="651"/>
      <c r="AD73" s="9"/>
    </row>
    <row r="74" spans="1:30" ht="31.5" x14ac:dyDescent="0.25">
      <c r="B74" s="13" t="s">
        <v>126</v>
      </c>
      <c r="C74" s="13"/>
      <c r="D74" s="27" t="s">
        <v>13</v>
      </c>
      <c r="E74" s="27" t="s">
        <v>14</v>
      </c>
      <c r="F74" s="27"/>
      <c r="H74" s="164" t="s">
        <v>26</v>
      </c>
      <c r="I74" s="172"/>
      <c r="J74" s="164"/>
      <c r="K74" s="172"/>
      <c r="L74" s="112"/>
      <c r="O74" s="1"/>
      <c r="V74" s="666" t="s">
        <v>127</v>
      </c>
      <c r="W74" s="666"/>
      <c r="X74" s="173" t="s">
        <v>128</v>
      </c>
      <c r="Y74" s="174"/>
      <c r="Z74" s="175">
        <f>+I75</f>
        <v>0</v>
      </c>
      <c r="AA74" s="176" t="s">
        <v>129</v>
      </c>
      <c r="AB74" s="177">
        <f>+K75</f>
        <v>361</v>
      </c>
      <c r="AC74" s="56">
        <f>ROUND(AB74*Z74,0)</f>
        <v>0</v>
      </c>
      <c r="AD74" s="9"/>
    </row>
    <row r="75" spans="1:30" ht="19.5" customHeight="1" x14ac:dyDescent="0.25">
      <c r="A75" s="1" t="s">
        <v>130</v>
      </c>
      <c r="B75" s="178" t="s">
        <v>127</v>
      </c>
      <c r="C75" s="179" t="s">
        <v>128</v>
      </c>
      <c r="D75" s="178">
        <v>0</v>
      </c>
      <c r="E75" s="178">
        <v>0</v>
      </c>
      <c r="F75" s="178">
        <v>0</v>
      </c>
      <c r="G75" s="180">
        <f>IF(E75=0,D75,E75)</f>
        <v>0</v>
      </c>
      <c r="H75" s="181"/>
      <c r="I75" s="182">
        <f>AVERAGE(G75,D75)</f>
        <v>0</v>
      </c>
      <c r="J75" s="183" t="s">
        <v>129</v>
      </c>
      <c r="K75" s="184">
        <v>361</v>
      </c>
      <c r="L75" s="50">
        <f>ROUND(K75*I75,0)</f>
        <v>0</v>
      </c>
      <c r="N75" s="1">
        <v>7802</v>
      </c>
      <c r="O75" s="1">
        <v>0</v>
      </c>
      <c r="V75" s="666" t="s">
        <v>127</v>
      </c>
      <c r="W75" s="666"/>
      <c r="X75" s="173" t="s">
        <v>131</v>
      </c>
      <c r="Y75" s="185"/>
      <c r="Z75" s="186">
        <f>+I76</f>
        <v>0</v>
      </c>
      <c r="AA75" s="176" t="s">
        <v>129</v>
      </c>
      <c r="AB75" s="187">
        <f>+K76</f>
        <v>1358</v>
      </c>
      <c r="AC75" s="56">
        <f>ROUND(AB75*Z75,0)</f>
        <v>0</v>
      </c>
      <c r="AD75" s="9"/>
    </row>
    <row r="76" spans="1:30" ht="19.5" customHeight="1" x14ac:dyDescent="0.25">
      <c r="A76" s="1" t="s">
        <v>132</v>
      </c>
      <c r="B76" s="178" t="s">
        <v>127</v>
      </c>
      <c r="C76" s="179" t="s">
        <v>131</v>
      </c>
      <c r="D76" s="178">
        <v>0</v>
      </c>
      <c r="E76" s="178">
        <v>0</v>
      </c>
      <c r="F76" s="178">
        <v>0</v>
      </c>
      <c r="G76" s="180">
        <f>IF(E76=0,D76,E76)</f>
        <v>0</v>
      </c>
      <c r="H76" s="181"/>
      <c r="I76" s="182">
        <f>AVERAGE(G76,D76)</f>
        <v>0</v>
      </c>
      <c r="J76" s="183" t="s">
        <v>129</v>
      </c>
      <c r="K76" s="188">
        <v>1358</v>
      </c>
      <c r="L76" s="50">
        <f>ROUND(K76*I76,0)</f>
        <v>0</v>
      </c>
      <c r="N76" s="1">
        <v>7802</v>
      </c>
      <c r="O76" s="1">
        <v>110</v>
      </c>
      <c r="V76" s="651" t="s">
        <v>133</v>
      </c>
      <c r="W76" s="651"/>
      <c r="X76" s="651"/>
      <c r="Y76" s="661">
        <f>+I77</f>
        <v>33305823</v>
      </c>
      <c r="Z76" s="661"/>
      <c r="AA76" s="176" t="s">
        <v>129</v>
      </c>
      <c r="AB76" s="163">
        <f>AB54</f>
        <v>0</v>
      </c>
      <c r="AC76" s="56">
        <f>ROUND(Y76*AB76,0)</f>
        <v>0</v>
      </c>
      <c r="AD76" s="9"/>
    </row>
    <row r="77" spans="1:30" ht="26.25" customHeight="1" x14ac:dyDescent="0.25">
      <c r="B77" s="13" t="s">
        <v>133</v>
      </c>
      <c r="C77" s="13"/>
      <c r="D77" s="13"/>
      <c r="E77" s="13"/>
      <c r="F77" s="13"/>
      <c r="H77" s="164" t="s">
        <v>134</v>
      </c>
      <c r="I77" s="189">
        <v>33305823</v>
      </c>
      <c r="J77" s="165" t="s">
        <v>111</v>
      </c>
      <c r="K77" s="166">
        <f>K54</f>
        <v>5.31E-4</v>
      </c>
      <c r="L77" s="50">
        <f>ROUND(I77*K77,0)</f>
        <v>17685</v>
      </c>
      <c r="O77" s="1"/>
      <c r="V77" s="651" t="str">
        <f>+B78</f>
        <v>15.  Additional Allocation (WFTE share)</v>
      </c>
      <c r="W77" s="651"/>
      <c r="X77" s="651"/>
      <c r="Y77" s="661">
        <f>+I78</f>
        <v>680688</v>
      </c>
      <c r="Z77" s="661"/>
      <c r="AA77" s="176" t="s">
        <v>129</v>
      </c>
      <c r="AB77" s="163">
        <f>AB54</f>
        <v>0</v>
      </c>
      <c r="AC77" s="56">
        <f>ROUND(Y77*AB77,0)</f>
        <v>0</v>
      </c>
      <c r="AD77" s="9"/>
    </row>
    <row r="78" spans="1:30" ht="26.25" customHeight="1" x14ac:dyDescent="0.25">
      <c r="B78" s="669" t="s">
        <v>135</v>
      </c>
      <c r="C78" s="669"/>
      <c r="D78" s="669"/>
      <c r="E78" s="13"/>
      <c r="F78" s="13"/>
      <c r="H78" s="164" t="s">
        <v>136</v>
      </c>
      <c r="I78" s="190">
        <v>680688</v>
      </c>
      <c r="J78" s="165" t="s">
        <v>111</v>
      </c>
      <c r="K78" s="166">
        <f>K54</f>
        <v>5.31E-4</v>
      </c>
      <c r="L78" s="50">
        <f>ROUND(I78*K78,0)</f>
        <v>361</v>
      </c>
      <c r="O78" s="1"/>
      <c r="V78" s="651" t="str">
        <f t="shared" ref="V78:V79" si="11">+B79</f>
        <v>16.  Florida Teachers Lead Program Stipend</v>
      </c>
      <c r="W78" s="651"/>
      <c r="X78" s="651"/>
      <c r="Y78" s="191"/>
      <c r="Z78" s="191"/>
      <c r="AA78" s="191"/>
      <c r="AB78" s="191"/>
      <c r="AC78" s="134"/>
      <c r="AD78" s="9"/>
    </row>
    <row r="79" spans="1:30" ht="21" customHeight="1" x14ac:dyDescent="0.25">
      <c r="B79" s="669" t="s">
        <v>137</v>
      </c>
      <c r="C79" s="669"/>
      <c r="D79" s="669"/>
      <c r="E79" s="13"/>
      <c r="F79" s="13"/>
      <c r="H79" s="164"/>
      <c r="I79" s="172"/>
      <c r="J79" s="172"/>
      <c r="K79" s="172"/>
      <c r="L79" s="129"/>
      <c r="N79" s="192"/>
      <c r="O79" s="1"/>
      <c r="Q79" s="164"/>
      <c r="V79" s="651" t="str">
        <f t="shared" si="11"/>
        <v>17.  Food Service Allocation</v>
      </c>
      <c r="W79" s="651"/>
      <c r="X79" s="651"/>
      <c r="Y79" s="191"/>
      <c r="Z79" s="191"/>
      <c r="AA79" s="191"/>
      <c r="AB79" s="191"/>
      <c r="AC79" s="193"/>
      <c r="AD79" s="9"/>
    </row>
    <row r="80" spans="1:30" ht="21" customHeight="1" x14ac:dyDescent="0.25">
      <c r="B80" s="669" t="s">
        <v>138</v>
      </c>
      <c r="C80" s="669"/>
      <c r="D80" s="669"/>
      <c r="E80" s="13"/>
      <c r="F80" s="13"/>
      <c r="H80" s="194" t="s">
        <v>139</v>
      </c>
      <c r="I80" s="195"/>
      <c r="J80" s="195"/>
      <c r="K80" s="195"/>
      <c r="L80" s="196"/>
      <c r="N80" s="197"/>
      <c r="O80" s="1"/>
      <c r="Q80" s="164"/>
      <c r="V80" s="191"/>
      <c r="W80" s="191"/>
      <c r="X80" s="191"/>
      <c r="Y80" s="191"/>
      <c r="Z80" s="191"/>
      <c r="AA80" s="191"/>
      <c r="AB80" s="191"/>
      <c r="AC80" s="193"/>
      <c r="AD80" s="9"/>
    </row>
    <row r="81" spans="1:30" ht="21" customHeight="1" thickBot="1" x14ac:dyDescent="0.3">
      <c r="B81" s="13"/>
      <c r="C81" s="13"/>
      <c r="D81" s="13"/>
      <c r="E81" s="13"/>
      <c r="F81" s="13"/>
      <c r="G81" s="13"/>
      <c r="H81" s="13"/>
      <c r="I81" s="13"/>
      <c r="J81" s="13"/>
      <c r="K81" s="13"/>
      <c r="L81" s="196"/>
      <c r="M81" s="198"/>
      <c r="N81" s="197"/>
      <c r="O81" s="1"/>
      <c r="Q81" s="164"/>
      <c r="V81" s="191" t="s">
        <v>140</v>
      </c>
      <c r="W81" s="191"/>
      <c r="X81" s="191"/>
      <c r="Y81" s="191"/>
      <c r="Z81" s="191"/>
      <c r="AA81" s="191"/>
      <c r="AB81" s="191"/>
      <c r="AC81" s="199">
        <f>SUM(AC44:AC80)</f>
        <v>0</v>
      </c>
      <c r="AD81" s="200"/>
    </row>
    <row r="82" spans="1:30" ht="22.5" customHeight="1" thickTop="1" thickBot="1" x14ac:dyDescent="0.3">
      <c r="B82" s="13" t="s">
        <v>141</v>
      </c>
      <c r="C82" s="13"/>
      <c r="D82" s="13"/>
      <c r="E82" s="13"/>
      <c r="F82" s="13"/>
      <c r="G82" s="13"/>
      <c r="H82" s="13"/>
      <c r="I82" s="13"/>
      <c r="J82" s="13"/>
      <c r="K82" s="13"/>
      <c r="L82" s="201">
        <f>SUM(L44:L81)</f>
        <v>654367</v>
      </c>
      <c r="M82" s="202"/>
      <c r="N82" s="203"/>
      <c r="O82" s="1"/>
      <c r="Q82" s="164"/>
      <c r="V82" s="191"/>
      <c r="W82" s="191"/>
      <c r="X82" s="191"/>
      <c r="Y82" s="191"/>
      <c r="Z82" s="191"/>
      <c r="AA82" s="191"/>
      <c r="AB82" s="191"/>
      <c r="AC82" s="204"/>
      <c r="AD82" s="200"/>
    </row>
    <row r="83" spans="1:30" ht="27.75" customHeight="1" thickTop="1" x14ac:dyDescent="0.25">
      <c r="B83" s="13" t="s">
        <v>142</v>
      </c>
      <c r="C83" s="13"/>
      <c r="D83" s="13"/>
      <c r="E83" s="13"/>
      <c r="F83" s="13"/>
      <c r="G83" s="13"/>
      <c r="H83" s="13"/>
      <c r="I83" s="13"/>
      <c r="J83" s="13"/>
      <c r="K83" s="82" t="s">
        <v>143</v>
      </c>
      <c r="L83" s="205" t="s">
        <v>144</v>
      </c>
      <c r="M83" s="202"/>
      <c r="N83" s="203"/>
      <c r="O83" s="1"/>
      <c r="Q83" s="164"/>
      <c r="V83" s="9" t="s">
        <v>145</v>
      </c>
      <c r="W83" s="9"/>
      <c r="X83" s="9"/>
      <c r="Y83" s="9"/>
      <c r="Z83" s="9"/>
      <c r="AA83" s="9"/>
      <c r="AB83" s="9"/>
      <c r="AC83" s="9"/>
      <c r="AD83" s="206"/>
    </row>
    <row r="84" spans="1:30" ht="18.75" customHeight="1" thickBot="1" x14ac:dyDescent="0.3">
      <c r="B84" s="13" t="s">
        <v>146</v>
      </c>
      <c r="C84" s="13"/>
      <c r="D84" s="13"/>
      <c r="E84" s="13"/>
      <c r="F84" s="13"/>
      <c r="G84" s="13"/>
      <c r="H84" s="13"/>
      <c r="I84" s="13"/>
      <c r="J84" s="13"/>
      <c r="K84" s="207" t="str">
        <f>IF(G26=0,"",IF((G11+G13+SUM(G15:G21))/G26&gt;0.75,1,""))</f>
        <v/>
      </c>
      <c r="L84" s="201">
        <f>'2641'!AC81</f>
        <v>0</v>
      </c>
      <c r="M84" s="202"/>
      <c r="N84" s="203"/>
      <c r="O84" s="1"/>
      <c r="Q84" s="164"/>
      <c r="V84" s="208" t="s">
        <v>147</v>
      </c>
      <c r="W84" s="208"/>
      <c r="X84" s="208"/>
      <c r="Y84" s="208"/>
      <c r="Z84" s="208"/>
      <c r="AA84" s="208"/>
      <c r="AB84" s="208"/>
      <c r="AC84" s="208"/>
      <c r="AD84" s="9"/>
    </row>
    <row r="85" spans="1:30" ht="18.75" customHeight="1" thickTop="1" x14ac:dyDescent="0.25">
      <c r="B85" s="13"/>
      <c r="C85" s="13"/>
      <c r="D85" s="13"/>
      <c r="E85" s="13"/>
      <c r="F85" s="13"/>
      <c r="G85" s="13"/>
      <c r="H85" s="13"/>
      <c r="I85" s="13"/>
      <c r="J85" s="13"/>
      <c r="M85" s="202"/>
      <c r="N85" s="203"/>
      <c r="O85" s="1"/>
      <c r="Q85" s="164"/>
      <c r="V85" s="208" t="s">
        <v>148</v>
      </c>
      <c r="W85" s="208"/>
      <c r="X85" s="208"/>
      <c r="Y85" s="208"/>
      <c r="Z85" s="208"/>
      <c r="AA85" s="208"/>
      <c r="AB85" s="208"/>
      <c r="AC85" s="208"/>
      <c r="AD85" s="206"/>
    </row>
    <row r="86" spans="1:30" ht="18.75" customHeight="1" x14ac:dyDescent="0.25">
      <c r="B86" s="2" t="s">
        <v>149</v>
      </c>
      <c r="C86" s="13"/>
      <c r="D86" s="13"/>
      <c r="E86" s="13"/>
      <c r="F86" s="13"/>
      <c r="G86" s="13"/>
      <c r="H86" s="13"/>
      <c r="I86" s="13"/>
      <c r="J86" s="209" t="s">
        <v>150</v>
      </c>
      <c r="K86" s="210">
        <f>IF(K84=1,L84,L82)</f>
        <v>654367</v>
      </c>
      <c r="L86" s="211">
        <f>IF(G26=0,0,IF(G26&gt;250,-(((250/G26)*K86)*IF(M86="H",0.02,0.05)),IF(M86="H",-0.02*K86,-0.05*K86)))</f>
        <v>-32718.350000000002</v>
      </c>
      <c r="M86" s="212" t="str">
        <f>IF(B123="2801","H",IF(B123="2911","H",IF(B123="3382","H"," ")))</f>
        <v xml:space="preserve"> </v>
      </c>
      <c r="N86" s="203"/>
      <c r="O86" s="1"/>
      <c r="Q86" s="164"/>
      <c r="V86" s="208" t="s">
        <v>151</v>
      </c>
      <c r="W86" s="208"/>
      <c r="X86" s="208"/>
      <c r="Y86" s="208"/>
      <c r="Z86" s="208"/>
      <c r="AA86" s="208"/>
      <c r="AB86" s="208"/>
      <c r="AC86" s="208"/>
      <c r="AD86" s="206"/>
    </row>
    <row r="87" spans="1:30" ht="18.75" customHeight="1" x14ac:dyDescent="0.25">
      <c r="B87" s="2" t="s">
        <v>152</v>
      </c>
      <c r="C87" s="13"/>
      <c r="D87" s="13"/>
      <c r="E87" s="13"/>
      <c r="F87" s="13"/>
      <c r="G87" s="13"/>
      <c r="H87" s="13"/>
      <c r="I87" s="13"/>
      <c r="J87" s="13"/>
      <c r="K87" s="213"/>
      <c r="L87" s="205">
        <f>L82+L86</f>
        <v>621648.65</v>
      </c>
      <c r="M87" s="202"/>
      <c r="N87" s="203"/>
      <c r="O87" s="1"/>
      <c r="Q87" s="164"/>
      <c r="V87" s="198"/>
      <c r="W87" s="198"/>
      <c r="X87" s="198"/>
      <c r="Y87" s="198"/>
      <c r="Z87" s="198"/>
      <c r="AA87" s="198"/>
      <c r="AB87" s="198"/>
      <c r="AC87" s="198"/>
      <c r="AD87" s="214"/>
    </row>
    <row r="88" spans="1:30" x14ac:dyDescent="0.25">
      <c r="V88" s="198"/>
      <c r="W88" s="198"/>
      <c r="X88" s="198"/>
      <c r="Y88" s="198"/>
      <c r="Z88" s="198"/>
      <c r="AA88" s="198"/>
      <c r="AB88" s="198"/>
      <c r="AC88" s="198"/>
      <c r="AD88" s="215"/>
    </row>
    <row r="89" spans="1:30" ht="18.75" customHeight="1" x14ac:dyDescent="0.25">
      <c r="A89" s="1" t="s">
        <v>153</v>
      </c>
      <c r="B89" s="13" t="s">
        <v>154</v>
      </c>
      <c r="C89" s="13"/>
      <c r="D89" s="13">
        <v>352926</v>
      </c>
      <c r="E89" s="13">
        <v>42956</v>
      </c>
      <c r="F89" s="13">
        <v>524750</v>
      </c>
      <c r="G89" s="13"/>
      <c r="H89" s="13"/>
      <c r="I89" s="13"/>
      <c r="J89" s="13"/>
      <c r="K89" s="213"/>
      <c r="L89" s="84">
        <f>-F89-48449</f>
        <v>-573199</v>
      </c>
      <c r="M89" s="202"/>
      <c r="N89" s="203"/>
      <c r="O89" s="1"/>
      <c r="Q89" s="164"/>
      <c r="V89" s="198">
        <v>2801</v>
      </c>
      <c r="W89" s="198"/>
      <c r="X89" s="198"/>
      <c r="Y89" s="198"/>
      <c r="Z89" s="198"/>
      <c r="AA89" s="198"/>
      <c r="AB89" s="198"/>
      <c r="AC89" s="198"/>
      <c r="AD89" s="214"/>
    </row>
    <row r="90" spans="1:30" ht="18.75" customHeight="1" x14ac:dyDescent="0.25">
      <c r="B90" s="13" t="s">
        <v>155</v>
      </c>
      <c r="C90" s="13"/>
      <c r="D90" s="13"/>
      <c r="E90" s="13"/>
      <c r="F90" s="13"/>
      <c r="G90" s="13"/>
      <c r="H90" s="13"/>
      <c r="I90" s="13"/>
      <c r="J90" s="13"/>
      <c r="K90" s="213"/>
      <c r="L90" s="205">
        <f>L87+L89</f>
        <v>48449.650000000023</v>
      </c>
      <c r="M90" s="202"/>
      <c r="N90" s="203"/>
      <c r="O90" s="1"/>
      <c r="Q90" s="164"/>
      <c r="V90" s="198">
        <v>2911</v>
      </c>
      <c r="W90" s="216"/>
      <c r="X90" s="216"/>
      <c r="Y90" s="216"/>
      <c r="Z90" s="216"/>
      <c r="AA90" s="216"/>
      <c r="AB90" s="216"/>
      <c r="AC90" s="216"/>
      <c r="AD90" s="214"/>
    </row>
    <row r="91" spans="1:30" ht="18.75" customHeight="1" x14ac:dyDescent="0.25">
      <c r="B91" s="13" t="s">
        <v>156</v>
      </c>
      <c r="C91" s="13"/>
      <c r="D91" s="13"/>
      <c r="E91" s="13"/>
      <c r="F91" s="13"/>
      <c r="G91" s="13"/>
      <c r="H91" s="13"/>
      <c r="I91" s="13"/>
      <c r="J91" s="13"/>
      <c r="K91" s="213"/>
      <c r="L91" s="205">
        <v>1</v>
      </c>
      <c r="M91" s="202"/>
      <c r="N91" s="203"/>
      <c r="O91" s="1"/>
      <c r="Q91" s="164"/>
      <c r="V91" s="198">
        <v>3382</v>
      </c>
      <c r="W91" s="216"/>
      <c r="X91" s="216"/>
      <c r="Y91" s="216"/>
      <c r="Z91" s="216"/>
      <c r="AA91" s="216"/>
      <c r="AB91" s="216"/>
      <c r="AC91" s="216"/>
      <c r="AD91" s="214"/>
    </row>
    <row r="92" spans="1:30" ht="18.75" customHeight="1" thickBot="1" x14ac:dyDescent="0.3">
      <c r="B92" s="13" t="s">
        <v>157</v>
      </c>
      <c r="C92" s="13"/>
      <c r="D92" s="13"/>
      <c r="E92" s="13"/>
      <c r="F92" s="13"/>
      <c r="G92" s="13"/>
      <c r="H92" s="13"/>
      <c r="I92" s="13"/>
      <c r="J92" s="13"/>
      <c r="K92" s="213"/>
      <c r="L92" s="217">
        <f>L90/L91</f>
        <v>48449.650000000023</v>
      </c>
      <c r="M92" s="202"/>
      <c r="N92" s="203"/>
      <c r="O92" s="1"/>
      <c r="Q92" s="164"/>
      <c r="V92" s="218"/>
      <c r="W92" s="218"/>
      <c r="X92" s="218"/>
      <c r="Y92" s="218"/>
      <c r="Z92" s="218"/>
      <c r="AA92" s="218"/>
      <c r="AB92" s="218"/>
      <c r="AC92" s="218"/>
      <c r="AD92" s="219"/>
    </row>
    <row r="93" spans="1:30" ht="18.75" customHeight="1" thickTop="1" x14ac:dyDescent="0.25">
      <c r="N93" s="219"/>
      <c r="O93" s="220"/>
      <c r="P93" s="219"/>
      <c r="Q93" s="219"/>
      <c r="V93" s="218"/>
      <c r="W93" s="218"/>
      <c r="X93" s="218"/>
      <c r="Y93" s="218"/>
      <c r="Z93" s="218"/>
      <c r="AA93" s="218"/>
      <c r="AB93" s="218"/>
      <c r="AC93" s="218"/>
      <c r="AD93" s="214"/>
    </row>
    <row r="94" spans="1:30" ht="18.75" customHeight="1" thickBot="1" x14ac:dyDescent="0.3">
      <c r="B94" s="221" t="s">
        <v>158</v>
      </c>
      <c r="C94" s="13"/>
      <c r="D94" s="13"/>
      <c r="E94" s="13"/>
      <c r="G94" s="13"/>
      <c r="H94" s="13"/>
      <c r="I94" s="13"/>
      <c r="J94" s="13"/>
      <c r="L94" s="222">
        <f>IF(M86="H",(K86*0.02)+L86,(K86*0.05)+L86)</f>
        <v>0</v>
      </c>
      <c r="M94" s="202"/>
      <c r="V94" s="223"/>
      <c r="W94" s="223"/>
      <c r="X94" s="223"/>
      <c r="Y94" s="223"/>
      <c r="Z94" s="223"/>
      <c r="AA94" s="223"/>
      <c r="AB94" s="223"/>
      <c r="AC94" s="223"/>
      <c r="AD94" s="214"/>
    </row>
    <row r="95" spans="1:30" ht="21.75" customHeight="1" thickTop="1" x14ac:dyDescent="0.25">
      <c r="B95" s="224" t="s">
        <v>159</v>
      </c>
      <c r="C95" s="224"/>
      <c r="D95" s="224"/>
      <c r="E95" s="224"/>
      <c r="F95" s="224"/>
      <c r="G95" s="224"/>
      <c r="H95" s="224"/>
      <c r="I95" s="224"/>
      <c r="J95" s="224"/>
      <c r="K95" s="224"/>
      <c r="L95" s="224"/>
      <c r="M95" s="219"/>
      <c r="V95" s="223"/>
      <c r="W95" s="223"/>
      <c r="X95" s="223"/>
      <c r="Y95" s="223"/>
      <c r="Z95" s="223"/>
      <c r="AA95" s="223"/>
      <c r="AB95" s="223"/>
      <c r="AC95" s="223"/>
      <c r="AD95" s="214"/>
    </row>
    <row r="96" spans="1:30" x14ac:dyDescent="0.25">
      <c r="B96" s="225"/>
      <c r="V96" s="223"/>
      <c r="W96" s="223"/>
      <c r="X96" s="223"/>
      <c r="Y96" s="223"/>
      <c r="Z96" s="223"/>
      <c r="AA96" s="223"/>
      <c r="AB96" s="223"/>
      <c r="AC96" s="223"/>
      <c r="AD96" s="219"/>
    </row>
    <row r="97" spans="2:30" x14ac:dyDescent="0.25">
      <c r="B97" s="225"/>
      <c r="V97" s="223"/>
      <c r="W97" s="223"/>
      <c r="X97" s="223"/>
      <c r="Y97" s="223"/>
      <c r="Z97" s="223"/>
      <c r="AA97" s="223"/>
      <c r="AB97" s="223"/>
      <c r="AC97" s="223"/>
      <c r="AD97" s="219"/>
    </row>
    <row r="98" spans="2:30" hidden="1" x14ac:dyDescent="0.25">
      <c r="B98" s="226" t="s">
        <v>160</v>
      </c>
      <c r="C98" s="227"/>
      <c r="V98" s="228"/>
      <c r="W98" s="228"/>
      <c r="X98" s="228"/>
      <c r="Y98" s="228"/>
      <c r="Z98" s="228"/>
      <c r="AA98" s="228"/>
      <c r="AB98" s="228"/>
      <c r="AC98" s="228"/>
    </row>
    <row r="99" spans="2:30" hidden="1" x14ac:dyDescent="0.25">
      <c r="B99" s="229"/>
      <c r="C99" s="227"/>
      <c r="V99" s="225"/>
      <c r="W99" s="13"/>
      <c r="X99" s="13"/>
      <c r="Y99" s="13"/>
      <c r="Z99" s="13"/>
      <c r="AA99" s="13"/>
      <c r="AB99" s="13"/>
      <c r="AC99" s="13"/>
    </row>
    <row r="100" spans="2:30" hidden="1" x14ac:dyDescent="0.25">
      <c r="B100" s="230" t="s">
        <v>161</v>
      </c>
      <c r="C100" s="226" t="s">
        <v>162</v>
      </c>
      <c r="V100" s="225"/>
    </row>
    <row r="101" spans="2:30" hidden="1" x14ac:dyDescent="0.25">
      <c r="B101" s="230" t="s">
        <v>163</v>
      </c>
      <c r="C101" s="226" t="s">
        <v>164</v>
      </c>
      <c r="V101" s="225"/>
    </row>
    <row r="102" spans="2:30" hidden="1" x14ac:dyDescent="0.25">
      <c r="B102" s="230" t="s">
        <v>165</v>
      </c>
      <c r="C102" s="226" t="s">
        <v>166</v>
      </c>
      <c r="V102" s="225"/>
      <c r="W102" s="231"/>
      <c r="X102" s="231"/>
      <c r="Y102" s="231"/>
      <c r="Z102" s="231"/>
      <c r="AA102" s="231"/>
      <c r="AB102" s="231"/>
      <c r="AC102" s="231"/>
      <c r="AD102" s="231"/>
    </row>
    <row r="103" spans="2:30" hidden="1" x14ac:dyDescent="0.25">
      <c r="B103" s="230" t="s">
        <v>167</v>
      </c>
      <c r="C103" s="226" t="s">
        <v>168</v>
      </c>
      <c r="V103" s="225"/>
    </row>
    <row r="104" spans="2:30" hidden="1" x14ac:dyDescent="0.25">
      <c r="B104" s="232"/>
      <c r="C104" s="226" t="s">
        <v>169</v>
      </c>
      <c r="V104" s="225"/>
    </row>
    <row r="105" spans="2:30" hidden="1" x14ac:dyDescent="0.25">
      <c r="B105" s="230" t="s">
        <v>170</v>
      </c>
      <c r="C105" s="226" t="s">
        <v>171</v>
      </c>
      <c r="V105" s="225"/>
    </row>
    <row r="106" spans="2:30" hidden="1" x14ac:dyDescent="0.25">
      <c r="B106" s="230" t="s">
        <v>172</v>
      </c>
      <c r="C106" s="226" t="s">
        <v>173</v>
      </c>
      <c r="V106" s="225"/>
    </row>
    <row r="107" spans="2:30" hidden="1" x14ac:dyDescent="0.25">
      <c r="B107" s="230" t="s">
        <v>231</v>
      </c>
      <c r="C107" s="226" t="s">
        <v>175</v>
      </c>
      <c r="V107" s="225"/>
    </row>
    <row r="108" spans="2:30" hidden="1" x14ac:dyDescent="0.25">
      <c r="B108" s="230" t="s">
        <v>176</v>
      </c>
      <c r="C108" s="226" t="s">
        <v>177</v>
      </c>
      <c r="V108" s="225"/>
    </row>
    <row r="109" spans="2:30" hidden="1" x14ac:dyDescent="0.25">
      <c r="B109" s="230" t="s">
        <v>178</v>
      </c>
      <c r="C109" s="226" t="s">
        <v>179</v>
      </c>
      <c r="V109" s="225"/>
    </row>
    <row r="110" spans="2:30" hidden="1" x14ac:dyDescent="0.25">
      <c r="B110" s="232"/>
      <c r="C110" s="226"/>
      <c r="V110" s="225"/>
    </row>
    <row r="111" spans="2:30" hidden="1" x14ac:dyDescent="0.25">
      <c r="B111" s="230" t="s">
        <v>180</v>
      </c>
      <c r="C111" s="226" t="s">
        <v>181</v>
      </c>
      <c r="V111" s="225"/>
    </row>
    <row r="112" spans="2:30" hidden="1" x14ac:dyDescent="0.25">
      <c r="B112" s="230" t="s">
        <v>180</v>
      </c>
      <c r="C112" s="226" t="s">
        <v>182</v>
      </c>
    </row>
    <row r="113" spans="2:3" hidden="1" x14ac:dyDescent="0.25">
      <c r="B113" s="230" t="s">
        <v>183</v>
      </c>
      <c r="C113" s="226" t="s">
        <v>184</v>
      </c>
    </row>
    <row r="114" spans="2:3" hidden="1" x14ac:dyDescent="0.25">
      <c r="B114" s="230" t="s">
        <v>185</v>
      </c>
      <c r="C114" s="226" t="s">
        <v>186</v>
      </c>
    </row>
    <row r="115" spans="2:3" hidden="1" x14ac:dyDescent="0.25">
      <c r="B115" s="230" t="s">
        <v>183</v>
      </c>
      <c r="C115" s="226" t="s">
        <v>187</v>
      </c>
    </row>
    <row r="116" spans="2:3" hidden="1" x14ac:dyDescent="0.25">
      <c r="B116" s="230" t="s">
        <v>188</v>
      </c>
      <c r="C116" s="226" t="s">
        <v>189</v>
      </c>
    </row>
    <row r="117" spans="2:3" hidden="1" x14ac:dyDescent="0.25">
      <c r="B117" s="230" t="s">
        <v>190</v>
      </c>
      <c r="C117" s="226" t="s">
        <v>191</v>
      </c>
    </row>
    <row r="118" spans="2:3" hidden="1" x14ac:dyDescent="0.25">
      <c r="B118" s="232" t="s">
        <v>192</v>
      </c>
      <c r="C118" s="226" t="s">
        <v>193</v>
      </c>
    </row>
    <row r="119" spans="2:3" hidden="1" x14ac:dyDescent="0.25">
      <c r="B119" s="232"/>
      <c r="C119" s="226"/>
    </row>
    <row r="120" spans="2:3" hidden="1" x14ac:dyDescent="0.25">
      <c r="B120" s="230" t="s">
        <v>161</v>
      </c>
      <c r="C120" s="226" t="s">
        <v>194</v>
      </c>
    </row>
    <row r="121" spans="2:3" hidden="1" x14ac:dyDescent="0.25">
      <c r="B121" s="230" t="s">
        <v>195</v>
      </c>
      <c r="C121" s="226" t="s">
        <v>196</v>
      </c>
    </row>
    <row r="122" spans="2:3" hidden="1" x14ac:dyDescent="0.25">
      <c r="B122" s="230" t="s">
        <v>197</v>
      </c>
      <c r="C122" s="226" t="s">
        <v>198</v>
      </c>
    </row>
    <row r="123" spans="2:3" hidden="1" x14ac:dyDescent="0.25">
      <c r="B123" s="230" t="s">
        <v>232</v>
      </c>
      <c r="C123" s="226" t="s">
        <v>200</v>
      </c>
    </row>
    <row r="124" spans="2:3" hidden="1" x14ac:dyDescent="0.25">
      <c r="B124" s="230" t="s">
        <v>233</v>
      </c>
      <c r="C124" s="226" t="s">
        <v>202</v>
      </c>
    </row>
    <row r="125" spans="2:3" hidden="1" x14ac:dyDescent="0.25">
      <c r="B125" s="230" t="s">
        <v>203</v>
      </c>
      <c r="C125" s="226" t="s">
        <v>204</v>
      </c>
    </row>
    <row r="126" spans="2:3" hidden="1" x14ac:dyDescent="0.25">
      <c r="B126" s="230" t="s">
        <v>203</v>
      </c>
      <c r="C126" s="226" t="s">
        <v>205</v>
      </c>
    </row>
    <row r="127" spans="2:3" hidden="1" x14ac:dyDescent="0.25">
      <c r="B127" s="230" t="s">
        <v>203</v>
      </c>
      <c r="C127" s="226" t="s">
        <v>206</v>
      </c>
    </row>
    <row r="128" spans="2:3" hidden="1" x14ac:dyDescent="0.25">
      <c r="B128" s="230" t="s">
        <v>203</v>
      </c>
      <c r="C128" s="226" t="s">
        <v>207</v>
      </c>
    </row>
    <row r="129" spans="2:3" hidden="1" x14ac:dyDescent="0.25">
      <c r="B129" s="230" t="s">
        <v>167</v>
      </c>
      <c r="C129" s="226" t="s">
        <v>208</v>
      </c>
    </row>
    <row r="130" spans="2:3" hidden="1" x14ac:dyDescent="0.25">
      <c r="B130" s="230" t="s">
        <v>209</v>
      </c>
      <c r="C130" s="226" t="s">
        <v>210</v>
      </c>
    </row>
    <row r="131" spans="2:3" hidden="1" x14ac:dyDescent="0.25">
      <c r="B131" s="230" t="s">
        <v>203</v>
      </c>
      <c r="C131" s="226" t="s">
        <v>211</v>
      </c>
    </row>
    <row r="132" spans="2:3" hidden="1" x14ac:dyDescent="0.25">
      <c r="B132" s="226"/>
      <c r="C132" s="226"/>
    </row>
    <row r="133" spans="2:3" hidden="1" x14ac:dyDescent="0.25">
      <c r="B133" s="226"/>
      <c r="C133" s="226"/>
    </row>
    <row r="134" spans="2:3" hidden="1" x14ac:dyDescent="0.25">
      <c r="B134" s="232"/>
      <c r="C134" s="232"/>
    </row>
    <row r="135" spans="2:3" hidden="1" x14ac:dyDescent="0.25">
      <c r="B135" s="232">
        <f>NvsElapsedTime</f>
        <v>1.15740767796524E-5</v>
      </c>
      <c r="C135" s="232"/>
    </row>
    <row r="136" spans="2:3" hidden="1" x14ac:dyDescent="0.25">
      <c r="B136" s="233">
        <f>NvsEndTime</f>
        <v>41754.487719907404</v>
      </c>
      <c r="C136" s="233" t="s">
        <v>212</v>
      </c>
    </row>
    <row r="137" spans="2:3" x14ac:dyDescent="0.25">
      <c r="B137" s="226"/>
      <c r="C137" s="234"/>
    </row>
    <row r="138" spans="2:3" x14ac:dyDescent="0.25">
      <c r="B138" s="226"/>
      <c r="C138" s="226"/>
    </row>
    <row r="139" spans="2:3" x14ac:dyDescent="0.25">
      <c r="B139" s="226"/>
      <c r="C139" s="226"/>
    </row>
    <row r="140" spans="2:3" x14ac:dyDescent="0.25">
      <c r="B140" s="226"/>
      <c r="C140" s="226"/>
    </row>
    <row r="141" spans="2:3" x14ac:dyDescent="0.25">
      <c r="B141" s="226"/>
      <c r="C141" s="226"/>
    </row>
    <row r="142" spans="2:3" x14ac:dyDescent="0.25">
      <c r="B142" s="226"/>
      <c r="C142" s="226"/>
    </row>
    <row r="143" spans="2:3" x14ac:dyDescent="0.25">
      <c r="B143" s="226"/>
      <c r="C143" s="226"/>
    </row>
    <row r="144" spans="2:3" x14ac:dyDescent="0.25">
      <c r="B144" s="226"/>
      <c r="C144" s="226"/>
    </row>
    <row r="145" spans="2:3" x14ac:dyDescent="0.25">
      <c r="B145" s="226"/>
      <c r="C145" s="226"/>
    </row>
    <row r="146" spans="2:3" x14ac:dyDescent="0.25">
      <c r="B146" s="226"/>
      <c r="C146" s="226"/>
    </row>
    <row r="147" spans="2:3" x14ac:dyDescent="0.25">
      <c r="B147" s="226"/>
      <c r="C147" s="226"/>
    </row>
    <row r="148" spans="2:3" x14ac:dyDescent="0.25">
      <c r="B148" s="226"/>
      <c r="C148" s="226"/>
    </row>
    <row r="149" spans="2:3" x14ac:dyDescent="0.25">
      <c r="B149" s="226"/>
      <c r="C149" s="226"/>
    </row>
    <row r="150" spans="2:3" x14ac:dyDescent="0.25">
      <c r="B150" s="226"/>
      <c r="C150" s="226"/>
    </row>
    <row r="151" spans="2:3" x14ac:dyDescent="0.25">
      <c r="B151" s="226"/>
      <c r="C151" s="226"/>
    </row>
  </sheetData>
  <mergeCells count="151">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9:W9"/>
    <mergeCell ref="X9:Y9"/>
    <mergeCell ref="Z9:AA9"/>
    <mergeCell ref="V10:W10"/>
    <mergeCell ref="X10:Y10"/>
    <mergeCell ref="Z10:AA10"/>
    <mergeCell ref="V7:W7"/>
    <mergeCell ref="X7:Y7"/>
    <mergeCell ref="Z7:AA7"/>
    <mergeCell ref="AB7:AC7"/>
    <mergeCell ref="V8:W8"/>
    <mergeCell ref="X8:Y8"/>
    <mergeCell ref="Z8:AA8"/>
    <mergeCell ref="W2:AC2"/>
    <mergeCell ref="V3:AC3"/>
    <mergeCell ref="V4:AC4"/>
    <mergeCell ref="V5:W5"/>
    <mergeCell ref="X5:Y5"/>
    <mergeCell ref="V6:AC6"/>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51"/>
  <sheetViews>
    <sheetView topLeftCell="B2" zoomScale="70" zoomScaleNormal="70" workbookViewId="0">
      <selection activeCell="E22" sqref="E22:E23"/>
    </sheetView>
  </sheetViews>
  <sheetFormatPr defaultColWidth="8.85546875" defaultRowHeight="15.75" x14ac:dyDescent="0.25"/>
  <cols>
    <col min="1" max="1" width="11.28515625" style="1" hidden="1" customWidth="1"/>
    <col min="2" max="2" width="10.28515625" style="2" customWidth="1"/>
    <col min="3" max="3" width="29" style="1" customWidth="1"/>
    <col min="4" max="5" width="12.28515625" style="1" customWidth="1"/>
    <col min="6" max="6" width="12.28515625" style="1" hidden="1" customWidth="1"/>
    <col min="7" max="7" width="15.28515625" style="1" customWidth="1"/>
    <col min="8" max="8" width="6.7109375" style="1" customWidth="1"/>
    <col min="9" max="9" width="12.5703125" style="1" customWidth="1"/>
    <col min="10" max="10" width="12.85546875" style="1" customWidth="1"/>
    <col min="11" max="11" width="15.5703125" style="1" bestFit="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28515625" style="1" customWidth="1"/>
    <col min="18" max="18" width="8.85546875" style="1"/>
    <col min="19" max="21" width="0" style="1" hidden="1" customWidth="1"/>
    <col min="22" max="23" width="8.85546875" style="1"/>
    <col min="24" max="24" width="12.7109375" style="1" customWidth="1"/>
    <col min="25" max="27" width="8.85546875" style="1"/>
    <col min="28" max="28" width="13.140625" style="1" bestFit="1" customWidth="1"/>
    <col min="29" max="16384" width="8.85546875" style="1"/>
  </cols>
  <sheetData>
    <row r="1" spans="1:30" ht="15.6"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7"/>
      <c r="N2" s="3"/>
      <c r="O2" s="1"/>
      <c r="V2" s="8">
        <f>'2641 June Final'!B2</f>
        <v>50</v>
      </c>
      <c r="W2" s="606" t="s">
        <v>4</v>
      </c>
      <c r="X2" s="607"/>
      <c r="Y2" s="608"/>
      <c r="Z2" s="608"/>
      <c r="AA2" s="608"/>
      <c r="AB2" s="608"/>
      <c r="AC2" s="608"/>
      <c r="AD2" s="9"/>
    </row>
    <row r="3" spans="1:30" ht="20.25" x14ac:dyDescent="0.3">
      <c r="B3" s="10" t="str">
        <f>"Revenue Estimate Worksheet for "&amp;B124</f>
        <v>Revenue Estimate Worksheet for Lakeside Academy Charter</v>
      </c>
      <c r="C3" s="11"/>
      <c r="D3" s="11"/>
      <c r="E3" s="11"/>
      <c r="F3" s="11"/>
      <c r="G3" s="11"/>
      <c r="H3" s="11"/>
      <c r="I3" s="11"/>
      <c r="J3" s="11"/>
      <c r="K3" s="11"/>
      <c r="L3" s="11"/>
      <c r="M3" s="10"/>
      <c r="N3" s="10"/>
      <c r="O3" s="10"/>
      <c r="P3" s="10"/>
      <c r="Q3" s="10"/>
      <c r="V3" s="609" t="s">
        <v>5</v>
      </c>
      <c r="W3" s="609"/>
      <c r="X3" s="609"/>
      <c r="Y3" s="609"/>
      <c r="Z3" s="609"/>
      <c r="AA3" s="609"/>
      <c r="AB3" s="609"/>
      <c r="AC3" s="609"/>
      <c r="AD3" s="12"/>
    </row>
    <row r="4" spans="1:30" ht="18.75" x14ac:dyDescent="0.3">
      <c r="B4" s="2" t="s">
        <v>6</v>
      </c>
      <c r="C4" s="13"/>
      <c r="D4" s="13"/>
      <c r="E4" s="13"/>
      <c r="F4" s="13"/>
      <c r="G4" s="13"/>
      <c r="H4" s="13"/>
      <c r="I4" s="13"/>
      <c r="J4" s="13"/>
      <c r="K4" s="13"/>
      <c r="L4" s="13"/>
      <c r="M4" s="14"/>
      <c r="N4" s="14"/>
      <c r="O4" s="14"/>
      <c r="P4" s="14"/>
      <c r="Q4" s="14"/>
      <c r="V4" s="610" t="str">
        <f>+Based_on_the_Second_Calculation_of_the_FEFP_2010_11</f>
        <v>Based on the Fourth Calculation of the FEFP 2013-14</v>
      </c>
      <c r="W4" s="610"/>
      <c r="X4" s="610"/>
      <c r="Y4" s="610"/>
      <c r="Z4" s="610"/>
      <c r="AA4" s="610"/>
      <c r="AB4" s="610"/>
      <c r="AC4" s="610"/>
      <c r="AD4" s="15"/>
    </row>
    <row r="5" spans="1:30" ht="18.75" customHeight="1" x14ac:dyDescent="0.25">
      <c r="B5" s="16" t="s">
        <v>7</v>
      </c>
      <c r="C5" s="16"/>
      <c r="D5" s="16"/>
      <c r="E5" s="16"/>
      <c r="F5" s="16"/>
      <c r="G5" s="17" t="s">
        <v>8</v>
      </c>
      <c r="H5" s="17"/>
      <c r="I5" s="17"/>
      <c r="J5" s="17"/>
      <c r="K5" s="17"/>
      <c r="L5" s="17"/>
      <c r="M5" s="18"/>
      <c r="N5" s="18"/>
      <c r="O5" s="18"/>
      <c r="P5" s="18"/>
      <c r="Q5" s="18"/>
      <c r="V5" s="611" t="s">
        <v>7</v>
      </c>
      <c r="W5" s="611"/>
      <c r="X5" s="612" t="s">
        <v>8</v>
      </c>
      <c r="Y5" s="612"/>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613" t="s">
        <v>9</v>
      </c>
      <c r="W6" s="613"/>
      <c r="X6" s="613"/>
      <c r="Y6" s="613"/>
      <c r="Z6" s="613"/>
      <c r="AA6" s="613"/>
      <c r="AB6" s="613"/>
      <c r="AC6" s="613"/>
      <c r="AD6" s="22"/>
    </row>
    <row r="7" spans="1:30" ht="18" customHeight="1" x14ac:dyDescent="0.25">
      <c r="B7" s="23" t="s">
        <v>10</v>
      </c>
      <c r="C7" s="23"/>
      <c r="D7" s="23"/>
      <c r="E7" s="23"/>
      <c r="F7" s="23"/>
      <c r="G7" s="24">
        <v>3752.3</v>
      </c>
      <c r="H7" s="24"/>
      <c r="I7" s="23" t="s">
        <v>11</v>
      </c>
      <c r="J7" s="23"/>
      <c r="K7" s="25">
        <v>1.0326</v>
      </c>
      <c r="L7" s="25"/>
      <c r="O7" s="1"/>
      <c r="V7" s="620" t="s">
        <v>10</v>
      </c>
      <c r="W7" s="620"/>
      <c r="X7" s="621">
        <f>'2641 June Final'!G7</f>
        <v>3752.3</v>
      </c>
      <c r="Y7" s="621"/>
      <c r="Z7" s="622" t="s">
        <v>11</v>
      </c>
      <c r="AA7" s="622"/>
      <c r="AB7" s="602">
        <f>+K7</f>
        <v>1.0326</v>
      </c>
      <c r="AC7" s="602"/>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603" t="s">
        <v>12</v>
      </c>
      <c r="W8" s="603"/>
      <c r="X8" s="604" t="s">
        <v>15</v>
      </c>
      <c r="Y8" s="604"/>
      <c r="Z8" s="605" t="s">
        <v>16</v>
      </c>
      <c r="AA8" s="605"/>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614" t="s">
        <v>22</v>
      </c>
      <c r="W9" s="614"/>
      <c r="X9" s="615" t="s">
        <v>23</v>
      </c>
      <c r="Y9" s="615"/>
      <c r="Z9" s="616" t="s">
        <v>24</v>
      </c>
      <c r="AA9" s="616"/>
      <c r="AB9" s="43" t="s">
        <v>25</v>
      </c>
      <c r="AC9" s="44" t="s">
        <v>26</v>
      </c>
      <c r="AD9" s="9"/>
    </row>
    <row r="10" spans="1:30" x14ac:dyDescent="0.25">
      <c r="A10" s="1" t="s">
        <v>27</v>
      </c>
      <c r="B10" s="45" t="s">
        <v>28</v>
      </c>
      <c r="C10" s="45"/>
      <c r="D10" s="45">
        <v>21.81</v>
      </c>
      <c r="E10" s="45">
        <v>22.73</v>
      </c>
      <c r="F10" s="45">
        <v>26.15</v>
      </c>
      <c r="G10" s="46">
        <f t="shared" ref="G10:G25" si="0">D10+E10</f>
        <v>44.54</v>
      </c>
      <c r="H10" s="47"/>
      <c r="I10" s="48">
        <v>1.125</v>
      </c>
      <c r="J10" s="48"/>
      <c r="K10" s="49">
        <f t="shared" ref="K10:K25" si="1">ROUND(G10*I10,4)</f>
        <v>50.107500000000002</v>
      </c>
      <c r="L10" s="50">
        <f t="shared" ref="L10:L25" si="2">ROUND(ROUND(K10*$G$7,4)*($K$7),0)</f>
        <v>194148</v>
      </c>
      <c r="N10" s="51">
        <v>5101</v>
      </c>
      <c r="O10" s="52">
        <v>101</v>
      </c>
      <c r="P10" s="53"/>
      <c r="Q10" s="54"/>
      <c r="V10" s="617" t="s">
        <v>28</v>
      </c>
      <c r="W10" s="617"/>
      <c r="X10" s="618">
        <f>IF('2641 June Final'!K$84=1,'2641 June Final'!G10,0)</f>
        <v>0</v>
      </c>
      <c r="Y10" s="618"/>
      <c r="Z10" s="619">
        <v>1</v>
      </c>
      <c r="AA10" s="619"/>
      <c r="AB10" s="55">
        <f t="shared" ref="AB10:AB25" si="3">ROUND(X10*Z10,4)</f>
        <v>0</v>
      </c>
      <c r="AC10" s="56">
        <f t="shared" ref="AC10:AC25" si="4">ROUND(ROUND(AB10*$X$7,4)*($AB$7),0)</f>
        <v>0</v>
      </c>
      <c r="AD10" s="9">
        <v>1</v>
      </c>
    </row>
    <row r="11" spans="1:30" x14ac:dyDescent="0.25">
      <c r="A11" s="1" t="s">
        <v>29</v>
      </c>
      <c r="B11" s="13" t="s">
        <v>30</v>
      </c>
      <c r="C11" s="13"/>
      <c r="D11" s="13">
        <v>3.97</v>
      </c>
      <c r="E11" s="13">
        <v>3.5</v>
      </c>
      <c r="F11" s="13">
        <v>4.88</v>
      </c>
      <c r="G11" s="46">
        <f t="shared" si="0"/>
        <v>7.4700000000000006</v>
      </c>
      <c r="H11" s="47"/>
      <c r="I11" s="57">
        <f>I10</f>
        <v>1.125</v>
      </c>
      <c r="J11" s="57"/>
      <c r="K11" s="49">
        <f t="shared" si="1"/>
        <v>8.4038000000000004</v>
      </c>
      <c r="L11" s="50">
        <f t="shared" si="2"/>
        <v>32562</v>
      </c>
      <c r="M11" s="1" t="str">
        <f>IF(ROUND(G11,2)=ROUND(SUM(G28:G30),2)," ","CHECK 2. PK-3 Lines Below")</f>
        <v xml:space="preserve"> </v>
      </c>
      <c r="N11" s="51">
        <v>5101</v>
      </c>
      <c r="O11" s="58" t="s">
        <v>31</v>
      </c>
      <c r="P11" s="53"/>
      <c r="Q11" s="54"/>
      <c r="V11" s="623" t="s">
        <v>30</v>
      </c>
      <c r="W11" s="623"/>
      <c r="X11" s="618">
        <f>IF('2641 June Final'!K$84=1,'2641 June Final'!G11,0)</f>
        <v>0</v>
      </c>
      <c r="Y11" s="618"/>
      <c r="Z11" s="624">
        <v>1</v>
      </c>
      <c r="AA11" s="624"/>
      <c r="AB11" s="55">
        <f t="shared" si="3"/>
        <v>0</v>
      </c>
      <c r="AC11" s="56">
        <f t="shared" si="4"/>
        <v>0</v>
      </c>
      <c r="AD11" s="9"/>
    </row>
    <row r="12" spans="1:30" x14ac:dyDescent="0.25">
      <c r="A12" s="1" t="s">
        <v>32</v>
      </c>
      <c r="B12" s="13" t="s">
        <v>33</v>
      </c>
      <c r="C12" s="13"/>
      <c r="D12" s="13">
        <v>12.04</v>
      </c>
      <c r="E12" s="13">
        <v>14.04</v>
      </c>
      <c r="F12" s="13">
        <v>14.45</v>
      </c>
      <c r="G12" s="46">
        <f t="shared" si="0"/>
        <v>26.08</v>
      </c>
      <c r="H12" s="47"/>
      <c r="I12" s="57">
        <v>1</v>
      </c>
      <c r="J12" s="57"/>
      <c r="K12" s="49">
        <f t="shared" si="1"/>
        <v>26.08</v>
      </c>
      <c r="L12" s="50">
        <f t="shared" si="2"/>
        <v>101050</v>
      </c>
      <c r="N12" s="51">
        <v>5102</v>
      </c>
      <c r="O12" s="52">
        <v>102</v>
      </c>
      <c r="P12" s="53"/>
      <c r="Q12" s="54"/>
      <c r="V12" s="623" t="s">
        <v>33</v>
      </c>
      <c r="W12" s="623"/>
      <c r="X12" s="618">
        <f>IF('2641 June Final'!K$84=1,'2641 June Final'!G12,0)</f>
        <v>0</v>
      </c>
      <c r="Y12" s="618"/>
      <c r="Z12" s="624">
        <v>1</v>
      </c>
      <c r="AA12" s="624"/>
      <c r="AB12" s="55">
        <f t="shared" si="3"/>
        <v>0</v>
      </c>
      <c r="AC12" s="56">
        <f t="shared" si="4"/>
        <v>0</v>
      </c>
      <c r="AD12" s="9"/>
    </row>
    <row r="13" spans="1:30" x14ac:dyDescent="0.25">
      <c r="A13" s="1" t="s">
        <v>34</v>
      </c>
      <c r="B13" s="13" t="s">
        <v>35</v>
      </c>
      <c r="C13" s="13"/>
      <c r="D13" s="13">
        <v>6.02</v>
      </c>
      <c r="E13" s="13">
        <v>6</v>
      </c>
      <c r="F13" s="13">
        <v>7.36</v>
      </c>
      <c r="G13" s="46">
        <f t="shared" si="0"/>
        <v>12.02</v>
      </c>
      <c r="H13" s="47"/>
      <c r="I13" s="57">
        <f>I12</f>
        <v>1</v>
      </c>
      <c r="J13" s="57"/>
      <c r="K13" s="49">
        <f t="shared" si="1"/>
        <v>12.02</v>
      </c>
      <c r="L13" s="50">
        <f t="shared" si="2"/>
        <v>46573</v>
      </c>
      <c r="M13" s="1" t="str">
        <f>IF(ROUND(G13,2)=ROUND(SUM(G31:G33),2)," ","CHECK 2. PK-3 Lines Below")</f>
        <v xml:space="preserve"> </v>
      </c>
      <c r="N13" s="51">
        <v>5102</v>
      </c>
      <c r="O13" s="58" t="s">
        <v>36</v>
      </c>
      <c r="P13" s="53"/>
      <c r="Q13" s="54"/>
      <c r="V13" s="623" t="s">
        <v>35</v>
      </c>
      <c r="W13" s="623"/>
      <c r="X13" s="618">
        <f>IF('2641 June Final'!K$84=1,'2641 June Final'!G13,0)</f>
        <v>0</v>
      </c>
      <c r="Y13" s="618"/>
      <c r="Z13" s="624">
        <v>1</v>
      </c>
      <c r="AA13" s="624"/>
      <c r="AB13" s="55">
        <f t="shared" si="3"/>
        <v>0</v>
      </c>
      <c r="AC13" s="56">
        <f t="shared" si="4"/>
        <v>0</v>
      </c>
      <c r="AD13" s="9"/>
    </row>
    <row r="14" spans="1:30" x14ac:dyDescent="0.25">
      <c r="A14" s="1" t="s">
        <v>37</v>
      </c>
      <c r="B14" s="13" t="s">
        <v>38</v>
      </c>
      <c r="C14" s="13"/>
      <c r="D14" s="13">
        <v>0</v>
      </c>
      <c r="E14" s="13">
        <v>0</v>
      </c>
      <c r="F14" s="13">
        <v>0</v>
      </c>
      <c r="G14" s="46">
        <f t="shared" si="0"/>
        <v>0</v>
      </c>
      <c r="H14" s="47"/>
      <c r="I14" s="57">
        <v>1.0109999999999999</v>
      </c>
      <c r="J14" s="57"/>
      <c r="K14" s="49">
        <f t="shared" si="1"/>
        <v>0</v>
      </c>
      <c r="L14" s="50">
        <f t="shared" si="2"/>
        <v>0</v>
      </c>
      <c r="N14" s="51">
        <v>5103</v>
      </c>
      <c r="O14" s="52">
        <v>103</v>
      </c>
      <c r="P14" s="53"/>
      <c r="Q14" s="54"/>
      <c r="V14" s="623" t="s">
        <v>38</v>
      </c>
      <c r="W14" s="623"/>
      <c r="X14" s="618">
        <f>IF('2641 June Final'!K$84=1,'2641 June Final'!G14,0)</f>
        <v>0</v>
      </c>
      <c r="Y14" s="618"/>
      <c r="Z14" s="624">
        <v>1</v>
      </c>
      <c r="AA14" s="624"/>
      <c r="AB14" s="55">
        <f t="shared" si="3"/>
        <v>0</v>
      </c>
      <c r="AC14" s="56">
        <f t="shared" si="4"/>
        <v>0</v>
      </c>
      <c r="AD14" s="9"/>
    </row>
    <row r="15" spans="1:30" x14ac:dyDescent="0.25">
      <c r="A15" s="1" t="s">
        <v>39</v>
      </c>
      <c r="B15" s="13" t="s">
        <v>40</v>
      </c>
      <c r="C15" s="13"/>
      <c r="D15" s="13">
        <v>0</v>
      </c>
      <c r="E15" s="13">
        <v>0</v>
      </c>
      <c r="F15" s="13">
        <v>0</v>
      </c>
      <c r="G15" s="46">
        <f t="shared" si="0"/>
        <v>0</v>
      </c>
      <c r="H15" s="47"/>
      <c r="I15" s="57">
        <f>I14</f>
        <v>1.0109999999999999</v>
      </c>
      <c r="J15" s="57"/>
      <c r="K15" s="49">
        <f t="shared" si="1"/>
        <v>0</v>
      </c>
      <c r="L15" s="59">
        <f t="shared" si="2"/>
        <v>0</v>
      </c>
      <c r="M15" s="1" t="str">
        <f>IF(ROUND(G15,2)=ROUND(SUM(G34:G36),2)," ","CHECK 2. PK-3 Lines Below")</f>
        <v xml:space="preserve"> </v>
      </c>
      <c r="N15" s="51">
        <v>5103</v>
      </c>
      <c r="O15" s="58" t="s">
        <v>41</v>
      </c>
      <c r="P15" s="53"/>
      <c r="Q15" s="54"/>
      <c r="V15" s="623" t="s">
        <v>40</v>
      </c>
      <c r="W15" s="623"/>
      <c r="X15" s="618">
        <f>IF('2641 June Final'!K$84=1,'2641 June Final'!G15,0)</f>
        <v>0</v>
      </c>
      <c r="Y15" s="618"/>
      <c r="Z15" s="624">
        <v>1</v>
      </c>
      <c r="AA15" s="624"/>
      <c r="AB15" s="55">
        <f t="shared" si="3"/>
        <v>0</v>
      </c>
      <c r="AC15" s="60">
        <f t="shared" si="4"/>
        <v>0</v>
      </c>
      <c r="AD15" s="9"/>
    </row>
    <row r="16" spans="1:30" x14ac:dyDescent="0.25">
      <c r="A16" s="1" t="s">
        <v>42</v>
      </c>
      <c r="B16" s="13" t="s">
        <v>43</v>
      </c>
      <c r="C16" s="13"/>
      <c r="D16" s="13">
        <v>0</v>
      </c>
      <c r="E16" s="13">
        <v>0</v>
      </c>
      <c r="F16" s="13">
        <v>0</v>
      </c>
      <c r="G16" s="46">
        <f t="shared" si="0"/>
        <v>0</v>
      </c>
      <c r="H16" s="47"/>
      <c r="I16" s="57">
        <v>3.5579999999999998</v>
      </c>
      <c r="J16" s="57"/>
      <c r="K16" s="49">
        <f t="shared" si="1"/>
        <v>0</v>
      </c>
      <c r="L16" s="50">
        <f t="shared" si="2"/>
        <v>0</v>
      </c>
      <c r="N16" s="51">
        <v>5101</v>
      </c>
      <c r="O16" s="53">
        <v>254</v>
      </c>
      <c r="P16" s="53"/>
      <c r="Q16" s="54"/>
      <c r="V16" s="623" t="s">
        <v>43</v>
      </c>
      <c r="W16" s="623"/>
      <c r="X16" s="618">
        <f>IF('2641 June Final'!K$84=1,'2641 June Final'!G16,0)</f>
        <v>0</v>
      </c>
      <c r="Y16" s="618"/>
      <c r="Z16" s="624">
        <v>1</v>
      </c>
      <c r="AA16" s="624"/>
      <c r="AB16" s="55">
        <f t="shared" si="3"/>
        <v>0</v>
      </c>
      <c r="AC16" s="56">
        <f t="shared" si="4"/>
        <v>0</v>
      </c>
      <c r="AD16" s="9"/>
    </row>
    <row r="17" spans="1:30" x14ac:dyDescent="0.25">
      <c r="A17" s="1" t="s">
        <v>44</v>
      </c>
      <c r="B17" s="13" t="s">
        <v>45</v>
      </c>
      <c r="C17" s="13"/>
      <c r="D17" s="13">
        <v>0</v>
      </c>
      <c r="E17" s="13">
        <v>0</v>
      </c>
      <c r="F17" s="13">
        <v>0</v>
      </c>
      <c r="G17" s="46">
        <f t="shared" si="0"/>
        <v>0</v>
      </c>
      <c r="H17" s="47"/>
      <c r="I17" s="57">
        <f>I16</f>
        <v>3.5579999999999998</v>
      </c>
      <c r="J17" s="57"/>
      <c r="K17" s="49">
        <f t="shared" si="1"/>
        <v>0</v>
      </c>
      <c r="L17" s="50">
        <f t="shared" si="2"/>
        <v>0</v>
      </c>
      <c r="N17" s="51">
        <v>5102</v>
      </c>
      <c r="O17" s="54">
        <v>254</v>
      </c>
      <c r="P17" s="53"/>
      <c r="Q17" s="54"/>
      <c r="V17" s="623" t="s">
        <v>45</v>
      </c>
      <c r="W17" s="623"/>
      <c r="X17" s="618">
        <f>IF('2641 June Final'!K$84=1,'2641 June Final'!G17,0)</f>
        <v>0</v>
      </c>
      <c r="Y17" s="618"/>
      <c r="Z17" s="624">
        <v>1</v>
      </c>
      <c r="AA17" s="624"/>
      <c r="AB17" s="55">
        <f t="shared" si="3"/>
        <v>0</v>
      </c>
      <c r="AC17" s="56">
        <f t="shared" si="4"/>
        <v>0</v>
      </c>
      <c r="AD17" s="9"/>
    </row>
    <row r="18" spans="1:30" x14ac:dyDescent="0.25">
      <c r="A18" s="1" t="s">
        <v>46</v>
      </c>
      <c r="B18" s="13" t="s">
        <v>47</v>
      </c>
      <c r="C18" s="13"/>
      <c r="D18" s="13">
        <v>0</v>
      </c>
      <c r="E18" s="13">
        <v>0</v>
      </c>
      <c r="F18" s="13">
        <v>0</v>
      </c>
      <c r="G18" s="46">
        <f t="shared" si="0"/>
        <v>0</v>
      </c>
      <c r="H18" s="47"/>
      <c r="I18" s="57">
        <f>I17</f>
        <v>3.5579999999999998</v>
      </c>
      <c r="J18" s="57"/>
      <c r="K18" s="49">
        <f t="shared" si="1"/>
        <v>0</v>
      </c>
      <c r="L18" s="50">
        <f t="shared" si="2"/>
        <v>0</v>
      </c>
      <c r="N18" s="51">
        <v>5103</v>
      </c>
      <c r="O18" s="54">
        <v>254</v>
      </c>
      <c r="P18" s="53"/>
      <c r="Q18" s="54"/>
      <c r="V18" s="623" t="s">
        <v>47</v>
      </c>
      <c r="W18" s="623"/>
      <c r="X18" s="618">
        <f>IF('2641 June Final'!K$84=1,'2641 June Final'!G18,0)</f>
        <v>0</v>
      </c>
      <c r="Y18" s="618"/>
      <c r="Z18" s="624">
        <v>1</v>
      </c>
      <c r="AA18" s="624"/>
      <c r="AB18" s="55">
        <f t="shared" si="3"/>
        <v>0</v>
      </c>
      <c r="AC18" s="56">
        <f t="shared" si="4"/>
        <v>0</v>
      </c>
      <c r="AD18" s="9"/>
    </row>
    <row r="19" spans="1:30" ht="15" customHeight="1" x14ac:dyDescent="0.25">
      <c r="A19" s="1" t="s">
        <v>48</v>
      </c>
      <c r="B19" s="13" t="s">
        <v>49</v>
      </c>
      <c r="C19" s="13"/>
      <c r="D19" s="13">
        <v>0</v>
      </c>
      <c r="E19" s="13">
        <v>0</v>
      </c>
      <c r="F19" s="13">
        <v>0</v>
      </c>
      <c r="G19" s="46">
        <f t="shared" si="0"/>
        <v>0</v>
      </c>
      <c r="H19" s="47"/>
      <c r="I19" s="57">
        <v>5.0890000000000004</v>
      </c>
      <c r="J19" s="57"/>
      <c r="K19" s="49">
        <f t="shared" si="1"/>
        <v>0</v>
      </c>
      <c r="L19" s="50">
        <f t="shared" si="2"/>
        <v>0</v>
      </c>
      <c r="N19" s="51">
        <v>5101</v>
      </c>
      <c r="O19" s="53">
        <v>255</v>
      </c>
      <c r="P19" s="53"/>
      <c r="Q19" s="54"/>
      <c r="V19" s="623" t="s">
        <v>49</v>
      </c>
      <c r="W19" s="623"/>
      <c r="X19" s="618">
        <f>IF('2641 June Final'!K$84=1,'2641 June Final'!G19,0)</f>
        <v>0</v>
      </c>
      <c r="Y19" s="618"/>
      <c r="Z19" s="624">
        <v>1</v>
      </c>
      <c r="AA19" s="624"/>
      <c r="AB19" s="55">
        <f t="shared" si="3"/>
        <v>0</v>
      </c>
      <c r="AC19" s="56">
        <f t="shared" si="4"/>
        <v>0</v>
      </c>
      <c r="AD19" s="9"/>
    </row>
    <row r="20" spans="1:30" ht="15" customHeight="1" x14ac:dyDescent="0.25">
      <c r="A20" s="1" t="s">
        <v>50</v>
      </c>
      <c r="B20" s="13" t="s">
        <v>51</v>
      </c>
      <c r="C20" s="13"/>
      <c r="D20" s="13">
        <v>0</v>
      </c>
      <c r="E20" s="13">
        <v>0</v>
      </c>
      <c r="F20" s="13">
        <v>0</v>
      </c>
      <c r="G20" s="46">
        <f t="shared" si="0"/>
        <v>0</v>
      </c>
      <c r="H20" s="47"/>
      <c r="I20" s="57">
        <f>I19</f>
        <v>5.0890000000000004</v>
      </c>
      <c r="J20" s="57"/>
      <c r="K20" s="49">
        <f t="shared" si="1"/>
        <v>0</v>
      </c>
      <c r="L20" s="50">
        <f t="shared" si="2"/>
        <v>0</v>
      </c>
      <c r="N20" s="51">
        <v>5102</v>
      </c>
      <c r="O20" s="54">
        <v>255</v>
      </c>
      <c r="P20" s="53"/>
      <c r="Q20" s="54"/>
      <c r="V20" s="623" t="s">
        <v>51</v>
      </c>
      <c r="W20" s="623"/>
      <c r="X20" s="618">
        <f>IF('2641 June Final'!K$84=1,'2641 June Final'!G20,0)</f>
        <v>0</v>
      </c>
      <c r="Y20" s="618"/>
      <c r="Z20" s="624">
        <v>1</v>
      </c>
      <c r="AA20" s="624"/>
      <c r="AB20" s="55">
        <f t="shared" si="3"/>
        <v>0</v>
      </c>
      <c r="AC20" s="56">
        <f t="shared" si="4"/>
        <v>0</v>
      </c>
      <c r="AD20" s="9"/>
    </row>
    <row r="21" spans="1:30" ht="15" customHeight="1" x14ac:dyDescent="0.25">
      <c r="A21" s="1" t="s">
        <v>52</v>
      </c>
      <c r="B21" s="13" t="s">
        <v>53</v>
      </c>
      <c r="C21" s="13"/>
      <c r="D21" s="13">
        <v>0</v>
      </c>
      <c r="E21" s="13">
        <v>0</v>
      </c>
      <c r="F21" s="13">
        <v>0</v>
      </c>
      <c r="G21" s="46">
        <f t="shared" si="0"/>
        <v>0</v>
      </c>
      <c r="H21" s="47"/>
      <c r="I21" s="57">
        <f>I20</f>
        <v>5.0890000000000004</v>
      </c>
      <c r="J21" s="57"/>
      <c r="K21" s="49">
        <f t="shared" si="1"/>
        <v>0</v>
      </c>
      <c r="L21" s="50">
        <f t="shared" si="2"/>
        <v>0</v>
      </c>
      <c r="N21" s="51">
        <v>5103</v>
      </c>
      <c r="O21" s="54">
        <v>255</v>
      </c>
      <c r="P21" s="53"/>
      <c r="Q21" s="54"/>
      <c r="V21" s="623" t="s">
        <v>53</v>
      </c>
      <c r="W21" s="623"/>
      <c r="X21" s="618">
        <f>IF('2641 June Final'!K$84=1,'2641 June Final'!G21,0)</f>
        <v>0</v>
      </c>
      <c r="Y21" s="618"/>
      <c r="Z21" s="624">
        <v>1</v>
      </c>
      <c r="AA21" s="624"/>
      <c r="AB21" s="55">
        <f t="shared" si="3"/>
        <v>0</v>
      </c>
      <c r="AC21" s="56">
        <f t="shared" si="4"/>
        <v>0</v>
      </c>
      <c r="AD21" s="9"/>
    </row>
    <row r="22" spans="1:30" x14ac:dyDescent="0.25">
      <c r="A22" s="1" t="s">
        <v>54</v>
      </c>
      <c r="B22" s="13" t="s">
        <v>55</v>
      </c>
      <c r="C22" s="13"/>
      <c r="D22" s="13">
        <v>3.2</v>
      </c>
      <c r="E22" s="13">
        <v>3.2</v>
      </c>
      <c r="F22" s="13">
        <v>4.4000000000000004</v>
      </c>
      <c r="G22" s="46">
        <f t="shared" si="0"/>
        <v>6.4</v>
      </c>
      <c r="H22" s="47"/>
      <c r="I22" s="57">
        <v>1.145</v>
      </c>
      <c r="J22" s="57"/>
      <c r="K22" s="49">
        <f t="shared" si="1"/>
        <v>7.3280000000000003</v>
      </c>
      <c r="L22" s="50">
        <f t="shared" si="2"/>
        <v>28393</v>
      </c>
      <c r="N22" s="51">
        <v>5101</v>
      </c>
      <c r="O22" s="52">
        <v>130</v>
      </c>
      <c r="P22" s="53"/>
      <c r="Q22" s="54"/>
      <c r="V22" s="623" t="s">
        <v>55</v>
      </c>
      <c r="W22" s="623"/>
      <c r="X22" s="618">
        <f>IF('2641 June Final'!K$84=1,'2641 June Final'!G22,0)</f>
        <v>0</v>
      </c>
      <c r="Y22" s="618"/>
      <c r="Z22" s="624">
        <v>1</v>
      </c>
      <c r="AA22" s="624"/>
      <c r="AB22" s="55">
        <f t="shared" si="3"/>
        <v>0</v>
      </c>
      <c r="AC22" s="56">
        <f t="shared" si="4"/>
        <v>0</v>
      </c>
      <c r="AD22" s="9"/>
    </row>
    <row r="23" spans="1:30" x14ac:dyDescent="0.25">
      <c r="A23" s="1" t="s">
        <v>56</v>
      </c>
      <c r="B23" s="13" t="s">
        <v>57</v>
      </c>
      <c r="C23" s="13"/>
      <c r="D23" s="13">
        <v>0.46</v>
      </c>
      <c r="E23" s="13">
        <v>0.46</v>
      </c>
      <c r="F23" s="13">
        <v>0</v>
      </c>
      <c r="G23" s="46">
        <f t="shared" si="0"/>
        <v>0.92</v>
      </c>
      <c r="H23" s="47"/>
      <c r="I23" s="57">
        <f>I22</f>
        <v>1.145</v>
      </c>
      <c r="J23" s="57"/>
      <c r="K23" s="49">
        <f t="shared" si="1"/>
        <v>1.0533999999999999</v>
      </c>
      <c r="L23" s="50">
        <f t="shared" si="2"/>
        <v>4082</v>
      </c>
      <c r="N23" s="51">
        <v>5102</v>
      </c>
      <c r="O23" s="52">
        <v>130</v>
      </c>
      <c r="P23" s="53"/>
      <c r="Q23" s="54"/>
      <c r="V23" s="623" t="s">
        <v>57</v>
      </c>
      <c r="W23" s="623"/>
      <c r="X23" s="618">
        <f>IF('2641 June Final'!K$84=1,'2641 June Final'!G23,0)</f>
        <v>0</v>
      </c>
      <c r="Y23" s="618"/>
      <c r="Z23" s="624">
        <v>1</v>
      </c>
      <c r="AA23" s="624"/>
      <c r="AB23" s="55">
        <f t="shared" si="3"/>
        <v>0</v>
      </c>
      <c r="AC23" s="56">
        <f t="shared" si="4"/>
        <v>0</v>
      </c>
      <c r="AD23" s="9"/>
    </row>
    <row r="24" spans="1:30" x14ac:dyDescent="0.25">
      <c r="A24" s="1" t="s">
        <v>58</v>
      </c>
      <c r="B24" s="13" t="s">
        <v>59</v>
      </c>
      <c r="C24" s="13"/>
      <c r="D24" s="13">
        <v>0</v>
      </c>
      <c r="E24" s="13">
        <v>0</v>
      </c>
      <c r="F24" s="13">
        <v>0</v>
      </c>
      <c r="G24" s="46">
        <f t="shared" si="0"/>
        <v>0</v>
      </c>
      <c r="H24" s="47"/>
      <c r="I24" s="57">
        <f>I23</f>
        <v>1.145</v>
      </c>
      <c r="J24" s="57"/>
      <c r="K24" s="49">
        <f t="shared" si="1"/>
        <v>0</v>
      </c>
      <c r="L24" s="50">
        <f t="shared" si="2"/>
        <v>0</v>
      </c>
      <c r="N24" s="51">
        <v>5103</v>
      </c>
      <c r="O24" s="52">
        <v>130</v>
      </c>
      <c r="P24" s="53"/>
      <c r="Q24" s="54"/>
      <c r="V24" s="623" t="s">
        <v>59</v>
      </c>
      <c r="W24" s="623"/>
      <c r="X24" s="618">
        <f>IF('2641 June Final'!K$84=1,'2641 June Final'!G24,0)</f>
        <v>0</v>
      </c>
      <c r="Y24" s="618"/>
      <c r="Z24" s="624">
        <v>1</v>
      </c>
      <c r="AA24" s="624"/>
      <c r="AB24" s="55">
        <f t="shared" si="3"/>
        <v>0</v>
      </c>
      <c r="AC24" s="56">
        <f t="shared" si="4"/>
        <v>0</v>
      </c>
      <c r="AD24" s="9"/>
    </row>
    <row r="25" spans="1:30" ht="16.5" thickBot="1" x14ac:dyDescent="0.3">
      <c r="A25" s="1" t="s">
        <v>60</v>
      </c>
      <c r="B25" s="13" t="s">
        <v>61</v>
      </c>
      <c r="C25" s="13"/>
      <c r="D25" s="13">
        <v>0</v>
      </c>
      <c r="E25" s="13">
        <v>0</v>
      </c>
      <c r="F25" s="13">
        <v>0</v>
      </c>
      <c r="G25" s="46">
        <f t="shared" si="0"/>
        <v>0</v>
      </c>
      <c r="H25" s="47"/>
      <c r="I25" s="57">
        <v>1.0109999999999999</v>
      </c>
      <c r="J25" s="57"/>
      <c r="K25" s="49">
        <f t="shared" si="1"/>
        <v>0</v>
      </c>
      <c r="L25" s="50">
        <f t="shared" si="2"/>
        <v>0</v>
      </c>
      <c r="N25" s="51">
        <v>5310</v>
      </c>
      <c r="O25" s="52">
        <v>300</v>
      </c>
      <c r="P25" s="53"/>
      <c r="Q25" s="54"/>
      <c r="V25" s="623" t="s">
        <v>61</v>
      </c>
      <c r="W25" s="623"/>
      <c r="X25" s="618">
        <f>IF('2641 June Final'!K$84=1,'2641 June Final'!G25,0)</f>
        <v>0</v>
      </c>
      <c r="Y25" s="618"/>
      <c r="Z25" s="624">
        <v>1</v>
      </c>
      <c r="AA25" s="624"/>
      <c r="AB25" s="55">
        <f t="shared" si="3"/>
        <v>0</v>
      </c>
      <c r="AC25" s="56">
        <f t="shared" si="4"/>
        <v>0</v>
      </c>
      <c r="AD25" s="9"/>
    </row>
    <row r="26" spans="1:30" ht="20.25" customHeight="1" thickBot="1" x14ac:dyDescent="0.3">
      <c r="B26" s="62" t="s">
        <v>62</v>
      </c>
      <c r="C26" s="62"/>
      <c r="D26" s="63">
        <f>SUM(D10:D25)</f>
        <v>47.499999999999993</v>
      </c>
      <c r="E26" s="63">
        <f>SUM(E10:E25)</f>
        <v>49.93</v>
      </c>
      <c r="F26" s="63"/>
      <c r="G26" s="63">
        <f>SUM(G10:G25)</f>
        <v>97.43</v>
      </c>
      <c r="H26" s="64"/>
      <c r="I26" s="64"/>
      <c r="J26" s="65"/>
      <c r="K26" s="66">
        <f>SUM(K10:K25)</f>
        <v>104.9927</v>
      </c>
      <c r="L26" s="67">
        <f>SUM(L10:L25)</f>
        <v>406808</v>
      </c>
      <c r="N26" s="54"/>
      <c r="O26" s="68"/>
      <c r="P26" s="54"/>
      <c r="Q26" s="54"/>
      <c r="V26" s="625" t="s">
        <v>62</v>
      </c>
      <c r="W26" s="625"/>
      <c r="X26" s="626">
        <f>SUM(X10:X25)</f>
        <v>0</v>
      </c>
      <c r="Y26" s="626"/>
      <c r="Z26" s="627"/>
      <c r="AA26" s="628"/>
      <c r="AB26" s="69">
        <f>SUM(AB10:AB25)</f>
        <v>0</v>
      </c>
      <c r="AC26" s="70">
        <f>SUM(AC10:AC25)</f>
        <v>0</v>
      </c>
      <c r="AD26" s="9"/>
    </row>
    <row r="27" spans="1:30" ht="51.75" customHeight="1" x14ac:dyDescent="0.25">
      <c r="B27" s="62" t="s">
        <v>63</v>
      </c>
      <c r="C27" s="62"/>
      <c r="D27" s="71" t="s">
        <v>13</v>
      </c>
      <c r="E27" s="71" t="s">
        <v>14</v>
      </c>
      <c r="F27" s="27"/>
      <c r="G27" s="72" t="s">
        <v>64</v>
      </c>
      <c r="H27" s="73"/>
      <c r="I27" s="74" t="s">
        <v>65</v>
      </c>
      <c r="J27" s="74" t="s">
        <v>66</v>
      </c>
      <c r="K27" s="75" t="s">
        <v>67</v>
      </c>
      <c r="N27" s="54"/>
      <c r="O27" s="68"/>
      <c r="P27" s="54"/>
      <c r="Q27" s="54"/>
      <c r="V27" s="629" t="s">
        <v>63</v>
      </c>
      <c r="W27" s="629"/>
      <c r="X27" s="630" t="s">
        <v>64</v>
      </c>
      <c r="Y27" s="630"/>
      <c r="Z27" s="76" t="s">
        <v>65</v>
      </c>
      <c r="AA27" s="77" t="s">
        <v>66</v>
      </c>
      <c r="AB27" s="78" t="s">
        <v>67</v>
      </c>
      <c r="AC27" s="9"/>
      <c r="AD27" s="9"/>
    </row>
    <row r="28" spans="1:30" ht="15.75" customHeight="1" x14ac:dyDescent="0.25">
      <c r="A28" s="1" t="s">
        <v>68</v>
      </c>
      <c r="B28" s="631" t="s">
        <v>69</v>
      </c>
      <c r="C28" s="632"/>
      <c r="D28" s="13">
        <v>3.97</v>
      </c>
      <c r="E28" s="13">
        <v>3.5</v>
      </c>
      <c r="F28" s="79">
        <v>4</v>
      </c>
      <c r="G28" s="46">
        <f t="shared" ref="G28:G36" si="5">D28+E28</f>
        <v>7.4700000000000006</v>
      </c>
      <c r="H28" s="80"/>
      <c r="I28" s="81" t="s">
        <v>70</v>
      </c>
      <c r="J28" s="82">
        <v>251</v>
      </c>
      <c r="K28" s="83">
        <v>1047</v>
      </c>
      <c r="L28" s="84">
        <f t="shared" ref="L28:L36" si="6">ROUND(G28*K28,0)</f>
        <v>7821</v>
      </c>
      <c r="N28" s="337">
        <v>5101</v>
      </c>
      <c r="O28" s="54">
        <v>251</v>
      </c>
      <c r="P28" s="86"/>
      <c r="Q28" s="87"/>
      <c r="V28" s="637" t="s">
        <v>69</v>
      </c>
      <c r="W28" s="637"/>
      <c r="X28" s="638"/>
      <c r="Y28" s="638"/>
      <c r="Z28" s="88" t="s">
        <v>70</v>
      </c>
      <c r="AA28" s="330">
        <v>251</v>
      </c>
      <c r="AB28" s="90">
        <f t="shared" ref="AB28:AB36" si="7">+K28</f>
        <v>1047</v>
      </c>
      <c r="AC28" s="91">
        <f t="shared" ref="AC28:AC36" si="8">ROUND(X28*AB28,0)</f>
        <v>0</v>
      </c>
      <c r="AD28" s="9"/>
    </row>
    <row r="29" spans="1:30" x14ac:dyDescent="0.25">
      <c r="A29" s="1" t="s">
        <v>71</v>
      </c>
      <c r="B29" s="633"/>
      <c r="C29" s="634"/>
      <c r="D29" s="13">
        <v>0</v>
      </c>
      <c r="E29" s="13">
        <v>0</v>
      </c>
      <c r="F29" s="92">
        <v>0</v>
      </c>
      <c r="G29" s="46">
        <f t="shared" si="5"/>
        <v>0</v>
      </c>
      <c r="H29" s="80"/>
      <c r="I29" s="82" t="s">
        <v>70</v>
      </c>
      <c r="J29" s="82">
        <v>252</v>
      </c>
      <c r="K29" s="83">
        <v>3380</v>
      </c>
      <c r="L29" s="84">
        <f t="shared" si="6"/>
        <v>0</v>
      </c>
      <c r="N29" s="337">
        <v>5101</v>
      </c>
      <c r="O29" s="54">
        <v>252</v>
      </c>
      <c r="P29" s="86"/>
      <c r="Q29" s="87"/>
      <c r="V29" s="637"/>
      <c r="W29" s="637"/>
      <c r="X29" s="638"/>
      <c r="Y29" s="638"/>
      <c r="Z29" s="330" t="s">
        <v>70</v>
      </c>
      <c r="AA29" s="330">
        <v>252</v>
      </c>
      <c r="AB29" s="90">
        <f t="shared" si="7"/>
        <v>3380</v>
      </c>
      <c r="AC29" s="91">
        <f t="shared" si="8"/>
        <v>0</v>
      </c>
      <c r="AD29" s="9"/>
    </row>
    <row r="30" spans="1:30" x14ac:dyDescent="0.25">
      <c r="A30" s="1" t="s">
        <v>72</v>
      </c>
      <c r="B30" s="633"/>
      <c r="C30" s="634"/>
      <c r="D30" s="13">
        <v>0</v>
      </c>
      <c r="E30" s="13">
        <v>0</v>
      </c>
      <c r="F30" s="92">
        <v>0</v>
      </c>
      <c r="G30" s="46">
        <f t="shared" si="5"/>
        <v>0</v>
      </c>
      <c r="H30" s="80"/>
      <c r="I30" s="82" t="s">
        <v>70</v>
      </c>
      <c r="J30" s="82">
        <v>253</v>
      </c>
      <c r="K30" s="83">
        <v>6896</v>
      </c>
      <c r="L30" s="84">
        <f t="shared" si="6"/>
        <v>0</v>
      </c>
      <c r="N30" s="337">
        <v>5101</v>
      </c>
      <c r="O30" s="54">
        <v>253</v>
      </c>
      <c r="P30" s="86"/>
      <c r="Q30" s="68"/>
      <c r="V30" s="637"/>
      <c r="W30" s="637"/>
      <c r="X30" s="638"/>
      <c r="Y30" s="638"/>
      <c r="Z30" s="330" t="s">
        <v>70</v>
      </c>
      <c r="AA30" s="330">
        <v>253</v>
      </c>
      <c r="AB30" s="90">
        <f t="shared" si="7"/>
        <v>6896</v>
      </c>
      <c r="AC30" s="91">
        <f t="shared" si="8"/>
        <v>0</v>
      </c>
      <c r="AD30" s="9"/>
    </row>
    <row r="31" spans="1:30" x14ac:dyDescent="0.25">
      <c r="A31" s="1" t="s">
        <v>73</v>
      </c>
      <c r="B31" s="633"/>
      <c r="C31" s="634"/>
      <c r="D31" s="13">
        <v>5.5</v>
      </c>
      <c r="E31" s="13">
        <v>5.52</v>
      </c>
      <c r="F31" s="92">
        <v>5</v>
      </c>
      <c r="G31" s="46">
        <f t="shared" si="5"/>
        <v>11.02</v>
      </c>
      <c r="H31" s="80"/>
      <c r="I31" s="93" t="s">
        <v>74</v>
      </c>
      <c r="J31" s="82">
        <v>251</v>
      </c>
      <c r="K31" s="83">
        <v>1173</v>
      </c>
      <c r="L31" s="84">
        <f t="shared" si="6"/>
        <v>12926</v>
      </c>
      <c r="N31" s="337">
        <v>5102</v>
      </c>
      <c r="O31" s="54">
        <v>251</v>
      </c>
      <c r="P31" s="86"/>
      <c r="Q31" s="68"/>
      <c r="V31" s="637"/>
      <c r="W31" s="637"/>
      <c r="X31" s="638"/>
      <c r="Y31" s="638"/>
      <c r="Z31" s="94" t="s">
        <v>74</v>
      </c>
      <c r="AA31" s="330">
        <v>251</v>
      </c>
      <c r="AB31" s="90">
        <f t="shared" si="7"/>
        <v>1173</v>
      </c>
      <c r="AC31" s="91">
        <f t="shared" si="8"/>
        <v>0</v>
      </c>
      <c r="AD31" s="9"/>
    </row>
    <row r="32" spans="1:30" x14ac:dyDescent="0.25">
      <c r="A32" s="1" t="s">
        <v>75</v>
      </c>
      <c r="B32" s="633"/>
      <c r="C32" s="634"/>
      <c r="D32" s="312">
        <v>0.52</v>
      </c>
      <c r="E32" s="13">
        <v>0.48</v>
      </c>
      <c r="F32" s="92">
        <v>0.5</v>
      </c>
      <c r="G32" s="46">
        <f t="shared" si="5"/>
        <v>1</v>
      </c>
      <c r="H32" s="80"/>
      <c r="I32" s="93" t="s">
        <v>74</v>
      </c>
      <c r="J32" s="82">
        <v>252</v>
      </c>
      <c r="K32" s="83">
        <v>3506</v>
      </c>
      <c r="L32" s="84">
        <f t="shared" si="6"/>
        <v>3506</v>
      </c>
      <c r="N32" s="337">
        <v>5102</v>
      </c>
      <c r="O32" s="54">
        <v>252</v>
      </c>
      <c r="P32" s="86"/>
      <c r="Q32" s="54"/>
      <c r="V32" s="637"/>
      <c r="W32" s="637"/>
      <c r="X32" s="638"/>
      <c r="Y32" s="638"/>
      <c r="Z32" s="94" t="s">
        <v>74</v>
      </c>
      <c r="AA32" s="330">
        <v>252</v>
      </c>
      <c r="AB32" s="90">
        <f t="shared" si="7"/>
        <v>3506</v>
      </c>
      <c r="AC32" s="91">
        <f t="shared" si="8"/>
        <v>0</v>
      </c>
      <c r="AD32" s="9"/>
    </row>
    <row r="33" spans="1:30" x14ac:dyDescent="0.25">
      <c r="A33" s="1" t="s">
        <v>76</v>
      </c>
      <c r="B33" s="633"/>
      <c r="C33" s="634"/>
      <c r="D33" s="13">
        <v>0</v>
      </c>
      <c r="E33" s="13">
        <v>0</v>
      </c>
      <c r="F33" s="92">
        <v>0</v>
      </c>
      <c r="G33" s="46">
        <f t="shared" si="5"/>
        <v>0</v>
      </c>
      <c r="H33" s="80"/>
      <c r="I33" s="93" t="s">
        <v>74</v>
      </c>
      <c r="J33" s="82">
        <v>253</v>
      </c>
      <c r="K33" s="83">
        <v>7023</v>
      </c>
      <c r="L33" s="84">
        <f t="shared" si="6"/>
        <v>0</v>
      </c>
      <c r="N33" s="337">
        <v>5102</v>
      </c>
      <c r="O33" s="54">
        <v>253</v>
      </c>
      <c r="P33" s="86"/>
      <c r="Q33" s="87"/>
      <c r="V33" s="637"/>
      <c r="W33" s="637"/>
      <c r="X33" s="638"/>
      <c r="Y33" s="638"/>
      <c r="Z33" s="94" t="s">
        <v>74</v>
      </c>
      <c r="AA33" s="330">
        <v>253</v>
      </c>
      <c r="AB33" s="90">
        <f t="shared" si="7"/>
        <v>7023</v>
      </c>
      <c r="AC33" s="91">
        <f t="shared" si="8"/>
        <v>0</v>
      </c>
      <c r="AD33" s="9"/>
    </row>
    <row r="34" spans="1:30" x14ac:dyDescent="0.25">
      <c r="A34" s="1" t="s">
        <v>77</v>
      </c>
      <c r="B34" s="633"/>
      <c r="C34" s="634"/>
      <c r="D34" s="13">
        <v>0</v>
      </c>
      <c r="E34" s="13">
        <v>0</v>
      </c>
      <c r="F34" s="92">
        <v>0</v>
      </c>
      <c r="G34" s="46">
        <f t="shared" si="5"/>
        <v>0</v>
      </c>
      <c r="H34" s="80"/>
      <c r="I34" s="93" t="s">
        <v>78</v>
      </c>
      <c r="J34" s="82">
        <v>251</v>
      </c>
      <c r="K34" s="83">
        <v>835</v>
      </c>
      <c r="L34" s="84">
        <f t="shared" si="6"/>
        <v>0</v>
      </c>
      <c r="N34" s="337">
        <v>5103</v>
      </c>
      <c r="O34" s="54">
        <v>251</v>
      </c>
      <c r="P34" s="86"/>
      <c r="Q34" s="87"/>
      <c r="V34" s="637"/>
      <c r="W34" s="637"/>
      <c r="X34" s="638"/>
      <c r="Y34" s="638"/>
      <c r="Z34" s="94" t="s">
        <v>78</v>
      </c>
      <c r="AA34" s="330">
        <v>251</v>
      </c>
      <c r="AB34" s="90">
        <f t="shared" si="7"/>
        <v>835</v>
      </c>
      <c r="AC34" s="91">
        <f t="shared" si="8"/>
        <v>0</v>
      </c>
      <c r="AD34" s="9"/>
    </row>
    <row r="35" spans="1:30" x14ac:dyDescent="0.25">
      <c r="A35" s="1" t="s">
        <v>79</v>
      </c>
      <c r="B35" s="633"/>
      <c r="C35" s="634"/>
      <c r="D35" s="13">
        <v>0</v>
      </c>
      <c r="E35" s="13">
        <v>0</v>
      </c>
      <c r="F35" s="92">
        <v>0</v>
      </c>
      <c r="G35" s="46">
        <f t="shared" si="5"/>
        <v>0</v>
      </c>
      <c r="H35" s="80"/>
      <c r="I35" s="93" t="s">
        <v>78</v>
      </c>
      <c r="J35" s="82">
        <v>252</v>
      </c>
      <c r="K35" s="83">
        <v>3168</v>
      </c>
      <c r="L35" s="84">
        <f t="shared" si="6"/>
        <v>0</v>
      </c>
      <c r="N35" s="337">
        <v>5103</v>
      </c>
      <c r="O35" s="54">
        <v>252</v>
      </c>
      <c r="P35" s="86"/>
      <c r="Q35" s="95"/>
      <c r="V35" s="637"/>
      <c r="W35" s="637"/>
      <c r="X35" s="638"/>
      <c r="Y35" s="638"/>
      <c r="Z35" s="94" t="s">
        <v>78</v>
      </c>
      <c r="AA35" s="330">
        <v>252</v>
      </c>
      <c r="AB35" s="90">
        <f t="shared" si="7"/>
        <v>3168</v>
      </c>
      <c r="AC35" s="91">
        <f t="shared" si="8"/>
        <v>0</v>
      </c>
      <c r="AD35" s="9"/>
    </row>
    <row r="36" spans="1:30" ht="16.5" thickBot="1" x14ac:dyDescent="0.3">
      <c r="A36" s="1" t="s">
        <v>80</v>
      </c>
      <c r="B36" s="635"/>
      <c r="C36" s="636"/>
      <c r="D36" s="13">
        <v>0</v>
      </c>
      <c r="E36" s="13">
        <v>0</v>
      </c>
      <c r="F36" s="92">
        <v>0</v>
      </c>
      <c r="G36" s="46">
        <f t="shared" si="5"/>
        <v>0</v>
      </c>
      <c r="H36" s="80"/>
      <c r="I36" s="93" t="s">
        <v>78</v>
      </c>
      <c r="J36" s="82">
        <v>253</v>
      </c>
      <c r="K36" s="83">
        <v>6685</v>
      </c>
      <c r="L36" s="96">
        <f t="shared" si="6"/>
        <v>0</v>
      </c>
      <c r="N36" s="337">
        <v>5103</v>
      </c>
      <c r="O36" s="54">
        <v>253</v>
      </c>
      <c r="P36" s="86"/>
      <c r="Q36" s="97"/>
      <c r="V36" s="637"/>
      <c r="W36" s="637"/>
      <c r="X36" s="645"/>
      <c r="Y36" s="645"/>
      <c r="Z36" s="94" t="s">
        <v>78</v>
      </c>
      <c r="AA36" s="330">
        <v>253</v>
      </c>
      <c r="AB36" s="90">
        <f t="shared" si="7"/>
        <v>6685</v>
      </c>
      <c r="AC36" s="98">
        <f t="shared" si="8"/>
        <v>0</v>
      </c>
      <c r="AD36" s="9"/>
    </row>
    <row r="37" spans="1:30" ht="18.75" customHeight="1" x14ac:dyDescent="0.25">
      <c r="B37" s="13" t="s">
        <v>81</v>
      </c>
      <c r="C37" s="13"/>
      <c r="D37" s="63">
        <f>SUM(D28:D36)</f>
        <v>9.99</v>
      </c>
      <c r="E37" s="63">
        <f>SUM(E28:E36)</f>
        <v>9.5</v>
      </c>
      <c r="F37" s="63"/>
      <c r="G37" s="63">
        <f>SUM(G28:G36)</f>
        <v>19.490000000000002</v>
      </c>
      <c r="H37" s="64"/>
      <c r="I37" s="13" t="s">
        <v>82</v>
      </c>
      <c r="J37" s="13"/>
      <c r="K37" s="13"/>
      <c r="L37" s="50">
        <f>SUM(L28:L36)</f>
        <v>24253</v>
      </c>
      <c r="N37" s="54"/>
      <c r="O37" s="68"/>
      <c r="P37" s="54"/>
      <c r="Q37" s="54"/>
      <c r="V37" s="646" t="s">
        <v>81</v>
      </c>
      <c r="W37" s="646"/>
      <c r="X37" s="626">
        <f>SUM(X28:X36)</f>
        <v>0</v>
      </c>
      <c r="Y37" s="626"/>
      <c r="Z37" s="646" t="s">
        <v>82</v>
      </c>
      <c r="AA37" s="646"/>
      <c r="AB37" s="646"/>
      <c r="AC37" s="56">
        <f>SUM(AC28:AC36)</f>
        <v>0</v>
      </c>
      <c r="AD37" s="9"/>
    </row>
    <row r="38" spans="1:30" ht="30.75" customHeight="1" x14ac:dyDescent="0.25">
      <c r="B38" s="99" t="s">
        <v>83</v>
      </c>
      <c r="C38" s="99"/>
      <c r="D38" s="99"/>
      <c r="E38" s="99"/>
      <c r="F38" s="99"/>
      <c r="G38" s="99"/>
      <c r="H38" s="100"/>
      <c r="I38" s="99"/>
      <c r="J38" s="99"/>
      <c r="K38" s="99"/>
      <c r="L38" s="99"/>
      <c r="M38" s="101"/>
      <c r="N38" s="54"/>
      <c r="O38" s="68"/>
      <c r="P38" s="54"/>
      <c r="Q38" s="54"/>
      <c r="V38" s="639" t="s">
        <v>83</v>
      </c>
      <c r="W38" s="639"/>
      <c r="X38" s="639"/>
      <c r="Y38" s="639"/>
      <c r="Z38" s="639"/>
      <c r="AA38" s="639"/>
      <c r="AB38" s="639"/>
      <c r="AC38" s="639"/>
      <c r="AD38" s="102"/>
    </row>
    <row r="39" spans="1:30" ht="15.75" customHeight="1" x14ac:dyDescent="0.25">
      <c r="B39" s="103" t="s">
        <v>84</v>
      </c>
      <c r="C39" s="103"/>
      <c r="D39" s="103"/>
      <c r="E39" s="103"/>
      <c r="F39" s="103"/>
      <c r="G39" s="104">
        <v>34389540</v>
      </c>
      <c r="H39" s="104"/>
      <c r="I39" s="13" t="s">
        <v>85</v>
      </c>
      <c r="J39" s="13"/>
      <c r="K39" s="13"/>
      <c r="L39" s="13"/>
      <c r="O39" s="1"/>
      <c r="V39" s="640" t="s">
        <v>84</v>
      </c>
      <c r="W39" s="640"/>
      <c r="X39" s="641">
        <f>+G39</f>
        <v>34389540</v>
      </c>
      <c r="Y39" s="641"/>
      <c r="Z39" s="642" t="s">
        <v>85</v>
      </c>
      <c r="AA39" s="642"/>
      <c r="AB39" s="642"/>
      <c r="AC39" s="642"/>
      <c r="AD39" s="9"/>
    </row>
    <row r="40" spans="1:30" ht="15.75" customHeight="1" x14ac:dyDescent="0.25">
      <c r="B40" s="105" t="s">
        <v>86</v>
      </c>
      <c r="C40" s="105"/>
      <c r="D40" s="105"/>
      <c r="E40" s="105"/>
      <c r="F40" s="105"/>
      <c r="G40" s="106">
        <v>180284.81</v>
      </c>
      <c r="H40" s="106"/>
      <c r="I40" s="106"/>
      <c r="J40" s="106"/>
      <c r="K40" s="50">
        <f>ROUND(G39/G40,0)</f>
        <v>191</v>
      </c>
      <c r="L40" s="50">
        <f>ROUND(K40*$G$26,0)</f>
        <v>18609</v>
      </c>
      <c r="N40" s="107"/>
      <c r="O40" s="107"/>
      <c r="P40" s="107"/>
      <c r="Q40" s="107"/>
      <c r="V40" s="643" t="s">
        <v>86</v>
      </c>
      <c r="W40" s="643"/>
      <c r="X40" s="644">
        <f>+G40</f>
        <v>180284.81</v>
      </c>
      <c r="Y40" s="644"/>
      <c r="Z40" s="644"/>
      <c r="AA40" s="644"/>
      <c r="AB40" s="56">
        <f>ROUND(X39/X40,0)</f>
        <v>191</v>
      </c>
      <c r="AC40" s="56">
        <f>ROUND(AB40*$X$26,0)</f>
        <v>0</v>
      </c>
      <c r="AD40" s="9"/>
    </row>
    <row r="41" spans="1:30" ht="15.75" customHeight="1" x14ac:dyDescent="0.25">
      <c r="B41" s="108" t="s">
        <v>87</v>
      </c>
      <c r="C41" s="108"/>
      <c r="D41" s="108"/>
      <c r="E41" s="108"/>
      <c r="F41" s="108"/>
      <c r="G41" s="108"/>
      <c r="H41" s="108"/>
      <c r="I41" s="108"/>
      <c r="J41" s="108"/>
      <c r="K41" s="108"/>
      <c r="L41" s="108"/>
      <c r="N41" s="101"/>
      <c r="O41" s="109"/>
      <c r="P41" s="101"/>
      <c r="Q41" s="101"/>
      <c r="V41" s="652" t="s">
        <v>87</v>
      </c>
      <c r="W41" s="652"/>
      <c r="X41" s="652"/>
      <c r="Y41" s="652"/>
      <c r="Z41" s="652"/>
      <c r="AA41" s="652"/>
      <c r="AB41" s="652"/>
      <c r="AC41" s="652"/>
      <c r="AD41" s="9"/>
    </row>
    <row r="42" spans="1:30" ht="28.5" customHeight="1" x14ac:dyDescent="0.25">
      <c r="B42" s="99" t="s">
        <v>88</v>
      </c>
      <c r="C42" s="99"/>
      <c r="D42" s="99"/>
      <c r="E42" s="99"/>
      <c r="F42" s="99"/>
      <c r="G42" s="99"/>
      <c r="H42" s="99"/>
      <c r="I42" s="99"/>
      <c r="J42" s="99"/>
      <c r="K42" s="99"/>
      <c r="L42" s="99"/>
      <c r="M42" s="107"/>
      <c r="O42" s="1"/>
      <c r="V42" s="639" t="s">
        <v>88</v>
      </c>
      <c r="W42" s="639"/>
      <c r="X42" s="639"/>
      <c r="Y42" s="639"/>
      <c r="Z42" s="639"/>
      <c r="AA42" s="639"/>
      <c r="AB42" s="639"/>
      <c r="AC42" s="639"/>
      <c r="AD42" s="334"/>
    </row>
    <row r="43" spans="1:30" x14ac:dyDescent="0.25">
      <c r="B43" s="111" t="s">
        <v>89</v>
      </c>
      <c r="C43" s="111"/>
      <c r="D43" s="111"/>
      <c r="E43" s="111"/>
      <c r="F43" s="111"/>
      <c r="G43" s="111"/>
      <c r="H43" s="111"/>
      <c r="I43" s="111"/>
      <c r="J43" s="111"/>
      <c r="K43" s="111"/>
      <c r="L43" s="111"/>
      <c r="M43" s="112"/>
      <c r="N43" s="101"/>
      <c r="O43" s="101"/>
      <c r="P43" s="101"/>
      <c r="Q43" s="101"/>
      <c r="V43" s="653" t="s">
        <v>89</v>
      </c>
      <c r="W43" s="653"/>
      <c r="X43" s="653"/>
      <c r="Y43" s="653"/>
      <c r="Z43" s="653"/>
      <c r="AA43" s="653"/>
      <c r="AB43" s="653"/>
      <c r="AC43" s="653"/>
      <c r="AD43" s="113"/>
    </row>
    <row r="44" spans="1:30" ht="24" customHeight="1" x14ac:dyDescent="0.25">
      <c r="B44" s="62" t="s">
        <v>90</v>
      </c>
      <c r="C44" s="62"/>
      <c r="D44" s="62"/>
      <c r="E44" s="62"/>
      <c r="F44" s="62"/>
      <c r="G44" s="62"/>
      <c r="H44" s="62"/>
      <c r="I44" s="62"/>
      <c r="J44" s="62"/>
      <c r="K44" s="62"/>
      <c r="L44" s="114">
        <f>SUM(L26,L37,L40)</f>
        <v>449670</v>
      </c>
      <c r="O44" s="1"/>
      <c r="V44" s="654" t="s">
        <v>90</v>
      </c>
      <c r="W44" s="654"/>
      <c r="X44" s="654"/>
      <c r="Y44" s="654"/>
      <c r="Z44" s="654"/>
      <c r="AA44" s="654"/>
      <c r="AB44" s="654"/>
      <c r="AC44" s="115">
        <f>SUM(AC26,AC37,AC40)</f>
        <v>0</v>
      </c>
      <c r="AD44" s="9"/>
    </row>
    <row r="45" spans="1:30" ht="30.75" customHeight="1" x14ac:dyDescent="0.25">
      <c r="B45" s="99" t="s">
        <v>91</v>
      </c>
      <c r="C45" s="99"/>
      <c r="D45" s="99"/>
      <c r="E45" s="99"/>
      <c r="F45" s="99"/>
      <c r="G45" s="99"/>
      <c r="H45" s="99"/>
      <c r="I45" s="99"/>
      <c r="J45" s="99"/>
      <c r="K45" s="99"/>
      <c r="L45" s="99"/>
      <c r="M45" s="116"/>
      <c r="O45" s="1"/>
      <c r="V45" s="639" t="s">
        <v>91</v>
      </c>
      <c r="W45" s="639"/>
      <c r="X45" s="639"/>
      <c r="Y45" s="639"/>
      <c r="Z45" s="639"/>
      <c r="AA45" s="639"/>
      <c r="AB45" s="639"/>
      <c r="AC45" s="639"/>
      <c r="AD45" s="333"/>
    </row>
    <row r="46" spans="1:30" ht="18.75" customHeight="1" x14ac:dyDescent="0.25">
      <c r="B46" s="1"/>
      <c r="C46" s="118" t="s">
        <v>92</v>
      </c>
      <c r="D46" s="118"/>
      <c r="E46" s="118"/>
      <c r="F46" s="118"/>
      <c r="G46" s="118" t="s">
        <v>93</v>
      </c>
      <c r="H46" s="119"/>
      <c r="I46" s="120" t="s">
        <v>94</v>
      </c>
      <c r="J46" s="121"/>
      <c r="K46" s="121"/>
      <c r="L46" s="121"/>
      <c r="M46" s="122"/>
      <c r="O46" s="1"/>
      <c r="V46" s="9"/>
      <c r="W46" s="336" t="s">
        <v>92</v>
      </c>
      <c r="X46" s="655" t="s">
        <v>95</v>
      </c>
      <c r="Y46" s="655"/>
      <c r="Z46" s="656" t="s">
        <v>94</v>
      </c>
      <c r="AA46" s="656"/>
      <c r="AB46" s="656"/>
      <c r="AC46" s="656"/>
      <c r="AD46" s="124"/>
    </row>
    <row r="47" spans="1:30" ht="18.75" customHeight="1" x14ac:dyDescent="0.25">
      <c r="B47" s="107" t="s">
        <v>96</v>
      </c>
      <c r="C47" s="125">
        <f>K10+K11+K16+K19+K22</f>
        <v>65.839300000000009</v>
      </c>
      <c r="D47" s="125"/>
      <c r="E47" s="125"/>
      <c r="F47" s="125"/>
      <c r="G47" s="126">
        <f>K7</f>
        <v>1.0326</v>
      </c>
      <c r="H47" s="126"/>
      <c r="I47" s="127">
        <v>1316.85</v>
      </c>
      <c r="J47" s="128" t="s">
        <v>97</v>
      </c>
      <c r="K47" s="129">
        <f>ROUND(C47*G47*I47,0)</f>
        <v>89527</v>
      </c>
      <c r="L47" s="130"/>
      <c r="O47" s="1"/>
      <c r="V47" s="334" t="s">
        <v>96</v>
      </c>
      <c r="W47" s="131">
        <f>AB10+AB11+AB16+AB19+AB22</f>
        <v>0</v>
      </c>
      <c r="X47" s="647">
        <f>AB7</f>
        <v>1.0326</v>
      </c>
      <c r="Y47" s="647"/>
      <c r="Z47" s="132">
        <f>+I47</f>
        <v>1316.85</v>
      </c>
      <c r="AA47" s="133" t="s">
        <v>97</v>
      </c>
      <c r="AB47" s="134">
        <f>ROUND(W47*X47*Z47,0)</f>
        <v>0</v>
      </c>
      <c r="AC47" s="135"/>
      <c r="AD47" s="9"/>
    </row>
    <row r="48" spans="1:30" ht="18" customHeight="1" x14ac:dyDescent="0.25">
      <c r="B48" s="136" t="s">
        <v>74</v>
      </c>
      <c r="C48" s="125">
        <f>K12+K13+K17+K20+K23</f>
        <v>39.153399999999991</v>
      </c>
      <c r="D48" s="125"/>
      <c r="E48" s="125"/>
      <c r="F48" s="125"/>
      <c r="G48" s="126">
        <f>K7</f>
        <v>1.0326</v>
      </c>
      <c r="H48" s="126"/>
      <c r="I48" s="127">
        <v>898.23</v>
      </c>
      <c r="J48" s="128" t="s">
        <v>97</v>
      </c>
      <c r="K48" s="129">
        <f>ROUND(C48*G48*I48,0)</f>
        <v>36315</v>
      </c>
      <c r="L48" s="62"/>
      <c r="O48" s="1"/>
      <c r="V48" s="137" t="s">
        <v>74</v>
      </c>
      <c r="W48" s="131">
        <f>AB12+AB13+AB17+AB20+AB23</f>
        <v>0</v>
      </c>
      <c r="X48" s="647">
        <f>AB7</f>
        <v>1.0326</v>
      </c>
      <c r="Y48" s="647"/>
      <c r="Z48" s="132">
        <f>+I48</f>
        <v>898.23</v>
      </c>
      <c r="AA48" s="133" t="s">
        <v>97</v>
      </c>
      <c r="AB48" s="134">
        <f>ROUND(W48*X48*Z48,0)</f>
        <v>0</v>
      </c>
      <c r="AC48" s="138"/>
      <c r="AD48" s="9"/>
    </row>
    <row r="49" spans="2:30" ht="19.5" customHeight="1" thickBot="1" x14ac:dyDescent="0.3">
      <c r="B49" s="139" t="s">
        <v>78</v>
      </c>
      <c r="C49" s="140">
        <f>K14+K15+K18+K21+K24+K25</f>
        <v>0</v>
      </c>
      <c r="D49" s="125"/>
      <c r="E49" s="125"/>
      <c r="F49" s="125"/>
      <c r="G49" s="126">
        <f>K7</f>
        <v>1.0326</v>
      </c>
      <c r="H49" s="126"/>
      <c r="I49" s="127">
        <v>900.39</v>
      </c>
      <c r="J49" s="128" t="s">
        <v>97</v>
      </c>
      <c r="K49" s="129">
        <f>ROUND(C49*G49*I49,0)</f>
        <v>0</v>
      </c>
      <c r="L49" s="62"/>
      <c r="M49" s="112"/>
      <c r="N49" s="141"/>
      <c r="O49" s="142"/>
      <c r="P49" s="101"/>
      <c r="Q49" s="143"/>
      <c r="V49" s="144" t="s">
        <v>78</v>
      </c>
      <c r="W49" s="145">
        <f>AB14+AB15+AB18+AB21+AB24+AB25</f>
        <v>0</v>
      </c>
      <c r="X49" s="647">
        <f>AB7</f>
        <v>1.0326</v>
      </c>
      <c r="Y49" s="647"/>
      <c r="Z49" s="132">
        <f>+I49</f>
        <v>900.39</v>
      </c>
      <c r="AA49" s="133" t="s">
        <v>97</v>
      </c>
      <c r="AB49" s="134">
        <f>ROUND(W49*X49*Z49,0)</f>
        <v>0</v>
      </c>
      <c r="AC49" s="138"/>
      <c r="AD49" s="113"/>
    </row>
    <row r="50" spans="2:30" ht="24" customHeight="1" thickBot="1" x14ac:dyDescent="0.3">
      <c r="B50" s="146" t="s">
        <v>98</v>
      </c>
      <c r="C50" s="147">
        <f>SUM(C47:C49)</f>
        <v>104.9927</v>
      </c>
      <c r="D50" s="148"/>
      <c r="E50" s="149"/>
      <c r="F50" s="149"/>
      <c r="G50" s="150" t="s">
        <v>99</v>
      </c>
      <c r="H50" s="150"/>
      <c r="I50" s="150"/>
      <c r="J50" s="150"/>
      <c r="K50" s="150"/>
      <c r="L50" s="50">
        <f>IF(B2=75,0,K49+K48+K47)</f>
        <v>125842</v>
      </c>
      <c r="N50" s="3"/>
      <c r="O50" s="1"/>
      <c r="V50" s="335" t="s">
        <v>98</v>
      </c>
      <c r="W50" s="152">
        <f>SUM(W47:W49)</f>
        <v>0</v>
      </c>
      <c r="X50" s="648" t="s">
        <v>99</v>
      </c>
      <c r="Y50" s="649"/>
      <c r="Z50" s="649"/>
      <c r="AA50" s="649"/>
      <c r="AB50" s="649"/>
      <c r="AC50" s="56">
        <f>IF(V2=75,0,AB49+AB48+AB47)</f>
        <v>0</v>
      </c>
      <c r="AD50" s="9"/>
    </row>
    <row r="51" spans="2:30" ht="19.5" customHeight="1" x14ac:dyDescent="0.25">
      <c r="B51" s="153" t="s">
        <v>100</v>
      </c>
      <c r="C51" s="153"/>
      <c r="D51" s="153"/>
      <c r="E51" s="153"/>
      <c r="F51" s="153"/>
      <c r="G51" s="153"/>
      <c r="H51" s="153"/>
      <c r="I51" s="153"/>
      <c r="J51" s="153"/>
      <c r="K51" s="153"/>
      <c r="L51" s="153"/>
      <c r="M51" s="141"/>
      <c r="N51" s="101"/>
      <c r="O51" s="1"/>
      <c r="V51" s="650" t="s">
        <v>100</v>
      </c>
      <c r="W51" s="650"/>
      <c r="X51" s="650"/>
      <c r="Y51" s="650"/>
      <c r="Z51" s="650"/>
      <c r="AA51" s="650"/>
      <c r="AB51" s="650"/>
      <c r="AC51" s="650"/>
      <c r="AD51" s="154"/>
    </row>
    <row r="52" spans="2:30" ht="27.75" customHeight="1" x14ac:dyDescent="0.25">
      <c r="B52" s="13" t="s">
        <v>101</v>
      </c>
      <c r="C52" s="13"/>
      <c r="D52" s="13"/>
      <c r="E52" s="13"/>
      <c r="F52" s="13"/>
      <c r="G52" s="13"/>
      <c r="H52" s="13"/>
      <c r="I52" s="13"/>
      <c r="J52" s="13"/>
      <c r="K52" s="13"/>
      <c r="L52" s="13"/>
      <c r="O52" s="1"/>
      <c r="V52" s="651" t="s">
        <v>101</v>
      </c>
      <c r="W52" s="651"/>
      <c r="X52" s="651"/>
      <c r="Y52" s="651"/>
      <c r="Z52" s="651"/>
      <c r="AA52" s="651"/>
      <c r="AB52" s="651"/>
      <c r="AC52" s="651"/>
      <c r="AD52" s="9"/>
    </row>
    <row r="53" spans="2:30" x14ac:dyDescent="0.25">
      <c r="B53" s="13" t="s">
        <v>102</v>
      </c>
      <c r="C53" s="13"/>
      <c r="D53" s="13"/>
      <c r="E53" s="13"/>
      <c r="F53" s="13"/>
      <c r="G53" s="155">
        <f>K26</f>
        <v>104.9927</v>
      </c>
      <c r="H53" s="57" t="s">
        <v>103</v>
      </c>
      <c r="I53" s="57"/>
      <c r="J53" s="156">
        <v>197823.77</v>
      </c>
      <c r="K53" s="156"/>
      <c r="L53" s="156"/>
      <c r="N53" s="3"/>
      <c r="O53" s="1"/>
      <c r="V53" s="657" t="s">
        <v>102</v>
      </c>
      <c r="W53" s="657"/>
      <c r="X53" s="157">
        <f>AB26</f>
        <v>0</v>
      </c>
      <c r="Y53" s="658" t="s">
        <v>103</v>
      </c>
      <c r="Z53" s="658"/>
      <c r="AA53" s="659">
        <f>+J53</f>
        <v>197823.77</v>
      </c>
      <c r="AB53" s="659"/>
      <c r="AC53" s="659"/>
      <c r="AD53" s="9"/>
    </row>
    <row r="54" spans="2:30" x14ac:dyDescent="0.25">
      <c r="B54" s="13" t="s">
        <v>104</v>
      </c>
      <c r="C54" s="13"/>
      <c r="D54" s="13"/>
      <c r="E54" s="13"/>
      <c r="F54" s="13"/>
      <c r="G54" s="13"/>
      <c r="H54" s="13"/>
      <c r="I54" s="13"/>
      <c r="J54" s="13"/>
      <c r="K54" s="158">
        <f>ROUND(G53/J53,6)</f>
        <v>5.31E-4</v>
      </c>
      <c r="L54" s="158"/>
      <c r="N54" s="101"/>
      <c r="O54" s="1"/>
      <c r="V54" s="657" t="s">
        <v>104</v>
      </c>
      <c r="W54" s="657"/>
      <c r="X54" s="657"/>
      <c r="Y54" s="657"/>
      <c r="Z54" s="657"/>
      <c r="AA54" s="657"/>
      <c r="AB54" s="660">
        <f>ROUND(X53/AA53,6)</f>
        <v>0</v>
      </c>
      <c r="AC54" s="660"/>
      <c r="AD54" s="9"/>
    </row>
    <row r="55" spans="2:30" ht="24" customHeight="1" x14ac:dyDescent="0.25">
      <c r="B55" s="13" t="s">
        <v>105</v>
      </c>
      <c r="C55" s="13"/>
      <c r="D55" s="13"/>
      <c r="E55" s="13"/>
      <c r="F55" s="13"/>
      <c r="G55" s="13"/>
      <c r="H55" s="13"/>
      <c r="I55" s="13"/>
      <c r="J55" s="13"/>
      <c r="K55" s="13"/>
      <c r="L55" s="13"/>
      <c r="O55" s="1"/>
      <c r="V55" s="651" t="s">
        <v>105</v>
      </c>
      <c r="W55" s="651"/>
      <c r="X55" s="651"/>
      <c r="Y55" s="651"/>
      <c r="Z55" s="651"/>
      <c r="AA55" s="651"/>
      <c r="AB55" s="651"/>
      <c r="AC55" s="651"/>
      <c r="AD55" s="9"/>
    </row>
    <row r="56" spans="2:30" x14ac:dyDescent="0.25">
      <c r="B56" s="13" t="s">
        <v>106</v>
      </c>
      <c r="C56" s="13"/>
      <c r="D56" s="13"/>
      <c r="E56" s="13"/>
      <c r="F56" s="13"/>
      <c r="G56" s="159">
        <f>G26</f>
        <v>97.43</v>
      </c>
      <c r="H56" s="57" t="s">
        <v>107</v>
      </c>
      <c r="I56" s="57"/>
      <c r="J56" s="156">
        <f>+G40</f>
        <v>180284.81</v>
      </c>
      <c r="K56" s="156"/>
      <c r="L56" s="156"/>
      <c r="O56" s="1"/>
      <c r="V56" s="657" t="s">
        <v>106</v>
      </c>
      <c r="W56" s="657"/>
      <c r="X56" s="160">
        <f>X26</f>
        <v>0</v>
      </c>
      <c r="Y56" s="658" t="s">
        <v>107</v>
      </c>
      <c r="Z56" s="658"/>
      <c r="AA56" s="659">
        <f>+J56</f>
        <v>180284.81</v>
      </c>
      <c r="AB56" s="659"/>
      <c r="AC56" s="659"/>
      <c r="AD56" s="9"/>
    </row>
    <row r="57" spans="2:30" x14ac:dyDescent="0.25">
      <c r="B57" s="13" t="s">
        <v>108</v>
      </c>
      <c r="C57" s="13"/>
      <c r="D57" s="13"/>
      <c r="E57" s="13"/>
      <c r="F57" s="13"/>
      <c r="G57" s="13"/>
      <c r="H57" s="13"/>
      <c r="I57" s="13"/>
      <c r="J57" s="13"/>
      <c r="K57" s="158">
        <f>ROUND(G56/J56,6)</f>
        <v>5.4000000000000001E-4</v>
      </c>
      <c r="L57" s="158"/>
      <c r="O57" s="1"/>
      <c r="V57" s="657" t="s">
        <v>108</v>
      </c>
      <c r="W57" s="657"/>
      <c r="X57" s="657"/>
      <c r="Y57" s="657"/>
      <c r="Z57" s="657"/>
      <c r="AA57" s="657"/>
      <c r="AB57" s="660">
        <f>ROUND(X56/AA56,6)</f>
        <v>0</v>
      </c>
      <c r="AC57" s="660"/>
      <c r="AD57" s="9"/>
    </row>
    <row r="58" spans="2:30" ht="20.25" customHeight="1" x14ac:dyDescent="0.25">
      <c r="B58" s="161" t="s">
        <v>109</v>
      </c>
      <c r="C58" s="161"/>
      <c r="D58" s="161"/>
      <c r="E58" s="161"/>
      <c r="F58" s="161"/>
      <c r="G58" s="161"/>
      <c r="H58" s="161"/>
      <c r="I58" s="161"/>
      <c r="J58" s="161"/>
      <c r="K58" s="161"/>
      <c r="L58" s="161"/>
      <c r="N58" s="18"/>
      <c r="O58" s="18"/>
      <c r="V58" s="629" t="s">
        <v>110</v>
      </c>
      <c r="W58" s="629"/>
      <c r="X58" s="629"/>
      <c r="Y58" s="661">
        <f>X65+X64+X62+X61+X60</f>
        <v>4123852</v>
      </c>
      <c r="Z58" s="661"/>
      <c r="AA58" s="332" t="s">
        <v>111</v>
      </c>
      <c r="AB58" s="163">
        <f>AB54</f>
        <v>0</v>
      </c>
      <c r="AC58" s="56">
        <f>ROUND(Y58*AB58,0)</f>
        <v>0</v>
      </c>
      <c r="AD58" s="9"/>
    </row>
    <row r="59" spans="2:30" x14ac:dyDescent="0.25">
      <c r="B59" s="62" t="s">
        <v>110</v>
      </c>
      <c r="C59" s="62"/>
      <c r="D59" s="62"/>
      <c r="E59" s="62"/>
      <c r="F59" s="62"/>
      <c r="G59" s="62"/>
      <c r="H59" s="164" t="s">
        <v>22</v>
      </c>
      <c r="I59" s="129">
        <v>4123852</v>
      </c>
      <c r="J59" s="165" t="s">
        <v>111</v>
      </c>
      <c r="K59" s="166">
        <f>K54</f>
        <v>5.31E-4</v>
      </c>
      <c r="L59" s="50">
        <f>ROUND(I59*K59,0)</f>
        <v>2190</v>
      </c>
      <c r="O59" s="1"/>
      <c r="P59" s="165"/>
      <c r="Q59" s="165"/>
      <c r="V59" s="662" t="s">
        <v>112</v>
      </c>
      <c r="W59" s="662"/>
      <c r="X59" s="662"/>
      <c r="Y59" s="662"/>
      <c r="Z59" s="662"/>
      <c r="AA59" s="662"/>
      <c r="AB59" s="662"/>
      <c r="AC59" s="662"/>
      <c r="AD59" s="9"/>
    </row>
    <row r="60" spans="2:30" x14ac:dyDescent="0.25">
      <c r="B60" s="62" t="s">
        <v>112</v>
      </c>
      <c r="C60" s="62"/>
      <c r="D60" s="62"/>
      <c r="E60" s="62"/>
      <c r="F60" s="62"/>
      <c r="G60" s="62"/>
      <c r="H60" s="62"/>
      <c r="I60" s="62"/>
      <c r="J60" s="62"/>
      <c r="K60" s="62"/>
      <c r="L60" s="62"/>
      <c r="O60" s="1"/>
      <c r="P60" s="165"/>
      <c r="Q60" s="165"/>
      <c r="V60" s="663" t="s">
        <v>113</v>
      </c>
      <c r="W60" s="663"/>
      <c r="X60" s="664">
        <f>+G61</f>
        <v>0</v>
      </c>
      <c r="Y60" s="664"/>
      <c r="Z60" s="664"/>
      <c r="AA60" s="664"/>
      <c r="AB60" s="664"/>
      <c r="AC60" s="664"/>
      <c r="AD60" s="9"/>
    </row>
    <row r="61" spans="2:30" ht="15" customHeight="1" x14ac:dyDescent="0.25">
      <c r="B61" s="167" t="s">
        <v>113</v>
      </c>
      <c r="C61" s="62"/>
      <c r="D61" s="62"/>
      <c r="E61" s="62"/>
      <c r="F61" s="62"/>
      <c r="G61" s="168">
        <v>0</v>
      </c>
      <c r="H61" s="168"/>
      <c r="I61" s="168"/>
      <c r="J61" s="168"/>
      <c r="K61" s="168"/>
      <c r="L61" s="168"/>
      <c r="O61" s="1"/>
      <c r="P61" s="165"/>
      <c r="Q61" s="165"/>
      <c r="V61" s="663" t="s">
        <v>114</v>
      </c>
      <c r="W61" s="663"/>
      <c r="X61" s="664">
        <f>+G62</f>
        <v>0</v>
      </c>
      <c r="Y61" s="664"/>
      <c r="Z61" s="664"/>
      <c r="AA61" s="664"/>
      <c r="AB61" s="664"/>
      <c r="AC61" s="664"/>
      <c r="AD61" s="9"/>
    </row>
    <row r="62" spans="2:30" ht="13.5" customHeight="1" x14ac:dyDescent="0.25">
      <c r="B62" s="167" t="s">
        <v>114</v>
      </c>
      <c r="C62" s="62"/>
      <c r="D62" s="62"/>
      <c r="E62" s="62"/>
      <c r="F62" s="62"/>
      <c r="G62" s="168">
        <v>0</v>
      </c>
      <c r="H62" s="168"/>
      <c r="I62" s="168"/>
      <c r="J62" s="168"/>
      <c r="K62" s="168"/>
      <c r="L62" s="168"/>
      <c r="N62" s="165"/>
      <c r="O62" s="165"/>
      <c r="P62" s="165"/>
      <c r="Q62" s="165"/>
      <c r="V62" s="663" t="s">
        <v>115</v>
      </c>
      <c r="W62" s="663"/>
      <c r="X62" s="664">
        <v>0</v>
      </c>
      <c r="Y62" s="664"/>
      <c r="Z62" s="664"/>
      <c r="AA62" s="664"/>
      <c r="AB62" s="664"/>
      <c r="AC62" s="664"/>
      <c r="AD62" s="9"/>
    </row>
    <row r="63" spans="2:30" ht="13.5" hidden="1" customHeight="1" x14ac:dyDescent="0.25">
      <c r="B63" s="62" t="s">
        <v>115</v>
      </c>
      <c r="C63" s="62"/>
      <c r="D63" s="62"/>
      <c r="E63" s="62"/>
      <c r="F63" s="62"/>
      <c r="G63" s="168">
        <v>0</v>
      </c>
      <c r="H63" s="168"/>
      <c r="I63" s="168"/>
      <c r="J63" s="168"/>
      <c r="K63" s="168"/>
      <c r="L63" s="168"/>
      <c r="O63" s="1"/>
      <c r="P63" s="165"/>
      <c r="Q63" s="165"/>
      <c r="V63" s="662" t="s">
        <v>116</v>
      </c>
      <c r="W63" s="662"/>
      <c r="X63" s="662"/>
      <c r="Y63" s="662"/>
      <c r="Z63" s="662"/>
      <c r="AA63" s="662"/>
      <c r="AB63" s="662"/>
      <c r="AC63" s="662"/>
      <c r="AD63" s="333"/>
    </row>
    <row r="64" spans="2:30" ht="13.5" customHeight="1" x14ac:dyDescent="0.25">
      <c r="B64" s="62" t="s">
        <v>116</v>
      </c>
      <c r="C64" s="62"/>
      <c r="D64" s="62"/>
      <c r="E64" s="62"/>
      <c r="F64" s="62"/>
      <c r="G64" s="62"/>
      <c r="H64" s="62"/>
      <c r="I64" s="62"/>
      <c r="J64" s="62"/>
      <c r="K64" s="62"/>
      <c r="L64" s="62"/>
      <c r="M64" s="116"/>
      <c r="N64" s="18"/>
      <c r="O64" s="1"/>
      <c r="V64" s="663" t="s">
        <v>117</v>
      </c>
      <c r="W64" s="663"/>
      <c r="X64" s="664">
        <f>+G65</f>
        <v>4123852</v>
      </c>
      <c r="Y64" s="664"/>
      <c r="Z64" s="664"/>
      <c r="AA64" s="664"/>
      <c r="AB64" s="664"/>
      <c r="AC64" s="664"/>
      <c r="AD64" s="9"/>
    </row>
    <row r="65" spans="1:30" ht="12.75" customHeight="1" x14ac:dyDescent="0.25">
      <c r="B65" s="167" t="s">
        <v>117</v>
      </c>
      <c r="C65" s="62"/>
      <c r="D65" s="62"/>
      <c r="E65" s="62"/>
      <c r="F65" s="62"/>
      <c r="G65" s="168">
        <f>+I59</f>
        <v>4123852</v>
      </c>
      <c r="H65" s="168"/>
      <c r="I65" s="168"/>
      <c r="J65" s="168"/>
      <c r="K65" s="168"/>
      <c r="L65" s="168"/>
      <c r="O65" s="1"/>
      <c r="V65" s="663" t="s">
        <v>118</v>
      </c>
      <c r="W65" s="663"/>
      <c r="X65" s="664">
        <f>+G66</f>
        <v>0</v>
      </c>
      <c r="Y65" s="664"/>
      <c r="Z65" s="664"/>
      <c r="AA65" s="664"/>
      <c r="AB65" s="664"/>
      <c r="AC65" s="664"/>
      <c r="AD65" s="20"/>
    </row>
    <row r="66" spans="1:30" ht="15" customHeight="1" x14ac:dyDescent="0.25">
      <c r="B66" s="167" t="s">
        <v>118</v>
      </c>
      <c r="C66" s="62"/>
      <c r="D66" s="62"/>
      <c r="E66" s="62"/>
      <c r="F66" s="62"/>
      <c r="G66" s="168">
        <v>0</v>
      </c>
      <c r="H66" s="168"/>
      <c r="I66" s="168"/>
      <c r="J66" s="168"/>
      <c r="K66" s="168"/>
      <c r="L66" s="168"/>
      <c r="M66" s="18"/>
      <c r="N66" s="3"/>
      <c r="O66" s="169"/>
      <c r="P66" s="169"/>
      <c r="Q66" s="169"/>
      <c r="V66" s="651" t="s">
        <v>119</v>
      </c>
      <c r="W66" s="651"/>
      <c r="X66" s="651"/>
      <c r="Y66" s="661">
        <f>+I67</f>
        <v>96774526</v>
      </c>
      <c r="Z66" s="661"/>
      <c r="AA66" s="332" t="s">
        <v>111</v>
      </c>
      <c r="AB66" s="163">
        <f>AB54</f>
        <v>0</v>
      </c>
      <c r="AC66" s="56">
        <f>ROUND(Y66*AB66,0)</f>
        <v>0</v>
      </c>
      <c r="AD66" s="9"/>
    </row>
    <row r="67" spans="1:30" ht="20.25" customHeight="1" x14ac:dyDescent="0.25">
      <c r="B67" s="13" t="s">
        <v>119</v>
      </c>
      <c r="C67" s="13"/>
      <c r="D67" s="13"/>
      <c r="E67" s="13"/>
      <c r="F67" s="13"/>
      <c r="H67" s="164" t="s">
        <v>25</v>
      </c>
      <c r="I67" s="129">
        <v>96774526</v>
      </c>
      <c r="J67" s="165" t="s">
        <v>111</v>
      </c>
      <c r="K67" s="166">
        <f>K54</f>
        <v>5.31E-4</v>
      </c>
      <c r="L67" s="50">
        <f>ROUND(I67*K67,0)</f>
        <v>51387</v>
      </c>
      <c r="O67" s="1"/>
      <c r="V67" s="651" t="s">
        <v>120</v>
      </c>
      <c r="W67" s="651"/>
      <c r="X67" s="651"/>
      <c r="Y67" s="651"/>
      <c r="Z67" s="651"/>
      <c r="AA67" s="651"/>
      <c r="AB67" s="651"/>
      <c r="AC67" s="651"/>
      <c r="AD67" s="9"/>
    </row>
    <row r="68" spans="1:30" ht="20.25" customHeight="1" x14ac:dyDescent="0.25">
      <c r="B68" s="13" t="s">
        <v>120</v>
      </c>
      <c r="C68" s="13"/>
      <c r="D68" s="13"/>
      <c r="E68" s="13"/>
      <c r="F68" s="13"/>
      <c r="H68" s="13"/>
      <c r="I68" s="13"/>
      <c r="J68" s="82"/>
      <c r="K68" s="13"/>
      <c r="L68" s="13"/>
      <c r="O68" s="1"/>
      <c r="V68" s="667" t="s">
        <v>121</v>
      </c>
      <c r="W68" s="667"/>
      <c r="X68" s="667"/>
      <c r="Y68" s="661">
        <f>+I69</f>
        <v>0</v>
      </c>
      <c r="Z68" s="661"/>
      <c r="AA68" s="332" t="s">
        <v>111</v>
      </c>
      <c r="AB68" s="163">
        <f>AB57</f>
        <v>0</v>
      </c>
      <c r="AC68" s="56">
        <f>ROUND(Y68*AB68,0)</f>
        <v>0</v>
      </c>
      <c r="AD68" s="9"/>
    </row>
    <row r="69" spans="1:30" ht="15" customHeight="1" x14ac:dyDescent="0.25">
      <c r="B69" s="170" t="s">
        <v>121</v>
      </c>
      <c r="C69" s="13"/>
      <c r="D69" s="13"/>
      <c r="E69" s="13"/>
      <c r="F69" s="13"/>
      <c r="H69" s="164" t="s">
        <v>23</v>
      </c>
      <c r="I69" s="129">
        <v>0</v>
      </c>
      <c r="J69" s="165" t="s">
        <v>111</v>
      </c>
      <c r="K69" s="166">
        <f>K57</f>
        <v>5.4000000000000001E-4</v>
      </c>
      <c r="L69" s="50">
        <f>ROUND(I69*K69,0)</f>
        <v>0</v>
      </c>
      <c r="O69" s="1"/>
      <c r="V69" s="651" t="s">
        <v>122</v>
      </c>
      <c r="W69" s="651"/>
      <c r="X69" s="651"/>
      <c r="Y69" s="668">
        <f>+I70</f>
        <v>-3460775</v>
      </c>
      <c r="Z69" s="668"/>
      <c r="AA69" s="332" t="s">
        <v>111</v>
      </c>
      <c r="AB69" s="163">
        <f>AB54</f>
        <v>0</v>
      </c>
      <c r="AC69" s="56">
        <f>ROUND(Y69*AB69,0)</f>
        <v>0</v>
      </c>
      <c r="AD69" s="9"/>
    </row>
    <row r="70" spans="1:30" ht="20.25" customHeight="1" x14ac:dyDescent="0.25">
      <c r="B70" s="13" t="s">
        <v>122</v>
      </c>
      <c r="C70" s="13"/>
      <c r="D70" s="13"/>
      <c r="E70" s="13"/>
      <c r="F70" s="13"/>
      <c r="H70" s="164" t="s">
        <v>22</v>
      </c>
      <c r="I70" s="129">
        <v>-3460775</v>
      </c>
      <c r="J70" s="165" t="s">
        <v>111</v>
      </c>
      <c r="K70" s="166">
        <f>K54</f>
        <v>5.31E-4</v>
      </c>
      <c r="L70" s="50">
        <f>ROUND(I70*K70,0)</f>
        <v>-1838</v>
      </c>
      <c r="O70" s="1"/>
      <c r="V70" s="651" t="s">
        <v>123</v>
      </c>
      <c r="W70" s="651"/>
      <c r="X70" s="651"/>
      <c r="Y70" s="665">
        <f>+I71</f>
        <v>1874788</v>
      </c>
      <c r="Z70" s="665"/>
      <c r="AA70" s="332" t="s">
        <v>111</v>
      </c>
      <c r="AB70" s="163">
        <f>AB54</f>
        <v>0</v>
      </c>
      <c r="AC70" s="56">
        <f>ROUND(Y70*AB70,0)</f>
        <v>0</v>
      </c>
      <c r="AD70" s="9"/>
    </row>
    <row r="71" spans="1:30" ht="20.25" customHeight="1" x14ac:dyDescent="0.25">
      <c r="B71" s="13" t="s">
        <v>123</v>
      </c>
      <c r="C71" s="13"/>
      <c r="D71" s="13"/>
      <c r="E71" s="13"/>
      <c r="F71" s="13"/>
      <c r="H71" s="164" t="s">
        <v>22</v>
      </c>
      <c r="I71" s="129">
        <v>1874788</v>
      </c>
      <c r="J71" s="165" t="s">
        <v>111</v>
      </c>
      <c r="K71" s="166">
        <f>K54</f>
        <v>5.31E-4</v>
      </c>
      <c r="L71" s="50">
        <f>ROUND(I71*K71,0)</f>
        <v>996</v>
      </c>
      <c r="O71" s="1"/>
      <c r="V71" s="651" t="s">
        <v>124</v>
      </c>
      <c r="W71" s="651"/>
      <c r="X71" s="651"/>
      <c r="Y71" s="665">
        <f>+I72</f>
        <v>14223298</v>
      </c>
      <c r="Z71" s="665"/>
      <c r="AA71" s="332" t="s">
        <v>111</v>
      </c>
      <c r="AB71" s="163">
        <f>AB57</f>
        <v>0</v>
      </c>
      <c r="AC71" s="56">
        <f>ROUND(Y71*AB71,0)</f>
        <v>0</v>
      </c>
      <c r="AD71" s="9"/>
    </row>
    <row r="72" spans="1:30" ht="21" customHeight="1" x14ac:dyDescent="0.25">
      <c r="B72" s="13" t="s">
        <v>124</v>
      </c>
      <c r="C72" s="13"/>
      <c r="D72" s="13"/>
      <c r="E72" s="13"/>
      <c r="F72" s="13"/>
      <c r="H72" s="164" t="s">
        <v>23</v>
      </c>
      <c r="I72" s="171">
        <v>14223298</v>
      </c>
      <c r="J72" s="165" t="s">
        <v>111</v>
      </c>
      <c r="K72" s="166">
        <f>K57</f>
        <v>5.4000000000000001E-4</v>
      </c>
      <c r="L72" s="50">
        <f>ROUND(I72*K72,0)</f>
        <v>7681</v>
      </c>
      <c r="O72" s="1"/>
      <c r="V72" s="623" t="s">
        <v>125</v>
      </c>
      <c r="W72" s="623"/>
      <c r="X72" s="623"/>
      <c r="Y72" s="623"/>
      <c r="Z72" s="623"/>
      <c r="AA72" s="623"/>
      <c r="AB72" s="623"/>
      <c r="AC72" s="60"/>
      <c r="AD72" s="9"/>
    </row>
    <row r="73" spans="1:30" ht="17.25" customHeight="1" x14ac:dyDescent="0.25">
      <c r="B73" s="13" t="s">
        <v>125</v>
      </c>
      <c r="C73" s="13"/>
      <c r="D73" s="13"/>
      <c r="E73" s="13"/>
      <c r="F73" s="13"/>
      <c r="H73" s="13"/>
      <c r="I73" s="13"/>
      <c r="J73" s="82"/>
      <c r="K73" s="13"/>
      <c r="L73" s="59"/>
      <c r="O73" s="1"/>
      <c r="V73" s="651" t="s">
        <v>126</v>
      </c>
      <c r="W73" s="651"/>
      <c r="X73" s="651"/>
      <c r="Y73" s="651"/>
      <c r="Z73" s="651"/>
      <c r="AA73" s="651"/>
      <c r="AB73" s="651"/>
      <c r="AC73" s="651"/>
      <c r="AD73" s="9"/>
    </row>
    <row r="74" spans="1:30" ht="31.5" x14ac:dyDescent="0.25">
      <c r="B74" s="13" t="s">
        <v>126</v>
      </c>
      <c r="C74" s="13"/>
      <c r="D74" s="27" t="s">
        <v>13</v>
      </c>
      <c r="E74" s="27" t="s">
        <v>14</v>
      </c>
      <c r="F74" s="27"/>
      <c r="H74" s="164" t="s">
        <v>26</v>
      </c>
      <c r="I74" s="172"/>
      <c r="J74" s="164"/>
      <c r="K74" s="172"/>
      <c r="L74" s="112"/>
      <c r="O74" s="1"/>
      <c r="V74" s="666" t="s">
        <v>127</v>
      </c>
      <c r="W74" s="666"/>
      <c r="X74" s="173" t="s">
        <v>128</v>
      </c>
      <c r="Y74" s="174"/>
      <c r="Z74" s="175">
        <f>+I75</f>
        <v>0</v>
      </c>
      <c r="AA74" s="331" t="s">
        <v>129</v>
      </c>
      <c r="AB74" s="177">
        <f>+K75</f>
        <v>361</v>
      </c>
      <c r="AC74" s="56">
        <f>ROUND(AB74*Z74,0)</f>
        <v>0</v>
      </c>
      <c r="AD74" s="9"/>
    </row>
    <row r="75" spans="1:30" ht="19.5" customHeight="1" x14ac:dyDescent="0.25">
      <c r="A75" s="1" t="s">
        <v>130</v>
      </c>
      <c r="B75" s="178" t="s">
        <v>127</v>
      </c>
      <c r="C75" s="179" t="s">
        <v>128</v>
      </c>
      <c r="D75" s="178">
        <v>0</v>
      </c>
      <c r="E75" s="178">
        <v>0</v>
      </c>
      <c r="F75" s="178">
        <v>0</v>
      </c>
      <c r="G75" s="180">
        <f>IF(E75=0,D75,E75)</f>
        <v>0</v>
      </c>
      <c r="H75" s="181"/>
      <c r="I75" s="182">
        <f>AVERAGE(G75,D75)</f>
        <v>0</v>
      </c>
      <c r="J75" s="183" t="s">
        <v>129</v>
      </c>
      <c r="K75" s="184">
        <v>361</v>
      </c>
      <c r="L75" s="50">
        <f>ROUND(K75*I75,0)</f>
        <v>0</v>
      </c>
      <c r="N75" s="1">
        <v>7802</v>
      </c>
      <c r="O75" s="1">
        <v>0</v>
      </c>
      <c r="V75" s="666" t="s">
        <v>127</v>
      </c>
      <c r="W75" s="666"/>
      <c r="X75" s="173" t="s">
        <v>131</v>
      </c>
      <c r="Y75" s="185"/>
      <c r="Z75" s="186">
        <f>+I76</f>
        <v>0</v>
      </c>
      <c r="AA75" s="331" t="s">
        <v>129</v>
      </c>
      <c r="AB75" s="187">
        <f>+K76</f>
        <v>1358</v>
      </c>
      <c r="AC75" s="56">
        <f>ROUND(AB75*Z75,0)</f>
        <v>0</v>
      </c>
      <c r="AD75" s="9"/>
    </row>
    <row r="76" spans="1:30" ht="19.5" customHeight="1" x14ac:dyDescent="0.25">
      <c r="A76" s="1" t="s">
        <v>132</v>
      </c>
      <c r="B76" s="178" t="s">
        <v>127</v>
      </c>
      <c r="C76" s="179" t="s">
        <v>131</v>
      </c>
      <c r="D76" s="178">
        <v>0</v>
      </c>
      <c r="E76" s="178">
        <v>0</v>
      </c>
      <c r="F76" s="178">
        <v>0</v>
      </c>
      <c r="G76" s="180">
        <f>IF(E76=0,D76,E76)</f>
        <v>0</v>
      </c>
      <c r="H76" s="181"/>
      <c r="I76" s="182">
        <f>AVERAGE(G76,D76)</f>
        <v>0</v>
      </c>
      <c r="J76" s="183" t="s">
        <v>129</v>
      </c>
      <c r="K76" s="188">
        <v>1358</v>
      </c>
      <c r="L76" s="50">
        <f>ROUND(K76*I76,0)</f>
        <v>0</v>
      </c>
      <c r="N76" s="1">
        <v>7802</v>
      </c>
      <c r="O76" s="1">
        <v>110</v>
      </c>
      <c r="V76" s="651" t="s">
        <v>133</v>
      </c>
      <c r="W76" s="651"/>
      <c r="X76" s="651"/>
      <c r="Y76" s="661">
        <f>+I77</f>
        <v>33305823</v>
      </c>
      <c r="Z76" s="661"/>
      <c r="AA76" s="331" t="s">
        <v>129</v>
      </c>
      <c r="AB76" s="163">
        <f>AB54</f>
        <v>0</v>
      </c>
      <c r="AC76" s="56">
        <f>ROUND(Y76*AB76,0)</f>
        <v>0</v>
      </c>
      <c r="AD76" s="9"/>
    </row>
    <row r="77" spans="1:30" ht="26.25" customHeight="1" x14ac:dyDescent="0.25">
      <c r="B77" s="13" t="s">
        <v>133</v>
      </c>
      <c r="C77" s="13"/>
      <c r="D77" s="13"/>
      <c r="E77" s="13"/>
      <c r="F77" s="13"/>
      <c r="H77" s="164" t="s">
        <v>134</v>
      </c>
      <c r="I77" s="189">
        <v>33305823</v>
      </c>
      <c r="J77" s="165" t="s">
        <v>111</v>
      </c>
      <c r="K77" s="166">
        <f>K54</f>
        <v>5.31E-4</v>
      </c>
      <c r="L77" s="50">
        <f>ROUND(I77*K77,0)</f>
        <v>17685</v>
      </c>
      <c r="O77" s="1"/>
      <c r="V77" s="651" t="str">
        <f>+B78</f>
        <v>15.  Additional Allocation (WFTE share)</v>
      </c>
      <c r="W77" s="651"/>
      <c r="X77" s="651"/>
      <c r="Y77" s="661">
        <f>+I78</f>
        <v>680688</v>
      </c>
      <c r="Z77" s="661"/>
      <c r="AA77" s="331" t="s">
        <v>129</v>
      </c>
      <c r="AB77" s="163">
        <f>AB54</f>
        <v>0</v>
      </c>
      <c r="AC77" s="56">
        <f>ROUND(Y77*AB77,0)</f>
        <v>0</v>
      </c>
      <c r="AD77" s="9"/>
    </row>
    <row r="78" spans="1:30" ht="26.25" customHeight="1" x14ac:dyDescent="0.25">
      <c r="B78" s="669" t="s">
        <v>135</v>
      </c>
      <c r="C78" s="669"/>
      <c r="D78" s="669"/>
      <c r="E78" s="13"/>
      <c r="F78" s="13"/>
      <c r="H78" s="164" t="s">
        <v>136</v>
      </c>
      <c r="I78" s="190">
        <v>680688</v>
      </c>
      <c r="J78" s="165" t="s">
        <v>111</v>
      </c>
      <c r="K78" s="166">
        <f>K54</f>
        <v>5.31E-4</v>
      </c>
      <c r="L78" s="50">
        <f>ROUND(I78*K78,0)</f>
        <v>361</v>
      </c>
      <c r="O78" s="1"/>
      <c r="V78" s="651" t="str">
        <f>+B79</f>
        <v>16.  Florida Teachers Lead Program Stipend</v>
      </c>
      <c r="W78" s="651"/>
      <c r="X78" s="651"/>
      <c r="Y78" s="191"/>
      <c r="Z78" s="191"/>
      <c r="AA78" s="191"/>
      <c r="AB78" s="191"/>
      <c r="AC78" s="134"/>
      <c r="AD78" s="9"/>
    </row>
    <row r="79" spans="1:30" ht="21" customHeight="1" x14ac:dyDescent="0.25">
      <c r="B79" s="669" t="s">
        <v>137</v>
      </c>
      <c r="C79" s="669"/>
      <c r="D79" s="669"/>
      <c r="E79" s="13"/>
      <c r="F79" s="13"/>
      <c r="H79" s="164"/>
      <c r="I79" s="172"/>
      <c r="J79" s="172"/>
      <c r="K79" s="172"/>
      <c r="L79" s="129"/>
      <c r="N79" s="192"/>
      <c r="O79" s="1"/>
      <c r="Q79" s="164"/>
      <c r="V79" s="651" t="str">
        <f>+B80</f>
        <v>17.  Food Service Allocation</v>
      </c>
      <c r="W79" s="651"/>
      <c r="X79" s="651"/>
      <c r="Y79" s="191"/>
      <c r="Z79" s="191"/>
      <c r="AA79" s="191"/>
      <c r="AB79" s="191"/>
      <c r="AC79" s="193"/>
      <c r="AD79" s="9"/>
    </row>
    <row r="80" spans="1:30" ht="21" customHeight="1" x14ac:dyDescent="0.25">
      <c r="B80" s="669" t="s">
        <v>138</v>
      </c>
      <c r="C80" s="669"/>
      <c r="D80" s="669"/>
      <c r="E80" s="13"/>
      <c r="F80" s="13"/>
      <c r="H80" s="194" t="s">
        <v>139</v>
      </c>
      <c r="I80" s="195"/>
      <c r="J80" s="195"/>
      <c r="K80" s="195"/>
      <c r="L80" s="196"/>
      <c r="N80" s="197"/>
      <c r="O80" s="1"/>
      <c r="Q80" s="164"/>
      <c r="V80" s="191"/>
      <c r="W80" s="191"/>
      <c r="X80" s="191"/>
      <c r="Y80" s="191"/>
      <c r="Z80" s="191"/>
      <c r="AA80" s="191"/>
      <c r="AB80" s="191"/>
      <c r="AC80" s="193"/>
      <c r="AD80" s="9"/>
    </row>
    <row r="81" spans="1:30" ht="21" customHeight="1" thickBot="1" x14ac:dyDescent="0.3">
      <c r="B81" s="13"/>
      <c r="C81" s="13"/>
      <c r="D81" s="13"/>
      <c r="E81" s="13"/>
      <c r="F81" s="13"/>
      <c r="G81" s="13"/>
      <c r="H81" s="13"/>
      <c r="I81" s="13"/>
      <c r="J81" s="13"/>
      <c r="K81" s="13"/>
      <c r="L81" s="196"/>
      <c r="M81" s="198"/>
      <c r="N81" s="197"/>
      <c r="O81" s="1"/>
      <c r="Q81" s="164"/>
      <c r="V81" s="191" t="s">
        <v>140</v>
      </c>
      <c r="W81" s="191"/>
      <c r="X81" s="191"/>
      <c r="Y81" s="191"/>
      <c r="Z81" s="191"/>
      <c r="AA81" s="191"/>
      <c r="AB81" s="191"/>
      <c r="AC81" s="199">
        <f>SUM(AC44:AC80)</f>
        <v>0</v>
      </c>
      <c r="AD81" s="200"/>
    </row>
    <row r="82" spans="1:30" ht="22.5" customHeight="1" thickTop="1" thickBot="1" x14ac:dyDescent="0.3">
      <c r="B82" s="13" t="s">
        <v>141</v>
      </c>
      <c r="C82" s="13"/>
      <c r="D82" s="13"/>
      <c r="E82" s="13"/>
      <c r="F82" s="13"/>
      <c r="G82" s="13"/>
      <c r="H82" s="13"/>
      <c r="I82" s="13"/>
      <c r="J82" s="13"/>
      <c r="K82" s="13"/>
      <c r="L82" s="201">
        <f>SUM(L44:L81)</f>
        <v>653974</v>
      </c>
      <c r="M82" s="202"/>
      <c r="N82" s="203"/>
      <c r="O82" s="1"/>
      <c r="Q82" s="164"/>
      <c r="V82" s="191"/>
      <c r="W82" s="191"/>
      <c r="X82" s="191"/>
      <c r="Y82" s="191"/>
      <c r="Z82" s="191"/>
      <c r="AA82" s="191"/>
      <c r="AB82" s="191"/>
      <c r="AC82" s="204"/>
      <c r="AD82" s="200"/>
    </row>
    <row r="83" spans="1:30" ht="27.75" customHeight="1" thickTop="1" x14ac:dyDescent="0.25">
      <c r="B83" s="13" t="s">
        <v>142</v>
      </c>
      <c r="C83" s="13"/>
      <c r="D83" s="13"/>
      <c r="E83" s="13"/>
      <c r="F83" s="13"/>
      <c r="G83" s="13"/>
      <c r="H83" s="13"/>
      <c r="I83" s="13"/>
      <c r="J83" s="13"/>
      <c r="K83" s="82" t="s">
        <v>143</v>
      </c>
      <c r="L83" s="205" t="s">
        <v>144</v>
      </c>
      <c r="M83" s="202"/>
      <c r="N83" s="203"/>
      <c r="O83" s="1"/>
      <c r="Q83" s="164"/>
      <c r="V83" s="9" t="s">
        <v>145</v>
      </c>
      <c r="W83" s="9"/>
      <c r="X83" s="9"/>
      <c r="Y83" s="9"/>
      <c r="Z83" s="9"/>
      <c r="AA83" s="9"/>
      <c r="AB83" s="9"/>
      <c r="AC83" s="9"/>
      <c r="AD83" s="206"/>
    </row>
    <row r="84" spans="1:30" ht="18.75" customHeight="1" thickBot="1" x14ac:dyDescent="0.3">
      <c r="B84" s="13" t="s">
        <v>146</v>
      </c>
      <c r="C84" s="13"/>
      <c r="D84" s="13"/>
      <c r="E84" s="13"/>
      <c r="F84" s="13"/>
      <c r="G84" s="13"/>
      <c r="H84" s="13"/>
      <c r="I84" s="13"/>
      <c r="J84" s="13"/>
      <c r="K84" s="207" t="str">
        <f>IF(G26=0,"",IF((G11+G13+SUM(G15:G21))/G26&gt;0.75,1,""))</f>
        <v/>
      </c>
      <c r="L84" s="201">
        <f>'2641 June Final'!AC81</f>
        <v>0</v>
      </c>
      <c r="M84" s="202"/>
      <c r="N84" s="203"/>
      <c r="O84" s="1"/>
      <c r="Q84" s="164"/>
      <c r="V84" s="208" t="s">
        <v>147</v>
      </c>
      <c r="W84" s="208"/>
      <c r="X84" s="208"/>
      <c r="Y84" s="208"/>
      <c r="Z84" s="208"/>
      <c r="AA84" s="208"/>
      <c r="AB84" s="208"/>
      <c r="AC84" s="208"/>
      <c r="AD84" s="9"/>
    </row>
    <row r="85" spans="1:30" ht="18.75" customHeight="1" thickTop="1" x14ac:dyDescent="0.25">
      <c r="B85" s="13"/>
      <c r="C85" s="13"/>
      <c r="D85" s="13"/>
      <c r="E85" s="13"/>
      <c r="F85" s="13"/>
      <c r="G85" s="13"/>
      <c r="H85" s="13"/>
      <c r="I85" s="13"/>
      <c r="J85" s="13"/>
      <c r="M85" s="202"/>
      <c r="N85" s="203"/>
      <c r="O85" s="1"/>
      <c r="Q85" s="164"/>
      <c r="V85" s="208" t="s">
        <v>148</v>
      </c>
      <c r="W85" s="208"/>
      <c r="X85" s="208"/>
      <c r="Y85" s="208"/>
      <c r="Z85" s="208"/>
      <c r="AA85" s="208"/>
      <c r="AB85" s="208"/>
      <c r="AC85" s="208"/>
      <c r="AD85" s="206"/>
    </row>
    <row r="86" spans="1:30" ht="18.75" customHeight="1" x14ac:dyDescent="0.25">
      <c r="B86" s="2" t="s">
        <v>149</v>
      </c>
      <c r="C86" s="13"/>
      <c r="D86" s="13"/>
      <c r="E86" s="13"/>
      <c r="F86" s="13"/>
      <c r="G86" s="13"/>
      <c r="H86" s="13"/>
      <c r="I86" s="13"/>
      <c r="J86" s="209" t="s">
        <v>150</v>
      </c>
      <c r="K86" s="210">
        <f>IF(K84=1,L84,L82)</f>
        <v>653974</v>
      </c>
      <c r="L86" s="211">
        <f>IF(G26=0,0,IF(G26&gt;250,-(((250/G26)*K86)*IF(M86="H",0.02,0.05)),IF(M86="H",-0.02*K86,-0.05*K86)))</f>
        <v>-32698.7</v>
      </c>
      <c r="M86" s="212" t="str">
        <f>IF(B123="2801","H",IF(B123="2911","H",IF(B123="3382","H"," ")))</f>
        <v xml:space="preserve"> </v>
      </c>
      <c r="N86" s="203"/>
      <c r="O86" s="1"/>
      <c r="Q86" s="164"/>
      <c r="V86" s="208" t="s">
        <v>151</v>
      </c>
      <c r="W86" s="208"/>
      <c r="X86" s="208"/>
      <c r="Y86" s="208"/>
      <c r="Z86" s="208"/>
      <c r="AA86" s="208"/>
      <c r="AB86" s="208"/>
      <c r="AC86" s="208"/>
      <c r="AD86" s="206"/>
    </row>
    <row r="87" spans="1:30" ht="18.75" customHeight="1" x14ac:dyDescent="0.25">
      <c r="B87" s="2" t="s">
        <v>152</v>
      </c>
      <c r="C87" s="13"/>
      <c r="D87" s="13"/>
      <c r="E87" s="13"/>
      <c r="F87" s="13"/>
      <c r="G87" s="13"/>
      <c r="H87" s="13"/>
      <c r="I87" s="13"/>
      <c r="J87" s="13"/>
      <c r="K87" s="213"/>
      <c r="L87" s="205">
        <f>L82+L86</f>
        <v>621275.30000000005</v>
      </c>
      <c r="M87" s="202"/>
      <c r="N87" s="203"/>
      <c r="O87" s="1"/>
      <c r="Q87" s="164"/>
      <c r="V87" s="198"/>
      <c r="W87" s="198"/>
      <c r="X87" s="198"/>
      <c r="Y87" s="198"/>
      <c r="Z87" s="198"/>
      <c r="AA87" s="198"/>
      <c r="AB87" s="198"/>
      <c r="AC87" s="198"/>
      <c r="AD87" s="214"/>
    </row>
    <row r="88" spans="1:30" x14ac:dyDescent="0.25">
      <c r="V88" s="198"/>
      <c r="W88" s="198"/>
      <c r="X88" s="198"/>
      <c r="Y88" s="198"/>
      <c r="Z88" s="198"/>
      <c r="AA88" s="198"/>
      <c r="AB88" s="198"/>
      <c r="AC88" s="198"/>
      <c r="AD88" s="215"/>
    </row>
    <row r="89" spans="1:30" ht="18.75" customHeight="1" x14ac:dyDescent="0.25">
      <c r="A89" s="1" t="s">
        <v>153</v>
      </c>
      <c r="B89" s="13" t="s">
        <v>154</v>
      </c>
      <c r="C89" s="13"/>
      <c r="D89" s="13">
        <v>352926</v>
      </c>
      <c r="E89" s="13">
        <v>42956</v>
      </c>
      <c r="F89" s="13">
        <v>524750</v>
      </c>
      <c r="G89" s="13"/>
      <c r="H89" s="13"/>
      <c r="I89" s="13"/>
      <c r="J89" s="13"/>
      <c r="K89" s="213"/>
      <c r="L89" s="84">
        <v>-621648.65</v>
      </c>
      <c r="M89" s="202"/>
      <c r="N89" s="203"/>
      <c r="O89" s="1"/>
      <c r="Q89" s="164"/>
      <c r="V89" s="198">
        <v>2801</v>
      </c>
      <c r="W89" s="198"/>
      <c r="X89" s="198"/>
      <c r="Y89" s="198"/>
      <c r="Z89" s="198"/>
      <c r="AA89" s="198"/>
      <c r="AB89" s="198"/>
      <c r="AC89" s="198"/>
      <c r="AD89" s="214"/>
    </row>
    <row r="90" spans="1:30" ht="18.75" customHeight="1" x14ac:dyDescent="0.25">
      <c r="B90" s="13" t="s">
        <v>155</v>
      </c>
      <c r="C90" s="13"/>
      <c r="D90" s="13"/>
      <c r="E90" s="13"/>
      <c r="F90" s="13"/>
      <c r="G90" s="13"/>
      <c r="H90" s="13"/>
      <c r="I90" s="13"/>
      <c r="J90" s="13"/>
      <c r="K90" s="213"/>
      <c r="L90" s="205">
        <f>L87+L89</f>
        <v>-373.34999999997672</v>
      </c>
      <c r="M90" s="202"/>
      <c r="N90" s="203"/>
      <c r="O90" s="1"/>
      <c r="Q90" s="164"/>
      <c r="V90" s="198">
        <v>2911</v>
      </c>
      <c r="W90" s="216"/>
      <c r="X90" s="216"/>
      <c r="Y90" s="216"/>
      <c r="Z90" s="216"/>
      <c r="AA90" s="216"/>
      <c r="AB90" s="216"/>
      <c r="AC90" s="216"/>
      <c r="AD90" s="214"/>
    </row>
    <row r="91" spans="1:30" ht="18.75" customHeight="1" x14ac:dyDescent="0.25">
      <c r="B91" s="13" t="s">
        <v>156</v>
      </c>
      <c r="C91" s="13"/>
      <c r="D91" s="13"/>
      <c r="E91" s="13"/>
      <c r="F91" s="13"/>
      <c r="G91" s="13"/>
      <c r="H91" s="13"/>
      <c r="I91" s="13"/>
      <c r="J91" s="13"/>
      <c r="K91" s="213"/>
      <c r="L91" s="205">
        <v>1</v>
      </c>
      <c r="M91" s="202"/>
      <c r="N91" s="203"/>
      <c r="O91" s="1"/>
      <c r="Q91" s="164"/>
      <c r="V91" s="198">
        <v>3382</v>
      </c>
      <c r="W91" s="216"/>
      <c r="X91" s="216"/>
      <c r="Y91" s="216"/>
      <c r="Z91" s="216"/>
      <c r="AA91" s="216"/>
      <c r="AB91" s="216"/>
      <c r="AC91" s="216"/>
      <c r="AD91" s="214"/>
    </row>
    <row r="92" spans="1:30" ht="18.75" customHeight="1" thickBot="1" x14ac:dyDescent="0.3">
      <c r="B92" s="13" t="s">
        <v>434</v>
      </c>
      <c r="C92" s="13"/>
      <c r="D92" s="13"/>
      <c r="E92" s="13"/>
      <c r="F92" s="13"/>
      <c r="G92" s="13"/>
      <c r="H92" s="13"/>
      <c r="I92" s="13"/>
      <c r="J92" s="13"/>
      <c r="K92" s="213"/>
      <c r="L92" s="217">
        <f>L90/L91</f>
        <v>-373.34999999997672</v>
      </c>
      <c r="M92" s="202"/>
      <c r="N92" s="203"/>
      <c r="O92" s="1"/>
      <c r="Q92" s="164"/>
      <c r="V92" s="218"/>
      <c r="W92" s="218"/>
      <c r="X92" s="218"/>
      <c r="Y92" s="218"/>
      <c r="Z92" s="218"/>
      <c r="AA92" s="218"/>
      <c r="AB92" s="218"/>
      <c r="AC92" s="218"/>
      <c r="AD92" s="219"/>
    </row>
    <row r="93" spans="1:30" ht="18.75" customHeight="1" thickTop="1" x14ac:dyDescent="0.25">
      <c r="N93" s="219"/>
      <c r="O93" s="220"/>
      <c r="P93" s="219"/>
      <c r="Q93" s="219"/>
      <c r="V93" s="218"/>
      <c r="W93" s="218"/>
      <c r="X93" s="218"/>
      <c r="Y93" s="218"/>
      <c r="Z93" s="218"/>
      <c r="AA93" s="218"/>
      <c r="AB93" s="218"/>
      <c r="AC93" s="218"/>
      <c r="AD93" s="214"/>
    </row>
    <row r="94" spans="1:30" ht="18.75" customHeight="1" thickBot="1" x14ac:dyDescent="0.3">
      <c r="B94" s="221" t="s">
        <v>158</v>
      </c>
      <c r="C94" s="13"/>
      <c r="D94" s="13"/>
      <c r="E94" s="13"/>
      <c r="G94" s="13"/>
      <c r="H94" s="13"/>
      <c r="I94" s="13"/>
      <c r="J94" s="13"/>
      <c r="L94" s="222">
        <f>IF(M86="H",(K86*0.02)+L86,(K86*0.05)+L86)</f>
        <v>0</v>
      </c>
      <c r="M94" s="202"/>
      <c r="V94" s="223"/>
      <c r="W94" s="223"/>
      <c r="X94" s="223"/>
      <c r="Y94" s="223"/>
      <c r="Z94" s="223"/>
      <c r="AA94" s="223"/>
      <c r="AB94" s="223"/>
      <c r="AC94" s="223"/>
      <c r="AD94" s="214"/>
    </row>
    <row r="95" spans="1:30" ht="21.75" customHeight="1" thickTop="1" x14ac:dyDescent="0.25">
      <c r="B95" s="224" t="s">
        <v>159</v>
      </c>
      <c r="C95" s="224"/>
      <c r="D95" s="224"/>
      <c r="E95" s="224"/>
      <c r="F95" s="224"/>
      <c r="G95" s="224"/>
      <c r="H95" s="224"/>
      <c r="I95" s="224"/>
      <c r="J95" s="224"/>
      <c r="K95" s="224"/>
      <c r="L95" s="224"/>
      <c r="M95" s="219"/>
      <c r="V95" s="223"/>
      <c r="W95" s="223"/>
      <c r="X95" s="223"/>
      <c r="Y95" s="223"/>
      <c r="Z95" s="223"/>
      <c r="AA95" s="223"/>
      <c r="AB95" s="223"/>
      <c r="AC95" s="223"/>
      <c r="AD95" s="214"/>
    </row>
    <row r="96" spans="1:30" x14ac:dyDescent="0.25">
      <c r="B96" s="225"/>
      <c r="V96" s="223"/>
      <c r="W96" s="223"/>
      <c r="X96" s="223"/>
      <c r="Y96" s="223"/>
      <c r="Z96" s="223"/>
      <c r="AA96" s="223"/>
      <c r="AB96" s="223"/>
      <c r="AC96" s="223"/>
      <c r="AD96" s="219"/>
    </row>
    <row r="97" spans="2:30" x14ac:dyDescent="0.25">
      <c r="B97" s="225"/>
      <c r="V97" s="223"/>
      <c r="W97" s="223"/>
      <c r="X97" s="223"/>
      <c r="Y97" s="223"/>
      <c r="Z97" s="223"/>
      <c r="AA97" s="223"/>
      <c r="AB97" s="223"/>
      <c r="AC97" s="223"/>
      <c r="AD97" s="219"/>
    </row>
    <row r="98" spans="2:30" hidden="1" x14ac:dyDescent="0.25">
      <c r="B98" s="226" t="s">
        <v>160</v>
      </c>
      <c r="C98" s="227"/>
      <c r="V98" s="228"/>
      <c r="W98" s="228"/>
      <c r="X98" s="228"/>
      <c r="Y98" s="228"/>
      <c r="Z98" s="228"/>
      <c r="AA98" s="228"/>
      <c r="AB98" s="228"/>
      <c r="AC98" s="228"/>
    </row>
    <row r="99" spans="2:30" hidden="1" x14ac:dyDescent="0.25">
      <c r="B99" s="229"/>
      <c r="C99" s="227"/>
      <c r="V99" s="225"/>
      <c r="W99" s="13"/>
      <c r="X99" s="13"/>
      <c r="Y99" s="13"/>
      <c r="Z99" s="13"/>
      <c r="AA99" s="13"/>
      <c r="AB99" s="13"/>
      <c r="AC99" s="13"/>
    </row>
    <row r="100" spans="2:30" hidden="1" x14ac:dyDescent="0.25">
      <c r="B100" s="230" t="s">
        <v>161</v>
      </c>
      <c r="C100" s="226" t="s">
        <v>162</v>
      </c>
      <c r="V100" s="225"/>
    </row>
    <row r="101" spans="2:30" hidden="1" x14ac:dyDescent="0.25">
      <c r="B101" s="230" t="s">
        <v>163</v>
      </c>
      <c r="C101" s="226" t="s">
        <v>164</v>
      </c>
      <c r="V101" s="225"/>
    </row>
    <row r="102" spans="2:30" hidden="1" x14ac:dyDescent="0.25">
      <c r="B102" s="230" t="s">
        <v>165</v>
      </c>
      <c r="C102" s="226" t="s">
        <v>166</v>
      </c>
      <c r="V102" s="225"/>
      <c r="W102" s="231"/>
      <c r="X102" s="231"/>
      <c r="Y102" s="231"/>
      <c r="Z102" s="231"/>
      <c r="AA102" s="231"/>
      <c r="AB102" s="231"/>
      <c r="AC102" s="231"/>
      <c r="AD102" s="231"/>
    </row>
    <row r="103" spans="2:30" hidden="1" x14ac:dyDescent="0.25">
      <c r="B103" s="230" t="s">
        <v>167</v>
      </c>
      <c r="C103" s="226" t="s">
        <v>168</v>
      </c>
      <c r="V103" s="225"/>
    </row>
    <row r="104" spans="2:30" hidden="1" x14ac:dyDescent="0.25">
      <c r="B104" s="232"/>
      <c r="C104" s="226" t="s">
        <v>169</v>
      </c>
      <c r="V104" s="225"/>
    </row>
    <row r="105" spans="2:30" hidden="1" x14ac:dyDescent="0.25">
      <c r="B105" s="230" t="s">
        <v>170</v>
      </c>
      <c r="C105" s="226" t="s">
        <v>171</v>
      </c>
      <c r="V105" s="225"/>
    </row>
    <row r="106" spans="2:30" hidden="1" x14ac:dyDescent="0.25">
      <c r="B106" s="230" t="s">
        <v>172</v>
      </c>
      <c r="C106" s="226" t="s">
        <v>173</v>
      </c>
      <c r="V106" s="225"/>
    </row>
    <row r="107" spans="2:30" hidden="1" x14ac:dyDescent="0.25">
      <c r="B107" s="230" t="s">
        <v>231</v>
      </c>
      <c r="C107" s="226" t="s">
        <v>175</v>
      </c>
      <c r="V107" s="225"/>
    </row>
    <row r="108" spans="2:30" hidden="1" x14ac:dyDescent="0.25">
      <c r="B108" s="230" t="s">
        <v>176</v>
      </c>
      <c r="C108" s="226" t="s">
        <v>177</v>
      </c>
      <c r="V108" s="225"/>
    </row>
    <row r="109" spans="2:30" hidden="1" x14ac:dyDescent="0.25">
      <c r="B109" s="230" t="s">
        <v>178</v>
      </c>
      <c r="C109" s="226" t="s">
        <v>179</v>
      </c>
      <c r="V109" s="225"/>
    </row>
    <row r="110" spans="2:30" hidden="1" x14ac:dyDescent="0.25">
      <c r="B110" s="232"/>
      <c r="C110" s="226"/>
      <c r="V110" s="225"/>
    </row>
    <row r="111" spans="2:30" hidden="1" x14ac:dyDescent="0.25">
      <c r="B111" s="230" t="s">
        <v>180</v>
      </c>
      <c r="C111" s="226" t="s">
        <v>181</v>
      </c>
      <c r="V111" s="225"/>
    </row>
    <row r="112" spans="2:30" hidden="1" x14ac:dyDescent="0.25">
      <c r="B112" s="230" t="s">
        <v>180</v>
      </c>
      <c r="C112" s="226" t="s">
        <v>182</v>
      </c>
    </row>
    <row r="113" spans="2:3" hidden="1" x14ac:dyDescent="0.25">
      <c r="B113" s="230" t="s">
        <v>183</v>
      </c>
      <c r="C113" s="226" t="s">
        <v>184</v>
      </c>
    </row>
    <row r="114" spans="2:3" hidden="1" x14ac:dyDescent="0.25">
      <c r="B114" s="230" t="s">
        <v>185</v>
      </c>
      <c r="C114" s="226" t="s">
        <v>186</v>
      </c>
    </row>
    <row r="115" spans="2:3" hidden="1" x14ac:dyDescent="0.25">
      <c r="B115" s="230" t="s">
        <v>183</v>
      </c>
      <c r="C115" s="226" t="s">
        <v>187</v>
      </c>
    </row>
    <row r="116" spans="2:3" hidden="1" x14ac:dyDescent="0.25">
      <c r="B116" s="230" t="s">
        <v>188</v>
      </c>
      <c r="C116" s="226" t="s">
        <v>189</v>
      </c>
    </row>
    <row r="117" spans="2:3" hidden="1" x14ac:dyDescent="0.25">
      <c r="B117" s="230" t="s">
        <v>190</v>
      </c>
      <c r="C117" s="226" t="s">
        <v>191</v>
      </c>
    </row>
    <row r="118" spans="2:3" hidden="1" x14ac:dyDescent="0.25">
      <c r="B118" s="232" t="s">
        <v>192</v>
      </c>
      <c r="C118" s="226" t="s">
        <v>193</v>
      </c>
    </row>
    <row r="119" spans="2:3" hidden="1" x14ac:dyDescent="0.25">
      <c r="B119" s="232"/>
      <c r="C119" s="226"/>
    </row>
    <row r="120" spans="2:3" hidden="1" x14ac:dyDescent="0.25">
      <c r="B120" s="230" t="s">
        <v>161</v>
      </c>
      <c r="C120" s="226" t="s">
        <v>194</v>
      </c>
    </row>
    <row r="121" spans="2:3" hidden="1" x14ac:dyDescent="0.25">
      <c r="B121" s="230" t="s">
        <v>195</v>
      </c>
      <c r="C121" s="226" t="s">
        <v>196</v>
      </c>
    </row>
    <row r="122" spans="2:3" hidden="1" x14ac:dyDescent="0.25">
      <c r="B122" s="230" t="s">
        <v>197</v>
      </c>
      <c r="C122" s="226" t="s">
        <v>198</v>
      </c>
    </row>
    <row r="123" spans="2:3" hidden="1" x14ac:dyDescent="0.25">
      <c r="B123" s="230" t="s">
        <v>232</v>
      </c>
      <c r="C123" s="226" t="s">
        <v>200</v>
      </c>
    </row>
    <row r="124" spans="2:3" hidden="1" x14ac:dyDescent="0.25">
      <c r="B124" s="230" t="s">
        <v>233</v>
      </c>
      <c r="C124" s="226" t="s">
        <v>202</v>
      </c>
    </row>
    <row r="125" spans="2:3" hidden="1" x14ac:dyDescent="0.25">
      <c r="B125" s="230" t="s">
        <v>203</v>
      </c>
      <c r="C125" s="226" t="s">
        <v>204</v>
      </c>
    </row>
    <row r="126" spans="2:3" hidden="1" x14ac:dyDescent="0.25">
      <c r="B126" s="230" t="s">
        <v>203</v>
      </c>
      <c r="C126" s="226" t="s">
        <v>205</v>
      </c>
    </row>
    <row r="127" spans="2:3" hidden="1" x14ac:dyDescent="0.25">
      <c r="B127" s="230" t="s">
        <v>203</v>
      </c>
      <c r="C127" s="226" t="s">
        <v>206</v>
      </c>
    </row>
    <row r="128" spans="2:3" hidden="1" x14ac:dyDescent="0.25">
      <c r="B128" s="230" t="s">
        <v>203</v>
      </c>
      <c r="C128" s="226" t="s">
        <v>207</v>
      </c>
    </row>
    <row r="129" spans="2:3" hidden="1" x14ac:dyDescent="0.25">
      <c r="B129" s="230" t="s">
        <v>167</v>
      </c>
      <c r="C129" s="226" t="s">
        <v>208</v>
      </c>
    </row>
    <row r="130" spans="2:3" hidden="1" x14ac:dyDescent="0.25">
      <c r="B130" s="230" t="s">
        <v>209</v>
      </c>
      <c r="C130" s="226" t="s">
        <v>210</v>
      </c>
    </row>
    <row r="131" spans="2:3" hidden="1" x14ac:dyDescent="0.25">
      <c r="B131" s="230" t="s">
        <v>203</v>
      </c>
      <c r="C131" s="226" t="s">
        <v>211</v>
      </c>
    </row>
    <row r="132" spans="2:3" hidden="1" x14ac:dyDescent="0.25">
      <c r="B132" s="226"/>
      <c r="C132" s="226"/>
    </row>
    <row r="133" spans="2:3" hidden="1" x14ac:dyDescent="0.25">
      <c r="B133" s="226"/>
      <c r="C133" s="226"/>
    </row>
    <row r="134" spans="2:3" hidden="1" x14ac:dyDescent="0.25">
      <c r="B134" s="232"/>
      <c r="C134" s="232"/>
    </row>
    <row r="135" spans="2:3" hidden="1" x14ac:dyDescent="0.25">
      <c r="B135" s="232">
        <f>NvsElapsedTime</f>
        <v>1.15740767796524E-5</v>
      </c>
      <c r="C135" s="232"/>
    </row>
    <row r="136" spans="2:3" hidden="1" x14ac:dyDescent="0.25">
      <c r="B136" s="233">
        <f>NvsEndTime</f>
        <v>41754.487719907404</v>
      </c>
      <c r="C136" s="233" t="s">
        <v>212</v>
      </c>
    </row>
    <row r="137" spans="2:3" x14ac:dyDescent="0.25">
      <c r="B137" s="226"/>
      <c r="C137" s="234"/>
    </row>
    <row r="138" spans="2:3" x14ac:dyDescent="0.25">
      <c r="B138" s="226"/>
      <c r="C138" s="226"/>
    </row>
    <row r="139" spans="2:3" x14ac:dyDescent="0.25">
      <c r="B139" s="226"/>
      <c r="C139" s="226"/>
    </row>
    <row r="140" spans="2:3" x14ac:dyDescent="0.25">
      <c r="B140" s="226"/>
      <c r="C140" s="226"/>
    </row>
    <row r="141" spans="2:3" x14ac:dyDescent="0.25">
      <c r="B141" s="226"/>
      <c r="C141" s="226"/>
    </row>
    <row r="142" spans="2:3" x14ac:dyDescent="0.25">
      <c r="B142" s="226"/>
      <c r="C142" s="226"/>
    </row>
    <row r="143" spans="2:3" x14ac:dyDescent="0.25">
      <c r="B143" s="226"/>
      <c r="C143" s="226"/>
    </row>
    <row r="144" spans="2:3" x14ac:dyDescent="0.25">
      <c r="B144" s="226"/>
      <c r="C144" s="226"/>
    </row>
    <row r="145" spans="2:3" x14ac:dyDescent="0.25">
      <c r="B145" s="226"/>
      <c r="C145" s="226"/>
    </row>
    <row r="146" spans="2:3" x14ac:dyDescent="0.25">
      <c r="B146" s="226"/>
      <c r="C146" s="226"/>
    </row>
    <row r="147" spans="2:3" x14ac:dyDescent="0.25">
      <c r="B147" s="226"/>
      <c r="C147" s="226"/>
    </row>
    <row r="148" spans="2:3" x14ac:dyDescent="0.25">
      <c r="B148" s="226"/>
      <c r="C148" s="226"/>
    </row>
    <row r="149" spans="2:3" x14ac:dyDescent="0.25">
      <c r="B149" s="226"/>
      <c r="C149" s="226"/>
    </row>
    <row r="150" spans="2:3" x14ac:dyDescent="0.25">
      <c r="B150" s="226"/>
      <c r="C150" s="226"/>
    </row>
    <row r="151" spans="2:3" x14ac:dyDescent="0.25">
      <c r="B151" s="226"/>
      <c r="C151" s="226"/>
    </row>
  </sheetData>
  <mergeCells count="151">
    <mergeCell ref="W2:AC2"/>
    <mergeCell ref="V3:AC3"/>
    <mergeCell ref="V4:AC4"/>
    <mergeCell ref="V5:W5"/>
    <mergeCell ref="X5:Y5"/>
    <mergeCell ref="V6:AC6"/>
    <mergeCell ref="V7:W7"/>
    <mergeCell ref="X7:Y7"/>
    <mergeCell ref="Z7:AA7"/>
    <mergeCell ref="V9:W9"/>
    <mergeCell ref="X9:Y9"/>
    <mergeCell ref="Z9:AA9"/>
    <mergeCell ref="V10:W10"/>
    <mergeCell ref="X10:Y10"/>
    <mergeCell ref="Z10:AA10"/>
    <mergeCell ref="AB7:AC7"/>
    <mergeCell ref="V8:W8"/>
    <mergeCell ref="X8:Y8"/>
    <mergeCell ref="Z8:AA8"/>
    <mergeCell ref="V18:W18"/>
    <mergeCell ref="X18:Y18"/>
    <mergeCell ref="Z18:AA18"/>
    <mergeCell ref="V14:W14"/>
    <mergeCell ref="X14:Y14"/>
    <mergeCell ref="Z14:AA14"/>
    <mergeCell ref="V11:W11"/>
    <mergeCell ref="X11:Y11"/>
    <mergeCell ref="Z11:AA11"/>
    <mergeCell ref="V12:W12"/>
    <mergeCell ref="X12:Y12"/>
    <mergeCell ref="Z12:AA12"/>
    <mergeCell ref="V15:W15"/>
    <mergeCell ref="X15:Y15"/>
    <mergeCell ref="Z15:AA15"/>
    <mergeCell ref="V16:W16"/>
    <mergeCell ref="X16:Y16"/>
    <mergeCell ref="Z16:AA16"/>
    <mergeCell ref="V17:W17"/>
    <mergeCell ref="X17:Y17"/>
    <mergeCell ref="Z17:AA17"/>
    <mergeCell ref="V13:W13"/>
    <mergeCell ref="X13:Y13"/>
    <mergeCell ref="Z13:AA13"/>
    <mergeCell ref="V26:W26"/>
    <mergeCell ref="X26:Y26"/>
    <mergeCell ref="Z26:AA26"/>
    <mergeCell ref="V19:W19"/>
    <mergeCell ref="X19:Y19"/>
    <mergeCell ref="Z19:AA19"/>
    <mergeCell ref="V20:W20"/>
    <mergeCell ref="X20:Y20"/>
    <mergeCell ref="Z20:AA20"/>
    <mergeCell ref="V21:W21"/>
    <mergeCell ref="X21:Y21"/>
    <mergeCell ref="Z21:AA21"/>
    <mergeCell ref="V22:W22"/>
    <mergeCell ref="X22:Y22"/>
    <mergeCell ref="Z22:AA22"/>
    <mergeCell ref="V23:W23"/>
    <mergeCell ref="X23:Y23"/>
    <mergeCell ref="Z23:AA23"/>
    <mergeCell ref="V24:W24"/>
    <mergeCell ref="X24:Y24"/>
    <mergeCell ref="Z24:AA24"/>
    <mergeCell ref="V25:W25"/>
    <mergeCell ref="X25:Y25"/>
    <mergeCell ref="Z25:AA25"/>
    <mergeCell ref="V40:W40"/>
    <mergeCell ref="X40:AA40"/>
    <mergeCell ref="V27:W27"/>
    <mergeCell ref="X27:Y27"/>
    <mergeCell ref="B28:C36"/>
    <mergeCell ref="V28:W36"/>
    <mergeCell ref="X28:Y28"/>
    <mergeCell ref="X29:Y29"/>
    <mergeCell ref="X30:Y30"/>
    <mergeCell ref="X31:Y31"/>
    <mergeCell ref="X32:Y32"/>
    <mergeCell ref="X33:Y33"/>
    <mergeCell ref="X34:Y34"/>
    <mergeCell ref="X35:Y35"/>
    <mergeCell ref="X36:Y36"/>
    <mergeCell ref="V37:W37"/>
    <mergeCell ref="X37:Y37"/>
    <mergeCell ref="Z37:AB37"/>
    <mergeCell ref="V38:AC38"/>
    <mergeCell ref="V39:W39"/>
    <mergeCell ref="X39:Y39"/>
    <mergeCell ref="Z39:AC39"/>
    <mergeCell ref="V57:AA57"/>
    <mergeCell ref="AB57:AC57"/>
    <mergeCell ref="V58:X58"/>
    <mergeCell ref="Y58:Z58"/>
    <mergeCell ref="V41:AC41"/>
    <mergeCell ref="V42:AC42"/>
    <mergeCell ref="V43:AC43"/>
    <mergeCell ref="V44:AB44"/>
    <mergeCell ref="V45:AC45"/>
    <mergeCell ref="X46:Y46"/>
    <mergeCell ref="Z46:AC46"/>
    <mergeCell ref="X47:Y47"/>
    <mergeCell ref="X48:Y48"/>
    <mergeCell ref="X49:Y49"/>
    <mergeCell ref="X50:AB50"/>
    <mergeCell ref="V51:AC51"/>
    <mergeCell ref="V52:AC52"/>
    <mergeCell ref="V53:W53"/>
    <mergeCell ref="Y53:Z53"/>
    <mergeCell ref="AA53:AC53"/>
    <mergeCell ref="V54:AA54"/>
    <mergeCell ref="AB54:AC54"/>
    <mergeCell ref="V55:AC55"/>
    <mergeCell ref="V56:W56"/>
    <mergeCell ref="Y56:Z56"/>
    <mergeCell ref="AA56:AC56"/>
    <mergeCell ref="V72:AB72"/>
    <mergeCell ref="V73:AC73"/>
    <mergeCell ref="V74:W74"/>
    <mergeCell ref="V75:W75"/>
    <mergeCell ref="V59:AC59"/>
    <mergeCell ref="V60:W60"/>
    <mergeCell ref="X60:AC60"/>
    <mergeCell ref="V61:W61"/>
    <mergeCell ref="X61:AC61"/>
    <mergeCell ref="V62:W62"/>
    <mergeCell ref="X62:AC62"/>
    <mergeCell ref="V63:AC63"/>
    <mergeCell ref="V64:W64"/>
    <mergeCell ref="X64:AC64"/>
    <mergeCell ref="V65:W65"/>
    <mergeCell ref="X65:AC65"/>
    <mergeCell ref="V66:X66"/>
    <mergeCell ref="Y66:Z66"/>
    <mergeCell ref="V67:AC67"/>
    <mergeCell ref="V68:X68"/>
    <mergeCell ref="Y68:Z68"/>
    <mergeCell ref="V69:X69"/>
    <mergeCell ref="Y69:Z69"/>
    <mergeCell ref="V70:X70"/>
    <mergeCell ref="Y70:Z70"/>
    <mergeCell ref="V71:X71"/>
    <mergeCell ref="Y71:Z71"/>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AD151"/>
  <sheetViews>
    <sheetView topLeftCell="B2" zoomScale="70" zoomScaleNormal="70" workbookViewId="0">
      <selection activeCell="B2" sqref="B2"/>
    </sheetView>
  </sheetViews>
  <sheetFormatPr defaultColWidth="8.85546875" defaultRowHeight="15.75" x14ac:dyDescent="0.25"/>
  <cols>
    <col min="1" max="1" width="11.28515625" style="1" hidden="1" customWidth="1"/>
    <col min="2" max="2" width="10.28515625" style="2" customWidth="1"/>
    <col min="3" max="3" width="29" style="1" customWidth="1"/>
    <col min="4" max="5" width="12.28515625" style="1" customWidth="1"/>
    <col min="6" max="6" width="12.28515625" style="1" hidden="1" customWidth="1"/>
    <col min="7" max="7" width="15.28515625" style="1" customWidth="1"/>
    <col min="8" max="8" width="6.7109375" style="1" customWidth="1"/>
    <col min="9" max="9" width="12.5703125" style="1" customWidth="1"/>
    <col min="10" max="10" width="12.85546875" style="1" customWidth="1"/>
    <col min="11" max="11" width="15.5703125" style="1" bestFit="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28515625" style="1" customWidth="1"/>
    <col min="18" max="18" width="8.85546875" style="1"/>
    <col min="19" max="21" width="0" style="1" hidden="1" customWidth="1"/>
    <col min="22" max="23" width="8.85546875" style="1"/>
    <col min="24" max="24" width="12.7109375" style="1" customWidth="1"/>
    <col min="25" max="27" width="8.85546875" style="1"/>
    <col min="28" max="28" width="13.140625" style="1" bestFit="1" customWidth="1"/>
    <col min="29" max="16384" width="8.85546875" style="1"/>
  </cols>
  <sheetData>
    <row r="1" spans="1:30" ht="15.6"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7"/>
      <c r="N2" s="3"/>
      <c r="O2" s="1"/>
      <c r="V2" s="8">
        <f>'2661'!B2</f>
        <v>50</v>
      </c>
      <c r="W2" s="606" t="s">
        <v>4</v>
      </c>
      <c r="X2" s="607"/>
      <c r="Y2" s="608"/>
      <c r="Z2" s="608"/>
      <c r="AA2" s="608"/>
      <c r="AB2" s="608"/>
      <c r="AC2" s="608"/>
      <c r="AD2" s="9"/>
    </row>
    <row r="3" spans="1:30" ht="20.25" x14ac:dyDescent="0.3">
      <c r="B3" s="10" t="str">
        <f>"Revenue Estimate Worksheet for "&amp;B124</f>
        <v>Revenue Estimate Worksheet for JosephLittlesNguzoSaba CSch</v>
      </c>
      <c r="C3" s="11"/>
      <c r="D3" s="11"/>
      <c r="E3" s="11"/>
      <c r="F3" s="11"/>
      <c r="G3" s="11"/>
      <c r="H3" s="11"/>
      <c r="I3" s="11"/>
      <c r="J3" s="11"/>
      <c r="K3" s="11"/>
      <c r="L3" s="11"/>
      <c r="M3" s="10"/>
      <c r="N3" s="10"/>
      <c r="O3" s="10"/>
      <c r="P3" s="10"/>
      <c r="Q3" s="10"/>
      <c r="V3" s="609" t="s">
        <v>5</v>
      </c>
      <c r="W3" s="609"/>
      <c r="X3" s="609"/>
      <c r="Y3" s="609"/>
      <c r="Z3" s="609"/>
      <c r="AA3" s="609"/>
      <c r="AB3" s="609"/>
      <c r="AC3" s="609"/>
      <c r="AD3" s="12"/>
    </row>
    <row r="4" spans="1:30" ht="18.75" x14ac:dyDescent="0.3">
      <c r="B4" s="2" t="s">
        <v>6</v>
      </c>
      <c r="C4" s="13"/>
      <c r="D4" s="13"/>
      <c r="E4" s="13"/>
      <c r="F4" s="13"/>
      <c r="G4" s="13"/>
      <c r="H4" s="13"/>
      <c r="I4" s="13"/>
      <c r="J4" s="13"/>
      <c r="K4" s="13"/>
      <c r="L4" s="13"/>
      <c r="M4" s="14"/>
      <c r="N4" s="14"/>
      <c r="O4" s="14"/>
      <c r="P4" s="14"/>
      <c r="Q4" s="14"/>
      <c r="V4" s="610" t="str">
        <f>+Based_on_the_Second_Calculation_of_the_FEFP_2010_11</f>
        <v>Based on the Fourth Calculation of the FEFP 2013-14</v>
      </c>
      <c r="W4" s="610"/>
      <c r="X4" s="610"/>
      <c r="Y4" s="610"/>
      <c r="Z4" s="610"/>
      <c r="AA4" s="610"/>
      <c r="AB4" s="610"/>
      <c r="AC4" s="610"/>
      <c r="AD4" s="15"/>
    </row>
    <row r="5" spans="1:30" ht="18.75" customHeight="1" x14ac:dyDescent="0.25">
      <c r="B5" s="16" t="s">
        <v>7</v>
      </c>
      <c r="C5" s="16"/>
      <c r="D5" s="16"/>
      <c r="E5" s="16"/>
      <c r="F5" s="16"/>
      <c r="G5" s="17" t="s">
        <v>8</v>
      </c>
      <c r="H5" s="17"/>
      <c r="I5" s="17"/>
      <c r="J5" s="17"/>
      <c r="K5" s="17"/>
      <c r="L5" s="17"/>
      <c r="M5" s="18"/>
      <c r="N5" s="18"/>
      <c r="O5" s="18"/>
      <c r="P5" s="18"/>
      <c r="Q5" s="18"/>
      <c r="V5" s="611" t="s">
        <v>7</v>
      </c>
      <c r="W5" s="611"/>
      <c r="X5" s="612" t="s">
        <v>8</v>
      </c>
      <c r="Y5" s="612"/>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613" t="s">
        <v>9</v>
      </c>
      <c r="W6" s="613"/>
      <c r="X6" s="613"/>
      <c r="Y6" s="613"/>
      <c r="Z6" s="613"/>
      <c r="AA6" s="613"/>
      <c r="AB6" s="613"/>
      <c r="AC6" s="613"/>
      <c r="AD6" s="22"/>
    </row>
    <row r="7" spans="1:30" ht="18" customHeight="1" x14ac:dyDescent="0.25">
      <c r="B7" s="23" t="s">
        <v>10</v>
      </c>
      <c r="C7" s="23"/>
      <c r="D7" s="23"/>
      <c r="E7" s="23"/>
      <c r="F7" s="23"/>
      <c r="G7" s="24">
        <v>3752.3</v>
      </c>
      <c r="H7" s="24"/>
      <c r="I7" s="23" t="s">
        <v>11</v>
      </c>
      <c r="J7" s="23"/>
      <c r="K7" s="25">
        <v>1.0326</v>
      </c>
      <c r="L7" s="25"/>
      <c r="O7" s="1"/>
      <c r="V7" s="620" t="s">
        <v>10</v>
      </c>
      <c r="W7" s="620"/>
      <c r="X7" s="621">
        <f>'2661'!G7</f>
        <v>3752.3</v>
      </c>
      <c r="Y7" s="621"/>
      <c r="Z7" s="622" t="s">
        <v>11</v>
      </c>
      <c r="AA7" s="622"/>
      <c r="AB7" s="602">
        <f>+K7</f>
        <v>1.0326</v>
      </c>
      <c r="AC7" s="602"/>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603" t="s">
        <v>12</v>
      </c>
      <c r="W8" s="603"/>
      <c r="X8" s="604" t="s">
        <v>15</v>
      </c>
      <c r="Y8" s="604"/>
      <c r="Z8" s="605" t="s">
        <v>16</v>
      </c>
      <c r="AA8" s="605"/>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614" t="s">
        <v>22</v>
      </c>
      <c r="W9" s="614"/>
      <c r="X9" s="615" t="s">
        <v>23</v>
      </c>
      <c r="Y9" s="615"/>
      <c r="Z9" s="616" t="s">
        <v>24</v>
      </c>
      <c r="AA9" s="616"/>
      <c r="AB9" s="43" t="s">
        <v>25</v>
      </c>
      <c r="AC9" s="44" t="s">
        <v>26</v>
      </c>
      <c r="AD9" s="9"/>
    </row>
    <row r="10" spans="1:30" x14ac:dyDescent="0.25">
      <c r="A10" s="1" t="s">
        <v>27</v>
      </c>
      <c r="B10" s="45" t="s">
        <v>28</v>
      </c>
      <c r="C10" s="45"/>
      <c r="D10" s="45">
        <v>36.119999999999997</v>
      </c>
      <c r="E10" s="45">
        <v>33.659999999999997</v>
      </c>
      <c r="F10" s="45">
        <v>46.9</v>
      </c>
      <c r="G10" s="46">
        <f>D10+E10</f>
        <v>69.78</v>
      </c>
      <c r="H10" s="47"/>
      <c r="I10" s="48">
        <v>1.125</v>
      </c>
      <c r="J10" s="48"/>
      <c r="K10" s="49">
        <f>ROUND(G10*I10,4)</f>
        <v>78.502499999999998</v>
      </c>
      <c r="L10" s="50">
        <f>ROUND(ROUND(K10*$G$7,4)*($K$7),0)</f>
        <v>304168</v>
      </c>
      <c r="N10" s="51">
        <v>5101</v>
      </c>
      <c r="O10" s="52">
        <v>101</v>
      </c>
      <c r="P10" s="53"/>
      <c r="Q10" s="54"/>
      <c r="V10" s="617" t="s">
        <v>28</v>
      </c>
      <c r="W10" s="617"/>
      <c r="X10" s="618">
        <f>IF('2661'!K$84=1,'2661'!G10,0)</f>
        <v>0</v>
      </c>
      <c r="Y10" s="618"/>
      <c r="Z10" s="619">
        <v>1</v>
      </c>
      <c r="AA10" s="619"/>
      <c r="AB10" s="55">
        <f t="shared" ref="AB10:AB25" si="0">ROUND(X10*Z10,4)</f>
        <v>0</v>
      </c>
      <c r="AC10" s="56">
        <f t="shared" ref="AC10:AC25" si="1">ROUND(ROUND(AB10*$X$7,4)*($AB$7),0)</f>
        <v>0</v>
      </c>
      <c r="AD10" s="9">
        <v>1</v>
      </c>
    </row>
    <row r="11" spans="1:30" x14ac:dyDescent="0.25">
      <c r="A11" s="1" t="s">
        <v>29</v>
      </c>
      <c r="B11" s="13" t="s">
        <v>30</v>
      </c>
      <c r="C11" s="13"/>
      <c r="D11" s="13">
        <v>0.97</v>
      </c>
      <c r="E11" s="13">
        <v>1.03</v>
      </c>
      <c r="F11" s="13">
        <v>1.46</v>
      </c>
      <c r="G11" s="46">
        <f t="shared" ref="G11:G25" si="2">D11+E11</f>
        <v>2</v>
      </c>
      <c r="H11" s="47"/>
      <c r="I11" s="57">
        <f>I10</f>
        <v>1.125</v>
      </c>
      <c r="J11" s="57"/>
      <c r="K11" s="49">
        <f t="shared" ref="K11:K25" si="3">ROUND(G11*I11,4)</f>
        <v>2.25</v>
      </c>
      <c r="L11" s="50">
        <f t="shared" ref="L11:L25" si="4">ROUND(ROUND(K11*$G$7,4)*($K$7),0)</f>
        <v>8718</v>
      </c>
      <c r="M11" s="1" t="str">
        <f>IF(ROUND(G11,2)=ROUND(SUM(G28:G30),2)," ","CHECK 2. PK-3 Lines Below")</f>
        <v xml:space="preserve"> </v>
      </c>
      <c r="N11" s="51">
        <v>5101</v>
      </c>
      <c r="O11" s="58" t="s">
        <v>31</v>
      </c>
      <c r="P11" s="53"/>
      <c r="Q11" s="54"/>
      <c r="V11" s="623" t="s">
        <v>30</v>
      </c>
      <c r="W11" s="623"/>
      <c r="X11" s="618">
        <f>IF('2661'!K$84=1,'2661'!G11,0)</f>
        <v>0</v>
      </c>
      <c r="Y11" s="618"/>
      <c r="Z11" s="624">
        <v>1</v>
      </c>
      <c r="AA11" s="624"/>
      <c r="AB11" s="55">
        <f t="shared" si="0"/>
        <v>0</v>
      </c>
      <c r="AC11" s="56">
        <f t="shared" si="1"/>
        <v>0</v>
      </c>
      <c r="AD11" s="9"/>
    </row>
    <row r="12" spans="1:30" x14ac:dyDescent="0.25">
      <c r="A12" s="1" t="s">
        <v>32</v>
      </c>
      <c r="B12" s="13" t="s">
        <v>33</v>
      </c>
      <c r="C12" s="13"/>
      <c r="D12" s="13">
        <v>30.51</v>
      </c>
      <c r="E12" s="13">
        <v>31.68</v>
      </c>
      <c r="F12" s="13">
        <v>31.72</v>
      </c>
      <c r="G12" s="46">
        <f t="shared" si="2"/>
        <v>62.19</v>
      </c>
      <c r="H12" s="47"/>
      <c r="I12" s="57">
        <v>1</v>
      </c>
      <c r="J12" s="57"/>
      <c r="K12" s="49">
        <f t="shared" si="3"/>
        <v>62.19</v>
      </c>
      <c r="L12" s="50">
        <f t="shared" si="4"/>
        <v>240963</v>
      </c>
      <c r="N12" s="51">
        <v>5102</v>
      </c>
      <c r="O12" s="52">
        <v>102</v>
      </c>
      <c r="P12" s="53"/>
      <c r="Q12" s="54"/>
      <c r="V12" s="623" t="s">
        <v>33</v>
      </c>
      <c r="W12" s="623"/>
      <c r="X12" s="618">
        <f>IF('2661'!K$84=1,'2661'!G12,0)</f>
        <v>0</v>
      </c>
      <c r="Y12" s="618"/>
      <c r="Z12" s="624">
        <v>1</v>
      </c>
      <c r="AA12" s="624"/>
      <c r="AB12" s="55">
        <f t="shared" si="0"/>
        <v>0</v>
      </c>
      <c r="AC12" s="56">
        <f t="shared" si="1"/>
        <v>0</v>
      </c>
      <c r="AD12" s="9"/>
    </row>
    <row r="13" spans="1:30" x14ac:dyDescent="0.25">
      <c r="A13" s="1" t="s">
        <v>34</v>
      </c>
      <c r="B13" s="13" t="s">
        <v>35</v>
      </c>
      <c r="C13" s="13"/>
      <c r="D13" s="13">
        <v>6.19</v>
      </c>
      <c r="E13" s="13">
        <v>6.84</v>
      </c>
      <c r="F13" s="13">
        <v>7.47</v>
      </c>
      <c r="G13" s="46">
        <f t="shared" si="2"/>
        <v>13.030000000000001</v>
      </c>
      <c r="H13" s="47"/>
      <c r="I13" s="57">
        <f>I12</f>
        <v>1</v>
      </c>
      <c r="J13" s="57"/>
      <c r="K13" s="49">
        <f t="shared" si="3"/>
        <v>13.03</v>
      </c>
      <c r="L13" s="50">
        <f t="shared" si="4"/>
        <v>50486</v>
      </c>
      <c r="M13" s="1" t="str">
        <f>IF(ROUND(G13,2)=ROUND(SUM(G31:G33),2)," ","CHECK 2. PK-3 Lines Below")</f>
        <v xml:space="preserve"> </v>
      </c>
      <c r="N13" s="51">
        <v>5102</v>
      </c>
      <c r="O13" s="58" t="s">
        <v>36</v>
      </c>
      <c r="P13" s="53"/>
      <c r="Q13" s="54"/>
      <c r="V13" s="623" t="s">
        <v>35</v>
      </c>
      <c r="W13" s="623"/>
      <c r="X13" s="618">
        <f>IF('2661'!K$84=1,'2661'!G13,0)</f>
        <v>0</v>
      </c>
      <c r="Y13" s="618"/>
      <c r="Z13" s="624">
        <v>1</v>
      </c>
      <c r="AA13" s="624"/>
      <c r="AB13" s="55">
        <f t="shared" si="0"/>
        <v>0</v>
      </c>
      <c r="AC13" s="56">
        <f t="shared" si="1"/>
        <v>0</v>
      </c>
      <c r="AD13" s="9"/>
    </row>
    <row r="14" spans="1:30" x14ac:dyDescent="0.25">
      <c r="A14" s="1" t="s">
        <v>37</v>
      </c>
      <c r="B14" s="13" t="s">
        <v>38</v>
      </c>
      <c r="C14" s="13"/>
      <c r="D14" s="13">
        <v>0</v>
      </c>
      <c r="E14" s="13">
        <v>0</v>
      </c>
      <c r="F14" s="13">
        <v>0</v>
      </c>
      <c r="G14" s="46">
        <f t="shared" si="2"/>
        <v>0</v>
      </c>
      <c r="H14" s="47"/>
      <c r="I14" s="57">
        <v>1.0109999999999999</v>
      </c>
      <c r="J14" s="57"/>
      <c r="K14" s="49">
        <f t="shared" si="3"/>
        <v>0</v>
      </c>
      <c r="L14" s="50">
        <f t="shared" si="4"/>
        <v>0</v>
      </c>
      <c r="N14" s="51">
        <v>5103</v>
      </c>
      <c r="O14" s="52">
        <v>103</v>
      </c>
      <c r="P14" s="53"/>
      <c r="Q14" s="54"/>
      <c r="V14" s="623" t="s">
        <v>38</v>
      </c>
      <c r="W14" s="623"/>
      <c r="X14" s="618">
        <f>IF('2661'!K$84=1,'2661'!G14,0)</f>
        <v>0</v>
      </c>
      <c r="Y14" s="618"/>
      <c r="Z14" s="624">
        <v>1</v>
      </c>
      <c r="AA14" s="624"/>
      <c r="AB14" s="55">
        <f t="shared" si="0"/>
        <v>0</v>
      </c>
      <c r="AC14" s="56">
        <f t="shared" si="1"/>
        <v>0</v>
      </c>
      <c r="AD14" s="9"/>
    </row>
    <row r="15" spans="1:30" x14ac:dyDescent="0.25">
      <c r="A15" s="1" t="s">
        <v>39</v>
      </c>
      <c r="B15" s="13" t="s">
        <v>40</v>
      </c>
      <c r="C15" s="13"/>
      <c r="D15" s="13">
        <v>0</v>
      </c>
      <c r="E15" s="13">
        <v>0</v>
      </c>
      <c r="F15" s="13">
        <v>0</v>
      </c>
      <c r="G15" s="46">
        <f t="shared" si="2"/>
        <v>0</v>
      </c>
      <c r="H15" s="47"/>
      <c r="I15" s="57">
        <f>I14</f>
        <v>1.0109999999999999</v>
      </c>
      <c r="J15" s="57"/>
      <c r="K15" s="49">
        <f t="shared" si="3"/>
        <v>0</v>
      </c>
      <c r="L15" s="59">
        <f t="shared" si="4"/>
        <v>0</v>
      </c>
      <c r="M15" s="1" t="str">
        <f>IF(ROUND(G15,2)=ROUND(SUM(G34:G36),2)," ","CHECK 2. PK-3 Lines Below")</f>
        <v xml:space="preserve"> </v>
      </c>
      <c r="N15" s="51">
        <v>5103</v>
      </c>
      <c r="O15" s="58" t="s">
        <v>41</v>
      </c>
      <c r="P15" s="53"/>
      <c r="Q15" s="54"/>
      <c r="V15" s="623" t="s">
        <v>40</v>
      </c>
      <c r="W15" s="623"/>
      <c r="X15" s="618">
        <f>IF('2661'!K$84=1,'2661'!G15,0)</f>
        <v>0</v>
      </c>
      <c r="Y15" s="618"/>
      <c r="Z15" s="624">
        <v>1</v>
      </c>
      <c r="AA15" s="624"/>
      <c r="AB15" s="55">
        <f t="shared" si="0"/>
        <v>0</v>
      </c>
      <c r="AC15" s="60">
        <f t="shared" si="1"/>
        <v>0</v>
      </c>
      <c r="AD15" s="9"/>
    </row>
    <row r="16" spans="1:30" x14ac:dyDescent="0.25">
      <c r="A16" s="1" t="s">
        <v>42</v>
      </c>
      <c r="B16" s="13" t="s">
        <v>43</v>
      </c>
      <c r="C16" s="13"/>
      <c r="D16" s="13">
        <v>0</v>
      </c>
      <c r="E16" s="13">
        <v>0</v>
      </c>
      <c r="F16" s="13">
        <v>0</v>
      </c>
      <c r="G16" s="46">
        <f t="shared" si="2"/>
        <v>0</v>
      </c>
      <c r="H16" s="47"/>
      <c r="I16" s="57">
        <v>3.5579999999999998</v>
      </c>
      <c r="J16" s="57"/>
      <c r="K16" s="49">
        <f t="shared" si="3"/>
        <v>0</v>
      </c>
      <c r="L16" s="50">
        <f t="shared" si="4"/>
        <v>0</v>
      </c>
      <c r="N16" s="51">
        <v>5101</v>
      </c>
      <c r="O16" s="53">
        <v>254</v>
      </c>
      <c r="P16" s="53"/>
      <c r="Q16" s="54"/>
      <c r="V16" s="623" t="s">
        <v>43</v>
      </c>
      <c r="W16" s="623"/>
      <c r="X16" s="618">
        <f>IF('2661'!K$84=1,'2661'!G16,0)</f>
        <v>0</v>
      </c>
      <c r="Y16" s="618"/>
      <c r="Z16" s="624">
        <v>1</v>
      </c>
      <c r="AA16" s="624"/>
      <c r="AB16" s="55">
        <f t="shared" si="0"/>
        <v>0</v>
      </c>
      <c r="AC16" s="56">
        <f t="shared" si="1"/>
        <v>0</v>
      </c>
      <c r="AD16" s="9"/>
    </row>
    <row r="17" spans="1:30" x14ac:dyDescent="0.25">
      <c r="A17" s="1" t="s">
        <v>44</v>
      </c>
      <c r="B17" s="13" t="s">
        <v>45</v>
      </c>
      <c r="C17" s="13"/>
      <c r="D17" s="13">
        <v>0</v>
      </c>
      <c r="E17" s="13">
        <v>0</v>
      </c>
      <c r="F17" s="13">
        <v>0</v>
      </c>
      <c r="G17" s="46">
        <f t="shared" si="2"/>
        <v>0</v>
      </c>
      <c r="H17" s="47"/>
      <c r="I17" s="57">
        <f>I16</f>
        <v>3.5579999999999998</v>
      </c>
      <c r="J17" s="57"/>
      <c r="K17" s="49">
        <f t="shared" si="3"/>
        <v>0</v>
      </c>
      <c r="L17" s="50">
        <f t="shared" si="4"/>
        <v>0</v>
      </c>
      <c r="N17" s="51">
        <v>5102</v>
      </c>
      <c r="O17" s="54">
        <v>254</v>
      </c>
      <c r="P17" s="53"/>
      <c r="Q17" s="54"/>
      <c r="V17" s="623" t="s">
        <v>45</v>
      </c>
      <c r="W17" s="623"/>
      <c r="X17" s="618">
        <f>IF('2661'!K$84=1,'2661'!G17,0)</f>
        <v>0</v>
      </c>
      <c r="Y17" s="618"/>
      <c r="Z17" s="624">
        <v>1</v>
      </c>
      <c r="AA17" s="624"/>
      <c r="AB17" s="55">
        <f t="shared" si="0"/>
        <v>0</v>
      </c>
      <c r="AC17" s="56">
        <f t="shared" si="1"/>
        <v>0</v>
      </c>
      <c r="AD17" s="9"/>
    </row>
    <row r="18" spans="1:30" x14ac:dyDescent="0.25">
      <c r="A18" s="1" t="s">
        <v>46</v>
      </c>
      <c r="B18" s="13" t="s">
        <v>47</v>
      </c>
      <c r="C18" s="13"/>
      <c r="D18" s="13">
        <v>0</v>
      </c>
      <c r="E18" s="13">
        <v>0</v>
      </c>
      <c r="F18" s="13">
        <v>0</v>
      </c>
      <c r="G18" s="46">
        <f t="shared" si="2"/>
        <v>0</v>
      </c>
      <c r="H18" s="47"/>
      <c r="I18" s="57">
        <f>I17</f>
        <v>3.5579999999999998</v>
      </c>
      <c r="J18" s="57"/>
      <c r="K18" s="49">
        <f t="shared" si="3"/>
        <v>0</v>
      </c>
      <c r="L18" s="50">
        <f t="shared" si="4"/>
        <v>0</v>
      </c>
      <c r="N18" s="51">
        <v>5103</v>
      </c>
      <c r="O18" s="54">
        <v>254</v>
      </c>
      <c r="P18" s="53"/>
      <c r="Q18" s="54"/>
      <c r="V18" s="623" t="s">
        <v>47</v>
      </c>
      <c r="W18" s="623"/>
      <c r="X18" s="618">
        <f>IF('2661'!K$84=1,'2661'!G18,0)</f>
        <v>0</v>
      </c>
      <c r="Y18" s="618"/>
      <c r="Z18" s="624">
        <v>1</v>
      </c>
      <c r="AA18" s="624"/>
      <c r="AB18" s="55">
        <f t="shared" si="0"/>
        <v>0</v>
      </c>
      <c r="AC18" s="56">
        <f t="shared" si="1"/>
        <v>0</v>
      </c>
      <c r="AD18" s="9"/>
    </row>
    <row r="19" spans="1:30" ht="15" customHeight="1" x14ac:dyDescent="0.25">
      <c r="A19" s="1" t="s">
        <v>48</v>
      </c>
      <c r="B19" s="13" t="s">
        <v>49</v>
      </c>
      <c r="C19" s="13"/>
      <c r="D19" s="13">
        <v>0</v>
      </c>
      <c r="E19" s="13">
        <v>0</v>
      </c>
      <c r="F19" s="13">
        <v>0</v>
      </c>
      <c r="G19" s="46">
        <f t="shared" si="2"/>
        <v>0</v>
      </c>
      <c r="H19" s="47"/>
      <c r="I19" s="57">
        <v>5.0890000000000004</v>
      </c>
      <c r="J19" s="57"/>
      <c r="K19" s="49">
        <f t="shared" si="3"/>
        <v>0</v>
      </c>
      <c r="L19" s="50">
        <f t="shared" si="4"/>
        <v>0</v>
      </c>
      <c r="N19" s="51">
        <v>5101</v>
      </c>
      <c r="O19" s="53">
        <v>255</v>
      </c>
      <c r="P19" s="53"/>
      <c r="Q19" s="54"/>
      <c r="V19" s="623" t="s">
        <v>49</v>
      </c>
      <c r="W19" s="623"/>
      <c r="X19" s="618">
        <f>IF('2661'!K$84=1,'2661'!G19,0)</f>
        <v>0</v>
      </c>
      <c r="Y19" s="618"/>
      <c r="Z19" s="624">
        <v>1</v>
      </c>
      <c r="AA19" s="624"/>
      <c r="AB19" s="55">
        <f t="shared" si="0"/>
        <v>0</v>
      </c>
      <c r="AC19" s="56">
        <f t="shared" si="1"/>
        <v>0</v>
      </c>
      <c r="AD19" s="9"/>
    </row>
    <row r="20" spans="1:30" ht="15" customHeight="1" x14ac:dyDescent="0.25">
      <c r="A20" s="1" t="s">
        <v>50</v>
      </c>
      <c r="B20" s="13" t="s">
        <v>51</v>
      </c>
      <c r="C20" s="13"/>
      <c r="D20" s="13">
        <v>0</v>
      </c>
      <c r="E20" s="13">
        <v>0</v>
      </c>
      <c r="F20" s="13">
        <v>0</v>
      </c>
      <c r="G20" s="46">
        <f t="shared" si="2"/>
        <v>0</v>
      </c>
      <c r="H20" s="47"/>
      <c r="I20" s="57">
        <f>I19</f>
        <v>5.0890000000000004</v>
      </c>
      <c r="J20" s="57"/>
      <c r="K20" s="49">
        <f t="shared" si="3"/>
        <v>0</v>
      </c>
      <c r="L20" s="50">
        <f t="shared" si="4"/>
        <v>0</v>
      </c>
      <c r="N20" s="51">
        <v>5102</v>
      </c>
      <c r="O20" s="54">
        <v>255</v>
      </c>
      <c r="P20" s="53"/>
      <c r="Q20" s="54"/>
      <c r="V20" s="623" t="s">
        <v>51</v>
      </c>
      <c r="W20" s="623"/>
      <c r="X20" s="618">
        <f>IF('2661'!K$84=1,'2661'!G20,0)</f>
        <v>0</v>
      </c>
      <c r="Y20" s="618"/>
      <c r="Z20" s="624">
        <v>1</v>
      </c>
      <c r="AA20" s="624"/>
      <c r="AB20" s="55">
        <f t="shared" si="0"/>
        <v>0</v>
      </c>
      <c r="AC20" s="56">
        <f t="shared" si="1"/>
        <v>0</v>
      </c>
      <c r="AD20" s="9"/>
    </row>
    <row r="21" spans="1:30" ht="15" customHeight="1" x14ac:dyDescent="0.25">
      <c r="A21" s="1" t="s">
        <v>52</v>
      </c>
      <c r="B21" s="13" t="s">
        <v>53</v>
      </c>
      <c r="C21" s="13"/>
      <c r="D21" s="13">
        <v>0</v>
      </c>
      <c r="E21" s="13">
        <v>0</v>
      </c>
      <c r="F21" s="13">
        <v>0</v>
      </c>
      <c r="G21" s="46">
        <f t="shared" si="2"/>
        <v>0</v>
      </c>
      <c r="H21" s="47"/>
      <c r="I21" s="57">
        <f>I20</f>
        <v>5.0890000000000004</v>
      </c>
      <c r="J21" s="57"/>
      <c r="K21" s="49">
        <f t="shared" si="3"/>
        <v>0</v>
      </c>
      <c r="L21" s="50">
        <f t="shared" si="4"/>
        <v>0</v>
      </c>
      <c r="N21" s="51">
        <v>5103</v>
      </c>
      <c r="O21" s="54">
        <v>255</v>
      </c>
      <c r="P21" s="53"/>
      <c r="Q21" s="54"/>
      <c r="V21" s="623" t="s">
        <v>53</v>
      </c>
      <c r="W21" s="623"/>
      <c r="X21" s="618">
        <f>IF('2661'!K$84=1,'2661'!G21,0)</f>
        <v>0</v>
      </c>
      <c r="Y21" s="618"/>
      <c r="Z21" s="624">
        <v>1</v>
      </c>
      <c r="AA21" s="624"/>
      <c r="AB21" s="55">
        <f t="shared" si="0"/>
        <v>0</v>
      </c>
      <c r="AC21" s="56">
        <f t="shared" si="1"/>
        <v>0</v>
      </c>
      <c r="AD21" s="9"/>
    </row>
    <row r="22" spans="1:30" x14ac:dyDescent="0.25">
      <c r="A22" s="1" t="s">
        <v>54</v>
      </c>
      <c r="B22" s="13" t="s">
        <v>55</v>
      </c>
      <c r="C22" s="13"/>
      <c r="D22" s="13">
        <v>1.83</v>
      </c>
      <c r="E22" s="13">
        <v>1.86</v>
      </c>
      <c r="F22" s="13">
        <v>2.36</v>
      </c>
      <c r="G22" s="46">
        <f t="shared" si="2"/>
        <v>3.6900000000000004</v>
      </c>
      <c r="H22" s="47"/>
      <c r="I22" s="57">
        <v>1.145</v>
      </c>
      <c r="J22" s="57"/>
      <c r="K22" s="49">
        <f t="shared" si="3"/>
        <v>4.2251000000000003</v>
      </c>
      <c r="L22" s="50">
        <f t="shared" si="4"/>
        <v>16371</v>
      </c>
      <c r="N22" s="51">
        <v>5101</v>
      </c>
      <c r="O22" s="52">
        <v>130</v>
      </c>
      <c r="P22" s="53"/>
      <c r="Q22" s="54"/>
      <c r="V22" s="623" t="s">
        <v>55</v>
      </c>
      <c r="W22" s="623"/>
      <c r="X22" s="618">
        <f>IF('2661'!K$84=1,'2661'!G22,0)</f>
        <v>0</v>
      </c>
      <c r="Y22" s="618"/>
      <c r="Z22" s="624">
        <v>1</v>
      </c>
      <c r="AA22" s="624"/>
      <c r="AB22" s="55">
        <f t="shared" si="0"/>
        <v>0</v>
      </c>
      <c r="AC22" s="56">
        <f t="shared" si="1"/>
        <v>0</v>
      </c>
      <c r="AD22" s="9"/>
    </row>
    <row r="23" spans="1:30" x14ac:dyDescent="0.25">
      <c r="A23" s="1" t="s">
        <v>56</v>
      </c>
      <c r="B23" s="13" t="s">
        <v>57</v>
      </c>
      <c r="C23" s="13"/>
      <c r="D23" s="13">
        <v>0</v>
      </c>
      <c r="E23" s="13">
        <v>0</v>
      </c>
      <c r="F23" s="13">
        <v>0</v>
      </c>
      <c r="G23" s="46">
        <f t="shared" si="2"/>
        <v>0</v>
      </c>
      <c r="H23" s="47"/>
      <c r="I23" s="57">
        <f>I22</f>
        <v>1.145</v>
      </c>
      <c r="J23" s="57"/>
      <c r="K23" s="49">
        <f t="shared" si="3"/>
        <v>0</v>
      </c>
      <c r="L23" s="50">
        <f t="shared" si="4"/>
        <v>0</v>
      </c>
      <c r="N23" s="51">
        <v>5102</v>
      </c>
      <c r="O23" s="52">
        <v>130</v>
      </c>
      <c r="P23" s="53"/>
      <c r="Q23" s="54"/>
      <c r="V23" s="623" t="s">
        <v>57</v>
      </c>
      <c r="W23" s="623"/>
      <c r="X23" s="618">
        <f>IF('2661'!K$84=1,'2661'!G23,0)</f>
        <v>0</v>
      </c>
      <c r="Y23" s="618"/>
      <c r="Z23" s="624">
        <v>1</v>
      </c>
      <c r="AA23" s="624"/>
      <c r="AB23" s="55">
        <f t="shared" si="0"/>
        <v>0</v>
      </c>
      <c r="AC23" s="56">
        <f t="shared" si="1"/>
        <v>0</v>
      </c>
      <c r="AD23" s="9"/>
    </row>
    <row r="24" spans="1:30" x14ac:dyDescent="0.25">
      <c r="A24" s="1" t="s">
        <v>58</v>
      </c>
      <c r="B24" s="13" t="s">
        <v>59</v>
      </c>
      <c r="C24" s="13"/>
      <c r="D24" s="13">
        <v>0</v>
      </c>
      <c r="E24" s="13">
        <v>0</v>
      </c>
      <c r="F24" s="13">
        <v>0</v>
      </c>
      <c r="G24" s="46">
        <f t="shared" si="2"/>
        <v>0</v>
      </c>
      <c r="H24" s="47"/>
      <c r="I24" s="57">
        <f>I23</f>
        <v>1.145</v>
      </c>
      <c r="J24" s="57"/>
      <c r="K24" s="49">
        <f t="shared" si="3"/>
        <v>0</v>
      </c>
      <c r="L24" s="50">
        <f t="shared" si="4"/>
        <v>0</v>
      </c>
      <c r="N24" s="51">
        <v>5103</v>
      </c>
      <c r="O24" s="52">
        <v>130</v>
      </c>
      <c r="P24" s="53"/>
      <c r="Q24" s="54"/>
      <c r="V24" s="623" t="s">
        <v>59</v>
      </c>
      <c r="W24" s="623"/>
      <c r="X24" s="618">
        <f>IF('2661'!K$84=1,'2661'!G24,0)</f>
        <v>0</v>
      </c>
      <c r="Y24" s="618"/>
      <c r="Z24" s="624">
        <v>1</v>
      </c>
      <c r="AA24" s="624"/>
      <c r="AB24" s="55">
        <f t="shared" si="0"/>
        <v>0</v>
      </c>
      <c r="AC24" s="56">
        <f t="shared" si="1"/>
        <v>0</v>
      </c>
      <c r="AD24" s="9"/>
    </row>
    <row r="25" spans="1:30" ht="16.5" thickBot="1" x14ac:dyDescent="0.3">
      <c r="A25" s="1" t="s">
        <v>60</v>
      </c>
      <c r="B25" s="13" t="s">
        <v>61</v>
      </c>
      <c r="C25" s="13"/>
      <c r="D25" s="13">
        <v>0</v>
      </c>
      <c r="E25" s="13">
        <v>0</v>
      </c>
      <c r="F25" s="13">
        <v>0</v>
      </c>
      <c r="G25" s="46">
        <f t="shared" si="2"/>
        <v>0</v>
      </c>
      <c r="H25" s="47"/>
      <c r="I25" s="57">
        <v>1.0109999999999999</v>
      </c>
      <c r="J25" s="57"/>
      <c r="K25" s="49">
        <f t="shared" si="3"/>
        <v>0</v>
      </c>
      <c r="L25" s="50">
        <f t="shared" si="4"/>
        <v>0</v>
      </c>
      <c r="N25" s="51">
        <v>5310</v>
      </c>
      <c r="O25" s="52">
        <v>300</v>
      </c>
      <c r="P25" s="53"/>
      <c r="Q25" s="54"/>
      <c r="V25" s="623" t="s">
        <v>61</v>
      </c>
      <c r="W25" s="623"/>
      <c r="X25" s="618">
        <f>IF('2661'!K$84=1,'2661'!G25,0)</f>
        <v>0</v>
      </c>
      <c r="Y25" s="618"/>
      <c r="Z25" s="624">
        <v>1</v>
      </c>
      <c r="AA25" s="624"/>
      <c r="AB25" s="55">
        <f t="shared" si="0"/>
        <v>0</v>
      </c>
      <c r="AC25" s="56">
        <f t="shared" si="1"/>
        <v>0</v>
      </c>
      <c r="AD25" s="9"/>
    </row>
    <row r="26" spans="1:30" ht="20.25" customHeight="1" thickBot="1" x14ac:dyDescent="0.3">
      <c r="B26" s="62" t="s">
        <v>62</v>
      </c>
      <c r="C26" s="62"/>
      <c r="D26" s="63">
        <f t="shared" ref="D26:E26" si="5">SUM(D10:D25)</f>
        <v>75.61999999999999</v>
      </c>
      <c r="E26" s="63">
        <f t="shared" si="5"/>
        <v>75.070000000000007</v>
      </c>
      <c r="F26" s="63"/>
      <c r="G26" s="63">
        <f>SUM(G10:G25)</f>
        <v>150.69</v>
      </c>
      <c r="H26" s="64"/>
      <c r="I26" s="64"/>
      <c r="J26" s="65"/>
      <c r="K26" s="66">
        <f>SUM(K10:K25)</f>
        <v>160.19759999999999</v>
      </c>
      <c r="L26" s="67">
        <f>SUM(L10:L25)</f>
        <v>620706</v>
      </c>
      <c r="N26" s="54"/>
      <c r="O26" s="68"/>
      <c r="P26" s="54"/>
      <c r="Q26" s="54"/>
      <c r="V26" s="625" t="s">
        <v>62</v>
      </c>
      <c r="W26" s="625"/>
      <c r="X26" s="626">
        <f>SUM(X10:X25)</f>
        <v>0</v>
      </c>
      <c r="Y26" s="626"/>
      <c r="Z26" s="627"/>
      <c r="AA26" s="628"/>
      <c r="AB26" s="69">
        <f>SUM(AB10:AB25)</f>
        <v>0</v>
      </c>
      <c r="AC26" s="70">
        <f>SUM(AC10:AC25)</f>
        <v>0</v>
      </c>
      <c r="AD26" s="9"/>
    </row>
    <row r="27" spans="1:30" ht="51.75" customHeight="1" x14ac:dyDescent="0.25">
      <c r="B27" s="62" t="s">
        <v>63</v>
      </c>
      <c r="C27" s="62"/>
      <c r="D27" s="71" t="s">
        <v>13</v>
      </c>
      <c r="E27" s="71" t="s">
        <v>14</v>
      </c>
      <c r="F27" s="27"/>
      <c r="G27" s="72" t="s">
        <v>64</v>
      </c>
      <c r="H27" s="73"/>
      <c r="I27" s="74" t="s">
        <v>65</v>
      </c>
      <c r="J27" s="74" t="s">
        <v>66</v>
      </c>
      <c r="K27" s="75" t="s">
        <v>67</v>
      </c>
      <c r="N27" s="54"/>
      <c r="O27" s="68"/>
      <c r="P27" s="54"/>
      <c r="Q27" s="54"/>
      <c r="V27" s="629" t="s">
        <v>63</v>
      </c>
      <c r="W27" s="629"/>
      <c r="X27" s="630" t="s">
        <v>64</v>
      </c>
      <c r="Y27" s="630"/>
      <c r="Z27" s="76" t="s">
        <v>65</v>
      </c>
      <c r="AA27" s="77" t="s">
        <v>66</v>
      </c>
      <c r="AB27" s="78" t="s">
        <v>67</v>
      </c>
      <c r="AC27" s="9"/>
      <c r="AD27" s="9"/>
    </row>
    <row r="28" spans="1:30" ht="15.75" customHeight="1" x14ac:dyDescent="0.25">
      <c r="A28" s="1" t="s">
        <v>68</v>
      </c>
      <c r="B28" s="631" t="s">
        <v>69</v>
      </c>
      <c r="C28" s="632"/>
      <c r="D28" s="13">
        <v>0.97</v>
      </c>
      <c r="E28" s="13">
        <v>1.03</v>
      </c>
      <c r="F28" s="79">
        <v>4</v>
      </c>
      <c r="G28" s="46">
        <f t="shared" ref="G28:G36" si="6">D28+E28</f>
        <v>2</v>
      </c>
      <c r="H28" s="80"/>
      <c r="I28" s="81" t="s">
        <v>70</v>
      </c>
      <c r="J28" s="82">
        <v>251</v>
      </c>
      <c r="K28" s="83">
        <v>1047</v>
      </c>
      <c r="L28" s="84">
        <f>ROUND(G28*K28,0)</f>
        <v>2094</v>
      </c>
      <c r="N28" s="85">
        <v>5101</v>
      </c>
      <c r="O28" s="54">
        <v>251</v>
      </c>
      <c r="P28" s="86"/>
      <c r="Q28" s="87"/>
      <c r="V28" s="637" t="s">
        <v>69</v>
      </c>
      <c r="W28" s="637"/>
      <c r="X28" s="638"/>
      <c r="Y28" s="638"/>
      <c r="Z28" s="88" t="s">
        <v>70</v>
      </c>
      <c r="AA28" s="89">
        <v>251</v>
      </c>
      <c r="AB28" s="90">
        <f>+K28</f>
        <v>1047</v>
      </c>
      <c r="AC28" s="91">
        <f t="shared" ref="AC28:AC36" si="7">ROUND(X28*AB28,0)</f>
        <v>0</v>
      </c>
      <c r="AD28" s="9"/>
    </row>
    <row r="29" spans="1:30" x14ac:dyDescent="0.25">
      <c r="A29" s="1" t="s">
        <v>71</v>
      </c>
      <c r="B29" s="633"/>
      <c r="C29" s="634"/>
      <c r="D29" s="13">
        <v>0</v>
      </c>
      <c r="E29" s="13">
        <v>0</v>
      </c>
      <c r="F29" s="92">
        <v>0</v>
      </c>
      <c r="G29" s="46">
        <f t="shared" si="6"/>
        <v>0</v>
      </c>
      <c r="H29" s="80"/>
      <c r="I29" s="82" t="s">
        <v>70</v>
      </c>
      <c r="J29" s="82">
        <v>252</v>
      </c>
      <c r="K29" s="83">
        <v>3380</v>
      </c>
      <c r="L29" s="84">
        <f t="shared" ref="L29:L36" si="8">ROUND(G29*K29,0)</f>
        <v>0</v>
      </c>
      <c r="N29" s="85">
        <v>5101</v>
      </c>
      <c r="O29" s="54">
        <v>252</v>
      </c>
      <c r="P29" s="86"/>
      <c r="Q29" s="87"/>
      <c r="V29" s="637"/>
      <c r="W29" s="637"/>
      <c r="X29" s="638"/>
      <c r="Y29" s="638"/>
      <c r="Z29" s="89" t="s">
        <v>70</v>
      </c>
      <c r="AA29" s="89">
        <v>252</v>
      </c>
      <c r="AB29" s="90">
        <f t="shared" ref="AB29:AB36" si="9">+K29</f>
        <v>3380</v>
      </c>
      <c r="AC29" s="91">
        <f t="shared" si="7"/>
        <v>0</v>
      </c>
      <c r="AD29" s="9"/>
    </row>
    <row r="30" spans="1:30" x14ac:dyDescent="0.25">
      <c r="A30" s="1" t="s">
        <v>72</v>
      </c>
      <c r="B30" s="633"/>
      <c r="C30" s="634"/>
      <c r="D30" s="13">
        <v>0</v>
      </c>
      <c r="E30" s="13">
        <v>0</v>
      </c>
      <c r="F30" s="92">
        <v>0</v>
      </c>
      <c r="G30" s="46">
        <f t="shared" si="6"/>
        <v>0</v>
      </c>
      <c r="H30" s="80"/>
      <c r="I30" s="82" t="s">
        <v>70</v>
      </c>
      <c r="J30" s="82">
        <v>253</v>
      </c>
      <c r="K30" s="83">
        <v>6896</v>
      </c>
      <c r="L30" s="84">
        <f t="shared" si="8"/>
        <v>0</v>
      </c>
      <c r="N30" s="85">
        <v>5101</v>
      </c>
      <c r="O30" s="54">
        <v>253</v>
      </c>
      <c r="P30" s="86"/>
      <c r="Q30" s="68"/>
      <c r="V30" s="637"/>
      <c r="W30" s="637"/>
      <c r="X30" s="638"/>
      <c r="Y30" s="638"/>
      <c r="Z30" s="89" t="s">
        <v>70</v>
      </c>
      <c r="AA30" s="89">
        <v>253</v>
      </c>
      <c r="AB30" s="90">
        <f t="shared" si="9"/>
        <v>6896</v>
      </c>
      <c r="AC30" s="91">
        <f t="shared" si="7"/>
        <v>0</v>
      </c>
      <c r="AD30" s="9"/>
    </row>
    <row r="31" spans="1:30" x14ac:dyDescent="0.25">
      <c r="A31" s="1" t="s">
        <v>73</v>
      </c>
      <c r="B31" s="633"/>
      <c r="C31" s="634"/>
      <c r="D31" s="13">
        <v>5.29</v>
      </c>
      <c r="E31" s="13">
        <v>5.21</v>
      </c>
      <c r="F31" s="92">
        <v>3.5</v>
      </c>
      <c r="G31" s="46">
        <f t="shared" si="6"/>
        <v>10.5</v>
      </c>
      <c r="H31" s="80"/>
      <c r="I31" s="93" t="s">
        <v>74</v>
      </c>
      <c r="J31" s="82">
        <v>251</v>
      </c>
      <c r="K31" s="83">
        <v>1173</v>
      </c>
      <c r="L31" s="84">
        <f t="shared" si="8"/>
        <v>12317</v>
      </c>
      <c r="N31" s="85">
        <v>5102</v>
      </c>
      <c r="O31" s="54">
        <v>251</v>
      </c>
      <c r="P31" s="86"/>
      <c r="Q31" s="68"/>
      <c r="V31" s="637"/>
      <c r="W31" s="637"/>
      <c r="X31" s="638"/>
      <c r="Y31" s="638"/>
      <c r="Z31" s="94" t="s">
        <v>74</v>
      </c>
      <c r="AA31" s="89">
        <v>251</v>
      </c>
      <c r="AB31" s="90">
        <f t="shared" si="9"/>
        <v>1173</v>
      </c>
      <c r="AC31" s="91">
        <f t="shared" si="7"/>
        <v>0</v>
      </c>
      <c r="AD31" s="9"/>
    </row>
    <row r="32" spans="1:30" x14ac:dyDescent="0.25">
      <c r="A32" s="1" t="s">
        <v>75</v>
      </c>
      <c r="B32" s="633"/>
      <c r="C32" s="634"/>
      <c r="D32" s="13">
        <v>0.9</v>
      </c>
      <c r="E32" s="13">
        <v>1.63</v>
      </c>
      <c r="F32" s="92">
        <v>1.5</v>
      </c>
      <c r="G32" s="46">
        <f t="shared" si="6"/>
        <v>2.5299999999999998</v>
      </c>
      <c r="H32" s="80"/>
      <c r="I32" s="93" t="s">
        <v>74</v>
      </c>
      <c r="J32" s="82">
        <v>252</v>
      </c>
      <c r="K32" s="83">
        <v>3506</v>
      </c>
      <c r="L32" s="84">
        <f t="shared" si="8"/>
        <v>8870</v>
      </c>
      <c r="N32" s="85">
        <v>5102</v>
      </c>
      <c r="O32" s="54">
        <v>252</v>
      </c>
      <c r="P32" s="86"/>
      <c r="Q32" s="54"/>
      <c r="V32" s="637"/>
      <c r="W32" s="637"/>
      <c r="X32" s="638"/>
      <c r="Y32" s="638"/>
      <c r="Z32" s="94" t="s">
        <v>74</v>
      </c>
      <c r="AA32" s="89">
        <v>252</v>
      </c>
      <c r="AB32" s="90">
        <f t="shared" si="9"/>
        <v>3506</v>
      </c>
      <c r="AC32" s="91">
        <f t="shared" si="7"/>
        <v>0</v>
      </c>
      <c r="AD32" s="9"/>
    </row>
    <row r="33" spans="1:30" x14ac:dyDescent="0.25">
      <c r="A33" s="1" t="s">
        <v>76</v>
      </c>
      <c r="B33" s="633"/>
      <c r="C33" s="634"/>
      <c r="D33" s="13">
        <v>0</v>
      </c>
      <c r="E33" s="13">
        <v>0</v>
      </c>
      <c r="F33" s="92">
        <v>0</v>
      </c>
      <c r="G33" s="46">
        <f t="shared" si="6"/>
        <v>0</v>
      </c>
      <c r="H33" s="80"/>
      <c r="I33" s="93" t="s">
        <v>74</v>
      </c>
      <c r="J33" s="82">
        <v>253</v>
      </c>
      <c r="K33" s="83">
        <v>7023</v>
      </c>
      <c r="L33" s="84">
        <f t="shared" si="8"/>
        <v>0</v>
      </c>
      <c r="N33" s="85">
        <v>5102</v>
      </c>
      <c r="O33" s="54">
        <v>253</v>
      </c>
      <c r="P33" s="86"/>
      <c r="Q33" s="87"/>
      <c r="V33" s="637"/>
      <c r="W33" s="637"/>
      <c r="X33" s="638"/>
      <c r="Y33" s="638"/>
      <c r="Z33" s="94" t="s">
        <v>74</v>
      </c>
      <c r="AA33" s="89">
        <v>253</v>
      </c>
      <c r="AB33" s="90">
        <f t="shared" si="9"/>
        <v>7023</v>
      </c>
      <c r="AC33" s="91">
        <f t="shared" si="7"/>
        <v>0</v>
      </c>
      <c r="AD33" s="9"/>
    </row>
    <row r="34" spans="1:30" x14ac:dyDescent="0.25">
      <c r="A34" s="1" t="s">
        <v>77</v>
      </c>
      <c r="B34" s="633"/>
      <c r="C34" s="634"/>
      <c r="D34" s="13">
        <v>0</v>
      </c>
      <c r="E34" s="13">
        <v>0</v>
      </c>
      <c r="F34" s="92">
        <v>0</v>
      </c>
      <c r="G34" s="46">
        <f t="shared" si="6"/>
        <v>0</v>
      </c>
      <c r="H34" s="80"/>
      <c r="I34" s="93" t="s">
        <v>78</v>
      </c>
      <c r="J34" s="82">
        <v>251</v>
      </c>
      <c r="K34" s="83">
        <v>835</v>
      </c>
      <c r="L34" s="84">
        <f t="shared" si="8"/>
        <v>0</v>
      </c>
      <c r="N34" s="85">
        <v>5103</v>
      </c>
      <c r="O34" s="54">
        <v>251</v>
      </c>
      <c r="P34" s="86"/>
      <c r="Q34" s="87"/>
      <c r="V34" s="637"/>
      <c r="W34" s="637"/>
      <c r="X34" s="638"/>
      <c r="Y34" s="638"/>
      <c r="Z34" s="94" t="s">
        <v>78</v>
      </c>
      <c r="AA34" s="89">
        <v>251</v>
      </c>
      <c r="AB34" s="90">
        <f t="shared" si="9"/>
        <v>835</v>
      </c>
      <c r="AC34" s="91">
        <f t="shared" si="7"/>
        <v>0</v>
      </c>
      <c r="AD34" s="9"/>
    </row>
    <row r="35" spans="1:30" x14ac:dyDescent="0.25">
      <c r="A35" s="1" t="s">
        <v>79</v>
      </c>
      <c r="B35" s="633"/>
      <c r="C35" s="634"/>
      <c r="D35" s="13">
        <v>0</v>
      </c>
      <c r="E35" s="13">
        <v>0</v>
      </c>
      <c r="F35" s="92">
        <v>0</v>
      </c>
      <c r="G35" s="46">
        <f t="shared" si="6"/>
        <v>0</v>
      </c>
      <c r="H35" s="80"/>
      <c r="I35" s="93" t="s">
        <v>78</v>
      </c>
      <c r="J35" s="82">
        <v>252</v>
      </c>
      <c r="K35" s="83">
        <v>3168</v>
      </c>
      <c r="L35" s="84">
        <f t="shared" si="8"/>
        <v>0</v>
      </c>
      <c r="N35" s="85">
        <v>5103</v>
      </c>
      <c r="O35" s="54">
        <v>252</v>
      </c>
      <c r="P35" s="86"/>
      <c r="Q35" s="95"/>
      <c r="V35" s="637"/>
      <c r="W35" s="637"/>
      <c r="X35" s="638"/>
      <c r="Y35" s="638"/>
      <c r="Z35" s="94" t="s">
        <v>78</v>
      </c>
      <c r="AA35" s="89">
        <v>252</v>
      </c>
      <c r="AB35" s="90">
        <f t="shared" si="9"/>
        <v>3168</v>
      </c>
      <c r="AC35" s="91">
        <f t="shared" si="7"/>
        <v>0</v>
      </c>
      <c r="AD35" s="9"/>
    </row>
    <row r="36" spans="1:30" ht="16.5" thickBot="1" x14ac:dyDescent="0.3">
      <c r="A36" s="1" t="s">
        <v>80</v>
      </c>
      <c r="B36" s="635"/>
      <c r="C36" s="636"/>
      <c r="D36" s="13">
        <v>0</v>
      </c>
      <c r="E36" s="13">
        <v>0</v>
      </c>
      <c r="F36" s="92">
        <v>0</v>
      </c>
      <c r="G36" s="46">
        <f t="shared" si="6"/>
        <v>0</v>
      </c>
      <c r="H36" s="80"/>
      <c r="I36" s="93" t="s">
        <v>78</v>
      </c>
      <c r="J36" s="82">
        <v>253</v>
      </c>
      <c r="K36" s="83">
        <v>6685</v>
      </c>
      <c r="L36" s="96">
        <f t="shared" si="8"/>
        <v>0</v>
      </c>
      <c r="N36" s="85">
        <v>5103</v>
      </c>
      <c r="O36" s="54">
        <v>253</v>
      </c>
      <c r="P36" s="86"/>
      <c r="Q36" s="97"/>
      <c r="V36" s="637"/>
      <c r="W36" s="637"/>
      <c r="X36" s="645"/>
      <c r="Y36" s="645"/>
      <c r="Z36" s="94" t="s">
        <v>78</v>
      </c>
      <c r="AA36" s="89">
        <v>253</v>
      </c>
      <c r="AB36" s="90">
        <f t="shared" si="9"/>
        <v>6685</v>
      </c>
      <c r="AC36" s="98">
        <f t="shared" si="7"/>
        <v>0</v>
      </c>
      <c r="AD36" s="9"/>
    </row>
    <row r="37" spans="1:30" ht="18.75" customHeight="1" x14ac:dyDescent="0.25">
      <c r="B37" s="13" t="s">
        <v>81</v>
      </c>
      <c r="C37" s="13"/>
      <c r="D37" s="63">
        <f t="shared" ref="D37:E37" si="10">SUM(D28:D36)</f>
        <v>7.16</v>
      </c>
      <c r="E37" s="63">
        <f t="shared" si="10"/>
        <v>7.87</v>
      </c>
      <c r="F37" s="63"/>
      <c r="G37" s="63">
        <f>SUM(G28:G36)</f>
        <v>15.03</v>
      </c>
      <c r="H37" s="64"/>
      <c r="I37" s="13" t="s">
        <v>82</v>
      </c>
      <c r="J37" s="13"/>
      <c r="K37" s="13"/>
      <c r="L37" s="50">
        <f>SUM(L28:L36)</f>
        <v>23281</v>
      </c>
      <c r="N37" s="54"/>
      <c r="O37" s="68"/>
      <c r="P37" s="54"/>
      <c r="Q37" s="54"/>
      <c r="V37" s="646" t="s">
        <v>81</v>
      </c>
      <c r="W37" s="646"/>
      <c r="X37" s="626">
        <f>SUM(X28:X36)</f>
        <v>0</v>
      </c>
      <c r="Y37" s="626"/>
      <c r="Z37" s="646" t="s">
        <v>82</v>
      </c>
      <c r="AA37" s="646"/>
      <c r="AB37" s="646"/>
      <c r="AC37" s="56">
        <f>SUM(AC28:AC36)</f>
        <v>0</v>
      </c>
      <c r="AD37" s="9"/>
    </row>
    <row r="38" spans="1:30" ht="30.75" customHeight="1" x14ac:dyDescent="0.25">
      <c r="B38" s="99" t="s">
        <v>83</v>
      </c>
      <c r="C38" s="99"/>
      <c r="D38" s="99"/>
      <c r="E38" s="99"/>
      <c r="F38" s="99"/>
      <c r="G38" s="99"/>
      <c r="H38" s="100"/>
      <c r="I38" s="99"/>
      <c r="J38" s="99"/>
      <c r="K38" s="99"/>
      <c r="L38" s="99"/>
      <c r="M38" s="101"/>
      <c r="N38" s="54"/>
      <c r="O38" s="68"/>
      <c r="P38" s="54"/>
      <c r="Q38" s="54"/>
      <c r="V38" s="639" t="s">
        <v>83</v>
      </c>
      <c r="W38" s="639"/>
      <c r="X38" s="639"/>
      <c r="Y38" s="639"/>
      <c r="Z38" s="639"/>
      <c r="AA38" s="639"/>
      <c r="AB38" s="639"/>
      <c r="AC38" s="639"/>
      <c r="AD38" s="102"/>
    </row>
    <row r="39" spans="1:30" ht="15.75" customHeight="1" x14ac:dyDescent="0.25">
      <c r="B39" s="103" t="s">
        <v>84</v>
      </c>
      <c r="C39" s="103"/>
      <c r="D39" s="103"/>
      <c r="E39" s="103"/>
      <c r="F39" s="103"/>
      <c r="G39" s="104">
        <v>34389540</v>
      </c>
      <c r="H39" s="104"/>
      <c r="I39" s="13" t="s">
        <v>85</v>
      </c>
      <c r="J39" s="13"/>
      <c r="K39" s="13"/>
      <c r="L39" s="13"/>
      <c r="O39" s="1"/>
      <c r="V39" s="640" t="s">
        <v>84</v>
      </c>
      <c r="W39" s="640"/>
      <c r="X39" s="641">
        <f>+G39</f>
        <v>34389540</v>
      </c>
      <c r="Y39" s="641"/>
      <c r="Z39" s="642" t="s">
        <v>85</v>
      </c>
      <c r="AA39" s="642"/>
      <c r="AB39" s="642"/>
      <c r="AC39" s="642"/>
      <c r="AD39" s="9"/>
    </row>
    <row r="40" spans="1:30" ht="15.75" customHeight="1" x14ac:dyDescent="0.25">
      <c r="B40" s="105" t="s">
        <v>86</v>
      </c>
      <c r="C40" s="105"/>
      <c r="D40" s="105"/>
      <c r="E40" s="105"/>
      <c r="F40" s="105"/>
      <c r="G40" s="106">
        <v>180284.81</v>
      </c>
      <c r="H40" s="106"/>
      <c r="I40" s="106"/>
      <c r="J40" s="106"/>
      <c r="K40" s="50">
        <f>ROUND(G39/G40,0)</f>
        <v>191</v>
      </c>
      <c r="L40" s="50">
        <f>ROUND(K40*$G$26,0)</f>
        <v>28782</v>
      </c>
      <c r="N40" s="107"/>
      <c r="O40" s="107"/>
      <c r="P40" s="107"/>
      <c r="Q40" s="107"/>
      <c r="V40" s="643" t="s">
        <v>86</v>
      </c>
      <c r="W40" s="643"/>
      <c r="X40" s="644">
        <f>+G40</f>
        <v>180284.81</v>
      </c>
      <c r="Y40" s="644"/>
      <c r="Z40" s="644"/>
      <c r="AA40" s="644"/>
      <c r="AB40" s="56">
        <f>ROUND(X39/X40,0)</f>
        <v>191</v>
      </c>
      <c r="AC40" s="56">
        <f>ROUND(AB40*$X$26,0)</f>
        <v>0</v>
      </c>
      <c r="AD40" s="9"/>
    </row>
    <row r="41" spans="1:30" ht="15.75" customHeight="1" x14ac:dyDescent="0.25">
      <c r="B41" s="108" t="s">
        <v>87</v>
      </c>
      <c r="C41" s="108"/>
      <c r="D41" s="108"/>
      <c r="E41" s="108"/>
      <c r="F41" s="108"/>
      <c r="G41" s="108"/>
      <c r="H41" s="108"/>
      <c r="I41" s="108"/>
      <c r="J41" s="108"/>
      <c r="K41" s="108"/>
      <c r="L41" s="108"/>
      <c r="N41" s="101"/>
      <c r="O41" s="109"/>
      <c r="P41" s="101"/>
      <c r="Q41" s="101"/>
      <c r="V41" s="652" t="s">
        <v>87</v>
      </c>
      <c r="W41" s="652"/>
      <c r="X41" s="652"/>
      <c r="Y41" s="652"/>
      <c r="Z41" s="652"/>
      <c r="AA41" s="652"/>
      <c r="AB41" s="652"/>
      <c r="AC41" s="652"/>
      <c r="AD41" s="9"/>
    </row>
    <row r="42" spans="1:30" ht="28.5" customHeight="1" x14ac:dyDescent="0.25">
      <c r="B42" s="99" t="s">
        <v>88</v>
      </c>
      <c r="C42" s="99"/>
      <c r="D42" s="99"/>
      <c r="E42" s="99"/>
      <c r="F42" s="99"/>
      <c r="G42" s="99"/>
      <c r="H42" s="99"/>
      <c r="I42" s="99"/>
      <c r="J42" s="99"/>
      <c r="K42" s="99"/>
      <c r="L42" s="99"/>
      <c r="M42" s="107"/>
      <c r="O42" s="1"/>
      <c r="V42" s="639" t="s">
        <v>88</v>
      </c>
      <c r="W42" s="639"/>
      <c r="X42" s="639"/>
      <c r="Y42" s="639"/>
      <c r="Z42" s="639"/>
      <c r="AA42" s="639"/>
      <c r="AB42" s="639"/>
      <c r="AC42" s="639"/>
      <c r="AD42" s="110"/>
    </row>
    <row r="43" spans="1:30" x14ac:dyDescent="0.25">
      <c r="B43" s="111" t="s">
        <v>89</v>
      </c>
      <c r="C43" s="111"/>
      <c r="D43" s="111"/>
      <c r="E43" s="111"/>
      <c r="F43" s="111"/>
      <c r="G43" s="111"/>
      <c r="H43" s="111"/>
      <c r="I43" s="111"/>
      <c r="J43" s="111"/>
      <c r="K43" s="111"/>
      <c r="L43" s="111"/>
      <c r="M43" s="112"/>
      <c r="N43" s="101"/>
      <c r="O43" s="101"/>
      <c r="P43" s="101"/>
      <c r="Q43" s="101"/>
      <c r="V43" s="653" t="s">
        <v>89</v>
      </c>
      <c r="W43" s="653"/>
      <c r="X43" s="653"/>
      <c r="Y43" s="653"/>
      <c r="Z43" s="653"/>
      <c r="AA43" s="653"/>
      <c r="AB43" s="653"/>
      <c r="AC43" s="653"/>
      <c r="AD43" s="113"/>
    </row>
    <row r="44" spans="1:30" ht="24" customHeight="1" x14ac:dyDescent="0.25">
      <c r="B44" s="62" t="s">
        <v>90</v>
      </c>
      <c r="C44" s="62"/>
      <c r="D44" s="62"/>
      <c r="E44" s="62"/>
      <c r="F44" s="62"/>
      <c r="G44" s="62"/>
      <c r="H44" s="62"/>
      <c r="I44" s="62"/>
      <c r="J44" s="62"/>
      <c r="K44" s="62"/>
      <c r="L44" s="114">
        <f>SUM(L26,L37,L40)</f>
        <v>672769</v>
      </c>
      <c r="O44" s="1"/>
      <c r="V44" s="654" t="s">
        <v>90</v>
      </c>
      <c r="W44" s="654"/>
      <c r="X44" s="654"/>
      <c r="Y44" s="654"/>
      <c r="Z44" s="654"/>
      <c r="AA44" s="654"/>
      <c r="AB44" s="654"/>
      <c r="AC44" s="115">
        <f>SUM(AC26,AC37,AC40)</f>
        <v>0</v>
      </c>
      <c r="AD44" s="9"/>
    </row>
    <row r="45" spans="1:30" ht="30.75" customHeight="1" x14ac:dyDescent="0.25">
      <c r="B45" s="99" t="s">
        <v>91</v>
      </c>
      <c r="C45" s="99"/>
      <c r="D45" s="99"/>
      <c r="E45" s="99"/>
      <c r="F45" s="99"/>
      <c r="G45" s="99"/>
      <c r="H45" s="99"/>
      <c r="I45" s="99"/>
      <c r="J45" s="99"/>
      <c r="K45" s="99"/>
      <c r="L45" s="99"/>
      <c r="M45" s="116"/>
      <c r="O45" s="1"/>
      <c r="V45" s="639" t="s">
        <v>91</v>
      </c>
      <c r="W45" s="639"/>
      <c r="X45" s="639"/>
      <c r="Y45" s="639"/>
      <c r="Z45" s="639"/>
      <c r="AA45" s="639"/>
      <c r="AB45" s="639"/>
      <c r="AC45" s="639"/>
      <c r="AD45" s="117"/>
    </row>
    <row r="46" spans="1:30" ht="18.75" customHeight="1" x14ac:dyDescent="0.25">
      <c r="B46" s="1"/>
      <c r="C46" s="118" t="s">
        <v>92</v>
      </c>
      <c r="D46" s="118"/>
      <c r="E46" s="118"/>
      <c r="F46" s="118"/>
      <c r="G46" s="118" t="s">
        <v>93</v>
      </c>
      <c r="H46" s="119"/>
      <c r="I46" s="120" t="s">
        <v>94</v>
      </c>
      <c r="J46" s="121"/>
      <c r="K46" s="121"/>
      <c r="L46" s="121"/>
      <c r="M46" s="122"/>
      <c r="O46" s="1"/>
      <c r="V46" s="9"/>
      <c r="W46" s="123" t="s">
        <v>92</v>
      </c>
      <c r="X46" s="655" t="s">
        <v>95</v>
      </c>
      <c r="Y46" s="655"/>
      <c r="Z46" s="656" t="s">
        <v>94</v>
      </c>
      <c r="AA46" s="656"/>
      <c r="AB46" s="656"/>
      <c r="AC46" s="656"/>
      <c r="AD46" s="124"/>
    </row>
    <row r="47" spans="1:30" ht="18.75" customHeight="1" x14ac:dyDescent="0.25">
      <c r="B47" s="107" t="s">
        <v>96</v>
      </c>
      <c r="C47" s="125">
        <f>K10+K11+K16+K19+K22</f>
        <v>84.977599999999995</v>
      </c>
      <c r="D47" s="125"/>
      <c r="E47" s="125"/>
      <c r="F47" s="125"/>
      <c r="G47" s="126">
        <f>K7</f>
        <v>1.0326</v>
      </c>
      <c r="H47" s="126"/>
      <c r="I47" s="127">
        <v>1316.85</v>
      </c>
      <c r="J47" s="128" t="s">
        <v>97</v>
      </c>
      <c r="K47" s="129">
        <f>ROUND(C47*G47*I47,0)</f>
        <v>115551</v>
      </c>
      <c r="L47" s="130"/>
      <c r="O47" s="1"/>
      <c r="V47" s="110" t="s">
        <v>96</v>
      </c>
      <c r="W47" s="131">
        <f>AB10+AB11+AB16+AB19+AB22</f>
        <v>0</v>
      </c>
      <c r="X47" s="647">
        <f>AB7</f>
        <v>1.0326</v>
      </c>
      <c r="Y47" s="647"/>
      <c r="Z47" s="132">
        <f>+I47</f>
        <v>1316.85</v>
      </c>
      <c r="AA47" s="133" t="s">
        <v>97</v>
      </c>
      <c r="AB47" s="134">
        <f>ROUND(W47*X47*Z47,0)</f>
        <v>0</v>
      </c>
      <c r="AC47" s="135"/>
      <c r="AD47" s="9"/>
    </row>
    <row r="48" spans="1:30" ht="18" customHeight="1" x14ac:dyDescent="0.25">
      <c r="B48" s="136" t="s">
        <v>74</v>
      </c>
      <c r="C48" s="125">
        <f>K12+K13+K17+K20+K23</f>
        <v>75.22</v>
      </c>
      <c r="D48" s="125"/>
      <c r="E48" s="125"/>
      <c r="F48" s="125"/>
      <c r="G48" s="126">
        <f>K7</f>
        <v>1.0326</v>
      </c>
      <c r="H48" s="126"/>
      <c r="I48" s="127">
        <v>898.23</v>
      </c>
      <c r="J48" s="128" t="s">
        <v>97</v>
      </c>
      <c r="K48" s="129">
        <f>ROUND(C48*G48*I48,0)</f>
        <v>69767</v>
      </c>
      <c r="L48" s="62"/>
      <c r="O48" s="1"/>
      <c r="V48" s="137" t="s">
        <v>74</v>
      </c>
      <c r="W48" s="131">
        <f>AB12+AB13+AB17+AB20+AB23</f>
        <v>0</v>
      </c>
      <c r="X48" s="647">
        <f>AB7</f>
        <v>1.0326</v>
      </c>
      <c r="Y48" s="647"/>
      <c r="Z48" s="132">
        <f>+I48</f>
        <v>898.23</v>
      </c>
      <c r="AA48" s="133" t="s">
        <v>97</v>
      </c>
      <c r="AB48" s="134">
        <f>ROUND(W48*X48*Z48,0)</f>
        <v>0</v>
      </c>
      <c r="AC48" s="138"/>
      <c r="AD48" s="9"/>
    </row>
    <row r="49" spans="2:30" ht="19.5" customHeight="1" thickBot="1" x14ac:dyDescent="0.3">
      <c r="B49" s="139" t="s">
        <v>78</v>
      </c>
      <c r="C49" s="140">
        <f>K14+K15+K18+K21+K24+K25</f>
        <v>0</v>
      </c>
      <c r="D49" s="125"/>
      <c r="E49" s="125"/>
      <c r="F49" s="125"/>
      <c r="G49" s="126">
        <f>K7</f>
        <v>1.0326</v>
      </c>
      <c r="H49" s="126"/>
      <c r="I49" s="127">
        <v>900.39</v>
      </c>
      <c r="J49" s="128" t="s">
        <v>97</v>
      </c>
      <c r="K49" s="129">
        <f>ROUND(C49*G49*I49,0)</f>
        <v>0</v>
      </c>
      <c r="L49" s="62"/>
      <c r="M49" s="112"/>
      <c r="N49" s="141"/>
      <c r="O49" s="142"/>
      <c r="P49" s="101"/>
      <c r="Q49" s="143"/>
      <c r="V49" s="144" t="s">
        <v>78</v>
      </c>
      <c r="W49" s="145">
        <f>AB14+AB15+AB18+AB21+AB24+AB25</f>
        <v>0</v>
      </c>
      <c r="X49" s="647">
        <f>AB7</f>
        <v>1.0326</v>
      </c>
      <c r="Y49" s="647"/>
      <c r="Z49" s="132">
        <f>+I49</f>
        <v>900.39</v>
      </c>
      <c r="AA49" s="133" t="s">
        <v>97</v>
      </c>
      <c r="AB49" s="134">
        <f>ROUND(W49*X49*Z49,0)</f>
        <v>0</v>
      </c>
      <c r="AC49" s="138"/>
      <c r="AD49" s="113"/>
    </row>
    <row r="50" spans="2:30" ht="24" customHeight="1" thickBot="1" x14ac:dyDescent="0.3">
      <c r="B50" s="146" t="s">
        <v>98</v>
      </c>
      <c r="C50" s="147">
        <f>SUM(C47:C49)</f>
        <v>160.19759999999999</v>
      </c>
      <c r="D50" s="148"/>
      <c r="E50" s="149"/>
      <c r="F50" s="149"/>
      <c r="G50" s="150" t="s">
        <v>99</v>
      </c>
      <c r="H50" s="150"/>
      <c r="I50" s="150"/>
      <c r="J50" s="150"/>
      <c r="K50" s="150"/>
      <c r="L50" s="50">
        <f>IF(B2=75,0,K49+K48+K47)</f>
        <v>185318</v>
      </c>
      <c r="N50" s="3"/>
      <c r="O50" s="1"/>
      <c r="V50" s="151" t="s">
        <v>98</v>
      </c>
      <c r="W50" s="152">
        <f>SUM(W47:W49)</f>
        <v>0</v>
      </c>
      <c r="X50" s="648" t="s">
        <v>99</v>
      </c>
      <c r="Y50" s="649"/>
      <c r="Z50" s="649"/>
      <c r="AA50" s="649"/>
      <c r="AB50" s="649"/>
      <c r="AC50" s="56">
        <f>IF(V2=75,0,AB49+AB48+AB47)</f>
        <v>0</v>
      </c>
      <c r="AD50" s="9"/>
    </row>
    <row r="51" spans="2:30" ht="19.5" customHeight="1" x14ac:dyDescent="0.25">
      <c r="B51" s="153" t="s">
        <v>100</v>
      </c>
      <c r="C51" s="153"/>
      <c r="D51" s="153"/>
      <c r="E51" s="153"/>
      <c r="F51" s="153"/>
      <c r="G51" s="153"/>
      <c r="H51" s="153"/>
      <c r="I51" s="153"/>
      <c r="J51" s="153"/>
      <c r="K51" s="153"/>
      <c r="L51" s="153"/>
      <c r="M51" s="141"/>
      <c r="N51" s="101"/>
      <c r="O51" s="1"/>
      <c r="V51" s="650" t="s">
        <v>100</v>
      </c>
      <c r="W51" s="650"/>
      <c r="X51" s="650"/>
      <c r="Y51" s="650"/>
      <c r="Z51" s="650"/>
      <c r="AA51" s="650"/>
      <c r="AB51" s="650"/>
      <c r="AC51" s="650"/>
      <c r="AD51" s="154"/>
    </row>
    <row r="52" spans="2:30" ht="27.75" customHeight="1" x14ac:dyDescent="0.25">
      <c r="B52" s="13" t="s">
        <v>101</v>
      </c>
      <c r="C52" s="13"/>
      <c r="D52" s="13"/>
      <c r="E52" s="13"/>
      <c r="F52" s="13"/>
      <c r="G52" s="13"/>
      <c r="H52" s="13"/>
      <c r="I52" s="13"/>
      <c r="J52" s="13"/>
      <c r="K52" s="13"/>
      <c r="L52" s="13"/>
      <c r="O52" s="1"/>
      <c r="V52" s="651" t="s">
        <v>101</v>
      </c>
      <c r="W52" s="651"/>
      <c r="X52" s="651"/>
      <c r="Y52" s="651"/>
      <c r="Z52" s="651"/>
      <c r="AA52" s="651"/>
      <c r="AB52" s="651"/>
      <c r="AC52" s="651"/>
      <c r="AD52" s="9"/>
    </row>
    <row r="53" spans="2:30" x14ac:dyDescent="0.25">
      <c r="B53" s="13" t="s">
        <v>102</v>
      </c>
      <c r="C53" s="13"/>
      <c r="D53" s="13"/>
      <c r="E53" s="13"/>
      <c r="F53" s="13"/>
      <c r="G53" s="155">
        <f>K26</f>
        <v>160.19759999999999</v>
      </c>
      <c r="H53" s="57" t="s">
        <v>103</v>
      </c>
      <c r="I53" s="57"/>
      <c r="J53" s="156">
        <v>197823.77</v>
      </c>
      <c r="K53" s="156"/>
      <c r="L53" s="156"/>
      <c r="N53" s="3"/>
      <c r="O53" s="1"/>
      <c r="V53" s="657" t="s">
        <v>102</v>
      </c>
      <c r="W53" s="657"/>
      <c r="X53" s="157">
        <f>AB26</f>
        <v>0</v>
      </c>
      <c r="Y53" s="658" t="s">
        <v>103</v>
      </c>
      <c r="Z53" s="658"/>
      <c r="AA53" s="659">
        <f>+J53</f>
        <v>197823.77</v>
      </c>
      <c r="AB53" s="659"/>
      <c r="AC53" s="659"/>
      <c r="AD53" s="9"/>
    </row>
    <row r="54" spans="2:30" x14ac:dyDescent="0.25">
      <c r="B54" s="13" t="s">
        <v>104</v>
      </c>
      <c r="C54" s="13"/>
      <c r="D54" s="13"/>
      <c r="E54" s="13"/>
      <c r="F54" s="13"/>
      <c r="G54" s="13"/>
      <c r="H54" s="13"/>
      <c r="I54" s="13"/>
      <c r="J54" s="13"/>
      <c r="K54" s="158">
        <f>ROUND(G53/J53,6)</f>
        <v>8.0999999999999996E-4</v>
      </c>
      <c r="L54" s="158"/>
      <c r="N54" s="101"/>
      <c r="O54" s="1"/>
      <c r="V54" s="657" t="s">
        <v>104</v>
      </c>
      <c r="W54" s="657"/>
      <c r="X54" s="657"/>
      <c r="Y54" s="657"/>
      <c r="Z54" s="657"/>
      <c r="AA54" s="657"/>
      <c r="AB54" s="660">
        <f>ROUND(X53/AA53,6)</f>
        <v>0</v>
      </c>
      <c r="AC54" s="660"/>
      <c r="AD54" s="9"/>
    </row>
    <row r="55" spans="2:30" ht="24" customHeight="1" x14ac:dyDescent="0.25">
      <c r="B55" s="13" t="s">
        <v>105</v>
      </c>
      <c r="C55" s="13"/>
      <c r="D55" s="13"/>
      <c r="E55" s="13"/>
      <c r="F55" s="13"/>
      <c r="G55" s="13"/>
      <c r="H55" s="13"/>
      <c r="I55" s="13"/>
      <c r="J55" s="13"/>
      <c r="K55" s="13"/>
      <c r="L55" s="13"/>
      <c r="O55" s="1"/>
      <c r="V55" s="651" t="s">
        <v>105</v>
      </c>
      <c r="W55" s="651"/>
      <c r="X55" s="651"/>
      <c r="Y55" s="651"/>
      <c r="Z55" s="651"/>
      <c r="AA55" s="651"/>
      <c r="AB55" s="651"/>
      <c r="AC55" s="651"/>
      <c r="AD55" s="9"/>
    </row>
    <row r="56" spans="2:30" x14ac:dyDescent="0.25">
      <c r="B56" s="13" t="s">
        <v>106</v>
      </c>
      <c r="C56" s="13"/>
      <c r="D56" s="13"/>
      <c r="E56" s="13"/>
      <c r="F56" s="13"/>
      <c r="G56" s="159">
        <f>G26</f>
        <v>150.69</v>
      </c>
      <c r="H56" s="57" t="s">
        <v>107</v>
      </c>
      <c r="I56" s="57"/>
      <c r="J56" s="156">
        <f>+G40</f>
        <v>180284.81</v>
      </c>
      <c r="K56" s="156"/>
      <c r="L56" s="156"/>
      <c r="O56" s="1"/>
      <c r="V56" s="657" t="s">
        <v>106</v>
      </c>
      <c r="W56" s="657"/>
      <c r="X56" s="160">
        <f>X26</f>
        <v>0</v>
      </c>
      <c r="Y56" s="658" t="s">
        <v>107</v>
      </c>
      <c r="Z56" s="658"/>
      <c r="AA56" s="659">
        <f>+J56</f>
        <v>180284.81</v>
      </c>
      <c r="AB56" s="659"/>
      <c r="AC56" s="659"/>
      <c r="AD56" s="9"/>
    </row>
    <row r="57" spans="2:30" x14ac:dyDescent="0.25">
      <c r="B57" s="13" t="s">
        <v>108</v>
      </c>
      <c r="C57" s="13"/>
      <c r="D57" s="13"/>
      <c r="E57" s="13"/>
      <c r="F57" s="13"/>
      <c r="G57" s="13"/>
      <c r="H57" s="13"/>
      <c r="I57" s="13"/>
      <c r="J57" s="13"/>
      <c r="K57" s="158">
        <f>ROUND(G56/J56,6)</f>
        <v>8.3600000000000005E-4</v>
      </c>
      <c r="L57" s="158"/>
      <c r="O57" s="1"/>
      <c r="V57" s="657" t="s">
        <v>108</v>
      </c>
      <c r="W57" s="657"/>
      <c r="X57" s="657"/>
      <c r="Y57" s="657"/>
      <c r="Z57" s="657"/>
      <c r="AA57" s="657"/>
      <c r="AB57" s="660">
        <f>ROUND(X56/AA56,6)</f>
        <v>0</v>
      </c>
      <c r="AC57" s="660"/>
      <c r="AD57" s="9"/>
    </row>
    <row r="58" spans="2:30" ht="20.25" customHeight="1" x14ac:dyDescent="0.25">
      <c r="B58" s="161" t="s">
        <v>109</v>
      </c>
      <c r="C58" s="161"/>
      <c r="D58" s="161"/>
      <c r="E58" s="161"/>
      <c r="F58" s="161"/>
      <c r="G58" s="161"/>
      <c r="H58" s="161"/>
      <c r="I58" s="161"/>
      <c r="J58" s="161"/>
      <c r="K58" s="161"/>
      <c r="L58" s="161"/>
      <c r="N58" s="18"/>
      <c r="O58" s="18"/>
      <c r="V58" s="629" t="s">
        <v>110</v>
      </c>
      <c r="W58" s="629"/>
      <c r="X58" s="629"/>
      <c r="Y58" s="661">
        <f>X65+X64+X62+X61+X60</f>
        <v>4123852</v>
      </c>
      <c r="Z58" s="661"/>
      <c r="AA58" s="162" t="s">
        <v>111</v>
      </c>
      <c r="AB58" s="163">
        <f>AB54</f>
        <v>0</v>
      </c>
      <c r="AC58" s="56">
        <f>ROUND(Y58*AB58,0)</f>
        <v>0</v>
      </c>
      <c r="AD58" s="9"/>
    </row>
    <row r="59" spans="2:30" x14ac:dyDescent="0.25">
      <c r="B59" s="62" t="s">
        <v>110</v>
      </c>
      <c r="C59" s="62"/>
      <c r="D59" s="62"/>
      <c r="E59" s="62"/>
      <c r="F59" s="62"/>
      <c r="G59" s="62"/>
      <c r="H59" s="164" t="s">
        <v>22</v>
      </c>
      <c r="I59" s="129">
        <v>4123852</v>
      </c>
      <c r="J59" s="165" t="s">
        <v>111</v>
      </c>
      <c r="K59" s="166">
        <f>K54</f>
        <v>8.0999999999999996E-4</v>
      </c>
      <c r="L59" s="50">
        <f>ROUND(I59*K59,0)</f>
        <v>3340</v>
      </c>
      <c r="O59" s="1"/>
      <c r="P59" s="165"/>
      <c r="Q59" s="165"/>
      <c r="V59" s="662" t="s">
        <v>112</v>
      </c>
      <c r="W59" s="662"/>
      <c r="X59" s="662"/>
      <c r="Y59" s="662"/>
      <c r="Z59" s="662"/>
      <c r="AA59" s="662"/>
      <c r="AB59" s="662"/>
      <c r="AC59" s="662"/>
      <c r="AD59" s="9"/>
    </row>
    <row r="60" spans="2:30" x14ac:dyDescent="0.25">
      <c r="B60" s="62" t="s">
        <v>112</v>
      </c>
      <c r="C60" s="62"/>
      <c r="D60" s="62"/>
      <c r="E60" s="62"/>
      <c r="F60" s="62"/>
      <c r="G60" s="62"/>
      <c r="H60" s="62"/>
      <c r="I60" s="62"/>
      <c r="J60" s="62"/>
      <c r="K60" s="62"/>
      <c r="L60" s="62"/>
      <c r="O60" s="1"/>
      <c r="P60" s="165"/>
      <c r="Q60" s="165"/>
      <c r="V60" s="663" t="s">
        <v>113</v>
      </c>
      <c r="W60" s="663"/>
      <c r="X60" s="664">
        <f>+G61</f>
        <v>0</v>
      </c>
      <c r="Y60" s="664"/>
      <c r="Z60" s="664"/>
      <c r="AA60" s="664"/>
      <c r="AB60" s="664"/>
      <c r="AC60" s="664"/>
      <c r="AD60" s="9"/>
    </row>
    <row r="61" spans="2:30" ht="15" customHeight="1" x14ac:dyDescent="0.25">
      <c r="B61" s="167" t="s">
        <v>113</v>
      </c>
      <c r="C61" s="62"/>
      <c r="D61" s="62"/>
      <c r="E61" s="62"/>
      <c r="F61" s="62"/>
      <c r="G61" s="168">
        <v>0</v>
      </c>
      <c r="H61" s="168"/>
      <c r="I61" s="168"/>
      <c r="J61" s="168"/>
      <c r="K61" s="168"/>
      <c r="L61" s="168"/>
      <c r="O61" s="1"/>
      <c r="P61" s="165"/>
      <c r="Q61" s="165"/>
      <c r="V61" s="663" t="s">
        <v>114</v>
      </c>
      <c r="W61" s="663"/>
      <c r="X61" s="664">
        <f>+G62</f>
        <v>0</v>
      </c>
      <c r="Y61" s="664"/>
      <c r="Z61" s="664"/>
      <c r="AA61" s="664"/>
      <c r="AB61" s="664"/>
      <c r="AC61" s="664"/>
      <c r="AD61" s="9"/>
    </row>
    <row r="62" spans="2:30" ht="13.5" customHeight="1" x14ac:dyDescent="0.25">
      <c r="B62" s="167" t="s">
        <v>114</v>
      </c>
      <c r="C62" s="62"/>
      <c r="D62" s="62"/>
      <c r="E62" s="62"/>
      <c r="F62" s="62"/>
      <c r="G62" s="168">
        <v>0</v>
      </c>
      <c r="H62" s="168"/>
      <c r="I62" s="168"/>
      <c r="J62" s="168"/>
      <c r="K62" s="168"/>
      <c r="L62" s="168"/>
      <c r="N62" s="165"/>
      <c r="O62" s="165"/>
      <c r="P62" s="165"/>
      <c r="Q62" s="165"/>
      <c r="V62" s="663" t="s">
        <v>115</v>
      </c>
      <c r="W62" s="663"/>
      <c r="X62" s="664">
        <v>0</v>
      </c>
      <c r="Y62" s="664"/>
      <c r="Z62" s="664"/>
      <c r="AA62" s="664"/>
      <c r="AB62" s="664"/>
      <c r="AC62" s="664"/>
      <c r="AD62" s="9"/>
    </row>
    <row r="63" spans="2:30" ht="13.5" hidden="1" customHeight="1" x14ac:dyDescent="0.25">
      <c r="B63" s="62" t="s">
        <v>115</v>
      </c>
      <c r="C63" s="62"/>
      <c r="D63" s="62"/>
      <c r="E63" s="62"/>
      <c r="F63" s="62"/>
      <c r="G63" s="168">
        <v>0</v>
      </c>
      <c r="H63" s="168"/>
      <c r="I63" s="168"/>
      <c r="J63" s="168"/>
      <c r="K63" s="168"/>
      <c r="L63" s="168"/>
      <c r="O63" s="1"/>
      <c r="P63" s="165"/>
      <c r="Q63" s="165"/>
      <c r="V63" s="662" t="s">
        <v>116</v>
      </c>
      <c r="W63" s="662"/>
      <c r="X63" s="662"/>
      <c r="Y63" s="662"/>
      <c r="Z63" s="662"/>
      <c r="AA63" s="662"/>
      <c r="AB63" s="662"/>
      <c r="AC63" s="662"/>
      <c r="AD63" s="117"/>
    </row>
    <row r="64" spans="2:30" ht="13.5" customHeight="1" x14ac:dyDescent="0.25">
      <c r="B64" s="62" t="s">
        <v>116</v>
      </c>
      <c r="C64" s="62"/>
      <c r="D64" s="62"/>
      <c r="E64" s="62"/>
      <c r="F64" s="62"/>
      <c r="G64" s="62"/>
      <c r="H64" s="62"/>
      <c r="I64" s="62"/>
      <c r="J64" s="62"/>
      <c r="K64" s="62"/>
      <c r="L64" s="62"/>
      <c r="M64" s="116"/>
      <c r="N64" s="18"/>
      <c r="O64" s="1"/>
      <c r="V64" s="663" t="s">
        <v>117</v>
      </c>
      <c r="W64" s="663"/>
      <c r="X64" s="664">
        <f>+G65</f>
        <v>4123852</v>
      </c>
      <c r="Y64" s="664"/>
      <c r="Z64" s="664"/>
      <c r="AA64" s="664"/>
      <c r="AB64" s="664"/>
      <c r="AC64" s="664"/>
      <c r="AD64" s="9"/>
    </row>
    <row r="65" spans="1:30" ht="12.75" customHeight="1" x14ac:dyDescent="0.25">
      <c r="B65" s="167" t="s">
        <v>117</v>
      </c>
      <c r="C65" s="62"/>
      <c r="D65" s="62"/>
      <c r="E65" s="62"/>
      <c r="F65" s="62"/>
      <c r="G65" s="168">
        <f>+I59</f>
        <v>4123852</v>
      </c>
      <c r="H65" s="168"/>
      <c r="I65" s="168"/>
      <c r="J65" s="168"/>
      <c r="K65" s="168"/>
      <c r="L65" s="168"/>
      <c r="O65" s="1"/>
      <c r="V65" s="663" t="s">
        <v>118</v>
      </c>
      <c r="W65" s="663"/>
      <c r="X65" s="664">
        <f>+G66</f>
        <v>0</v>
      </c>
      <c r="Y65" s="664"/>
      <c r="Z65" s="664"/>
      <c r="AA65" s="664"/>
      <c r="AB65" s="664"/>
      <c r="AC65" s="664"/>
      <c r="AD65" s="20"/>
    </row>
    <row r="66" spans="1:30" ht="15" customHeight="1" x14ac:dyDescent="0.25">
      <c r="B66" s="167" t="s">
        <v>118</v>
      </c>
      <c r="C66" s="62"/>
      <c r="D66" s="62"/>
      <c r="E66" s="62"/>
      <c r="F66" s="62"/>
      <c r="G66" s="168">
        <v>0</v>
      </c>
      <c r="H66" s="168"/>
      <c r="I66" s="168"/>
      <c r="J66" s="168"/>
      <c r="K66" s="168"/>
      <c r="L66" s="168"/>
      <c r="M66" s="18"/>
      <c r="N66" s="3"/>
      <c r="O66" s="169"/>
      <c r="P66" s="169"/>
      <c r="Q66" s="169"/>
      <c r="V66" s="651" t="s">
        <v>119</v>
      </c>
      <c r="W66" s="651"/>
      <c r="X66" s="651"/>
      <c r="Y66" s="661">
        <f>+I67</f>
        <v>96774526</v>
      </c>
      <c r="Z66" s="661"/>
      <c r="AA66" s="162" t="s">
        <v>111</v>
      </c>
      <c r="AB66" s="163">
        <f>AB54</f>
        <v>0</v>
      </c>
      <c r="AC66" s="56">
        <f>ROUND(Y66*AB66,0)</f>
        <v>0</v>
      </c>
      <c r="AD66" s="9"/>
    </row>
    <row r="67" spans="1:30" ht="20.25" customHeight="1" x14ac:dyDescent="0.25">
      <c r="B67" s="13" t="s">
        <v>119</v>
      </c>
      <c r="C67" s="13"/>
      <c r="D67" s="13"/>
      <c r="E67" s="13"/>
      <c r="F67" s="13"/>
      <c r="H67" s="164" t="s">
        <v>25</v>
      </c>
      <c r="I67" s="129">
        <v>96774526</v>
      </c>
      <c r="J67" s="165" t="s">
        <v>111</v>
      </c>
      <c r="K67" s="166">
        <f>K54</f>
        <v>8.0999999999999996E-4</v>
      </c>
      <c r="L67" s="50">
        <f>ROUND(I67*K67,0)</f>
        <v>78387</v>
      </c>
      <c r="O67" s="1"/>
      <c r="V67" s="651" t="s">
        <v>120</v>
      </c>
      <c r="W67" s="651"/>
      <c r="X67" s="651"/>
      <c r="Y67" s="651"/>
      <c r="Z67" s="651"/>
      <c r="AA67" s="651"/>
      <c r="AB67" s="651"/>
      <c r="AC67" s="651"/>
      <c r="AD67" s="9"/>
    </row>
    <row r="68" spans="1:30" ht="20.25" customHeight="1" x14ac:dyDescent="0.25">
      <c r="B68" s="13" t="s">
        <v>120</v>
      </c>
      <c r="C68" s="13"/>
      <c r="D68" s="13"/>
      <c r="E68" s="13"/>
      <c r="F68" s="13"/>
      <c r="H68" s="13"/>
      <c r="I68" s="13"/>
      <c r="J68" s="82"/>
      <c r="K68" s="13"/>
      <c r="L68" s="13"/>
      <c r="O68" s="1"/>
      <c r="V68" s="667" t="s">
        <v>121</v>
      </c>
      <c r="W68" s="667"/>
      <c r="X68" s="667"/>
      <c r="Y68" s="661">
        <f>+I69</f>
        <v>0</v>
      </c>
      <c r="Z68" s="661"/>
      <c r="AA68" s="162" t="s">
        <v>111</v>
      </c>
      <c r="AB68" s="163">
        <f>AB57</f>
        <v>0</v>
      </c>
      <c r="AC68" s="56">
        <f>ROUND(Y68*AB68,0)</f>
        <v>0</v>
      </c>
      <c r="AD68" s="9"/>
    </row>
    <row r="69" spans="1:30" ht="15" customHeight="1" x14ac:dyDescent="0.25">
      <c r="B69" s="170" t="s">
        <v>121</v>
      </c>
      <c r="C69" s="13"/>
      <c r="D69" s="13"/>
      <c r="E69" s="13"/>
      <c r="F69" s="13"/>
      <c r="H69" s="164" t="s">
        <v>23</v>
      </c>
      <c r="I69" s="129">
        <v>0</v>
      </c>
      <c r="J69" s="165" t="s">
        <v>111</v>
      </c>
      <c r="K69" s="166">
        <f>K57</f>
        <v>8.3600000000000005E-4</v>
      </c>
      <c r="L69" s="50">
        <f>ROUND(I69*K69,0)</f>
        <v>0</v>
      </c>
      <c r="O69" s="1"/>
      <c r="V69" s="651" t="s">
        <v>122</v>
      </c>
      <c r="W69" s="651"/>
      <c r="X69" s="651"/>
      <c r="Y69" s="668">
        <f>+I70</f>
        <v>-3460775</v>
      </c>
      <c r="Z69" s="668"/>
      <c r="AA69" s="162" t="s">
        <v>111</v>
      </c>
      <c r="AB69" s="163">
        <f>AB54</f>
        <v>0</v>
      </c>
      <c r="AC69" s="56">
        <f>ROUND(Y69*AB69,0)</f>
        <v>0</v>
      </c>
      <c r="AD69" s="9"/>
    </row>
    <row r="70" spans="1:30" ht="20.25" customHeight="1" x14ac:dyDescent="0.25">
      <c r="B70" s="13" t="s">
        <v>122</v>
      </c>
      <c r="C70" s="13"/>
      <c r="D70" s="13"/>
      <c r="E70" s="13"/>
      <c r="F70" s="13"/>
      <c r="H70" s="164" t="s">
        <v>22</v>
      </c>
      <c r="I70" s="129">
        <v>-3460775</v>
      </c>
      <c r="J70" s="165" t="s">
        <v>111</v>
      </c>
      <c r="K70" s="166">
        <f>K54</f>
        <v>8.0999999999999996E-4</v>
      </c>
      <c r="L70" s="50">
        <f>ROUND(I70*K70,0)</f>
        <v>-2803</v>
      </c>
      <c r="O70" s="1"/>
      <c r="V70" s="651" t="s">
        <v>123</v>
      </c>
      <c r="W70" s="651"/>
      <c r="X70" s="651"/>
      <c r="Y70" s="665">
        <f>+I71</f>
        <v>1874788</v>
      </c>
      <c r="Z70" s="665"/>
      <c r="AA70" s="162" t="s">
        <v>111</v>
      </c>
      <c r="AB70" s="163">
        <f>AB54</f>
        <v>0</v>
      </c>
      <c r="AC70" s="56">
        <f>ROUND(Y70*AB70,0)</f>
        <v>0</v>
      </c>
      <c r="AD70" s="9"/>
    </row>
    <row r="71" spans="1:30" ht="20.25" customHeight="1" x14ac:dyDescent="0.25">
      <c r="B71" s="13" t="s">
        <v>123</v>
      </c>
      <c r="C71" s="13"/>
      <c r="D71" s="13"/>
      <c r="E71" s="13"/>
      <c r="F71" s="13"/>
      <c r="H71" s="164" t="s">
        <v>22</v>
      </c>
      <c r="I71" s="129">
        <v>1874788</v>
      </c>
      <c r="J71" s="165" t="s">
        <v>111</v>
      </c>
      <c r="K71" s="166">
        <f>K54</f>
        <v>8.0999999999999996E-4</v>
      </c>
      <c r="L71" s="50">
        <f>ROUND(I71*K71,0)</f>
        <v>1519</v>
      </c>
      <c r="O71" s="1"/>
      <c r="V71" s="651" t="s">
        <v>124</v>
      </c>
      <c r="W71" s="651"/>
      <c r="X71" s="651"/>
      <c r="Y71" s="665">
        <f>+I72</f>
        <v>14223298</v>
      </c>
      <c r="Z71" s="665"/>
      <c r="AA71" s="162" t="s">
        <v>111</v>
      </c>
      <c r="AB71" s="163">
        <f>AB57</f>
        <v>0</v>
      </c>
      <c r="AC71" s="56">
        <f>ROUND(Y71*AB71,0)</f>
        <v>0</v>
      </c>
      <c r="AD71" s="9"/>
    </row>
    <row r="72" spans="1:30" ht="21" customHeight="1" x14ac:dyDescent="0.25">
      <c r="B72" s="13" t="s">
        <v>124</v>
      </c>
      <c r="C72" s="13"/>
      <c r="D72" s="13"/>
      <c r="E72" s="13"/>
      <c r="F72" s="13"/>
      <c r="H72" s="164" t="s">
        <v>23</v>
      </c>
      <c r="I72" s="171">
        <v>14223298</v>
      </c>
      <c r="J72" s="165" t="s">
        <v>111</v>
      </c>
      <c r="K72" s="166">
        <f>K57</f>
        <v>8.3600000000000005E-4</v>
      </c>
      <c r="L72" s="50">
        <f>ROUND(I72*K72,0)</f>
        <v>11891</v>
      </c>
      <c r="O72" s="1"/>
      <c r="V72" s="623" t="s">
        <v>125</v>
      </c>
      <c r="W72" s="623"/>
      <c r="X72" s="623"/>
      <c r="Y72" s="623"/>
      <c r="Z72" s="623"/>
      <c r="AA72" s="623"/>
      <c r="AB72" s="623"/>
      <c r="AC72" s="60"/>
      <c r="AD72" s="9"/>
    </row>
    <row r="73" spans="1:30" ht="17.25" customHeight="1" x14ac:dyDescent="0.25">
      <c r="B73" s="13" t="s">
        <v>125</v>
      </c>
      <c r="C73" s="13"/>
      <c r="D73" s="13"/>
      <c r="E73" s="13"/>
      <c r="F73" s="13"/>
      <c r="H73" s="13"/>
      <c r="I73" s="13"/>
      <c r="J73" s="82"/>
      <c r="K73" s="13"/>
      <c r="L73" s="59"/>
      <c r="O73" s="1"/>
      <c r="V73" s="651" t="s">
        <v>126</v>
      </c>
      <c r="W73" s="651"/>
      <c r="X73" s="651"/>
      <c r="Y73" s="651"/>
      <c r="Z73" s="651"/>
      <c r="AA73" s="651"/>
      <c r="AB73" s="651"/>
      <c r="AC73" s="651"/>
      <c r="AD73" s="9"/>
    </row>
    <row r="74" spans="1:30" ht="31.5" x14ac:dyDescent="0.25">
      <c r="B74" s="13" t="s">
        <v>126</v>
      </c>
      <c r="C74" s="13"/>
      <c r="D74" s="27" t="s">
        <v>13</v>
      </c>
      <c r="E74" s="27" t="s">
        <v>14</v>
      </c>
      <c r="F74" s="27"/>
      <c r="H74" s="164" t="s">
        <v>26</v>
      </c>
      <c r="I74" s="172"/>
      <c r="J74" s="164"/>
      <c r="K74" s="172"/>
      <c r="L74" s="112"/>
      <c r="O74" s="1"/>
      <c r="V74" s="666" t="s">
        <v>127</v>
      </c>
      <c r="W74" s="666"/>
      <c r="X74" s="173" t="s">
        <v>128</v>
      </c>
      <c r="Y74" s="174"/>
      <c r="Z74" s="175">
        <f>+I75</f>
        <v>27.5</v>
      </c>
      <c r="AA74" s="176" t="s">
        <v>129</v>
      </c>
      <c r="AB74" s="177">
        <f>+K75</f>
        <v>361</v>
      </c>
      <c r="AC74" s="56">
        <f>ROUND(AB74*Z74,0)</f>
        <v>9928</v>
      </c>
      <c r="AD74" s="9"/>
    </row>
    <row r="75" spans="1:30" ht="19.5" customHeight="1" x14ac:dyDescent="0.25">
      <c r="A75" s="1" t="s">
        <v>130</v>
      </c>
      <c r="B75" s="178" t="s">
        <v>127</v>
      </c>
      <c r="C75" s="179" t="s">
        <v>128</v>
      </c>
      <c r="D75" s="178">
        <v>0</v>
      </c>
      <c r="E75" s="178">
        <v>55</v>
      </c>
      <c r="F75" s="178">
        <v>0</v>
      </c>
      <c r="G75" s="180">
        <f>IF(E75=0,D75,E75)</f>
        <v>55</v>
      </c>
      <c r="H75" s="181"/>
      <c r="I75" s="182">
        <f>AVERAGE(G75,D75)</f>
        <v>27.5</v>
      </c>
      <c r="J75" s="183" t="s">
        <v>129</v>
      </c>
      <c r="K75" s="184">
        <v>361</v>
      </c>
      <c r="L75" s="50">
        <f>ROUND(K75*I75,0)</f>
        <v>9928</v>
      </c>
      <c r="N75" s="1">
        <v>7802</v>
      </c>
      <c r="O75" s="1">
        <v>0</v>
      </c>
      <c r="V75" s="666" t="s">
        <v>127</v>
      </c>
      <c r="W75" s="666"/>
      <c r="X75" s="173" t="s">
        <v>131</v>
      </c>
      <c r="Y75" s="185"/>
      <c r="Z75" s="186">
        <f>+I76</f>
        <v>0</v>
      </c>
      <c r="AA75" s="176" t="s">
        <v>129</v>
      </c>
      <c r="AB75" s="187">
        <f>+K76</f>
        <v>1358</v>
      </c>
      <c r="AC75" s="56">
        <f>ROUND(AB75*Z75,0)</f>
        <v>0</v>
      </c>
      <c r="AD75" s="9"/>
    </row>
    <row r="76" spans="1:30" ht="19.5" customHeight="1" x14ac:dyDescent="0.25">
      <c r="A76" s="1" t="s">
        <v>132</v>
      </c>
      <c r="B76" s="178" t="s">
        <v>127</v>
      </c>
      <c r="C76" s="179" t="s">
        <v>131</v>
      </c>
      <c r="D76" s="178">
        <v>0</v>
      </c>
      <c r="E76" s="178">
        <v>0</v>
      </c>
      <c r="F76" s="178">
        <v>0</v>
      </c>
      <c r="G76" s="180">
        <f>IF(E76=0,D76,E76)</f>
        <v>0</v>
      </c>
      <c r="H76" s="181"/>
      <c r="I76" s="182">
        <f>AVERAGE(G76,D76)</f>
        <v>0</v>
      </c>
      <c r="J76" s="183" t="s">
        <v>129</v>
      </c>
      <c r="K76" s="188">
        <v>1358</v>
      </c>
      <c r="L76" s="50">
        <f>ROUND(K76*I76,0)</f>
        <v>0</v>
      </c>
      <c r="N76" s="1">
        <v>7802</v>
      </c>
      <c r="O76" s="1">
        <v>110</v>
      </c>
      <c r="V76" s="651" t="s">
        <v>133</v>
      </c>
      <c r="W76" s="651"/>
      <c r="X76" s="651"/>
      <c r="Y76" s="661">
        <f>+I77</f>
        <v>33305823</v>
      </c>
      <c r="Z76" s="661"/>
      <c r="AA76" s="176" t="s">
        <v>129</v>
      </c>
      <c r="AB76" s="163">
        <f>AB54</f>
        <v>0</v>
      </c>
      <c r="AC76" s="56">
        <f>ROUND(Y76*AB76,0)</f>
        <v>0</v>
      </c>
      <c r="AD76" s="9"/>
    </row>
    <row r="77" spans="1:30" ht="26.25" customHeight="1" x14ac:dyDescent="0.25">
      <c r="B77" s="13" t="s">
        <v>133</v>
      </c>
      <c r="C77" s="13"/>
      <c r="D77" s="13"/>
      <c r="E77" s="13"/>
      <c r="F77" s="13"/>
      <c r="H77" s="164" t="s">
        <v>134</v>
      </c>
      <c r="I77" s="189">
        <v>33305823</v>
      </c>
      <c r="J77" s="165" t="s">
        <v>111</v>
      </c>
      <c r="K77" s="166">
        <f>K54</f>
        <v>8.0999999999999996E-4</v>
      </c>
      <c r="L77" s="50">
        <f>ROUND(I77*K77,0)</f>
        <v>26978</v>
      </c>
      <c r="O77" s="1"/>
      <c r="V77" s="651" t="str">
        <f>+B78</f>
        <v>15.  Additional Allocation (WFTE share)</v>
      </c>
      <c r="W77" s="651"/>
      <c r="X77" s="651"/>
      <c r="Y77" s="661">
        <f>+I78</f>
        <v>680688</v>
      </c>
      <c r="Z77" s="661"/>
      <c r="AA77" s="176" t="s">
        <v>129</v>
      </c>
      <c r="AB77" s="163">
        <f>AB54</f>
        <v>0</v>
      </c>
      <c r="AC77" s="56">
        <f>ROUND(Y77*AB77,0)</f>
        <v>0</v>
      </c>
      <c r="AD77" s="9"/>
    </row>
    <row r="78" spans="1:30" ht="26.25" customHeight="1" x14ac:dyDescent="0.25">
      <c r="B78" s="669" t="s">
        <v>135</v>
      </c>
      <c r="C78" s="669"/>
      <c r="D78" s="669"/>
      <c r="E78" s="13"/>
      <c r="F78" s="13"/>
      <c r="H78" s="164" t="s">
        <v>136</v>
      </c>
      <c r="I78" s="190">
        <v>680688</v>
      </c>
      <c r="J78" s="165" t="s">
        <v>111</v>
      </c>
      <c r="K78" s="166">
        <f>K54</f>
        <v>8.0999999999999996E-4</v>
      </c>
      <c r="L78" s="50">
        <f>ROUND(I78*K78,0)</f>
        <v>551</v>
      </c>
      <c r="O78" s="1"/>
      <c r="V78" s="651" t="str">
        <f t="shared" ref="V78:V79" si="11">+B79</f>
        <v>16.  Florida Teachers Lead Program Stipend</v>
      </c>
      <c r="W78" s="651"/>
      <c r="X78" s="651"/>
      <c r="Y78" s="191"/>
      <c r="Z78" s="191"/>
      <c r="AA78" s="191"/>
      <c r="AB78" s="191"/>
      <c r="AC78" s="134"/>
      <c r="AD78" s="9"/>
    </row>
    <row r="79" spans="1:30" ht="21" customHeight="1" x14ac:dyDescent="0.25">
      <c r="B79" s="669" t="s">
        <v>137</v>
      </c>
      <c r="C79" s="669"/>
      <c r="D79" s="669"/>
      <c r="E79" s="13"/>
      <c r="F79" s="13"/>
      <c r="H79" s="164"/>
      <c r="I79" s="172"/>
      <c r="J79" s="172"/>
      <c r="K79" s="172"/>
      <c r="L79" s="129"/>
      <c r="N79" s="192"/>
      <c r="O79" s="1"/>
      <c r="Q79" s="164"/>
      <c r="V79" s="651" t="str">
        <f t="shared" si="11"/>
        <v>17.  Food Service Allocation</v>
      </c>
      <c r="W79" s="651"/>
      <c r="X79" s="651"/>
      <c r="Y79" s="191"/>
      <c r="Z79" s="191"/>
      <c r="AA79" s="191"/>
      <c r="AB79" s="191"/>
      <c r="AC79" s="193"/>
      <c r="AD79" s="9"/>
    </row>
    <row r="80" spans="1:30" ht="21" customHeight="1" x14ac:dyDescent="0.25">
      <c r="B80" s="669" t="s">
        <v>138</v>
      </c>
      <c r="C80" s="669"/>
      <c r="D80" s="669"/>
      <c r="E80" s="13"/>
      <c r="F80" s="13"/>
      <c r="H80" s="194" t="s">
        <v>139</v>
      </c>
      <c r="I80" s="195"/>
      <c r="J80" s="195"/>
      <c r="K80" s="195"/>
      <c r="L80" s="196"/>
      <c r="N80" s="197"/>
      <c r="O80" s="1"/>
      <c r="Q80" s="164"/>
      <c r="V80" s="191"/>
      <c r="W80" s="191"/>
      <c r="X80" s="191"/>
      <c r="Y80" s="191"/>
      <c r="Z80" s="191"/>
      <c r="AA80" s="191"/>
      <c r="AB80" s="191"/>
      <c r="AC80" s="193"/>
      <c r="AD80" s="9"/>
    </row>
    <row r="81" spans="1:30" ht="21" customHeight="1" thickBot="1" x14ac:dyDescent="0.3">
      <c r="B81" s="13"/>
      <c r="C81" s="13"/>
      <c r="D81" s="13"/>
      <c r="E81" s="13"/>
      <c r="F81" s="13"/>
      <c r="G81" s="13"/>
      <c r="H81" s="13"/>
      <c r="I81" s="13"/>
      <c r="J81" s="13"/>
      <c r="K81" s="13"/>
      <c r="L81" s="196"/>
      <c r="M81" s="198"/>
      <c r="N81" s="197"/>
      <c r="O81" s="1"/>
      <c r="Q81" s="164"/>
      <c r="V81" s="191" t="s">
        <v>140</v>
      </c>
      <c r="W81" s="191"/>
      <c r="X81" s="191"/>
      <c r="Y81" s="191"/>
      <c r="Z81" s="191"/>
      <c r="AA81" s="191"/>
      <c r="AB81" s="191"/>
      <c r="AC81" s="199">
        <f>SUM(AC44:AC80)</f>
        <v>9928</v>
      </c>
      <c r="AD81" s="200"/>
    </row>
    <row r="82" spans="1:30" ht="22.5" customHeight="1" thickTop="1" thickBot="1" x14ac:dyDescent="0.3">
      <c r="B82" s="13" t="s">
        <v>141</v>
      </c>
      <c r="C82" s="13"/>
      <c r="D82" s="13"/>
      <c r="E82" s="13"/>
      <c r="F82" s="13"/>
      <c r="G82" s="13"/>
      <c r="H82" s="13"/>
      <c r="I82" s="13"/>
      <c r="J82" s="13"/>
      <c r="K82" s="13"/>
      <c r="L82" s="201">
        <f>SUM(L44:L81)</f>
        <v>987878</v>
      </c>
      <c r="M82" s="202"/>
      <c r="N82" s="203"/>
      <c r="O82" s="1"/>
      <c r="Q82" s="164"/>
      <c r="V82" s="191"/>
      <c r="W82" s="191"/>
      <c r="X82" s="191"/>
      <c r="Y82" s="191"/>
      <c r="Z82" s="191"/>
      <c r="AA82" s="191"/>
      <c r="AB82" s="191"/>
      <c r="AC82" s="204"/>
      <c r="AD82" s="200"/>
    </row>
    <row r="83" spans="1:30" ht="27.75" customHeight="1" thickTop="1" x14ac:dyDescent="0.25">
      <c r="B83" s="13" t="s">
        <v>142</v>
      </c>
      <c r="C83" s="13"/>
      <c r="D83" s="13"/>
      <c r="E83" s="13"/>
      <c r="F83" s="13"/>
      <c r="G83" s="13"/>
      <c r="H83" s="13"/>
      <c r="I83" s="13"/>
      <c r="J83" s="13"/>
      <c r="K83" s="82" t="s">
        <v>143</v>
      </c>
      <c r="L83" s="205" t="s">
        <v>144</v>
      </c>
      <c r="M83" s="202"/>
      <c r="N83" s="203"/>
      <c r="O83" s="1"/>
      <c r="Q83" s="164"/>
      <c r="V83" s="9" t="s">
        <v>145</v>
      </c>
      <c r="W83" s="9"/>
      <c r="X83" s="9"/>
      <c r="Y83" s="9"/>
      <c r="Z83" s="9"/>
      <c r="AA83" s="9"/>
      <c r="AB83" s="9"/>
      <c r="AC83" s="9"/>
      <c r="AD83" s="206"/>
    </row>
    <row r="84" spans="1:30" ht="18.75" customHeight="1" thickBot="1" x14ac:dyDescent="0.3">
      <c r="B84" s="13" t="s">
        <v>146</v>
      </c>
      <c r="C84" s="13"/>
      <c r="D84" s="13"/>
      <c r="E84" s="13"/>
      <c r="F84" s="13"/>
      <c r="G84" s="13"/>
      <c r="H84" s="13"/>
      <c r="I84" s="13"/>
      <c r="J84" s="13"/>
      <c r="K84" s="207" t="str">
        <f>IF(G26=0,"",IF((G11+G13+SUM(G15:G21))/G26&gt;0.75,1,""))</f>
        <v/>
      </c>
      <c r="L84" s="201">
        <f>'2661'!AC81</f>
        <v>9928</v>
      </c>
      <c r="M84" s="202"/>
      <c r="N84" s="203"/>
      <c r="O84" s="1"/>
      <c r="Q84" s="164"/>
      <c r="V84" s="208" t="s">
        <v>147</v>
      </c>
      <c r="W84" s="208"/>
      <c r="X84" s="208"/>
      <c r="Y84" s="208"/>
      <c r="Z84" s="208"/>
      <c r="AA84" s="208"/>
      <c r="AB84" s="208"/>
      <c r="AC84" s="208"/>
      <c r="AD84" s="9"/>
    </row>
    <row r="85" spans="1:30" ht="18.75" customHeight="1" thickTop="1" x14ac:dyDescent="0.25">
      <c r="B85" s="13"/>
      <c r="C85" s="13"/>
      <c r="D85" s="13"/>
      <c r="E85" s="13"/>
      <c r="F85" s="13"/>
      <c r="G85" s="13"/>
      <c r="H85" s="13"/>
      <c r="I85" s="13"/>
      <c r="J85" s="13"/>
      <c r="M85" s="202"/>
      <c r="N85" s="203"/>
      <c r="O85" s="1"/>
      <c r="Q85" s="164"/>
      <c r="V85" s="208" t="s">
        <v>148</v>
      </c>
      <c r="W85" s="208"/>
      <c r="X85" s="208"/>
      <c r="Y85" s="208"/>
      <c r="Z85" s="208"/>
      <c r="AA85" s="208"/>
      <c r="AB85" s="208"/>
      <c r="AC85" s="208"/>
      <c r="AD85" s="206"/>
    </row>
    <row r="86" spans="1:30" ht="18.75" customHeight="1" x14ac:dyDescent="0.25">
      <c r="B86" s="2" t="s">
        <v>149</v>
      </c>
      <c r="C86" s="13"/>
      <c r="D86" s="13"/>
      <c r="E86" s="13"/>
      <c r="F86" s="13"/>
      <c r="G86" s="13"/>
      <c r="H86" s="13"/>
      <c r="I86" s="13"/>
      <c r="J86" s="209" t="s">
        <v>150</v>
      </c>
      <c r="K86" s="210">
        <f>IF(K84=1,L84,L82)</f>
        <v>987878</v>
      </c>
      <c r="L86" s="211">
        <f>IF(G26=0,0,IF(G26&gt;250,-(((250/G26)*K86)*IF(M86="H",0.02,0.05)),IF(M86="H",-0.02*K86,-0.05*K86)))</f>
        <v>-49393.9</v>
      </c>
      <c r="M86" s="212" t="str">
        <f>IF(B123="2801","H",IF(B123="2911","H",IF(B123="3382","H"," ")))</f>
        <v xml:space="preserve"> </v>
      </c>
      <c r="N86" s="203"/>
      <c r="O86" s="1"/>
      <c r="Q86" s="164"/>
      <c r="V86" s="208" t="s">
        <v>151</v>
      </c>
      <c r="W86" s="208"/>
      <c r="X86" s="208"/>
      <c r="Y86" s="208"/>
      <c r="Z86" s="208"/>
      <c r="AA86" s="208"/>
      <c r="AB86" s="208"/>
      <c r="AC86" s="208"/>
      <c r="AD86" s="206"/>
    </row>
    <row r="87" spans="1:30" ht="18.75" customHeight="1" x14ac:dyDescent="0.25">
      <c r="B87" s="2" t="s">
        <v>152</v>
      </c>
      <c r="C87" s="13"/>
      <c r="D87" s="13"/>
      <c r="E87" s="13"/>
      <c r="F87" s="13"/>
      <c r="G87" s="13"/>
      <c r="H87" s="13"/>
      <c r="I87" s="13"/>
      <c r="J87" s="13"/>
      <c r="K87" s="213"/>
      <c r="L87" s="205">
        <f>L82+L86</f>
        <v>938484.1</v>
      </c>
      <c r="M87" s="202"/>
      <c r="N87" s="203"/>
      <c r="O87" s="1"/>
      <c r="Q87" s="164"/>
      <c r="V87" s="198"/>
      <c r="W87" s="198"/>
      <c r="X87" s="198"/>
      <c r="Y87" s="198"/>
      <c r="Z87" s="198"/>
      <c r="AA87" s="198"/>
      <c r="AB87" s="198"/>
      <c r="AC87" s="198"/>
      <c r="AD87" s="214"/>
    </row>
    <row r="88" spans="1:30" x14ac:dyDescent="0.25">
      <c r="V88" s="198"/>
      <c r="W88" s="198"/>
      <c r="X88" s="198"/>
      <c r="Y88" s="198"/>
      <c r="Z88" s="198"/>
      <c r="AA88" s="198"/>
      <c r="AB88" s="198"/>
      <c r="AC88" s="198"/>
      <c r="AD88" s="215"/>
    </row>
    <row r="89" spans="1:30" ht="18.75" customHeight="1" x14ac:dyDescent="0.25">
      <c r="A89" s="1" t="s">
        <v>153</v>
      </c>
      <c r="B89" s="13" t="s">
        <v>154</v>
      </c>
      <c r="C89" s="13"/>
      <c r="D89" s="13">
        <v>495859</v>
      </c>
      <c r="E89" s="13">
        <v>68151</v>
      </c>
      <c r="F89" s="13">
        <v>768463</v>
      </c>
      <c r="G89" s="13"/>
      <c r="H89" s="13"/>
      <c r="I89" s="13"/>
      <c r="J89" s="13"/>
      <c r="K89" s="213"/>
      <c r="L89" s="84">
        <f>-F89-85011</f>
        <v>-853474</v>
      </c>
      <c r="M89" s="202"/>
      <c r="N89" s="203"/>
      <c r="O89" s="1"/>
      <c r="Q89" s="164"/>
      <c r="V89" s="198">
        <v>2801</v>
      </c>
      <c r="W89" s="198"/>
      <c r="X89" s="198"/>
      <c r="Y89" s="198"/>
      <c r="Z89" s="198"/>
      <c r="AA89" s="198"/>
      <c r="AB89" s="198"/>
      <c r="AC89" s="198"/>
      <c r="AD89" s="214"/>
    </row>
    <row r="90" spans="1:30" ht="18.75" customHeight="1" x14ac:dyDescent="0.25">
      <c r="B90" s="13" t="s">
        <v>155</v>
      </c>
      <c r="C90" s="13"/>
      <c r="D90" s="13"/>
      <c r="E90" s="13"/>
      <c r="F90" s="13"/>
      <c r="G90" s="13"/>
      <c r="H90" s="13"/>
      <c r="I90" s="13"/>
      <c r="J90" s="13"/>
      <c r="K90" s="213"/>
      <c r="L90" s="205">
        <f>L87+L89</f>
        <v>85010.099999999977</v>
      </c>
      <c r="M90" s="202"/>
      <c r="N90" s="203"/>
      <c r="O90" s="1"/>
      <c r="Q90" s="164"/>
      <c r="V90" s="198">
        <v>2911</v>
      </c>
      <c r="W90" s="216"/>
      <c r="X90" s="216"/>
      <c r="Y90" s="216"/>
      <c r="Z90" s="216"/>
      <c r="AA90" s="216"/>
      <c r="AB90" s="216"/>
      <c r="AC90" s="216"/>
      <c r="AD90" s="214"/>
    </row>
    <row r="91" spans="1:30" ht="18.75" customHeight="1" x14ac:dyDescent="0.25">
      <c r="B91" s="13" t="s">
        <v>156</v>
      </c>
      <c r="C91" s="13"/>
      <c r="D91" s="13"/>
      <c r="E91" s="13"/>
      <c r="F91" s="13"/>
      <c r="G91" s="13"/>
      <c r="H91" s="13"/>
      <c r="I91" s="13"/>
      <c r="J91" s="13"/>
      <c r="K91" s="213"/>
      <c r="L91" s="205">
        <v>1</v>
      </c>
      <c r="M91" s="202"/>
      <c r="N91" s="203"/>
      <c r="O91" s="1"/>
      <c r="Q91" s="164"/>
      <c r="V91" s="198">
        <v>3382</v>
      </c>
      <c r="W91" s="216"/>
      <c r="X91" s="216"/>
      <c r="Y91" s="216"/>
      <c r="Z91" s="216"/>
      <c r="AA91" s="216"/>
      <c r="AB91" s="216"/>
      <c r="AC91" s="216"/>
      <c r="AD91" s="214"/>
    </row>
    <row r="92" spans="1:30" ht="18.75" customHeight="1" thickBot="1" x14ac:dyDescent="0.3">
      <c r="B92" s="13" t="s">
        <v>157</v>
      </c>
      <c r="C92" s="13"/>
      <c r="D92" s="13"/>
      <c r="E92" s="13"/>
      <c r="F92" s="13"/>
      <c r="G92" s="13"/>
      <c r="H92" s="13"/>
      <c r="I92" s="13"/>
      <c r="J92" s="13"/>
      <c r="K92" s="213"/>
      <c r="L92" s="217">
        <f>L90/L91</f>
        <v>85010.099999999977</v>
      </c>
      <c r="M92" s="202"/>
      <c r="N92" s="203"/>
      <c r="O92" s="1"/>
      <c r="Q92" s="164"/>
      <c r="V92" s="218"/>
      <c r="W92" s="218"/>
      <c r="X92" s="218"/>
      <c r="Y92" s="218"/>
      <c r="Z92" s="218"/>
      <c r="AA92" s="218"/>
      <c r="AB92" s="218"/>
      <c r="AC92" s="218"/>
      <c r="AD92" s="219"/>
    </row>
    <row r="93" spans="1:30" ht="18.75" customHeight="1" thickTop="1" x14ac:dyDescent="0.25">
      <c r="N93" s="219"/>
      <c r="O93" s="220"/>
      <c r="P93" s="219"/>
      <c r="Q93" s="219"/>
      <c r="V93" s="218"/>
      <c r="W93" s="218"/>
      <c r="X93" s="218"/>
      <c r="Y93" s="218"/>
      <c r="Z93" s="218"/>
      <c r="AA93" s="218"/>
      <c r="AB93" s="218"/>
      <c r="AC93" s="218"/>
      <c r="AD93" s="214"/>
    </row>
    <row r="94" spans="1:30" ht="18.75" customHeight="1" thickBot="1" x14ac:dyDescent="0.3">
      <c r="B94" s="221" t="s">
        <v>158</v>
      </c>
      <c r="C94" s="13"/>
      <c r="D94" s="13"/>
      <c r="E94" s="13"/>
      <c r="G94" s="13"/>
      <c r="H94" s="13"/>
      <c r="I94" s="13"/>
      <c r="J94" s="13"/>
      <c r="L94" s="222">
        <f>IF(M86="H",(K86*0.02)+L86,(K86*0.05)+L86)</f>
        <v>0</v>
      </c>
      <c r="M94" s="202"/>
      <c r="V94" s="223"/>
      <c r="W94" s="223"/>
      <c r="X94" s="223"/>
      <c r="Y94" s="223"/>
      <c r="Z94" s="223"/>
      <c r="AA94" s="223"/>
      <c r="AB94" s="223"/>
      <c r="AC94" s="223"/>
      <c r="AD94" s="214"/>
    </row>
    <row r="95" spans="1:30" ht="21.75" customHeight="1" thickTop="1" x14ac:dyDescent="0.25">
      <c r="B95" s="224" t="s">
        <v>159</v>
      </c>
      <c r="C95" s="224"/>
      <c r="D95" s="224"/>
      <c r="E95" s="224"/>
      <c r="F95" s="224"/>
      <c r="G95" s="224"/>
      <c r="H95" s="224"/>
      <c r="I95" s="224"/>
      <c r="J95" s="224"/>
      <c r="K95" s="224"/>
      <c r="L95" s="224"/>
      <c r="M95" s="219"/>
      <c r="V95" s="223"/>
      <c r="W95" s="223"/>
      <c r="X95" s="223"/>
      <c r="Y95" s="223"/>
      <c r="Z95" s="223"/>
      <c r="AA95" s="223"/>
      <c r="AB95" s="223"/>
      <c r="AC95" s="223"/>
      <c r="AD95" s="214"/>
    </row>
    <row r="96" spans="1:30" x14ac:dyDescent="0.25">
      <c r="B96" s="225"/>
      <c r="V96" s="223"/>
      <c r="W96" s="223"/>
      <c r="X96" s="223"/>
      <c r="Y96" s="223"/>
      <c r="Z96" s="223"/>
      <c r="AA96" s="223"/>
      <c r="AB96" s="223"/>
      <c r="AC96" s="223"/>
      <c r="AD96" s="219"/>
    </row>
    <row r="97" spans="2:30" x14ac:dyDescent="0.25">
      <c r="B97" s="225"/>
      <c r="V97" s="223"/>
      <c r="W97" s="223"/>
      <c r="X97" s="223"/>
      <c r="Y97" s="223"/>
      <c r="Z97" s="223"/>
      <c r="AA97" s="223"/>
      <c r="AB97" s="223"/>
      <c r="AC97" s="223"/>
      <c r="AD97" s="219"/>
    </row>
    <row r="98" spans="2:30" hidden="1" x14ac:dyDescent="0.25">
      <c r="B98" s="226" t="s">
        <v>160</v>
      </c>
      <c r="C98" s="227"/>
      <c r="V98" s="228"/>
      <c r="W98" s="228"/>
      <c r="X98" s="228"/>
      <c r="Y98" s="228"/>
      <c r="Z98" s="228"/>
      <c r="AA98" s="228"/>
      <c r="AB98" s="228"/>
      <c r="AC98" s="228"/>
    </row>
    <row r="99" spans="2:30" hidden="1" x14ac:dyDescent="0.25">
      <c r="B99" s="229"/>
      <c r="C99" s="227"/>
      <c r="V99" s="225"/>
      <c r="W99" s="13"/>
      <c r="X99" s="13"/>
      <c r="Y99" s="13"/>
      <c r="Z99" s="13"/>
      <c r="AA99" s="13"/>
      <c r="AB99" s="13"/>
      <c r="AC99" s="13"/>
    </row>
    <row r="100" spans="2:30" hidden="1" x14ac:dyDescent="0.25">
      <c r="B100" s="230" t="s">
        <v>161</v>
      </c>
      <c r="C100" s="226" t="s">
        <v>162</v>
      </c>
      <c r="V100" s="225"/>
    </row>
    <row r="101" spans="2:30" hidden="1" x14ac:dyDescent="0.25">
      <c r="B101" s="230" t="s">
        <v>163</v>
      </c>
      <c r="C101" s="226" t="s">
        <v>164</v>
      </c>
      <c r="V101" s="225"/>
    </row>
    <row r="102" spans="2:30" hidden="1" x14ac:dyDescent="0.25">
      <c r="B102" s="230" t="s">
        <v>165</v>
      </c>
      <c r="C102" s="226" t="s">
        <v>166</v>
      </c>
      <c r="V102" s="225"/>
      <c r="W102" s="231"/>
      <c r="X102" s="231"/>
      <c r="Y102" s="231"/>
      <c r="Z102" s="231"/>
      <c r="AA102" s="231"/>
      <c r="AB102" s="231"/>
      <c r="AC102" s="231"/>
      <c r="AD102" s="231"/>
    </row>
    <row r="103" spans="2:30" hidden="1" x14ac:dyDescent="0.25">
      <c r="B103" s="230" t="s">
        <v>167</v>
      </c>
      <c r="C103" s="226" t="s">
        <v>168</v>
      </c>
      <c r="V103" s="225"/>
    </row>
    <row r="104" spans="2:30" hidden="1" x14ac:dyDescent="0.25">
      <c r="B104" s="232"/>
      <c r="C104" s="226" t="s">
        <v>169</v>
      </c>
      <c r="V104" s="225"/>
    </row>
    <row r="105" spans="2:30" hidden="1" x14ac:dyDescent="0.25">
      <c r="B105" s="230" t="s">
        <v>170</v>
      </c>
      <c r="C105" s="226" t="s">
        <v>171</v>
      </c>
      <c r="V105" s="225"/>
    </row>
    <row r="106" spans="2:30" hidden="1" x14ac:dyDescent="0.25">
      <c r="B106" s="230" t="s">
        <v>172</v>
      </c>
      <c r="C106" s="226" t="s">
        <v>173</v>
      </c>
      <c r="V106" s="225"/>
    </row>
    <row r="107" spans="2:30" hidden="1" x14ac:dyDescent="0.25">
      <c r="B107" s="230" t="s">
        <v>234</v>
      </c>
      <c r="C107" s="226" t="s">
        <v>175</v>
      </c>
      <c r="V107" s="225"/>
    </row>
    <row r="108" spans="2:30" hidden="1" x14ac:dyDescent="0.25">
      <c r="B108" s="230" t="s">
        <v>176</v>
      </c>
      <c r="C108" s="226" t="s">
        <v>177</v>
      </c>
      <c r="V108" s="225"/>
    </row>
    <row r="109" spans="2:30" hidden="1" x14ac:dyDescent="0.25">
      <c r="B109" s="230" t="s">
        <v>178</v>
      </c>
      <c r="C109" s="226" t="s">
        <v>179</v>
      </c>
      <c r="V109" s="225"/>
    </row>
    <row r="110" spans="2:30" hidden="1" x14ac:dyDescent="0.25">
      <c r="B110" s="232"/>
      <c r="C110" s="226"/>
      <c r="V110" s="225"/>
    </row>
    <row r="111" spans="2:30" hidden="1" x14ac:dyDescent="0.25">
      <c r="B111" s="230" t="s">
        <v>180</v>
      </c>
      <c r="C111" s="226" t="s">
        <v>181</v>
      </c>
      <c r="V111" s="225"/>
    </row>
    <row r="112" spans="2:30" hidden="1" x14ac:dyDescent="0.25">
      <c r="B112" s="230" t="s">
        <v>180</v>
      </c>
      <c r="C112" s="226" t="s">
        <v>182</v>
      </c>
    </row>
    <row r="113" spans="2:3" hidden="1" x14ac:dyDescent="0.25">
      <c r="B113" s="230" t="s">
        <v>183</v>
      </c>
      <c r="C113" s="226" t="s">
        <v>184</v>
      </c>
    </row>
    <row r="114" spans="2:3" hidden="1" x14ac:dyDescent="0.25">
      <c r="B114" s="230" t="s">
        <v>185</v>
      </c>
      <c r="C114" s="226" t="s">
        <v>186</v>
      </c>
    </row>
    <row r="115" spans="2:3" hidden="1" x14ac:dyDescent="0.25">
      <c r="B115" s="230" t="s">
        <v>183</v>
      </c>
      <c r="C115" s="226" t="s">
        <v>187</v>
      </c>
    </row>
    <row r="116" spans="2:3" hidden="1" x14ac:dyDescent="0.25">
      <c r="B116" s="230" t="s">
        <v>188</v>
      </c>
      <c r="C116" s="226" t="s">
        <v>189</v>
      </c>
    </row>
    <row r="117" spans="2:3" hidden="1" x14ac:dyDescent="0.25">
      <c r="B117" s="230" t="s">
        <v>190</v>
      </c>
      <c r="C117" s="226" t="s">
        <v>191</v>
      </c>
    </row>
    <row r="118" spans="2:3" hidden="1" x14ac:dyDescent="0.25">
      <c r="B118" s="232" t="s">
        <v>192</v>
      </c>
      <c r="C118" s="226" t="s">
        <v>193</v>
      </c>
    </row>
    <row r="119" spans="2:3" hidden="1" x14ac:dyDescent="0.25">
      <c r="B119" s="232"/>
      <c r="C119" s="226"/>
    </row>
    <row r="120" spans="2:3" hidden="1" x14ac:dyDescent="0.25">
      <c r="B120" s="230" t="s">
        <v>161</v>
      </c>
      <c r="C120" s="226" t="s">
        <v>194</v>
      </c>
    </row>
    <row r="121" spans="2:3" hidden="1" x14ac:dyDescent="0.25">
      <c r="B121" s="230" t="s">
        <v>195</v>
      </c>
      <c r="C121" s="226" t="s">
        <v>196</v>
      </c>
    </row>
    <row r="122" spans="2:3" hidden="1" x14ac:dyDescent="0.25">
      <c r="B122" s="230" t="s">
        <v>197</v>
      </c>
      <c r="C122" s="226" t="s">
        <v>198</v>
      </c>
    </row>
    <row r="123" spans="2:3" hidden="1" x14ac:dyDescent="0.25">
      <c r="B123" s="230" t="s">
        <v>235</v>
      </c>
      <c r="C123" s="226" t="s">
        <v>200</v>
      </c>
    </row>
    <row r="124" spans="2:3" hidden="1" x14ac:dyDescent="0.25">
      <c r="B124" s="230" t="s">
        <v>236</v>
      </c>
      <c r="C124" s="226" t="s">
        <v>202</v>
      </c>
    </row>
    <row r="125" spans="2:3" hidden="1" x14ac:dyDescent="0.25">
      <c r="B125" s="230" t="s">
        <v>203</v>
      </c>
      <c r="C125" s="226" t="s">
        <v>204</v>
      </c>
    </row>
    <row r="126" spans="2:3" hidden="1" x14ac:dyDescent="0.25">
      <c r="B126" s="230" t="s">
        <v>203</v>
      </c>
      <c r="C126" s="226" t="s">
        <v>205</v>
      </c>
    </row>
    <row r="127" spans="2:3" hidden="1" x14ac:dyDescent="0.25">
      <c r="B127" s="230" t="s">
        <v>203</v>
      </c>
      <c r="C127" s="226" t="s">
        <v>206</v>
      </c>
    </row>
    <row r="128" spans="2:3" hidden="1" x14ac:dyDescent="0.25">
      <c r="B128" s="230" t="s">
        <v>203</v>
      </c>
      <c r="C128" s="226" t="s">
        <v>207</v>
      </c>
    </row>
    <row r="129" spans="2:3" hidden="1" x14ac:dyDescent="0.25">
      <c r="B129" s="230" t="s">
        <v>167</v>
      </c>
      <c r="C129" s="226" t="s">
        <v>208</v>
      </c>
    </row>
    <row r="130" spans="2:3" hidden="1" x14ac:dyDescent="0.25">
      <c r="B130" s="230" t="s">
        <v>209</v>
      </c>
      <c r="C130" s="226" t="s">
        <v>210</v>
      </c>
    </row>
    <row r="131" spans="2:3" hidden="1" x14ac:dyDescent="0.25">
      <c r="B131" s="230" t="s">
        <v>203</v>
      </c>
      <c r="C131" s="226" t="s">
        <v>211</v>
      </c>
    </row>
    <row r="132" spans="2:3" hidden="1" x14ac:dyDescent="0.25">
      <c r="B132" s="226"/>
      <c r="C132" s="226"/>
    </row>
    <row r="133" spans="2:3" hidden="1" x14ac:dyDescent="0.25">
      <c r="B133" s="226"/>
      <c r="C133" s="226"/>
    </row>
    <row r="134" spans="2:3" hidden="1" x14ac:dyDescent="0.25">
      <c r="B134" s="232"/>
      <c r="C134" s="232"/>
    </row>
    <row r="135" spans="2:3" hidden="1" x14ac:dyDescent="0.25">
      <c r="B135" s="232">
        <f>NvsElapsedTime</f>
        <v>1.15740695036948E-5</v>
      </c>
      <c r="C135" s="232"/>
    </row>
    <row r="136" spans="2:3" hidden="1" x14ac:dyDescent="0.25">
      <c r="B136" s="233">
        <f>NvsEndTime</f>
        <v>41754.487731481502</v>
      </c>
      <c r="C136" s="233" t="s">
        <v>212</v>
      </c>
    </row>
    <row r="137" spans="2:3" x14ac:dyDescent="0.25">
      <c r="B137" s="226"/>
      <c r="C137" s="234"/>
    </row>
    <row r="138" spans="2:3" x14ac:dyDescent="0.25">
      <c r="B138" s="226"/>
      <c r="C138" s="226"/>
    </row>
    <row r="139" spans="2:3" x14ac:dyDescent="0.25">
      <c r="B139" s="226"/>
      <c r="C139" s="226"/>
    </row>
    <row r="140" spans="2:3" x14ac:dyDescent="0.25">
      <c r="B140" s="226"/>
      <c r="C140" s="226"/>
    </row>
    <row r="141" spans="2:3" x14ac:dyDescent="0.25">
      <c r="B141" s="226"/>
      <c r="C141" s="226"/>
    </row>
    <row r="142" spans="2:3" x14ac:dyDescent="0.25">
      <c r="B142" s="226"/>
      <c r="C142" s="226"/>
    </row>
    <row r="143" spans="2:3" x14ac:dyDescent="0.25">
      <c r="B143" s="226"/>
      <c r="C143" s="226"/>
    </row>
    <row r="144" spans="2:3" x14ac:dyDescent="0.25">
      <c r="B144" s="226"/>
      <c r="C144" s="226"/>
    </row>
    <row r="145" spans="2:3" x14ac:dyDescent="0.25">
      <c r="B145" s="226"/>
      <c r="C145" s="226"/>
    </row>
    <row r="146" spans="2:3" x14ac:dyDescent="0.25">
      <c r="B146" s="226"/>
      <c r="C146" s="226"/>
    </row>
    <row r="147" spans="2:3" x14ac:dyDescent="0.25">
      <c r="B147" s="226"/>
      <c r="C147" s="226"/>
    </row>
    <row r="148" spans="2:3" x14ac:dyDescent="0.25">
      <c r="B148" s="226"/>
      <c r="C148" s="226"/>
    </row>
    <row r="149" spans="2:3" x14ac:dyDescent="0.25">
      <c r="B149" s="226"/>
      <c r="C149" s="226"/>
    </row>
    <row r="150" spans="2:3" x14ac:dyDescent="0.25">
      <c r="B150" s="226"/>
      <c r="C150" s="226"/>
    </row>
    <row r="151" spans="2:3" x14ac:dyDescent="0.25">
      <c r="B151" s="226"/>
      <c r="C151" s="226"/>
    </row>
  </sheetData>
  <mergeCells count="151">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9:W9"/>
    <mergeCell ref="X9:Y9"/>
    <mergeCell ref="Z9:AA9"/>
    <mergeCell ref="V10:W10"/>
    <mergeCell ref="X10:Y10"/>
    <mergeCell ref="Z10:AA10"/>
    <mergeCell ref="V7:W7"/>
    <mergeCell ref="X7:Y7"/>
    <mergeCell ref="Z7:AA7"/>
    <mergeCell ref="AB7:AC7"/>
    <mergeCell ref="V8:W8"/>
    <mergeCell ref="X8:Y8"/>
    <mergeCell ref="Z8:AA8"/>
    <mergeCell ref="W2:AC2"/>
    <mergeCell ref="V3:AC3"/>
    <mergeCell ref="V4:AC4"/>
    <mergeCell ref="V5:W5"/>
    <mergeCell ref="X5:Y5"/>
    <mergeCell ref="V6:AC6"/>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51"/>
  <sheetViews>
    <sheetView topLeftCell="B2" zoomScale="70" zoomScaleNormal="70" workbookViewId="0">
      <selection activeCell="E22" sqref="E22:E23"/>
    </sheetView>
  </sheetViews>
  <sheetFormatPr defaultColWidth="8.85546875" defaultRowHeight="15.75" x14ac:dyDescent="0.25"/>
  <cols>
    <col min="1" max="1" width="11.28515625" style="1" hidden="1" customWidth="1"/>
    <col min="2" max="2" width="10.28515625" style="2" customWidth="1"/>
    <col min="3" max="3" width="29" style="1" customWidth="1"/>
    <col min="4" max="5" width="12.28515625" style="1" customWidth="1"/>
    <col min="6" max="6" width="12.28515625" style="1" hidden="1" customWidth="1"/>
    <col min="7" max="7" width="15.28515625" style="1" customWidth="1"/>
    <col min="8" max="8" width="6.7109375" style="1" customWidth="1"/>
    <col min="9" max="9" width="12.5703125" style="1" customWidth="1"/>
    <col min="10" max="10" width="12.85546875" style="1" customWidth="1"/>
    <col min="11" max="11" width="15.5703125" style="1" bestFit="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28515625" style="1" customWidth="1"/>
    <col min="18" max="18" width="8.85546875" style="1"/>
    <col min="19" max="21" width="0" style="1" hidden="1" customWidth="1"/>
    <col min="22" max="23" width="8.85546875" style="1"/>
    <col min="24" max="24" width="12.7109375" style="1" customWidth="1"/>
    <col min="25" max="27" width="8.85546875" style="1"/>
    <col min="28" max="28" width="13.140625" style="1" bestFit="1" customWidth="1"/>
    <col min="29" max="16384" width="8.85546875" style="1"/>
  </cols>
  <sheetData>
    <row r="1" spans="1:30" ht="15.6"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7"/>
      <c r="N2" s="3"/>
      <c r="O2" s="1"/>
      <c r="V2" s="8">
        <f>'2661 June Final'!B2</f>
        <v>50</v>
      </c>
      <c r="W2" s="606" t="s">
        <v>4</v>
      </c>
      <c r="X2" s="607"/>
      <c r="Y2" s="608"/>
      <c r="Z2" s="608"/>
      <c r="AA2" s="608"/>
      <c r="AB2" s="608"/>
      <c r="AC2" s="608"/>
      <c r="AD2" s="9"/>
    </row>
    <row r="3" spans="1:30" ht="20.25" x14ac:dyDescent="0.3">
      <c r="B3" s="10" t="str">
        <f>"Revenue Estimate Worksheet for "&amp;B124</f>
        <v>Revenue Estimate Worksheet for JosephLittlesNguzoSaba CSch</v>
      </c>
      <c r="C3" s="11"/>
      <c r="D3" s="11"/>
      <c r="E3" s="11"/>
      <c r="F3" s="11"/>
      <c r="G3" s="11"/>
      <c r="H3" s="11"/>
      <c r="I3" s="11"/>
      <c r="J3" s="11"/>
      <c r="K3" s="11"/>
      <c r="L3" s="11"/>
      <c r="M3" s="10"/>
      <c r="N3" s="10"/>
      <c r="O3" s="10"/>
      <c r="P3" s="10"/>
      <c r="Q3" s="10"/>
      <c r="V3" s="609" t="s">
        <v>5</v>
      </c>
      <c r="W3" s="609"/>
      <c r="X3" s="609"/>
      <c r="Y3" s="609"/>
      <c r="Z3" s="609"/>
      <c r="AA3" s="609"/>
      <c r="AB3" s="609"/>
      <c r="AC3" s="609"/>
      <c r="AD3" s="12"/>
    </row>
    <row r="4" spans="1:30" ht="18.75" x14ac:dyDescent="0.3">
      <c r="B4" s="2" t="s">
        <v>6</v>
      </c>
      <c r="C4" s="13"/>
      <c r="D4" s="13"/>
      <c r="E4" s="13"/>
      <c r="F4" s="13"/>
      <c r="G4" s="13"/>
      <c r="H4" s="13"/>
      <c r="I4" s="13"/>
      <c r="J4" s="13"/>
      <c r="K4" s="13"/>
      <c r="L4" s="13"/>
      <c r="M4" s="14"/>
      <c r="N4" s="14"/>
      <c r="O4" s="14"/>
      <c r="P4" s="14"/>
      <c r="Q4" s="14"/>
      <c r="V4" s="610" t="str">
        <f>+Based_on_the_Second_Calculation_of_the_FEFP_2010_11</f>
        <v>Based on the Fourth Calculation of the FEFP 2013-14</v>
      </c>
      <c r="W4" s="610"/>
      <c r="X4" s="610"/>
      <c r="Y4" s="610"/>
      <c r="Z4" s="610"/>
      <c r="AA4" s="610"/>
      <c r="AB4" s="610"/>
      <c r="AC4" s="610"/>
      <c r="AD4" s="15"/>
    </row>
    <row r="5" spans="1:30" ht="18.75" customHeight="1" x14ac:dyDescent="0.25">
      <c r="B5" s="16" t="s">
        <v>7</v>
      </c>
      <c r="C5" s="16"/>
      <c r="D5" s="16"/>
      <c r="E5" s="16"/>
      <c r="F5" s="16"/>
      <c r="G5" s="17" t="s">
        <v>8</v>
      </c>
      <c r="H5" s="17"/>
      <c r="I5" s="17"/>
      <c r="J5" s="17"/>
      <c r="K5" s="17"/>
      <c r="L5" s="17"/>
      <c r="M5" s="18"/>
      <c r="N5" s="18"/>
      <c r="O5" s="18"/>
      <c r="P5" s="18"/>
      <c r="Q5" s="18"/>
      <c r="V5" s="611" t="s">
        <v>7</v>
      </c>
      <c r="W5" s="611"/>
      <c r="X5" s="612" t="s">
        <v>8</v>
      </c>
      <c r="Y5" s="612"/>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613" t="s">
        <v>9</v>
      </c>
      <c r="W6" s="613"/>
      <c r="X6" s="613"/>
      <c r="Y6" s="613"/>
      <c r="Z6" s="613"/>
      <c r="AA6" s="613"/>
      <c r="AB6" s="613"/>
      <c r="AC6" s="613"/>
      <c r="AD6" s="22"/>
    </row>
    <row r="7" spans="1:30" ht="18" customHeight="1" x14ac:dyDescent="0.25">
      <c r="B7" s="23" t="s">
        <v>10</v>
      </c>
      <c r="C7" s="23"/>
      <c r="D7" s="23"/>
      <c r="E7" s="23"/>
      <c r="F7" s="23"/>
      <c r="G7" s="24">
        <v>3752.3</v>
      </c>
      <c r="H7" s="24"/>
      <c r="I7" s="23" t="s">
        <v>11</v>
      </c>
      <c r="J7" s="23"/>
      <c r="K7" s="25">
        <v>1.0326</v>
      </c>
      <c r="L7" s="25"/>
      <c r="O7" s="1"/>
      <c r="V7" s="620" t="s">
        <v>10</v>
      </c>
      <c r="W7" s="620"/>
      <c r="X7" s="621">
        <f>'2661 June Final'!G7</f>
        <v>3752.3</v>
      </c>
      <c r="Y7" s="621"/>
      <c r="Z7" s="622" t="s">
        <v>11</v>
      </c>
      <c r="AA7" s="622"/>
      <c r="AB7" s="602">
        <f>+K7</f>
        <v>1.0326</v>
      </c>
      <c r="AC7" s="602"/>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603" t="s">
        <v>12</v>
      </c>
      <c r="W8" s="603"/>
      <c r="X8" s="604" t="s">
        <v>15</v>
      </c>
      <c r="Y8" s="604"/>
      <c r="Z8" s="605" t="s">
        <v>16</v>
      </c>
      <c r="AA8" s="605"/>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614" t="s">
        <v>22</v>
      </c>
      <c r="W9" s="614"/>
      <c r="X9" s="615" t="s">
        <v>23</v>
      </c>
      <c r="Y9" s="615"/>
      <c r="Z9" s="616" t="s">
        <v>24</v>
      </c>
      <c r="AA9" s="616"/>
      <c r="AB9" s="43" t="s">
        <v>25</v>
      </c>
      <c r="AC9" s="44" t="s">
        <v>26</v>
      </c>
      <c r="AD9" s="9"/>
    </row>
    <row r="10" spans="1:30" x14ac:dyDescent="0.25">
      <c r="A10" s="1" t="s">
        <v>27</v>
      </c>
      <c r="B10" s="45" t="s">
        <v>28</v>
      </c>
      <c r="C10" s="45"/>
      <c r="D10" s="45">
        <v>36.119999999999997</v>
      </c>
      <c r="E10" s="45">
        <v>33.659999999999997</v>
      </c>
      <c r="F10" s="45">
        <v>46.9</v>
      </c>
      <c r="G10" s="46">
        <f t="shared" ref="G10:G25" si="0">D10+E10</f>
        <v>69.78</v>
      </c>
      <c r="H10" s="47"/>
      <c r="I10" s="48">
        <v>1.125</v>
      </c>
      <c r="J10" s="48"/>
      <c r="K10" s="49">
        <f t="shared" ref="K10:K25" si="1">ROUND(G10*I10,4)</f>
        <v>78.502499999999998</v>
      </c>
      <c r="L10" s="50">
        <f t="shared" ref="L10:L25" si="2">ROUND(ROUND(K10*$G$7,4)*($K$7),0)</f>
        <v>304168</v>
      </c>
      <c r="N10" s="51">
        <v>5101</v>
      </c>
      <c r="O10" s="52">
        <v>101</v>
      </c>
      <c r="P10" s="53"/>
      <c r="Q10" s="54"/>
      <c r="V10" s="617" t="s">
        <v>28</v>
      </c>
      <c r="W10" s="617"/>
      <c r="X10" s="618">
        <f>IF('2661 June Final'!K$84=1,'2661 June Final'!G10,0)</f>
        <v>0</v>
      </c>
      <c r="Y10" s="618"/>
      <c r="Z10" s="619">
        <v>1</v>
      </c>
      <c r="AA10" s="619"/>
      <c r="AB10" s="55">
        <f t="shared" ref="AB10:AB25" si="3">ROUND(X10*Z10,4)</f>
        <v>0</v>
      </c>
      <c r="AC10" s="56">
        <f t="shared" ref="AC10:AC25" si="4">ROUND(ROUND(AB10*$X$7,4)*($AB$7),0)</f>
        <v>0</v>
      </c>
      <c r="AD10" s="9">
        <v>1</v>
      </c>
    </row>
    <row r="11" spans="1:30" x14ac:dyDescent="0.25">
      <c r="A11" s="1" t="s">
        <v>29</v>
      </c>
      <c r="B11" s="13" t="s">
        <v>30</v>
      </c>
      <c r="C11" s="13"/>
      <c r="D11" s="13">
        <v>0.98</v>
      </c>
      <c r="E11" s="13">
        <v>1.02</v>
      </c>
      <c r="F11" s="13">
        <v>1.46</v>
      </c>
      <c r="G11" s="46">
        <f t="shared" si="0"/>
        <v>2</v>
      </c>
      <c r="H11" s="47"/>
      <c r="I11" s="57">
        <f>I10</f>
        <v>1.125</v>
      </c>
      <c r="J11" s="57"/>
      <c r="K11" s="49">
        <f t="shared" si="1"/>
        <v>2.25</v>
      </c>
      <c r="L11" s="50">
        <f t="shared" si="2"/>
        <v>8718</v>
      </c>
      <c r="M11" s="1" t="str">
        <f>IF(ROUND(G11,2)=ROUND(SUM(G28:G30),2)," ","CHECK 2. PK-3 Lines Below")</f>
        <v xml:space="preserve"> </v>
      </c>
      <c r="N11" s="51">
        <v>5101</v>
      </c>
      <c r="O11" s="58" t="s">
        <v>31</v>
      </c>
      <c r="P11" s="53"/>
      <c r="Q11" s="54"/>
      <c r="V11" s="623" t="s">
        <v>30</v>
      </c>
      <c r="W11" s="623"/>
      <c r="X11" s="618">
        <f>IF('2661 June Final'!K$84=1,'2661 June Final'!G11,0)</f>
        <v>0</v>
      </c>
      <c r="Y11" s="618"/>
      <c r="Z11" s="624">
        <v>1</v>
      </c>
      <c r="AA11" s="624"/>
      <c r="AB11" s="55">
        <f t="shared" si="3"/>
        <v>0</v>
      </c>
      <c r="AC11" s="56">
        <f t="shared" si="4"/>
        <v>0</v>
      </c>
      <c r="AD11" s="9"/>
    </row>
    <row r="12" spans="1:30" x14ac:dyDescent="0.25">
      <c r="A12" s="1" t="s">
        <v>32</v>
      </c>
      <c r="B12" s="13" t="s">
        <v>33</v>
      </c>
      <c r="C12" s="13"/>
      <c r="D12" s="13">
        <v>30.51</v>
      </c>
      <c r="E12" s="13">
        <v>31.67</v>
      </c>
      <c r="F12" s="13">
        <v>31.72</v>
      </c>
      <c r="G12" s="46">
        <f t="shared" si="0"/>
        <v>62.180000000000007</v>
      </c>
      <c r="H12" s="47"/>
      <c r="I12" s="57">
        <v>1</v>
      </c>
      <c r="J12" s="57"/>
      <c r="K12" s="49">
        <f t="shared" si="1"/>
        <v>62.18</v>
      </c>
      <c r="L12" s="50">
        <f t="shared" si="2"/>
        <v>240924</v>
      </c>
      <c r="N12" s="51">
        <v>5102</v>
      </c>
      <c r="O12" s="52">
        <v>102</v>
      </c>
      <c r="P12" s="53"/>
      <c r="Q12" s="54"/>
      <c r="V12" s="623" t="s">
        <v>33</v>
      </c>
      <c r="W12" s="623"/>
      <c r="X12" s="618">
        <f>IF('2661 June Final'!K$84=1,'2661 June Final'!G12,0)</f>
        <v>0</v>
      </c>
      <c r="Y12" s="618"/>
      <c r="Z12" s="624">
        <v>1</v>
      </c>
      <c r="AA12" s="624"/>
      <c r="AB12" s="55">
        <f t="shared" si="3"/>
        <v>0</v>
      </c>
      <c r="AC12" s="56">
        <f t="shared" si="4"/>
        <v>0</v>
      </c>
      <c r="AD12" s="9"/>
    </row>
    <row r="13" spans="1:30" x14ac:dyDescent="0.25">
      <c r="A13" s="1" t="s">
        <v>34</v>
      </c>
      <c r="B13" s="13" t="s">
        <v>35</v>
      </c>
      <c r="C13" s="13"/>
      <c r="D13" s="13">
        <v>6.2</v>
      </c>
      <c r="E13" s="13">
        <v>6.83</v>
      </c>
      <c r="F13" s="13">
        <v>7.47</v>
      </c>
      <c r="G13" s="46">
        <f t="shared" si="0"/>
        <v>13.030000000000001</v>
      </c>
      <c r="H13" s="47"/>
      <c r="I13" s="57">
        <f>I12</f>
        <v>1</v>
      </c>
      <c r="J13" s="57"/>
      <c r="K13" s="49">
        <f t="shared" si="1"/>
        <v>13.03</v>
      </c>
      <c r="L13" s="50">
        <f t="shared" si="2"/>
        <v>50486</v>
      </c>
      <c r="M13" s="1" t="str">
        <f>IF(ROUND(G13,2)=ROUND(SUM(G31:G33),2)," ","CHECK 2. PK-3 Lines Below")</f>
        <v xml:space="preserve"> </v>
      </c>
      <c r="N13" s="51">
        <v>5102</v>
      </c>
      <c r="O13" s="58" t="s">
        <v>36</v>
      </c>
      <c r="P13" s="53"/>
      <c r="Q13" s="54"/>
      <c r="V13" s="623" t="s">
        <v>35</v>
      </c>
      <c r="W13" s="623"/>
      <c r="X13" s="618">
        <f>IF('2661 June Final'!K$84=1,'2661 June Final'!G13,0)</f>
        <v>0</v>
      </c>
      <c r="Y13" s="618"/>
      <c r="Z13" s="624">
        <v>1</v>
      </c>
      <c r="AA13" s="624"/>
      <c r="AB13" s="55">
        <f t="shared" si="3"/>
        <v>0</v>
      </c>
      <c r="AC13" s="56">
        <f t="shared" si="4"/>
        <v>0</v>
      </c>
      <c r="AD13" s="9"/>
    </row>
    <row r="14" spans="1:30" x14ac:dyDescent="0.25">
      <c r="A14" s="1" t="s">
        <v>37</v>
      </c>
      <c r="B14" s="13" t="s">
        <v>38</v>
      </c>
      <c r="C14" s="13"/>
      <c r="D14" s="13">
        <v>0</v>
      </c>
      <c r="E14" s="13">
        <v>0</v>
      </c>
      <c r="F14" s="13">
        <v>0</v>
      </c>
      <c r="G14" s="46">
        <f t="shared" si="0"/>
        <v>0</v>
      </c>
      <c r="H14" s="47"/>
      <c r="I14" s="57">
        <v>1.0109999999999999</v>
      </c>
      <c r="J14" s="57"/>
      <c r="K14" s="49">
        <f t="shared" si="1"/>
        <v>0</v>
      </c>
      <c r="L14" s="50">
        <f t="shared" si="2"/>
        <v>0</v>
      </c>
      <c r="N14" s="51">
        <v>5103</v>
      </c>
      <c r="O14" s="52">
        <v>103</v>
      </c>
      <c r="P14" s="53"/>
      <c r="Q14" s="54"/>
      <c r="V14" s="623" t="s">
        <v>38</v>
      </c>
      <c r="W14" s="623"/>
      <c r="X14" s="618">
        <f>IF('2661 June Final'!K$84=1,'2661 June Final'!G14,0)</f>
        <v>0</v>
      </c>
      <c r="Y14" s="618"/>
      <c r="Z14" s="624">
        <v>1</v>
      </c>
      <c r="AA14" s="624"/>
      <c r="AB14" s="55">
        <f t="shared" si="3"/>
        <v>0</v>
      </c>
      <c r="AC14" s="56">
        <f t="shared" si="4"/>
        <v>0</v>
      </c>
      <c r="AD14" s="9"/>
    </row>
    <row r="15" spans="1:30" x14ac:dyDescent="0.25">
      <c r="A15" s="1" t="s">
        <v>39</v>
      </c>
      <c r="B15" s="13" t="s">
        <v>40</v>
      </c>
      <c r="C15" s="13"/>
      <c r="D15" s="13">
        <v>0</v>
      </c>
      <c r="E15" s="13">
        <v>0</v>
      </c>
      <c r="F15" s="13">
        <v>0</v>
      </c>
      <c r="G15" s="46">
        <f t="shared" si="0"/>
        <v>0</v>
      </c>
      <c r="H15" s="47"/>
      <c r="I15" s="57">
        <f>I14</f>
        <v>1.0109999999999999</v>
      </c>
      <c r="J15" s="57"/>
      <c r="K15" s="49">
        <f t="shared" si="1"/>
        <v>0</v>
      </c>
      <c r="L15" s="59">
        <f t="shared" si="2"/>
        <v>0</v>
      </c>
      <c r="M15" s="1" t="str">
        <f>IF(ROUND(G15,2)=ROUND(SUM(G34:G36),2)," ","CHECK 2. PK-3 Lines Below")</f>
        <v xml:space="preserve"> </v>
      </c>
      <c r="N15" s="51">
        <v>5103</v>
      </c>
      <c r="O15" s="58" t="s">
        <v>41</v>
      </c>
      <c r="P15" s="53"/>
      <c r="Q15" s="54"/>
      <c r="V15" s="623" t="s">
        <v>40</v>
      </c>
      <c r="W15" s="623"/>
      <c r="X15" s="618">
        <f>IF('2661 June Final'!K$84=1,'2661 June Final'!G15,0)</f>
        <v>0</v>
      </c>
      <c r="Y15" s="618"/>
      <c r="Z15" s="624">
        <v>1</v>
      </c>
      <c r="AA15" s="624"/>
      <c r="AB15" s="55">
        <f t="shared" si="3"/>
        <v>0</v>
      </c>
      <c r="AC15" s="60">
        <f t="shared" si="4"/>
        <v>0</v>
      </c>
      <c r="AD15" s="9"/>
    </row>
    <row r="16" spans="1:30" x14ac:dyDescent="0.25">
      <c r="A16" s="1" t="s">
        <v>42</v>
      </c>
      <c r="B16" s="13" t="s">
        <v>43</v>
      </c>
      <c r="C16" s="13"/>
      <c r="D16" s="13">
        <v>0</v>
      </c>
      <c r="E16" s="13">
        <v>0</v>
      </c>
      <c r="F16" s="13">
        <v>0</v>
      </c>
      <c r="G16" s="46">
        <f t="shared" si="0"/>
        <v>0</v>
      </c>
      <c r="H16" s="47"/>
      <c r="I16" s="57">
        <v>3.5579999999999998</v>
      </c>
      <c r="J16" s="57"/>
      <c r="K16" s="49">
        <f t="shared" si="1"/>
        <v>0</v>
      </c>
      <c r="L16" s="50">
        <f t="shared" si="2"/>
        <v>0</v>
      </c>
      <c r="N16" s="51">
        <v>5101</v>
      </c>
      <c r="O16" s="53">
        <v>254</v>
      </c>
      <c r="P16" s="53"/>
      <c r="Q16" s="54"/>
      <c r="V16" s="623" t="s">
        <v>43</v>
      </c>
      <c r="W16" s="623"/>
      <c r="X16" s="618">
        <f>IF('2661 June Final'!K$84=1,'2661 June Final'!G16,0)</f>
        <v>0</v>
      </c>
      <c r="Y16" s="618"/>
      <c r="Z16" s="624">
        <v>1</v>
      </c>
      <c r="AA16" s="624"/>
      <c r="AB16" s="55">
        <f t="shared" si="3"/>
        <v>0</v>
      </c>
      <c r="AC16" s="56">
        <f t="shared" si="4"/>
        <v>0</v>
      </c>
      <c r="AD16" s="9"/>
    </row>
    <row r="17" spans="1:30" x14ac:dyDescent="0.25">
      <c r="A17" s="1" t="s">
        <v>44</v>
      </c>
      <c r="B17" s="13" t="s">
        <v>45</v>
      </c>
      <c r="C17" s="13"/>
      <c r="D17" s="13">
        <v>0</v>
      </c>
      <c r="E17" s="13">
        <v>0</v>
      </c>
      <c r="F17" s="13">
        <v>0</v>
      </c>
      <c r="G17" s="46">
        <f t="shared" si="0"/>
        <v>0</v>
      </c>
      <c r="H17" s="47"/>
      <c r="I17" s="57">
        <f>I16</f>
        <v>3.5579999999999998</v>
      </c>
      <c r="J17" s="57"/>
      <c r="K17" s="49">
        <f t="shared" si="1"/>
        <v>0</v>
      </c>
      <c r="L17" s="50">
        <f t="shared" si="2"/>
        <v>0</v>
      </c>
      <c r="N17" s="51">
        <v>5102</v>
      </c>
      <c r="O17" s="54">
        <v>254</v>
      </c>
      <c r="P17" s="53"/>
      <c r="Q17" s="54"/>
      <c r="V17" s="623" t="s">
        <v>45</v>
      </c>
      <c r="W17" s="623"/>
      <c r="X17" s="618">
        <f>IF('2661 June Final'!K$84=1,'2661 June Final'!G17,0)</f>
        <v>0</v>
      </c>
      <c r="Y17" s="618"/>
      <c r="Z17" s="624">
        <v>1</v>
      </c>
      <c r="AA17" s="624"/>
      <c r="AB17" s="55">
        <f t="shared" si="3"/>
        <v>0</v>
      </c>
      <c r="AC17" s="56">
        <f t="shared" si="4"/>
        <v>0</v>
      </c>
      <c r="AD17" s="9"/>
    </row>
    <row r="18" spans="1:30" x14ac:dyDescent="0.25">
      <c r="A18" s="1" t="s">
        <v>46</v>
      </c>
      <c r="B18" s="13" t="s">
        <v>47</v>
      </c>
      <c r="C18" s="13"/>
      <c r="D18" s="13">
        <v>0</v>
      </c>
      <c r="E18" s="13">
        <v>0</v>
      </c>
      <c r="F18" s="13">
        <v>0</v>
      </c>
      <c r="G18" s="46">
        <f t="shared" si="0"/>
        <v>0</v>
      </c>
      <c r="H18" s="47"/>
      <c r="I18" s="57">
        <f>I17</f>
        <v>3.5579999999999998</v>
      </c>
      <c r="J18" s="57"/>
      <c r="K18" s="49">
        <f t="shared" si="1"/>
        <v>0</v>
      </c>
      <c r="L18" s="50">
        <f t="shared" si="2"/>
        <v>0</v>
      </c>
      <c r="N18" s="51">
        <v>5103</v>
      </c>
      <c r="O18" s="54">
        <v>254</v>
      </c>
      <c r="P18" s="53"/>
      <c r="Q18" s="54"/>
      <c r="V18" s="623" t="s">
        <v>47</v>
      </c>
      <c r="W18" s="623"/>
      <c r="X18" s="618">
        <f>IF('2661 June Final'!K$84=1,'2661 June Final'!G18,0)</f>
        <v>0</v>
      </c>
      <c r="Y18" s="618"/>
      <c r="Z18" s="624">
        <v>1</v>
      </c>
      <c r="AA18" s="624"/>
      <c r="AB18" s="55">
        <f t="shared" si="3"/>
        <v>0</v>
      </c>
      <c r="AC18" s="56">
        <f t="shared" si="4"/>
        <v>0</v>
      </c>
      <c r="AD18" s="9"/>
    </row>
    <row r="19" spans="1:30" ht="15" customHeight="1" x14ac:dyDescent="0.25">
      <c r="A19" s="1" t="s">
        <v>48</v>
      </c>
      <c r="B19" s="13" t="s">
        <v>49</v>
      </c>
      <c r="C19" s="13"/>
      <c r="D19" s="13">
        <v>0</v>
      </c>
      <c r="E19" s="13">
        <v>0</v>
      </c>
      <c r="F19" s="13">
        <v>0</v>
      </c>
      <c r="G19" s="46">
        <f t="shared" si="0"/>
        <v>0</v>
      </c>
      <c r="H19" s="47"/>
      <c r="I19" s="57">
        <v>5.0890000000000004</v>
      </c>
      <c r="J19" s="57"/>
      <c r="K19" s="49">
        <f t="shared" si="1"/>
        <v>0</v>
      </c>
      <c r="L19" s="50">
        <f t="shared" si="2"/>
        <v>0</v>
      </c>
      <c r="N19" s="51">
        <v>5101</v>
      </c>
      <c r="O19" s="53">
        <v>255</v>
      </c>
      <c r="P19" s="53"/>
      <c r="Q19" s="54"/>
      <c r="V19" s="623" t="s">
        <v>49</v>
      </c>
      <c r="W19" s="623"/>
      <c r="X19" s="618">
        <f>IF('2661 June Final'!K$84=1,'2661 June Final'!G19,0)</f>
        <v>0</v>
      </c>
      <c r="Y19" s="618"/>
      <c r="Z19" s="624">
        <v>1</v>
      </c>
      <c r="AA19" s="624"/>
      <c r="AB19" s="55">
        <f t="shared" si="3"/>
        <v>0</v>
      </c>
      <c r="AC19" s="56">
        <f t="shared" si="4"/>
        <v>0</v>
      </c>
      <c r="AD19" s="9"/>
    </row>
    <row r="20" spans="1:30" ht="15" customHeight="1" x14ac:dyDescent="0.25">
      <c r="A20" s="1" t="s">
        <v>50</v>
      </c>
      <c r="B20" s="13" t="s">
        <v>51</v>
      </c>
      <c r="C20" s="13"/>
      <c r="D20" s="13">
        <v>0</v>
      </c>
      <c r="E20" s="13">
        <v>0</v>
      </c>
      <c r="F20" s="13">
        <v>0</v>
      </c>
      <c r="G20" s="46">
        <f t="shared" si="0"/>
        <v>0</v>
      </c>
      <c r="H20" s="47"/>
      <c r="I20" s="57">
        <f>I19</f>
        <v>5.0890000000000004</v>
      </c>
      <c r="J20" s="57"/>
      <c r="K20" s="49">
        <f t="shared" si="1"/>
        <v>0</v>
      </c>
      <c r="L20" s="50">
        <f t="shared" si="2"/>
        <v>0</v>
      </c>
      <c r="N20" s="51">
        <v>5102</v>
      </c>
      <c r="O20" s="54">
        <v>255</v>
      </c>
      <c r="P20" s="53"/>
      <c r="Q20" s="54"/>
      <c r="V20" s="623" t="s">
        <v>51</v>
      </c>
      <c r="W20" s="623"/>
      <c r="X20" s="618">
        <f>IF('2661 June Final'!K$84=1,'2661 June Final'!G20,0)</f>
        <v>0</v>
      </c>
      <c r="Y20" s="618"/>
      <c r="Z20" s="624">
        <v>1</v>
      </c>
      <c r="AA20" s="624"/>
      <c r="AB20" s="55">
        <f t="shared" si="3"/>
        <v>0</v>
      </c>
      <c r="AC20" s="56">
        <f t="shared" si="4"/>
        <v>0</v>
      </c>
      <c r="AD20" s="9"/>
    </row>
    <row r="21" spans="1:30" ht="15" customHeight="1" x14ac:dyDescent="0.25">
      <c r="A21" s="1" t="s">
        <v>52</v>
      </c>
      <c r="B21" s="13" t="s">
        <v>53</v>
      </c>
      <c r="C21" s="13"/>
      <c r="D21" s="13">
        <v>0</v>
      </c>
      <c r="E21" s="13">
        <v>0</v>
      </c>
      <c r="F21" s="13">
        <v>0</v>
      </c>
      <c r="G21" s="46">
        <f t="shared" si="0"/>
        <v>0</v>
      </c>
      <c r="H21" s="47"/>
      <c r="I21" s="57">
        <f>I20</f>
        <v>5.0890000000000004</v>
      </c>
      <c r="J21" s="57"/>
      <c r="K21" s="49">
        <f t="shared" si="1"/>
        <v>0</v>
      </c>
      <c r="L21" s="50">
        <f t="shared" si="2"/>
        <v>0</v>
      </c>
      <c r="N21" s="51">
        <v>5103</v>
      </c>
      <c r="O21" s="54">
        <v>255</v>
      </c>
      <c r="P21" s="53"/>
      <c r="Q21" s="54"/>
      <c r="V21" s="623" t="s">
        <v>53</v>
      </c>
      <c r="W21" s="623"/>
      <c r="X21" s="618">
        <f>IF('2661 June Final'!K$84=1,'2661 June Final'!G21,0)</f>
        <v>0</v>
      </c>
      <c r="Y21" s="618"/>
      <c r="Z21" s="624">
        <v>1</v>
      </c>
      <c r="AA21" s="624"/>
      <c r="AB21" s="55">
        <f t="shared" si="3"/>
        <v>0</v>
      </c>
      <c r="AC21" s="56">
        <f t="shared" si="4"/>
        <v>0</v>
      </c>
      <c r="AD21" s="9"/>
    </row>
    <row r="22" spans="1:30" x14ac:dyDescent="0.25">
      <c r="A22" s="1" t="s">
        <v>54</v>
      </c>
      <c r="B22" s="13" t="s">
        <v>55</v>
      </c>
      <c r="C22" s="13"/>
      <c r="D22" s="13">
        <v>0.91</v>
      </c>
      <c r="E22" s="13">
        <v>0.92</v>
      </c>
      <c r="F22" s="13">
        <v>2.36</v>
      </c>
      <c r="G22" s="46">
        <f t="shared" si="0"/>
        <v>1.83</v>
      </c>
      <c r="H22" s="47"/>
      <c r="I22" s="57">
        <v>1.145</v>
      </c>
      <c r="J22" s="57"/>
      <c r="K22" s="49">
        <f t="shared" si="1"/>
        <v>2.0954000000000002</v>
      </c>
      <c r="L22" s="50">
        <f t="shared" si="2"/>
        <v>8119</v>
      </c>
      <c r="N22" s="51">
        <v>5101</v>
      </c>
      <c r="O22" s="52">
        <v>130</v>
      </c>
      <c r="P22" s="53"/>
      <c r="Q22" s="54"/>
      <c r="V22" s="623" t="s">
        <v>55</v>
      </c>
      <c r="W22" s="623"/>
      <c r="X22" s="618">
        <f>IF('2661 June Final'!K$84=1,'2661 June Final'!G22,0)</f>
        <v>0</v>
      </c>
      <c r="Y22" s="618"/>
      <c r="Z22" s="624">
        <v>1</v>
      </c>
      <c r="AA22" s="624"/>
      <c r="AB22" s="55">
        <f t="shared" si="3"/>
        <v>0</v>
      </c>
      <c r="AC22" s="56">
        <f t="shared" si="4"/>
        <v>0</v>
      </c>
      <c r="AD22" s="9"/>
    </row>
    <row r="23" spans="1:30" x14ac:dyDescent="0.25">
      <c r="A23" s="1" t="s">
        <v>56</v>
      </c>
      <c r="B23" s="13" t="s">
        <v>57</v>
      </c>
      <c r="C23" s="13"/>
      <c r="D23" s="13">
        <v>0.91</v>
      </c>
      <c r="E23" s="13">
        <v>0.94</v>
      </c>
      <c r="F23" s="13">
        <v>0</v>
      </c>
      <c r="G23" s="46">
        <f t="shared" si="0"/>
        <v>1.85</v>
      </c>
      <c r="H23" s="47"/>
      <c r="I23" s="57">
        <f>I22</f>
        <v>1.145</v>
      </c>
      <c r="J23" s="57"/>
      <c r="K23" s="49">
        <f t="shared" si="1"/>
        <v>2.1183000000000001</v>
      </c>
      <c r="L23" s="50">
        <f t="shared" si="2"/>
        <v>8208</v>
      </c>
      <c r="N23" s="51">
        <v>5102</v>
      </c>
      <c r="O23" s="52">
        <v>130</v>
      </c>
      <c r="P23" s="53"/>
      <c r="Q23" s="54"/>
      <c r="V23" s="623" t="s">
        <v>57</v>
      </c>
      <c r="W23" s="623"/>
      <c r="X23" s="618">
        <f>IF('2661 June Final'!K$84=1,'2661 June Final'!G23,0)</f>
        <v>0</v>
      </c>
      <c r="Y23" s="618"/>
      <c r="Z23" s="624">
        <v>1</v>
      </c>
      <c r="AA23" s="624"/>
      <c r="AB23" s="55">
        <f t="shared" si="3"/>
        <v>0</v>
      </c>
      <c r="AC23" s="56">
        <f t="shared" si="4"/>
        <v>0</v>
      </c>
      <c r="AD23" s="9"/>
    </row>
    <row r="24" spans="1:30" x14ac:dyDescent="0.25">
      <c r="A24" s="1" t="s">
        <v>58</v>
      </c>
      <c r="B24" s="13" t="s">
        <v>59</v>
      </c>
      <c r="C24" s="13"/>
      <c r="D24" s="13">
        <v>0</v>
      </c>
      <c r="E24" s="13">
        <v>0</v>
      </c>
      <c r="F24" s="13">
        <v>0</v>
      </c>
      <c r="G24" s="46">
        <f t="shared" si="0"/>
        <v>0</v>
      </c>
      <c r="H24" s="47"/>
      <c r="I24" s="57">
        <f>I23</f>
        <v>1.145</v>
      </c>
      <c r="J24" s="57"/>
      <c r="K24" s="49">
        <f t="shared" si="1"/>
        <v>0</v>
      </c>
      <c r="L24" s="50">
        <f t="shared" si="2"/>
        <v>0</v>
      </c>
      <c r="N24" s="51">
        <v>5103</v>
      </c>
      <c r="O24" s="52">
        <v>130</v>
      </c>
      <c r="P24" s="53"/>
      <c r="Q24" s="54"/>
      <c r="V24" s="623" t="s">
        <v>59</v>
      </c>
      <c r="W24" s="623"/>
      <c r="X24" s="618">
        <f>IF('2661 June Final'!K$84=1,'2661 June Final'!G24,0)</f>
        <v>0</v>
      </c>
      <c r="Y24" s="618"/>
      <c r="Z24" s="624">
        <v>1</v>
      </c>
      <c r="AA24" s="624"/>
      <c r="AB24" s="55">
        <f t="shared" si="3"/>
        <v>0</v>
      </c>
      <c r="AC24" s="56">
        <f t="shared" si="4"/>
        <v>0</v>
      </c>
      <c r="AD24" s="9"/>
    </row>
    <row r="25" spans="1:30" ht="16.5" thickBot="1" x14ac:dyDescent="0.3">
      <c r="A25" s="1" t="s">
        <v>60</v>
      </c>
      <c r="B25" s="13" t="s">
        <v>61</v>
      </c>
      <c r="C25" s="13"/>
      <c r="D25" s="13">
        <v>0</v>
      </c>
      <c r="E25" s="13">
        <v>0</v>
      </c>
      <c r="F25" s="13">
        <v>0</v>
      </c>
      <c r="G25" s="46">
        <f t="shared" si="0"/>
        <v>0</v>
      </c>
      <c r="H25" s="47"/>
      <c r="I25" s="57">
        <v>1.0109999999999999</v>
      </c>
      <c r="J25" s="57"/>
      <c r="K25" s="49">
        <f t="shared" si="1"/>
        <v>0</v>
      </c>
      <c r="L25" s="50">
        <f t="shared" si="2"/>
        <v>0</v>
      </c>
      <c r="N25" s="51">
        <v>5310</v>
      </c>
      <c r="O25" s="52">
        <v>300</v>
      </c>
      <c r="P25" s="53"/>
      <c r="Q25" s="54"/>
      <c r="V25" s="623" t="s">
        <v>61</v>
      </c>
      <c r="W25" s="623"/>
      <c r="X25" s="618">
        <f>IF('2661 June Final'!K$84=1,'2661 June Final'!G25,0)</f>
        <v>0</v>
      </c>
      <c r="Y25" s="618"/>
      <c r="Z25" s="624">
        <v>1</v>
      </c>
      <c r="AA25" s="624"/>
      <c r="AB25" s="55">
        <f t="shared" si="3"/>
        <v>0</v>
      </c>
      <c r="AC25" s="56">
        <f t="shared" si="4"/>
        <v>0</v>
      </c>
      <c r="AD25" s="9"/>
    </row>
    <row r="26" spans="1:30" ht="20.25" customHeight="1" thickBot="1" x14ac:dyDescent="0.3">
      <c r="B26" s="62" t="s">
        <v>62</v>
      </c>
      <c r="C26" s="62"/>
      <c r="D26" s="63">
        <f>SUM(D10:D25)</f>
        <v>75.63</v>
      </c>
      <c r="E26" s="63">
        <f>SUM(E10:E25)</f>
        <v>75.039999999999992</v>
      </c>
      <c r="F26" s="63"/>
      <c r="G26" s="63">
        <f>SUM(G10:G25)</f>
        <v>150.67000000000002</v>
      </c>
      <c r="H26" s="64"/>
      <c r="I26" s="64"/>
      <c r="J26" s="65"/>
      <c r="K26" s="66">
        <f>SUM(K10:K25)</f>
        <v>160.17620000000002</v>
      </c>
      <c r="L26" s="67">
        <f>SUM(L10:L25)</f>
        <v>620623</v>
      </c>
      <c r="N26" s="54"/>
      <c r="O26" s="68"/>
      <c r="P26" s="54"/>
      <c r="Q26" s="54"/>
      <c r="V26" s="625" t="s">
        <v>62</v>
      </c>
      <c r="W26" s="625"/>
      <c r="X26" s="626">
        <f>SUM(X10:X25)</f>
        <v>0</v>
      </c>
      <c r="Y26" s="626"/>
      <c r="Z26" s="627"/>
      <c r="AA26" s="628"/>
      <c r="AB26" s="69">
        <f>SUM(AB10:AB25)</f>
        <v>0</v>
      </c>
      <c r="AC26" s="70">
        <f>SUM(AC10:AC25)</f>
        <v>0</v>
      </c>
      <c r="AD26" s="9"/>
    </row>
    <row r="27" spans="1:30" ht="51.75" customHeight="1" x14ac:dyDescent="0.25">
      <c r="B27" s="62" t="s">
        <v>63</v>
      </c>
      <c r="C27" s="62"/>
      <c r="D27" s="71" t="s">
        <v>13</v>
      </c>
      <c r="E27" s="71" t="s">
        <v>14</v>
      </c>
      <c r="F27" s="27"/>
      <c r="G27" s="72" t="s">
        <v>64</v>
      </c>
      <c r="H27" s="73"/>
      <c r="I27" s="74" t="s">
        <v>65</v>
      </c>
      <c r="J27" s="74" t="s">
        <v>66</v>
      </c>
      <c r="K27" s="75" t="s">
        <v>67</v>
      </c>
      <c r="N27" s="54"/>
      <c r="O27" s="68"/>
      <c r="P27" s="54"/>
      <c r="Q27" s="54"/>
      <c r="V27" s="629" t="s">
        <v>63</v>
      </c>
      <c r="W27" s="629"/>
      <c r="X27" s="630" t="s">
        <v>64</v>
      </c>
      <c r="Y27" s="630"/>
      <c r="Z27" s="76" t="s">
        <v>65</v>
      </c>
      <c r="AA27" s="77" t="s">
        <v>66</v>
      </c>
      <c r="AB27" s="78" t="s">
        <v>67</v>
      </c>
      <c r="AC27" s="9"/>
      <c r="AD27" s="9"/>
    </row>
    <row r="28" spans="1:30" ht="15.75" customHeight="1" x14ac:dyDescent="0.25">
      <c r="A28" s="1" t="s">
        <v>68</v>
      </c>
      <c r="B28" s="631" t="s">
        <v>69</v>
      </c>
      <c r="C28" s="632"/>
      <c r="D28" s="13">
        <v>0.98</v>
      </c>
      <c r="E28" s="13">
        <v>1.02</v>
      </c>
      <c r="F28" s="79">
        <v>4</v>
      </c>
      <c r="G28" s="46">
        <f t="shared" ref="G28:G36" si="5">D28+E28</f>
        <v>2</v>
      </c>
      <c r="H28" s="80"/>
      <c r="I28" s="81" t="s">
        <v>70</v>
      </c>
      <c r="J28" s="82">
        <v>251</v>
      </c>
      <c r="K28" s="83">
        <v>1047</v>
      </c>
      <c r="L28" s="84">
        <f t="shared" ref="L28:L36" si="6">ROUND(G28*K28,0)</f>
        <v>2094</v>
      </c>
      <c r="N28" s="337">
        <v>5101</v>
      </c>
      <c r="O28" s="54">
        <v>251</v>
      </c>
      <c r="P28" s="86"/>
      <c r="Q28" s="87"/>
      <c r="V28" s="637" t="s">
        <v>69</v>
      </c>
      <c r="W28" s="637"/>
      <c r="X28" s="638"/>
      <c r="Y28" s="638"/>
      <c r="Z28" s="88" t="s">
        <v>70</v>
      </c>
      <c r="AA28" s="330">
        <v>251</v>
      </c>
      <c r="AB28" s="90">
        <f t="shared" ref="AB28:AB36" si="7">+K28</f>
        <v>1047</v>
      </c>
      <c r="AC28" s="91">
        <f t="shared" ref="AC28:AC36" si="8">ROUND(X28*AB28,0)</f>
        <v>0</v>
      </c>
      <c r="AD28" s="9"/>
    </row>
    <row r="29" spans="1:30" x14ac:dyDescent="0.25">
      <c r="A29" s="1" t="s">
        <v>71</v>
      </c>
      <c r="B29" s="633"/>
      <c r="C29" s="634"/>
      <c r="D29" s="13">
        <v>0</v>
      </c>
      <c r="E29" s="13">
        <v>0</v>
      </c>
      <c r="F29" s="92">
        <v>0</v>
      </c>
      <c r="G29" s="46">
        <f t="shared" si="5"/>
        <v>0</v>
      </c>
      <c r="H29" s="80"/>
      <c r="I29" s="82" t="s">
        <v>70</v>
      </c>
      <c r="J29" s="82">
        <v>252</v>
      </c>
      <c r="K29" s="83">
        <v>3380</v>
      </c>
      <c r="L29" s="84">
        <f t="shared" si="6"/>
        <v>0</v>
      </c>
      <c r="N29" s="337">
        <v>5101</v>
      </c>
      <c r="O29" s="54">
        <v>252</v>
      </c>
      <c r="P29" s="86"/>
      <c r="Q29" s="87"/>
      <c r="V29" s="637"/>
      <c r="W29" s="637"/>
      <c r="X29" s="638"/>
      <c r="Y29" s="638"/>
      <c r="Z29" s="330" t="s">
        <v>70</v>
      </c>
      <c r="AA29" s="330">
        <v>252</v>
      </c>
      <c r="AB29" s="90">
        <f t="shared" si="7"/>
        <v>3380</v>
      </c>
      <c r="AC29" s="91">
        <f t="shared" si="8"/>
        <v>0</v>
      </c>
      <c r="AD29" s="9"/>
    </row>
    <row r="30" spans="1:30" x14ac:dyDescent="0.25">
      <c r="A30" s="1" t="s">
        <v>72</v>
      </c>
      <c r="B30" s="633"/>
      <c r="C30" s="634"/>
      <c r="D30" s="13">
        <v>0</v>
      </c>
      <c r="E30" s="13">
        <v>0</v>
      </c>
      <c r="F30" s="92">
        <v>0</v>
      </c>
      <c r="G30" s="46">
        <f t="shared" si="5"/>
        <v>0</v>
      </c>
      <c r="H30" s="80"/>
      <c r="I30" s="82" t="s">
        <v>70</v>
      </c>
      <c r="J30" s="82">
        <v>253</v>
      </c>
      <c r="K30" s="83">
        <v>6896</v>
      </c>
      <c r="L30" s="84">
        <f t="shared" si="6"/>
        <v>0</v>
      </c>
      <c r="N30" s="337">
        <v>5101</v>
      </c>
      <c r="O30" s="54">
        <v>253</v>
      </c>
      <c r="P30" s="86"/>
      <c r="Q30" s="68"/>
      <c r="V30" s="637"/>
      <c r="W30" s="637"/>
      <c r="X30" s="638"/>
      <c r="Y30" s="638"/>
      <c r="Z30" s="330" t="s">
        <v>70</v>
      </c>
      <c r="AA30" s="330">
        <v>253</v>
      </c>
      <c r="AB30" s="90">
        <f t="shared" si="7"/>
        <v>6896</v>
      </c>
      <c r="AC30" s="91">
        <f t="shared" si="8"/>
        <v>0</v>
      </c>
      <c r="AD30" s="9"/>
    </row>
    <row r="31" spans="1:30" x14ac:dyDescent="0.25">
      <c r="A31" s="1" t="s">
        <v>73</v>
      </c>
      <c r="B31" s="633"/>
      <c r="C31" s="634"/>
      <c r="D31" s="13">
        <v>5.3</v>
      </c>
      <c r="E31" s="13">
        <v>5.2</v>
      </c>
      <c r="F31" s="92">
        <v>3.5</v>
      </c>
      <c r="G31" s="46">
        <f t="shared" si="5"/>
        <v>10.5</v>
      </c>
      <c r="H31" s="80"/>
      <c r="I31" s="93" t="s">
        <v>74</v>
      </c>
      <c r="J31" s="82">
        <v>251</v>
      </c>
      <c r="K31" s="83">
        <v>1173</v>
      </c>
      <c r="L31" s="84">
        <f t="shared" si="6"/>
        <v>12317</v>
      </c>
      <c r="N31" s="337">
        <v>5102</v>
      </c>
      <c r="O31" s="54">
        <v>251</v>
      </c>
      <c r="P31" s="86"/>
      <c r="Q31" s="68"/>
      <c r="V31" s="637"/>
      <c r="W31" s="637"/>
      <c r="X31" s="638"/>
      <c r="Y31" s="638"/>
      <c r="Z31" s="94" t="s">
        <v>74</v>
      </c>
      <c r="AA31" s="330">
        <v>251</v>
      </c>
      <c r="AB31" s="90">
        <f t="shared" si="7"/>
        <v>1173</v>
      </c>
      <c r="AC31" s="91">
        <f t="shared" si="8"/>
        <v>0</v>
      </c>
      <c r="AD31" s="9"/>
    </row>
    <row r="32" spans="1:30" x14ac:dyDescent="0.25">
      <c r="A32" s="1" t="s">
        <v>75</v>
      </c>
      <c r="B32" s="633"/>
      <c r="C32" s="634"/>
      <c r="D32" s="13">
        <v>0.9</v>
      </c>
      <c r="E32" s="13">
        <v>1.63</v>
      </c>
      <c r="F32" s="92">
        <v>1.5</v>
      </c>
      <c r="G32" s="46">
        <f t="shared" si="5"/>
        <v>2.5299999999999998</v>
      </c>
      <c r="H32" s="80"/>
      <c r="I32" s="93" t="s">
        <v>74</v>
      </c>
      <c r="J32" s="82">
        <v>252</v>
      </c>
      <c r="K32" s="83">
        <v>3506</v>
      </c>
      <c r="L32" s="84">
        <f t="shared" si="6"/>
        <v>8870</v>
      </c>
      <c r="N32" s="337">
        <v>5102</v>
      </c>
      <c r="O32" s="54">
        <v>252</v>
      </c>
      <c r="P32" s="86"/>
      <c r="Q32" s="54"/>
      <c r="V32" s="637"/>
      <c r="W32" s="637"/>
      <c r="X32" s="638"/>
      <c r="Y32" s="638"/>
      <c r="Z32" s="94" t="s">
        <v>74</v>
      </c>
      <c r="AA32" s="330">
        <v>252</v>
      </c>
      <c r="AB32" s="90">
        <f t="shared" si="7"/>
        <v>3506</v>
      </c>
      <c r="AC32" s="91">
        <f t="shared" si="8"/>
        <v>0</v>
      </c>
      <c r="AD32" s="9"/>
    </row>
    <row r="33" spans="1:30" x14ac:dyDescent="0.25">
      <c r="A33" s="1" t="s">
        <v>76</v>
      </c>
      <c r="B33" s="633"/>
      <c r="C33" s="634"/>
      <c r="D33" s="13">
        <v>0</v>
      </c>
      <c r="E33" s="13">
        <v>0</v>
      </c>
      <c r="F33" s="92">
        <v>0</v>
      </c>
      <c r="G33" s="46">
        <f t="shared" si="5"/>
        <v>0</v>
      </c>
      <c r="H33" s="80"/>
      <c r="I33" s="93" t="s">
        <v>74</v>
      </c>
      <c r="J33" s="82">
        <v>253</v>
      </c>
      <c r="K33" s="83">
        <v>7023</v>
      </c>
      <c r="L33" s="84">
        <f t="shared" si="6"/>
        <v>0</v>
      </c>
      <c r="N33" s="337">
        <v>5102</v>
      </c>
      <c r="O33" s="54">
        <v>253</v>
      </c>
      <c r="P33" s="86"/>
      <c r="Q33" s="87"/>
      <c r="V33" s="637"/>
      <c r="W33" s="637"/>
      <c r="X33" s="638"/>
      <c r="Y33" s="638"/>
      <c r="Z33" s="94" t="s">
        <v>74</v>
      </c>
      <c r="AA33" s="330">
        <v>253</v>
      </c>
      <c r="AB33" s="90">
        <f t="shared" si="7"/>
        <v>7023</v>
      </c>
      <c r="AC33" s="91">
        <f t="shared" si="8"/>
        <v>0</v>
      </c>
      <c r="AD33" s="9"/>
    </row>
    <row r="34" spans="1:30" x14ac:dyDescent="0.25">
      <c r="A34" s="1" t="s">
        <v>77</v>
      </c>
      <c r="B34" s="633"/>
      <c r="C34" s="634"/>
      <c r="D34" s="13">
        <v>0</v>
      </c>
      <c r="E34" s="13">
        <v>0</v>
      </c>
      <c r="F34" s="92">
        <v>0</v>
      </c>
      <c r="G34" s="46">
        <f t="shared" si="5"/>
        <v>0</v>
      </c>
      <c r="H34" s="80"/>
      <c r="I34" s="93" t="s">
        <v>78</v>
      </c>
      <c r="J34" s="82">
        <v>251</v>
      </c>
      <c r="K34" s="83">
        <v>835</v>
      </c>
      <c r="L34" s="84">
        <f t="shared" si="6"/>
        <v>0</v>
      </c>
      <c r="N34" s="337">
        <v>5103</v>
      </c>
      <c r="O34" s="54">
        <v>251</v>
      </c>
      <c r="P34" s="86"/>
      <c r="Q34" s="87"/>
      <c r="V34" s="637"/>
      <c r="W34" s="637"/>
      <c r="X34" s="638"/>
      <c r="Y34" s="638"/>
      <c r="Z34" s="94" t="s">
        <v>78</v>
      </c>
      <c r="AA34" s="330">
        <v>251</v>
      </c>
      <c r="AB34" s="90">
        <f t="shared" si="7"/>
        <v>835</v>
      </c>
      <c r="AC34" s="91">
        <f t="shared" si="8"/>
        <v>0</v>
      </c>
      <c r="AD34" s="9"/>
    </row>
    <row r="35" spans="1:30" x14ac:dyDescent="0.25">
      <c r="A35" s="1" t="s">
        <v>79</v>
      </c>
      <c r="B35" s="633"/>
      <c r="C35" s="634"/>
      <c r="D35" s="13">
        <v>0</v>
      </c>
      <c r="E35" s="13">
        <v>0</v>
      </c>
      <c r="F35" s="92">
        <v>0</v>
      </c>
      <c r="G35" s="46">
        <f t="shared" si="5"/>
        <v>0</v>
      </c>
      <c r="H35" s="80"/>
      <c r="I35" s="93" t="s">
        <v>78</v>
      </c>
      <c r="J35" s="82">
        <v>252</v>
      </c>
      <c r="K35" s="83">
        <v>3168</v>
      </c>
      <c r="L35" s="84">
        <f t="shared" si="6"/>
        <v>0</v>
      </c>
      <c r="N35" s="337">
        <v>5103</v>
      </c>
      <c r="O35" s="54">
        <v>252</v>
      </c>
      <c r="P35" s="86"/>
      <c r="Q35" s="95"/>
      <c r="V35" s="637"/>
      <c r="W35" s="637"/>
      <c r="X35" s="638"/>
      <c r="Y35" s="638"/>
      <c r="Z35" s="94" t="s">
        <v>78</v>
      </c>
      <c r="AA35" s="330">
        <v>252</v>
      </c>
      <c r="AB35" s="90">
        <f t="shared" si="7"/>
        <v>3168</v>
      </c>
      <c r="AC35" s="91">
        <f t="shared" si="8"/>
        <v>0</v>
      </c>
      <c r="AD35" s="9"/>
    </row>
    <row r="36" spans="1:30" ht="16.5" thickBot="1" x14ac:dyDescent="0.3">
      <c r="A36" s="1" t="s">
        <v>80</v>
      </c>
      <c r="B36" s="635"/>
      <c r="C36" s="636"/>
      <c r="D36" s="13">
        <v>0</v>
      </c>
      <c r="E36" s="13">
        <v>0</v>
      </c>
      <c r="F36" s="92">
        <v>0</v>
      </c>
      <c r="G36" s="46">
        <f t="shared" si="5"/>
        <v>0</v>
      </c>
      <c r="H36" s="80"/>
      <c r="I36" s="93" t="s">
        <v>78</v>
      </c>
      <c r="J36" s="82">
        <v>253</v>
      </c>
      <c r="K36" s="83">
        <v>6685</v>
      </c>
      <c r="L36" s="96">
        <f t="shared" si="6"/>
        <v>0</v>
      </c>
      <c r="N36" s="337">
        <v>5103</v>
      </c>
      <c r="O36" s="54">
        <v>253</v>
      </c>
      <c r="P36" s="86"/>
      <c r="Q36" s="97"/>
      <c r="V36" s="637"/>
      <c r="W36" s="637"/>
      <c r="X36" s="645"/>
      <c r="Y36" s="645"/>
      <c r="Z36" s="94" t="s">
        <v>78</v>
      </c>
      <c r="AA36" s="330">
        <v>253</v>
      </c>
      <c r="AB36" s="90">
        <f t="shared" si="7"/>
        <v>6685</v>
      </c>
      <c r="AC36" s="98">
        <f t="shared" si="8"/>
        <v>0</v>
      </c>
      <c r="AD36" s="9"/>
    </row>
    <row r="37" spans="1:30" ht="18.75" customHeight="1" x14ac:dyDescent="0.25">
      <c r="B37" s="13" t="s">
        <v>81</v>
      </c>
      <c r="C37" s="13"/>
      <c r="D37" s="63">
        <f>SUM(D28:D36)</f>
        <v>7.18</v>
      </c>
      <c r="E37" s="63">
        <f>SUM(E28:E36)</f>
        <v>7.8500000000000005</v>
      </c>
      <c r="F37" s="63"/>
      <c r="G37" s="63">
        <f>SUM(G28:G36)</f>
        <v>15.03</v>
      </c>
      <c r="H37" s="64"/>
      <c r="I37" s="13" t="s">
        <v>82</v>
      </c>
      <c r="J37" s="13"/>
      <c r="K37" s="13"/>
      <c r="L37" s="50">
        <f>SUM(L28:L36)</f>
        <v>23281</v>
      </c>
      <c r="N37" s="54"/>
      <c r="O37" s="68"/>
      <c r="P37" s="54"/>
      <c r="Q37" s="54"/>
      <c r="V37" s="646" t="s">
        <v>81</v>
      </c>
      <c r="W37" s="646"/>
      <c r="X37" s="626">
        <f>SUM(X28:X36)</f>
        <v>0</v>
      </c>
      <c r="Y37" s="626"/>
      <c r="Z37" s="646" t="s">
        <v>82</v>
      </c>
      <c r="AA37" s="646"/>
      <c r="AB37" s="646"/>
      <c r="AC37" s="56">
        <f>SUM(AC28:AC36)</f>
        <v>0</v>
      </c>
      <c r="AD37" s="9"/>
    </row>
    <row r="38" spans="1:30" ht="30.75" customHeight="1" x14ac:dyDescent="0.25">
      <c r="B38" s="99" t="s">
        <v>83</v>
      </c>
      <c r="C38" s="99"/>
      <c r="D38" s="99"/>
      <c r="E38" s="99"/>
      <c r="F38" s="99"/>
      <c r="G38" s="99"/>
      <c r="H38" s="100"/>
      <c r="I38" s="99"/>
      <c r="J38" s="99"/>
      <c r="K38" s="99"/>
      <c r="L38" s="99"/>
      <c r="M38" s="101"/>
      <c r="N38" s="54"/>
      <c r="O38" s="68"/>
      <c r="P38" s="54"/>
      <c r="Q38" s="54"/>
      <c r="V38" s="639" t="s">
        <v>83</v>
      </c>
      <c r="W38" s="639"/>
      <c r="X38" s="639"/>
      <c r="Y38" s="639"/>
      <c r="Z38" s="639"/>
      <c r="AA38" s="639"/>
      <c r="AB38" s="639"/>
      <c r="AC38" s="639"/>
      <c r="AD38" s="102"/>
    </row>
    <row r="39" spans="1:30" ht="15.75" customHeight="1" x14ac:dyDescent="0.25">
      <c r="B39" s="103" t="s">
        <v>84</v>
      </c>
      <c r="C39" s="103"/>
      <c r="D39" s="103"/>
      <c r="E39" s="103"/>
      <c r="F39" s="103"/>
      <c r="G39" s="104">
        <v>34389540</v>
      </c>
      <c r="H39" s="104"/>
      <c r="I39" s="13" t="s">
        <v>85</v>
      </c>
      <c r="J39" s="13"/>
      <c r="K39" s="13"/>
      <c r="L39" s="13"/>
      <c r="O39" s="1"/>
      <c r="V39" s="640" t="s">
        <v>84</v>
      </c>
      <c r="W39" s="640"/>
      <c r="X39" s="641">
        <f>+G39</f>
        <v>34389540</v>
      </c>
      <c r="Y39" s="641"/>
      <c r="Z39" s="642" t="s">
        <v>85</v>
      </c>
      <c r="AA39" s="642"/>
      <c r="AB39" s="642"/>
      <c r="AC39" s="642"/>
      <c r="AD39" s="9"/>
    </row>
    <row r="40" spans="1:30" ht="15.75" customHeight="1" x14ac:dyDescent="0.25">
      <c r="B40" s="105" t="s">
        <v>86</v>
      </c>
      <c r="C40" s="105"/>
      <c r="D40" s="105"/>
      <c r="E40" s="105"/>
      <c r="F40" s="105"/>
      <c r="G40" s="106">
        <v>180284.81</v>
      </c>
      <c r="H40" s="106"/>
      <c r="I40" s="106"/>
      <c r="J40" s="106"/>
      <c r="K40" s="50">
        <f>ROUND(G39/G40,0)</f>
        <v>191</v>
      </c>
      <c r="L40" s="50">
        <f>ROUND(K40*$G$26,0)</f>
        <v>28778</v>
      </c>
      <c r="N40" s="107"/>
      <c r="O40" s="107"/>
      <c r="P40" s="107"/>
      <c r="Q40" s="107"/>
      <c r="V40" s="643" t="s">
        <v>86</v>
      </c>
      <c r="W40" s="643"/>
      <c r="X40" s="644">
        <f>+G40</f>
        <v>180284.81</v>
      </c>
      <c r="Y40" s="644"/>
      <c r="Z40" s="644"/>
      <c r="AA40" s="644"/>
      <c r="AB40" s="56">
        <f>ROUND(X39/X40,0)</f>
        <v>191</v>
      </c>
      <c r="AC40" s="56">
        <f>ROUND(AB40*$X$26,0)</f>
        <v>0</v>
      </c>
      <c r="AD40" s="9"/>
    </row>
    <row r="41" spans="1:30" ht="15.75" customHeight="1" x14ac:dyDescent="0.25">
      <c r="B41" s="108" t="s">
        <v>87</v>
      </c>
      <c r="C41" s="108"/>
      <c r="D41" s="108"/>
      <c r="E41" s="108"/>
      <c r="F41" s="108"/>
      <c r="G41" s="108"/>
      <c r="H41" s="108"/>
      <c r="I41" s="108"/>
      <c r="J41" s="108"/>
      <c r="K41" s="108"/>
      <c r="L41" s="108"/>
      <c r="N41" s="101"/>
      <c r="O41" s="109"/>
      <c r="P41" s="101"/>
      <c r="Q41" s="101"/>
      <c r="V41" s="652" t="s">
        <v>87</v>
      </c>
      <c r="W41" s="652"/>
      <c r="X41" s="652"/>
      <c r="Y41" s="652"/>
      <c r="Z41" s="652"/>
      <c r="AA41" s="652"/>
      <c r="AB41" s="652"/>
      <c r="AC41" s="652"/>
      <c r="AD41" s="9"/>
    </row>
    <row r="42" spans="1:30" ht="28.5" customHeight="1" x14ac:dyDescent="0.25">
      <c r="B42" s="99" t="s">
        <v>88</v>
      </c>
      <c r="C42" s="99"/>
      <c r="D42" s="99"/>
      <c r="E42" s="99"/>
      <c r="F42" s="99"/>
      <c r="G42" s="99"/>
      <c r="H42" s="99"/>
      <c r="I42" s="99"/>
      <c r="J42" s="99"/>
      <c r="K42" s="99"/>
      <c r="L42" s="99"/>
      <c r="M42" s="107"/>
      <c r="O42" s="1"/>
      <c r="V42" s="639" t="s">
        <v>88</v>
      </c>
      <c r="W42" s="639"/>
      <c r="X42" s="639"/>
      <c r="Y42" s="639"/>
      <c r="Z42" s="639"/>
      <c r="AA42" s="639"/>
      <c r="AB42" s="639"/>
      <c r="AC42" s="639"/>
      <c r="AD42" s="334"/>
    </row>
    <row r="43" spans="1:30" x14ac:dyDescent="0.25">
      <c r="B43" s="111" t="s">
        <v>89</v>
      </c>
      <c r="C43" s="111"/>
      <c r="D43" s="111"/>
      <c r="E43" s="111"/>
      <c r="F43" s="111"/>
      <c r="G43" s="111"/>
      <c r="H43" s="111"/>
      <c r="I43" s="111"/>
      <c r="J43" s="111"/>
      <c r="K43" s="111"/>
      <c r="L43" s="111"/>
      <c r="M43" s="112"/>
      <c r="N43" s="101"/>
      <c r="O43" s="101"/>
      <c r="P43" s="101"/>
      <c r="Q43" s="101"/>
      <c r="V43" s="653" t="s">
        <v>89</v>
      </c>
      <c r="W43" s="653"/>
      <c r="X43" s="653"/>
      <c r="Y43" s="653"/>
      <c r="Z43" s="653"/>
      <c r="AA43" s="653"/>
      <c r="AB43" s="653"/>
      <c r="AC43" s="653"/>
      <c r="AD43" s="113"/>
    </row>
    <row r="44" spans="1:30" ht="24" customHeight="1" x14ac:dyDescent="0.25">
      <c r="B44" s="62" t="s">
        <v>90</v>
      </c>
      <c r="C44" s="62"/>
      <c r="D44" s="62"/>
      <c r="E44" s="62"/>
      <c r="F44" s="62"/>
      <c r="G44" s="62"/>
      <c r="H44" s="62"/>
      <c r="I44" s="62"/>
      <c r="J44" s="62"/>
      <c r="K44" s="62"/>
      <c r="L44" s="114">
        <f>SUM(L26,L37,L40)</f>
        <v>672682</v>
      </c>
      <c r="O44" s="1"/>
      <c r="V44" s="654" t="s">
        <v>90</v>
      </c>
      <c r="W44" s="654"/>
      <c r="X44" s="654"/>
      <c r="Y44" s="654"/>
      <c r="Z44" s="654"/>
      <c r="AA44" s="654"/>
      <c r="AB44" s="654"/>
      <c r="AC44" s="115">
        <f>SUM(AC26,AC37,AC40)</f>
        <v>0</v>
      </c>
      <c r="AD44" s="9"/>
    </row>
    <row r="45" spans="1:30" ht="30.75" customHeight="1" x14ac:dyDescent="0.25">
      <c r="B45" s="99" t="s">
        <v>91</v>
      </c>
      <c r="C45" s="99"/>
      <c r="D45" s="99"/>
      <c r="E45" s="99"/>
      <c r="F45" s="99"/>
      <c r="G45" s="99"/>
      <c r="H45" s="99"/>
      <c r="I45" s="99"/>
      <c r="J45" s="99"/>
      <c r="K45" s="99"/>
      <c r="L45" s="99"/>
      <c r="M45" s="116"/>
      <c r="O45" s="1"/>
      <c r="V45" s="639" t="s">
        <v>91</v>
      </c>
      <c r="W45" s="639"/>
      <c r="X45" s="639"/>
      <c r="Y45" s="639"/>
      <c r="Z45" s="639"/>
      <c r="AA45" s="639"/>
      <c r="AB45" s="639"/>
      <c r="AC45" s="639"/>
      <c r="AD45" s="333"/>
    </row>
    <row r="46" spans="1:30" ht="18.75" customHeight="1" x14ac:dyDescent="0.25">
      <c r="B46" s="1"/>
      <c r="C46" s="118" t="s">
        <v>92</v>
      </c>
      <c r="D46" s="118"/>
      <c r="E46" s="118"/>
      <c r="F46" s="118"/>
      <c r="G46" s="118" t="s">
        <v>93</v>
      </c>
      <c r="H46" s="119"/>
      <c r="I46" s="120" t="s">
        <v>94</v>
      </c>
      <c r="J46" s="121"/>
      <c r="K46" s="121"/>
      <c r="L46" s="121"/>
      <c r="M46" s="122"/>
      <c r="O46" s="1"/>
      <c r="V46" s="9"/>
      <c r="W46" s="336" t="s">
        <v>92</v>
      </c>
      <c r="X46" s="655" t="s">
        <v>95</v>
      </c>
      <c r="Y46" s="655"/>
      <c r="Z46" s="656" t="s">
        <v>94</v>
      </c>
      <c r="AA46" s="656"/>
      <c r="AB46" s="656"/>
      <c r="AC46" s="656"/>
      <c r="AD46" s="124"/>
    </row>
    <row r="47" spans="1:30" ht="18.75" customHeight="1" x14ac:dyDescent="0.25">
      <c r="B47" s="107" t="s">
        <v>96</v>
      </c>
      <c r="C47" s="125">
        <f>K10+K11+K16+K19+K22</f>
        <v>82.847899999999996</v>
      </c>
      <c r="D47" s="125"/>
      <c r="E47" s="125"/>
      <c r="F47" s="125"/>
      <c r="G47" s="126">
        <f>K7</f>
        <v>1.0326</v>
      </c>
      <c r="H47" s="126"/>
      <c r="I47" s="127">
        <v>1316.85</v>
      </c>
      <c r="J47" s="128" t="s">
        <v>97</v>
      </c>
      <c r="K47" s="129">
        <f>ROUND(C47*G47*I47,0)</f>
        <v>112655</v>
      </c>
      <c r="L47" s="130"/>
      <c r="O47" s="1"/>
      <c r="V47" s="334" t="s">
        <v>96</v>
      </c>
      <c r="W47" s="131">
        <f>AB10+AB11+AB16+AB19+AB22</f>
        <v>0</v>
      </c>
      <c r="X47" s="647">
        <f>AB7</f>
        <v>1.0326</v>
      </c>
      <c r="Y47" s="647"/>
      <c r="Z47" s="132">
        <f>+I47</f>
        <v>1316.85</v>
      </c>
      <c r="AA47" s="133" t="s">
        <v>97</v>
      </c>
      <c r="AB47" s="134">
        <f>ROUND(W47*X47*Z47,0)</f>
        <v>0</v>
      </c>
      <c r="AC47" s="135"/>
      <c r="AD47" s="9"/>
    </row>
    <row r="48" spans="1:30" ht="18" customHeight="1" x14ac:dyDescent="0.25">
      <c r="B48" s="136" t="s">
        <v>74</v>
      </c>
      <c r="C48" s="125">
        <f>K12+K13+K17+K20+K23</f>
        <v>77.328299999999999</v>
      </c>
      <c r="D48" s="125"/>
      <c r="E48" s="125"/>
      <c r="F48" s="125"/>
      <c r="G48" s="126">
        <f>K7</f>
        <v>1.0326</v>
      </c>
      <c r="H48" s="126"/>
      <c r="I48" s="127">
        <v>898.23</v>
      </c>
      <c r="J48" s="128" t="s">
        <v>97</v>
      </c>
      <c r="K48" s="129">
        <f>ROUND(C48*G48*I48,0)</f>
        <v>71723</v>
      </c>
      <c r="L48" s="62"/>
      <c r="O48" s="1"/>
      <c r="V48" s="137" t="s">
        <v>74</v>
      </c>
      <c r="W48" s="131">
        <f>AB12+AB13+AB17+AB20+AB23</f>
        <v>0</v>
      </c>
      <c r="X48" s="647">
        <f>AB7</f>
        <v>1.0326</v>
      </c>
      <c r="Y48" s="647"/>
      <c r="Z48" s="132">
        <f>+I48</f>
        <v>898.23</v>
      </c>
      <c r="AA48" s="133" t="s">
        <v>97</v>
      </c>
      <c r="AB48" s="134">
        <f>ROUND(W48*X48*Z48,0)</f>
        <v>0</v>
      </c>
      <c r="AC48" s="138"/>
      <c r="AD48" s="9"/>
    </row>
    <row r="49" spans="2:30" ht="19.5" customHeight="1" thickBot="1" x14ac:dyDescent="0.3">
      <c r="B49" s="139" t="s">
        <v>78</v>
      </c>
      <c r="C49" s="140">
        <f>K14+K15+K18+K21+K24+K25</f>
        <v>0</v>
      </c>
      <c r="D49" s="125"/>
      <c r="E49" s="125"/>
      <c r="F49" s="125"/>
      <c r="G49" s="126">
        <f>K7</f>
        <v>1.0326</v>
      </c>
      <c r="H49" s="126"/>
      <c r="I49" s="127">
        <v>900.39</v>
      </c>
      <c r="J49" s="128" t="s">
        <v>97</v>
      </c>
      <c r="K49" s="129">
        <f>ROUND(C49*G49*I49,0)</f>
        <v>0</v>
      </c>
      <c r="L49" s="62"/>
      <c r="M49" s="112"/>
      <c r="N49" s="141"/>
      <c r="O49" s="142"/>
      <c r="P49" s="101"/>
      <c r="Q49" s="143"/>
      <c r="V49" s="144" t="s">
        <v>78</v>
      </c>
      <c r="W49" s="145">
        <f>AB14+AB15+AB18+AB21+AB24+AB25</f>
        <v>0</v>
      </c>
      <c r="X49" s="647">
        <f>AB7</f>
        <v>1.0326</v>
      </c>
      <c r="Y49" s="647"/>
      <c r="Z49" s="132">
        <f>+I49</f>
        <v>900.39</v>
      </c>
      <c r="AA49" s="133" t="s">
        <v>97</v>
      </c>
      <c r="AB49" s="134">
        <f>ROUND(W49*X49*Z49,0)</f>
        <v>0</v>
      </c>
      <c r="AC49" s="138"/>
      <c r="AD49" s="113"/>
    </row>
    <row r="50" spans="2:30" ht="24" customHeight="1" thickBot="1" x14ac:dyDescent="0.3">
      <c r="B50" s="146" t="s">
        <v>98</v>
      </c>
      <c r="C50" s="147">
        <f>SUM(C47:C49)</f>
        <v>160.17619999999999</v>
      </c>
      <c r="D50" s="148"/>
      <c r="E50" s="149"/>
      <c r="F50" s="149"/>
      <c r="G50" s="150" t="s">
        <v>99</v>
      </c>
      <c r="H50" s="150"/>
      <c r="I50" s="150"/>
      <c r="J50" s="150"/>
      <c r="K50" s="150"/>
      <c r="L50" s="50">
        <f>IF(B2=75,0,K49+K48+K47)</f>
        <v>184378</v>
      </c>
      <c r="N50" s="3"/>
      <c r="O50" s="1"/>
      <c r="V50" s="335" t="s">
        <v>98</v>
      </c>
      <c r="W50" s="152">
        <f>SUM(W47:W49)</f>
        <v>0</v>
      </c>
      <c r="X50" s="648" t="s">
        <v>99</v>
      </c>
      <c r="Y50" s="649"/>
      <c r="Z50" s="649"/>
      <c r="AA50" s="649"/>
      <c r="AB50" s="649"/>
      <c r="AC50" s="56">
        <f>IF(V2=75,0,AB49+AB48+AB47)</f>
        <v>0</v>
      </c>
      <c r="AD50" s="9"/>
    </row>
    <row r="51" spans="2:30" ht="19.5" customHeight="1" x14ac:dyDescent="0.25">
      <c r="B51" s="153" t="s">
        <v>100</v>
      </c>
      <c r="C51" s="153"/>
      <c r="D51" s="153"/>
      <c r="E51" s="153"/>
      <c r="F51" s="153"/>
      <c r="G51" s="153"/>
      <c r="H51" s="153"/>
      <c r="I51" s="153"/>
      <c r="J51" s="153"/>
      <c r="K51" s="153"/>
      <c r="L51" s="153"/>
      <c r="M51" s="141"/>
      <c r="N51" s="101"/>
      <c r="O51" s="1"/>
      <c r="V51" s="650" t="s">
        <v>100</v>
      </c>
      <c r="W51" s="650"/>
      <c r="X51" s="650"/>
      <c r="Y51" s="650"/>
      <c r="Z51" s="650"/>
      <c r="AA51" s="650"/>
      <c r="AB51" s="650"/>
      <c r="AC51" s="650"/>
      <c r="AD51" s="154"/>
    </row>
    <row r="52" spans="2:30" ht="27.75" customHeight="1" x14ac:dyDescent="0.25">
      <c r="B52" s="13" t="s">
        <v>101</v>
      </c>
      <c r="C52" s="13"/>
      <c r="D52" s="13"/>
      <c r="E52" s="13"/>
      <c r="F52" s="13"/>
      <c r="G52" s="13"/>
      <c r="H52" s="13"/>
      <c r="I52" s="13"/>
      <c r="J52" s="13"/>
      <c r="K52" s="13"/>
      <c r="L52" s="13"/>
      <c r="O52" s="1"/>
      <c r="V52" s="651" t="s">
        <v>101</v>
      </c>
      <c r="W52" s="651"/>
      <c r="X52" s="651"/>
      <c r="Y52" s="651"/>
      <c r="Z52" s="651"/>
      <c r="AA52" s="651"/>
      <c r="AB52" s="651"/>
      <c r="AC52" s="651"/>
      <c r="AD52" s="9"/>
    </row>
    <row r="53" spans="2:30" x14ac:dyDescent="0.25">
      <c r="B53" s="13" t="s">
        <v>102</v>
      </c>
      <c r="C53" s="13"/>
      <c r="D53" s="13"/>
      <c r="E53" s="13"/>
      <c r="F53" s="13"/>
      <c r="G53" s="155">
        <f>K26</f>
        <v>160.17620000000002</v>
      </c>
      <c r="H53" s="57" t="s">
        <v>103</v>
      </c>
      <c r="I53" s="57"/>
      <c r="J53" s="156">
        <v>197823.77</v>
      </c>
      <c r="K53" s="156"/>
      <c r="L53" s="156"/>
      <c r="N53" s="3"/>
      <c r="O53" s="1"/>
      <c r="V53" s="657" t="s">
        <v>102</v>
      </c>
      <c r="W53" s="657"/>
      <c r="X53" s="157">
        <f>AB26</f>
        <v>0</v>
      </c>
      <c r="Y53" s="658" t="s">
        <v>103</v>
      </c>
      <c r="Z53" s="658"/>
      <c r="AA53" s="659">
        <f>+J53</f>
        <v>197823.77</v>
      </c>
      <c r="AB53" s="659"/>
      <c r="AC53" s="659"/>
      <c r="AD53" s="9"/>
    </row>
    <row r="54" spans="2:30" x14ac:dyDescent="0.25">
      <c r="B54" s="13" t="s">
        <v>104</v>
      </c>
      <c r="C54" s="13"/>
      <c r="D54" s="13"/>
      <c r="E54" s="13"/>
      <c r="F54" s="13"/>
      <c r="G54" s="13"/>
      <c r="H54" s="13"/>
      <c r="I54" s="13"/>
      <c r="J54" s="13"/>
      <c r="K54" s="158">
        <f>ROUND(G53/J53,6)</f>
        <v>8.0999999999999996E-4</v>
      </c>
      <c r="L54" s="158"/>
      <c r="N54" s="101"/>
      <c r="O54" s="1"/>
      <c r="V54" s="657" t="s">
        <v>104</v>
      </c>
      <c r="W54" s="657"/>
      <c r="X54" s="657"/>
      <c r="Y54" s="657"/>
      <c r="Z54" s="657"/>
      <c r="AA54" s="657"/>
      <c r="AB54" s="660">
        <f>ROUND(X53/AA53,6)</f>
        <v>0</v>
      </c>
      <c r="AC54" s="660"/>
      <c r="AD54" s="9"/>
    </row>
    <row r="55" spans="2:30" ht="24" customHeight="1" x14ac:dyDescent="0.25">
      <c r="B55" s="13" t="s">
        <v>105</v>
      </c>
      <c r="C55" s="13"/>
      <c r="D55" s="13"/>
      <c r="E55" s="13"/>
      <c r="F55" s="13"/>
      <c r="G55" s="13"/>
      <c r="H55" s="13"/>
      <c r="I55" s="13"/>
      <c r="J55" s="13"/>
      <c r="K55" s="13"/>
      <c r="L55" s="13"/>
      <c r="O55" s="1"/>
      <c r="V55" s="651" t="s">
        <v>105</v>
      </c>
      <c r="W55" s="651"/>
      <c r="X55" s="651"/>
      <c r="Y55" s="651"/>
      <c r="Z55" s="651"/>
      <c r="AA55" s="651"/>
      <c r="AB55" s="651"/>
      <c r="AC55" s="651"/>
      <c r="AD55" s="9"/>
    </row>
    <row r="56" spans="2:30" x14ac:dyDescent="0.25">
      <c r="B56" s="13" t="s">
        <v>106</v>
      </c>
      <c r="C56" s="13"/>
      <c r="D56" s="13"/>
      <c r="E56" s="13"/>
      <c r="F56" s="13"/>
      <c r="G56" s="159">
        <f>G26</f>
        <v>150.67000000000002</v>
      </c>
      <c r="H56" s="57" t="s">
        <v>107</v>
      </c>
      <c r="I56" s="57"/>
      <c r="J56" s="156">
        <f>+G40</f>
        <v>180284.81</v>
      </c>
      <c r="K56" s="156"/>
      <c r="L56" s="156"/>
      <c r="O56" s="1"/>
      <c r="V56" s="657" t="s">
        <v>106</v>
      </c>
      <c r="W56" s="657"/>
      <c r="X56" s="160">
        <f>X26</f>
        <v>0</v>
      </c>
      <c r="Y56" s="658" t="s">
        <v>107</v>
      </c>
      <c r="Z56" s="658"/>
      <c r="AA56" s="659">
        <f>+J56</f>
        <v>180284.81</v>
      </c>
      <c r="AB56" s="659"/>
      <c r="AC56" s="659"/>
      <c r="AD56" s="9"/>
    </row>
    <row r="57" spans="2:30" x14ac:dyDescent="0.25">
      <c r="B57" s="13" t="s">
        <v>108</v>
      </c>
      <c r="C57" s="13"/>
      <c r="D57" s="13"/>
      <c r="E57" s="13"/>
      <c r="F57" s="13"/>
      <c r="G57" s="13"/>
      <c r="H57" s="13"/>
      <c r="I57" s="13"/>
      <c r="J57" s="13"/>
      <c r="K57" s="158">
        <f>ROUND(G56/J56,6)</f>
        <v>8.3600000000000005E-4</v>
      </c>
      <c r="L57" s="158"/>
      <c r="O57" s="1"/>
      <c r="V57" s="657" t="s">
        <v>108</v>
      </c>
      <c r="W57" s="657"/>
      <c r="X57" s="657"/>
      <c r="Y57" s="657"/>
      <c r="Z57" s="657"/>
      <c r="AA57" s="657"/>
      <c r="AB57" s="660">
        <f>ROUND(X56/AA56,6)</f>
        <v>0</v>
      </c>
      <c r="AC57" s="660"/>
      <c r="AD57" s="9"/>
    </row>
    <row r="58" spans="2:30" ht="20.25" customHeight="1" x14ac:dyDescent="0.25">
      <c r="B58" s="161" t="s">
        <v>109</v>
      </c>
      <c r="C58" s="161"/>
      <c r="D58" s="161"/>
      <c r="E58" s="161"/>
      <c r="F58" s="161"/>
      <c r="G58" s="161"/>
      <c r="H58" s="161"/>
      <c r="I58" s="161"/>
      <c r="J58" s="161"/>
      <c r="K58" s="161"/>
      <c r="L58" s="161"/>
      <c r="N58" s="18"/>
      <c r="O58" s="18"/>
      <c r="V58" s="629" t="s">
        <v>110</v>
      </c>
      <c r="W58" s="629"/>
      <c r="X58" s="629"/>
      <c r="Y58" s="661">
        <f>X65+X64+X62+X61+X60</f>
        <v>4123852</v>
      </c>
      <c r="Z58" s="661"/>
      <c r="AA58" s="332" t="s">
        <v>111</v>
      </c>
      <c r="AB58" s="163">
        <f>AB54</f>
        <v>0</v>
      </c>
      <c r="AC58" s="56">
        <f>ROUND(Y58*AB58,0)</f>
        <v>0</v>
      </c>
      <c r="AD58" s="9"/>
    </row>
    <row r="59" spans="2:30" x14ac:dyDescent="0.25">
      <c r="B59" s="62" t="s">
        <v>110</v>
      </c>
      <c r="C59" s="62"/>
      <c r="D59" s="62"/>
      <c r="E59" s="62"/>
      <c r="F59" s="62"/>
      <c r="G59" s="62"/>
      <c r="H59" s="164" t="s">
        <v>22</v>
      </c>
      <c r="I59" s="129">
        <v>4123852</v>
      </c>
      <c r="J59" s="165" t="s">
        <v>111</v>
      </c>
      <c r="K59" s="166">
        <f>K54</f>
        <v>8.0999999999999996E-4</v>
      </c>
      <c r="L59" s="50">
        <f>ROUND(I59*K59,0)</f>
        <v>3340</v>
      </c>
      <c r="O59" s="1"/>
      <c r="P59" s="165"/>
      <c r="Q59" s="165"/>
      <c r="V59" s="662" t="s">
        <v>112</v>
      </c>
      <c r="W59" s="662"/>
      <c r="X59" s="662"/>
      <c r="Y59" s="662"/>
      <c r="Z59" s="662"/>
      <c r="AA59" s="662"/>
      <c r="AB59" s="662"/>
      <c r="AC59" s="662"/>
      <c r="AD59" s="9"/>
    </row>
    <row r="60" spans="2:30" x14ac:dyDescent="0.25">
      <c r="B60" s="62" t="s">
        <v>112</v>
      </c>
      <c r="C60" s="62"/>
      <c r="D60" s="62"/>
      <c r="E60" s="62"/>
      <c r="F60" s="62"/>
      <c r="G60" s="62"/>
      <c r="H60" s="62"/>
      <c r="I60" s="62"/>
      <c r="J60" s="62"/>
      <c r="K60" s="62"/>
      <c r="L60" s="62"/>
      <c r="O60" s="1"/>
      <c r="P60" s="165"/>
      <c r="Q60" s="165"/>
      <c r="V60" s="663" t="s">
        <v>113</v>
      </c>
      <c r="W60" s="663"/>
      <c r="X60" s="664">
        <f>+G61</f>
        <v>0</v>
      </c>
      <c r="Y60" s="664"/>
      <c r="Z60" s="664"/>
      <c r="AA60" s="664"/>
      <c r="AB60" s="664"/>
      <c r="AC60" s="664"/>
      <c r="AD60" s="9"/>
    </row>
    <row r="61" spans="2:30" ht="15" customHeight="1" x14ac:dyDescent="0.25">
      <c r="B61" s="167" t="s">
        <v>113</v>
      </c>
      <c r="C61" s="62"/>
      <c r="D61" s="62"/>
      <c r="E61" s="62"/>
      <c r="F61" s="62"/>
      <c r="G61" s="168">
        <v>0</v>
      </c>
      <c r="H61" s="168"/>
      <c r="I61" s="168"/>
      <c r="J61" s="168"/>
      <c r="K61" s="168"/>
      <c r="L61" s="168"/>
      <c r="O61" s="1"/>
      <c r="P61" s="165"/>
      <c r="Q61" s="165"/>
      <c r="V61" s="663" t="s">
        <v>114</v>
      </c>
      <c r="W61" s="663"/>
      <c r="X61" s="664">
        <f>+G62</f>
        <v>0</v>
      </c>
      <c r="Y61" s="664"/>
      <c r="Z61" s="664"/>
      <c r="AA61" s="664"/>
      <c r="AB61" s="664"/>
      <c r="AC61" s="664"/>
      <c r="AD61" s="9"/>
    </row>
    <row r="62" spans="2:30" ht="13.5" customHeight="1" x14ac:dyDescent="0.25">
      <c r="B62" s="167" t="s">
        <v>114</v>
      </c>
      <c r="C62" s="62"/>
      <c r="D62" s="62"/>
      <c r="E62" s="62"/>
      <c r="F62" s="62"/>
      <c r="G62" s="168">
        <v>0</v>
      </c>
      <c r="H62" s="168"/>
      <c r="I62" s="168"/>
      <c r="J62" s="168"/>
      <c r="K62" s="168"/>
      <c r="L62" s="168"/>
      <c r="N62" s="165"/>
      <c r="O62" s="165"/>
      <c r="P62" s="165"/>
      <c r="Q62" s="165"/>
      <c r="V62" s="663" t="s">
        <v>115</v>
      </c>
      <c r="W62" s="663"/>
      <c r="X62" s="664">
        <v>0</v>
      </c>
      <c r="Y62" s="664"/>
      <c r="Z62" s="664"/>
      <c r="AA62" s="664"/>
      <c r="AB62" s="664"/>
      <c r="AC62" s="664"/>
      <c r="AD62" s="9"/>
    </row>
    <row r="63" spans="2:30" ht="13.5" hidden="1" customHeight="1" x14ac:dyDescent="0.25">
      <c r="B63" s="62" t="s">
        <v>115</v>
      </c>
      <c r="C63" s="62"/>
      <c r="D63" s="62"/>
      <c r="E63" s="62"/>
      <c r="F63" s="62"/>
      <c r="G63" s="168">
        <v>0</v>
      </c>
      <c r="H63" s="168"/>
      <c r="I63" s="168"/>
      <c r="J63" s="168"/>
      <c r="K63" s="168"/>
      <c r="L63" s="168"/>
      <c r="O63" s="1"/>
      <c r="P63" s="165"/>
      <c r="Q63" s="165"/>
      <c r="V63" s="662" t="s">
        <v>116</v>
      </c>
      <c r="W63" s="662"/>
      <c r="X63" s="662"/>
      <c r="Y63" s="662"/>
      <c r="Z63" s="662"/>
      <c r="AA63" s="662"/>
      <c r="AB63" s="662"/>
      <c r="AC63" s="662"/>
      <c r="AD63" s="333"/>
    </row>
    <row r="64" spans="2:30" ht="13.5" customHeight="1" x14ac:dyDescent="0.25">
      <c r="B64" s="62" t="s">
        <v>116</v>
      </c>
      <c r="C64" s="62"/>
      <c r="D64" s="62"/>
      <c r="E64" s="62"/>
      <c r="F64" s="62"/>
      <c r="G64" s="62"/>
      <c r="H64" s="62"/>
      <c r="I64" s="62"/>
      <c r="J64" s="62"/>
      <c r="K64" s="62"/>
      <c r="L64" s="62"/>
      <c r="M64" s="116"/>
      <c r="N64" s="18"/>
      <c r="O64" s="1"/>
      <c r="V64" s="663" t="s">
        <v>117</v>
      </c>
      <c r="W64" s="663"/>
      <c r="X64" s="664">
        <f>+G65</f>
        <v>4123852</v>
      </c>
      <c r="Y64" s="664"/>
      <c r="Z64" s="664"/>
      <c r="AA64" s="664"/>
      <c r="AB64" s="664"/>
      <c r="AC64" s="664"/>
      <c r="AD64" s="9"/>
    </row>
    <row r="65" spans="1:30" ht="12.75" customHeight="1" x14ac:dyDescent="0.25">
      <c r="B65" s="167" t="s">
        <v>117</v>
      </c>
      <c r="C65" s="62"/>
      <c r="D65" s="62"/>
      <c r="E65" s="62"/>
      <c r="F65" s="62"/>
      <c r="G65" s="168">
        <f>+I59</f>
        <v>4123852</v>
      </c>
      <c r="H65" s="168"/>
      <c r="I65" s="168"/>
      <c r="J65" s="168"/>
      <c r="K65" s="168"/>
      <c r="L65" s="168"/>
      <c r="O65" s="1"/>
      <c r="V65" s="663" t="s">
        <v>118</v>
      </c>
      <c r="W65" s="663"/>
      <c r="X65" s="664">
        <f>+G66</f>
        <v>0</v>
      </c>
      <c r="Y65" s="664"/>
      <c r="Z65" s="664"/>
      <c r="AA65" s="664"/>
      <c r="AB65" s="664"/>
      <c r="AC65" s="664"/>
      <c r="AD65" s="20"/>
    </row>
    <row r="66" spans="1:30" ht="15" customHeight="1" x14ac:dyDescent="0.25">
      <c r="B66" s="167" t="s">
        <v>118</v>
      </c>
      <c r="C66" s="62"/>
      <c r="D66" s="62"/>
      <c r="E66" s="62"/>
      <c r="F66" s="62"/>
      <c r="G66" s="168">
        <v>0</v>
      </c>
      <c r="H66" s="168"/>
      <c r="I66" s="168"/>
      <c r="J66" s="168"/>
      <c r="K66" s="168"/>
      <c r="L66" s="168"/>
      <c r="M66" s="18"/>
      <c r="N66" s="3"/>
      <c r="O66" s="169"/>
      <c r="P66" s="169"/>
      <c r="Q66" s="169"/>
      <c r="V66" s="651" t="s">
        <v>119</v>
      </c>
      <c r="W66" s="651"/>
      <c r="X66" s="651"/>
      <c r="Y66" s="661">
        <f>+I67</f>
        <v>96774526</v>
      </c>
      <c r="Z66" s="661"/>
      <c r="AA66" s="332" t="s">
        <v>111</v>
      </c>
      <c r="AB66" s="163">
        <f>AB54</f>
        <v>0</v>
      </c>
      <c r="AC66" s="56">
        <f>ROUND(Y66*AB66,0)</f>
        <v>0</v>
      </c>
      <c r="AD66" s="9"/>
    </row>
    <row r="67" spans="1:30" ht="20.25" customHeight="1" x14ac:dyDescent="0.25">
      <c r="B67" s="13" t="s">
        <v>119</v>
      </c>
      <c r="C67" s="13"/>
      <c r="D67" s="13"/>
      <c r="E67" s="13"/>
      <c r="F67" s="13"/>
      <c r="H67" s="164" t="s">
        <v>25</v>
      </c>
      <c r="I67" s="129">
        <v>96774526</v>
      </c>
      <c r="J67" s="165" t="s">
        <v>111</v>
      </c>
      <c r="K67" s="166">
        <f>K54</f>
        <v>8.0999999999999996E-4</v>
      </c>
      <c r="L67" s="50">
        <f>ROUND(I67*K67,0)</f>
        <v>78387</v>
      </c>
      <c r="O67" s="1"/>
      <c r="V67" s="651" t="s">
        <v>120</v>
      </c>
      <c r="W67" s="651"/>
      <c r="X67" s="651"/>
      <c r="Y67" s="651"/>
      <c r="Z67" s="651"/>
      <c r="AA67" s="651"/>
      <c r="AB67" s="651"/>
      <c r="AC67" s="651"/>
      <c r="AD67" s="9"/>
    </row>
    <row r="68" spans="1:30" ht="20.25" customHeight="1" x14ac:dyDescent="0.25">
      <c r="B68" s="13" t="s">
        <v>120</v>
      </c>
      <c r="C68" s="13"/>
      <c r="D68" s="13"/>
      <c r="E68" s="13"/>
      <c r="F68" s="13"/>
      <c r="H68" s="13"/>
      <c r="I68" s="13"/>
      <c r="J68" s="82"/>
      <c r="K68" s="13"/>
      <c r="L68" s="13"/>
      <c r="O68" s="1"/>
      <c r="V68" s="667" t="s">
        <v>121</v>
      </c>
      <c r="W68" s="667"/>
      <c r="X68" s="667"/>
      <c r="Y68" s="661">
        <f>+I69</f>
        <v>0</v>
      </c>
      <c r="Z68" s="661"/>
      <c r="AA68" s="332" t="s">
        <v>111</v>
      </c>
      <c r="AB68" s="163">
        <f>AB57</f>
        <v>0</v>
      </c>
      <c r="AC68" s="56">
        <f>ROUND(Y68*AB68,0)</f>
        <v>0</v>
      </c>
      <c r="AD68" s="9"/>
    </row>
    <row r="69" spans="1:30" ht="15" customHeight="1" x14ac:dyDescent="0.25">
      <c r="B69" s="170" t="s">
        <v>121</v>
      </c>
      <c r="C69" s="13"/>
      <c r="D69" s="13"/>
      <c r="E69" s="13"/>
      <c r="F69" s="13"/>
      <c r="H69" s="164" t="s">
        <v>23</v>
      </c>
      <c r="I69" s="129">
        <v>0</v>
      </c>
      <c r="J69" s="165" t="s">
        <v>111</v>
      </c>
      <c r="K69" s="166">
        <f>K57</f>
        <v>8.3600000000000005E-4</v>
      </c>
      <c r="L69" s="50">
        <f>ROUND(I69*K69,0)</f>
        <v>0</v>
      </c>
      <c r="O69" s="1"/>
      <c r="V69" s="651" t="s">
        <v>122</v>
      </c>
      <c r="W69" s="651"/>
      <c r="X69" s="651"/>
      <c r="Y69" s="668">
        <f>+I70</f>
        <v>-3460775</v>
      </c>
      <c r="Z69" s="668"/>
      <c r="AA69" s="332" t="s">
        <v>111</v>
      </c>
      <c r="AB69" s="163">
        <f>AB54</f>
        <v>0</v>
      </c>
      <c r="AC69" s="56">
        <f>ROUND(Y69*AB69,0)</f>
        <v>0</v>
      </c>
      <c r="AD69" s="9"/>
    </row>
    <row r="70" spans="1:30" ht="20.25" customHeight="1" x14ac:dyDescent="0.25">
      <c r="B70" s="13" t="s">
        <v>122</v>
      </c>
      <c r="C70" s="13"/>
      <c r="D70" s="13"/>
      <c r="E70" s="13"/>
      <c r="F70" s="13"/>
      <c r="H70" s="164" t="s">
        <v>22</v>
      </c>
      <c r="I70" s="129">
        <v>-3460775</v>
      </c>
      <c r="J70" s="165" t="s">
        <v>111</v>
      </c>
      <c r="K70" s="166">
        <f>K54</f>
        <v>8.0999999999999996E-4</v>
      </c>
      <c r="L70" s="50">
        <f>ROUND(I70*K70,0)</f>
        <v>-2803</v>
      </c>
      <c r="O70" s="1"/>
      <c r="V70" s="651" t="s">
        <v>123</v>
      </c>
      <c r="W70" s="651"/>
      <c r="X70" s="651"/>
      <c r="Y70" s="665">
        <f>+I71</f>
        <v>1874788</v>
      </c>
      <c r="Z70" s="665"/>
      <c r="AA70" s="332" t="s">
        <v>111</v>
      </c>
      <c r="AB70" s="163">
        <f>AB54</f>
        <v>0</v>
      </c>
      <c r="AC70" s="56">
        <f>ROUND(Y70*AB70,0)</f>
        <v>0</v>
      </c>
      <c r="AD70" s="9"/>
    </row>
    <row r="71" spans="1:30" ht="20.25" customHeight="1" x14ac:dyDescent="0.25">
      <c r="B71" s="13" t="s">
        <v>123</v>
      </c>
      <c r="C71" s="13"/>
      <c r="D71" s="13"/>
      <c r="E71" s="13"/>
      <c r="F71" s="13"/>
      <c r="H71" s="164" t="s">
        <v>22</v>
      </c>
      <c r="I71" s="129">
        <v>1874788</v>
      </c>
      <c r="J71" s="165" t="s">
        <v>111</v>
      </c>
      <c r="K71" s="166">
        <f>K54</f>
        <v>8.0999999999999996E-4</v>
      </c>
      <c r="L71" s="50">
        <f>ROUND(I71*K71,0)</f>
        <v>1519</v>
      </c>
      <c r="O71" s="1"/>
      <c r="V71" s="651" t="s">
        <v>124</v>
      </c>
      <c r="W71" s="651"/>
      <c r="X71" s="651"/>
      <c r="Y71" s="665">
        <f>+I72</f>
        <v>14223298</v>
      </c>
      <c r="Z71" s="665"/>
      <c r="AA71" s="332" t="s">
        <v>111</v>
      </c>
      <c r="AB71" s="163">
        <f>AB57</f>
        <v>0</v>
      </c>
      <c r="AC71" s="56">
        <f>ROUND(Y71*AB71,0)</f>
        <v>0</v>
      </c>
      <c r="AD71" s="9"/>
    </row>
    <row r="72" spans="1:30" ht="21" customHeight="1" x14ac:dyDescent="0.25">
      <c r="B72" s="13" t="s">
        <v>124</v>
      </c>
      <c r="C72" s="13"/>
      <c r="D72" s="13"/>
      <c r="E72" s="13"/>
      <c r="F72" s="13"/>
      <c r="H72" s="164" t="s">
        <v>23</v>
      </c>
      <c r="I72" s="171">
        <v>14223298</v>
      </c>
      <c r="J72" s="165" t="s">
        <v>111</v>
      </c>
      <c r="K72" s="166">
        <f>K57</f>
        <v>8.3600000000000005E-4</v>
      </c>
      <c r="L72" s="50">
        <f>ROUND(I72*K72,0)</f>
        <v>11891</v>
      </c>
      <c r="O72" s="1"/>
      <c r="V72" s="623" t="s">
        <v>125</v>
      </c>
      <c r="W72" s="623"/>
      <c r="X72" s="623"/>
      <c r="Y72" s="623"/>
      <c r="Z72" s="623"/>
      <c r="AA72" s="623"/>
      <c r="AB72" s="623"/>
      <c r="AC72" s="60"/>
      <c r="AD72" s="9"/>
    </row>
    <row r="73" spans="1:30" ht="17.25" customHeight="1" x14ac:dyDescent="0.25">
      <c r="B73" s="13" t="s">
        <v>125</v>
      </c>
      <c r="C73" s="13"/>
      <c r="D73" s="13"/>
      <c r="E73" s="13"/>
      <c r="F73" s="13"/>
      <c r="H73" s="13"/>
      <c r="I73" s="13"/>
      <c r="J73" s="82"/>
      <c r="K73" s="13"/>
      <c r="L73" s="59"/>
      <c r="O73" s="1"/>
      <c r="V73" s="651" t="s">
        <v>126</v>
      </c>
      <c r="W73" s="651"/>
      <c r="X73" s="651"/>
      <c r="Y73" s="651"/>
      <c r="Z73" s="651"/>
      <c r="AA73" s="651"/>
      <c r="AB73" s="651"/>
      <c r="AC73" s="651"/>
      <c r="AD73" s="9"/>
    </row>
    <row r="74" spans="1:30" ht="31.5" x14ac:dyDescent="0.25">
      <c r="B74" s="13" t="s">
        <v>126</v>
      </c>
      <c r="C74" s="13"/>
      <c r="D74" s="27" t="s">
        <v>13</v>
      </c>
      <c r="E74" s="27" t="s">
        <v>14</v>
      </c>
      <c r="F74" s="27"/>
      <c r="H74" s="164" t="s">
        <v>26</v>
      </c>
      <c r="I74" s="172"/>
      <c r="J74" s="164"/>
      <c r="K74" s="172"/>
      <c r="L74" s="112"/>
      <c r="O74" s="1"/>
      <c r="V74" s="666" t="s">
        <v>127</v>
      </c>
      <c r="W74" s="666"/>
      <c r="X74" s="173" t="s">
        <v>128</v>
      </c>
      <c r="Y74" s="174"/>
      <c r="Z74" s="175">
        <f>+I75</f>
        <v>27.5</v>
      </c>
      <c r="AA74" s="331" t="s">
        <v>129</v>
      </c>
      <c r="AB74" s="177">
        <f>+K75</f>
        <v>361</v>
      </c>
      <c r="AC74" s="56">
        <f>ROUND(AB74*Z74,0)</f>
        <v>9928</v>
      </c>
      <c r="AD74" s="9"/>
    </row>
    <row r="75" spans="1:30" ht="19.5" customHeight="1" x14ac:dyDescent="0.25">
      <c r="A75" s="1" t="s">
        <v>130</v>
      </c>
      <c r="B75" s="178" t="s">
        <v>127</v>
      </c>
      <c r="C75" s="179" t="s">
        <v>128</v>
      </c>
      <c r="D75" s="178">
        <v>0</v>
      </c>
      <c r="E75" s="178">
        <v>55</v>
      </c>
      <c r="F75" s="178">
        <v>0</v>
      </c>
      <c r="G75" s="180">
        <f>IF(E75=0,D75,E75)</f>
        <v>55</v>
      </c>
      <c r="H75" s="181"/>
      <c r="I75" s="182">
        <f>AVERAGE(G75,D75)</f>
        <v>27.5</v>
      </c>
      <c r="J75" s="183" t="s">
        <v>129</v>
      </c>
      <c r="K75" s="184">
        <v>361</v>
      </c>
      <c r="L75" s="50">
        <f>ROUND(K75*I75,0)</f>
        <v>9928</v>
      </c>
      <c r="N75" s="1">
        <v>7802</v>
      </c>
      <c r="O75" s="1">
        <v>0</v>
      </c>
      <c r="V75" s="666" t="s">
        <v>127</v>
      </c>
      <c r="W75" s="666"/>
      <c r="X75" s="173" t="s">
        <v>131</v>
      </c>
      <c r="Y75" s="185"/>
      <c r="Z75" s="186">
        <f>+I76</f>
        <v>0</v>
      </c>
      <c r="AA75" s="331" t="s">
        <v>129</v>
      </c>
      <c r="AB75" s="187">
        <f>+K76</f>
        <v>1358</v>
      </c>
      <c r="AC75" s="56">
        <f>ROUND(AB75*Z75,0)</f>
        <v>0</v>
      </c>
      <c r="AD75" s="9"/>
    </row>
    <row r="76" spans="1:30" ht="19.5" customHeight="1" x14ac:dyDescent="0.25">
      <c r="A76" s="1" t="s">
        <v>132</v>
      </c>
      <c r="B76" s="178" t="s">
        <v>127</v>
      </c>
      <c r="C76" s="179" t="s">
        <v>131</v>
      </c>
      <c r="D76" s="178">
        <v>0</v>
      </c>
      <c r="E76" s="178">
        <v>0</v>
      </c>
      <c r="F76" s="178">
        <v>0</v>
      </c>
      <c r="G76" s="180">
        <f>IF(E76=0,D76,E76)</f>
        <v>0</v>
      </c>
      <c r="H76" s="181"/>
      <c r="I76" s="182">
        <f>AVERAGE(G76,D76)</f>
        <v>0</v>
      </c>
      <c r="J76" s="183" t="s">
        <v>129</v>
      </c>
      <c r="K76" s="188">
        <v>1358</v>
      </c>
      <c r="L76" s="50">
        <f>ROUND(K76*I76,0)</f>
        <v>0</v>
      </c>
      <c r="N76" s="1">
        <v>7802</v>
      </c>
      <c r="O76" s="1">
        <v>110</v>
      </c>
      <c r="V76" s="651" t="s">
        <v>133</v>
      </c>
      <c r="W76" s="651"/>
      <c r="X76" s="651"/>
      <c r="Y76" s="661">
        <f>+I77</f>
        <v>33305823</v>
      </c>
      <c r="Z76" s="661"/>
      <c r="AA76" s="331" t="s">
        <v>129</v>
      </c>
      <c r="AB76" s="163">
        <f>AB54</f>
        <v>0</v>
      </c>
      <c r="AC76" s="56">
        <f>ROUND(Y76*AB76,0)</f>
        <v>0</v>
      </c>
      <c r="AD76" s="9"/>
    </row>
    <row r="77" spans="1:30" ht="26.25" customHeight="1" x14ac:dyDescent="0.25">
      <c r="B77" s="13" t="s">
        <v>133</v>
      </c>
      <c r="C77" s="13"/>
      <c r="D77" s="13"/>
      <c r="E77" s="13"/>
      <c r="F77" s="13"/>
      <c r="H77" s="164" t="s">
        <v>134</v>
      </c>
      <c r="I77" s="189">
        <v>33305823</v>
      </c>
      <c r="J77" s="165" t="s">
        <v>111</v>
      </c>
      <c r="K77" s="166">
        <f>K54</f>
        <v>8.0999999999999996E-4</v>
      </c>
      <c r="L77" s="50">
        <f>ROUND(I77*K77,0)</f>
        <v>26978</v>
      </c>
      <c r="O77" s="1"/>
      <c r="V77" s="651" t="str">
        <f>+B78</f>
        <v>15.  Additional Allocation (WFTE share)</v>
      </c>
      <c r="W77" s="651"/>
      <c r="X77" s="651"/>
      <c r="Y77" s="661">
        <f>+I78</f>
        <v>680688</v>
      </c>
      <c r="Z77" s="661"/>
      <c r="AA77" s="331" t="s">
        <v>129</v>
      </c>
      <c r="AB77" s="163">
        <f>AB54</f>
        <v>0</v>
      </c>
      <c r="AC77" s="56">
        <f>ROUND(Y77*AB77,0)</f>
        <v>0</v>
      </c>
      <c r="AD77" s="9"/>
    </row>
    <row r="78" spans="1:30" ht="26.25" customHeight="1" x14ac:dyDescent="0.25">
      <c r="B78" s="669" t="s">
        <v>135</v>
      </c>
      <c r="C78" s="669"/>
      <c r="D78" s="669"/>
      <c r="E78" s="13"/>
      <c r="F78" s="13"/>
      <c r="H78" s="164" t="s">
        <v>136</v>
      </c>
      <c r="I78" s="190">
        <v>680688</v>
      </c>
      <c r="J78" s="165" t="s">
        <v>111</v>
      </c>
      <c r="K78" s="166">
        <f>K54</f>
        <v>8.0999999999999996E-4</v>
      </c>
      <c r="L78" s="50">
        <f>ROUND(I78*K78,0)</f>
        <v>551</v>
      </c>
      <c r="O78" s="1"/>
      <c r="V78" s="651" t="str">
        <f>+B79</f>
        <v>16.  Florida Teachers Lead Program Stipend</v>
      </c>
      <c r="W78" s="651"/>
      <c r="X78" s="651"/>
      <c r="Y78" s="191"/>
      <c r="Z78" s="191"/>
      <c r="AA78" s="191"/>
      <c r="AB78" s="191"/>
      <c r="AC78" s="134"/>
      <c r="AD78" s="9"/>
    </row>
    <row r="79" spans="1:30" ht="21" customHeight="1" x14ac:dyDescent="0.25">
      <c r="B79" s="669" t="s">
        <v>137</v>
      </c>
      <c r="C79" s="669"/>
      <c r="D79" s="669"/>
      <c r="E79" s="13"/>
      <c r="F79" s="13"/>
      <c r="H79" s="164"/>
      <c r="I79" s="172"/>
      <c r="J79" s="172"/>
      <c r="K79" s="172"/>
      <c r="L79" s="129"/>
      <c r="N79" s="192"/>
      <c r="O79" s="1"/>
      <c r="Q79" s="164"/>
      <c r="V79" s="651" t="str">
        <f>+B80</f>
        <v>17.  Food Service Allocation</v>
      </c>
      <c r="W79" s="651"/>
      <c r="X79" s="651"/>
      <c r="Y79" s="191"/>
      <c r="Z79" s="191"/>
      <c r="AA79" s="191"/>
      <c r="AB79" s="191"/>
      <c r="AC79" s="193"/>
      <c r="AD79" s="9"/>
    </row>
    <row r="80" spans="1:30" ht="21" customHeight="1" x14ac:dyDescent="0.25">
      <c r="B80" s="669" t="s">
        <v>138</v>
      </c>
      <c r="C80" s="669"/>
      <c r="D80" s="669"/>
      <c r="E80" s="13"/>
      <c r="F80" s="13"/>
      <c r="H80" s="194" t="s">
        <v>139</v>
      </c>
      <c r="I80" s="195"/>
      <c r="J80" s="195"/>
      <c r="K80" s="195"/>
      <c r="L80" s="196"/>
      <c r="N80" s="197"/>
      <c r="O80" s="1"/>
      <c r="Q80" s="164"/>
      <c r="V80" s="191"/>
      <c r="W80" s="191"/>
      <c r="X80" s="191"/>
      <c r="Y80" s="191"/>
      <c r="Z80" s="191"/>
      <c r="AA80" s="191"/>
      <c r="AB80" s="191"/>
      <c r="AC80" s="193"/>
      <c r="AD80" s="9"/>
    </row>
    <row r="81" spans="1:30" ht="21" customHeight="1" thickBot="1" x14ac:dyDescent="0.3">
      <c r="B81" s="13"/>
      <c r="C81" s="13"/>
      <c r="D81" s="13"/>
      <c r="E81" s="13"/>
      <c r="F81" s="13"/>
      <c r="G81" s="13"/>
      <c r="H81" s="13"/>
      <c r="I81" s="13"/>
      <c r="J81" s="13"/>
      <c r="K81" s="13"/>
      <c r="L81" s="196"/>
      <c r="M81" s="198"/>
      <c r="N81" s="197"/>
      <c r="O81" s="1"/>
      <c r="Q81" s="164"/>
      <c r="V81" s="191" t="s">
        <v>140</v>
      </c>
      <c r="W81" s="191"/>
      <c r="X81" s="191"/>
      <c r="Y81" s="191"/>
      <c r="Z81" s="191"/>
      <c r="AA81" s="191"/>
      <c r="AB81" s="191"/>
      <c r="AC81" s="199">
        <f>SUM(AC44:AC80)</f>
        <v>9928</v>
      </c>
      <c r="AD81" s="200"/>
    </row>
    <row r="82" spans="1:30" ht="22.5" customHeight="1" thickTop="1" thickBot="1" x14ac:dyDescent="0.3">
      <c r="B82" s="13" t="s">
        <v>141</v>
      </c>
      <c r="C82" s="13"/>
      <c r="D82" s="13"/>
      <c r="E82" s="13"/>
      <c r="F82" s="13"/>
      <c r="G82" s="13"/>
      <c r="H82" s="13"/>
      <c r="I82" s="13"/>
      <c r="J82" s="13"/>
      <c r="K82" s="13"/>
      <c r="L82" s="201">
        <f>SUM(L44:L81)</f>
        <v>986851</v>
      </c>
      <c r="M82" s="202"/>
      <c r="N82" s="203"/>
      <c r="O82" s="1"/>
      <c r="Q82" s="164"/>
      <c r="V82" s="191"/>
      <c r="W82" s="191"/>
      <c r="X82" s="191"/>
      <c r="Y82" s="191"/>
      <c r="Z82" s="191"/>
      <c r="AA82" s="191"/>
      <c r="AB82" s="191"/>
      <c r="AC82" s="204"/>
      <c r="AD82" s="200"/>
    </row>
    <row r="83" spans="1:30" ht="27.75" customHeight="1" thickTop="1" x14ac:dyDescent="0.25">
      <c r="B83" s="13" t="s">
        <v>142</v>
      </c>
      <c r="C83" s="13"/>
      <c r="D83" s="13"/>
      <c r="E83" s="13"/>
      <c r="F83" s="13"/>
      <c r="G83" s="13"/>
      <c r="H83" s="13"/>
      <c r="I83" s="13"/>
      <c r="J83" s="13"/>
      <c r="K83" s="82" t="s">
        <v>143</v>
      </c>
      <c r="L83" s="205" t="s">
        <v>144</v>
      </c>
      <c r="M83" s="202"/>
      <c r="N83" s="203"/>
      <c r="O83" s="1"/>
      <c r="Q83" s="164"/>
      <c r="V83" s="9" t="s">
        <v>145</v>
      </c>
      <c r="W83" s="9"/>
      <c r="X83" s="9"/>
      <c r="Y83" s="9"/>
      <c r="Z83" s="9"/>
      <c r="AA83" s="9"/>
      <c r="AB83" s="9"/>
      <c r="AC83" s="9"/>
      <c r="AD83" s="206"/>
    </row>
    <row r="84" spans="1:30" ht="18.75" customHeight="1" thickBot="1" x14ac:dyDescent="0.3">
      <c r="B84" s="13" t="s">
        <v>146</v>
      </c>
      <c r="C84" s="13"/>
      <c r="D84" s="13"/>
      <c r="E84" s="13"/>
      <c r="F84" s="13"/>
      <c r="G84" s="13"/>
      <c r="H84" s="13"/>
      <c r="I84" s="13"/>
      <c r="J84" s="13"/>
      <c r="K84" s="207" t="str">
        <f>IF(G26=0,"",IF((G11+G13+SUM(G15:G21))/G26&gt;0.75,1,""))</f>
        <v/>
      </c>
      <c r="L84" s="201">
        <f>'2661 June Final'!AC81</f>
        <v>9928</v>
      </c>
      <c r="M84" s="202"/>
      <c r="N84" s="203"/>
      <c r="O84" s="1"/>
      <c r="Q84" s="164"/>
      <c r="V84" s="208" t="s">
        <v>147</v>
      </c>
      <c r="W84" s="208"/>
      <c r="X84" s="208"/>
      <c r="Y84" s="208"/>
      <c r="Z84" s="208"/>
      <c r="AA84" s="208"/>
      <c r="AB84" s="208"/>
      <c r="AC84" s="208"/>
      <c r="AD84" s="9"/>
    </row>
    <row r="85" spans="1:30" ht="18.75" customHeight="1" thickTop="1" x14ac:dyDescent="0.25">
      <c r="B85" s="13"/>
      <c r="C85" s="13"/>
      <c r="D85" s="13"/>
      <c r="E85" s="13"/>
      <c r="F85" s="13"/>
      <c r="G85" s="13"/>
      <c r="H85" s="13"/>
      <c r="I85" s="13"/>
      <c r="J85" s="13"/>
      <c r="M85" s="202"/>
      <c r="N85" s="203"/>
      <c r="O85" s="1"/>
      <c r="Q85" s="164"/>
      <c r="V85" s="208" t="s">
        <v>148</v>
      </c>
      <c r="W85" s="208"/>
      <c r="X85" s="208"/>
      <c r="Y85" s="208"/>
      <c r="Z85" s="208"/>
      <c r="AA85" s="208"/>
      <c r="AB85" s="208"/>
      <c r="AC85" s="208"/>
      <c r="AD85" s="206"/>
    </row>
    <row r="86" spans="1:30" ht="18.75" customHeight="1" x14ac:dyDescent="0.25">
      <c r="B86" s="2" t="s">
        <v>149</v>
      </c>
      <c r="C86" s="13"/>
      <c r="D86" s="13"/>
      <c r="E86" s="13"/>
      <c r="F86" s="13"/>
      <c r="G86" s="13"/>
      <c r="H86" s="13"/>
      <c r="I86" s="13"/>
      <c r="J86" s="209" t="s">
        <v>150</v>
      </c>
      <c r="K86" s="210">
        <f>IF(K84=1,L84,L82)</f>
        <v>986851</v>
      </c>
      <c r="L86" s="211">
        <f>IF(G26=0,0,IF(G26&gt;250,-(((250/G26)*K86)*IF(M86="H",0.02,0.05)),IF(M86="H",-0.02*K86,-0.05*K86)))</f>
        <v>-49342.55</v>
      </c>
      <c r="M86" s="212" t="str">
        <f>IF(B123="2801","H",IF(B123="2911","H",IF(B123="3382","H"," ")))</f>
        <v xml:space="preserve"> </v>
      </c>
      <c r="N86" s="203"/>
      <c r="O86" s="1"/>
      <c r="Q86" s="164"/>
      <c r="V86" s="208" t="s">
        <v>151</v>
      </c>
      <c r="W86" s="208"/>
      <c r="X86" s="208"/>
      <c r="Y86" s="208"/>
      <c r="Z86" s="208"/>
      <c r="AA86" s="208"/>
      <c r="AB86" s="208"/>
      <c r="AC86" s="208"/>
      <c r="AD86" s="206"/>
    </row>
    <row r="87" spans="1:30" ht="18.75" customHeight="1" x14ac:dyDescent="0.25">
      <c r="B87" s="2" t="s">
        <v>152</v>
      </c>
      <c r="C87" s="13"/>
      <c r="D87" s="13"/>
      <c r="E87" s="13"/>
      <c r="F87" s="13"/>
      <c r="G87" s="13"/>
      <c r="H87" s="13"/>
      <c r="I87" s="13"/>
      <c r="J87" s="13"/>
      <c r="K87" s="213"/>
      <c r="L87" s="205">
        <f>L82+L86</f>
        <v>937508.45</v>
      </c>
      <c r="M87" s="202"/>
      <c r="N87" s="203"/>
      <c r="O87" s="1"/>
      <c r="Q87" s="164"/>
      <c r="V87" s="198"/>
      <c r="W87" s="198"/>
      <c r="X87" s="198"/>
      <c r="Y87" s="198"/>
      <c r="Z87" s="198"/>
      <c r="AA87" s="198"/>
      <c r="AB87" s="198"/>
      <c r="AC87" s="198"/>
      <c r="AD87" s="214"/>
    </row>
    <row r="88" spans="1:30" x14ac:dyDescent="0.25">
      <c r="V88" s="198"/>
      <c r="W88" s="198"/>
      <c r="X88" s="198"/>
      <c r="Y88" s="198"/>
      <c r="Z88" s="198"/>
      <c r="AA88" s="198"/>
      <c r="AB88" s="198"/>
      <c r="AC88" s="198"/>
      <c r="AD88" s="215"/>
    </row>
    <row r="89" spans="1:30" ht="18.75" customHeight="1" x14ac:dyDescent="0.25">
      <c r="A89" s="1" t="s">
        <v>153</v>
      </c>
      <c r="B89" s="13" t="s">
        <v>154</v>
      </c>
      <c r="C89" s="13"/>
      <c r="D89" s="13">
        <v>495859</v>
      </c>
      <c r="E89" s="13">
        <v>68151</v>
      </c>
      <c r="F89" s="13">
        <v>768463</v>
      </c>
      <c r="G89" s="13"/>
      <c r="H89" s="13"/>
      <c r="I89" s="13"/>
      <c r="J89" s="13"/>
      <c r="K89" s="213"/>
      <c r="L89" s="84">
        <v>-938484.1</v>
      </c>
      <c r="M89" s="202"/>
      <c r="N89" s="203"/>
      <c r="O89" s="1"/>
      <c r="Q89" s="164"/>
      <c r="V89" s="198">
        <v>2801</v>
      </c>
      <c r="W89" s="198"/>
      <c r="X89" s="198"/>
      <c r="Y89" s="198"/>
      <c r="Z89" s="198"/>
      <c r="AA89" s="198"/>
      <c r="AB89" s="198"/>
      <c r="AC89" s="198"/>
      <c r="AD89" s="214"/>
    </row>
    <row r="90" spans="1:30" ht="18.75" customHeight="1" x14ac:dyDescent="0.25">
      <c r="B90" s="13" t="s">
        <v>155</v>
      </c>
      <c r="C90" s="13"/>
      <c r="D90" s="13"/>
      <c r="E90" s="13"/>
      <c r="F90" s="13"/>
      <c r="G90" s="13"/>
      <c r="H90" s="13"/>
      <c r="I90" s="13"/>
      <c r="J90" s="13"/>
      <c r="K90" s="213"/>
      <c r="L90" s="205">
        <f>L87+L89</f>
        <v>-975.65000000002328</v>
      </c>
      <c r="M90" s="202"/>
      <c r="N90" s="203"/>
      <c r="O90" s="1"/>
      <c r="Q90" s="164"/>
      <c r="V90" s="198">
        <v>2911</v>
      </c>
      <c r="W90" s="216"/>
      <c r="X90" s="216"/>
      <c r="Y90" s="216"/>
      <c r="Z90" s="216"/>
      <c r="AA90" s="216"/>
      <c r="AB90" s="216"/>
      <c r="AC90" s="216"/>
      <c r="AD90" s="214"/>
    </row>
    <row r="91" spans="1:30" ht="18.75" customHeight="1" x14ac:dyDescent="0.25">
      <c r="B91" s="13" t="s">
        <v>156</v>
      </c>
      <c r="C91" s="13"/>
      <c r="D91" s="13"/>
      <c r="E91" s="13"/>
      <c r="F91" s="13"/>
      <c r="G91" s="13"/>
      <c r="H91" s="13"/>
      <c r="I91" s="13"/>
      <c r="J91" s="13"/>
      <c r="K91" s="213"/>
      <c r="L91" s="205">
        <v>1</v>
      </c>
      <c r="M91" s="202"/>
      <c r="N91" s="203"/>
      <c r="O91" s="1"/>
      <c r="Q91" s="164"/>
      <c r="V91" s="198">
        <v>3382</v>
      </c>
      <c r="W91" s="216"/>
      <c r="X91" s="216"/>
      <c r="Y91" s="216"/>
      <c r="Z91" s="216"/>
      <c r="AA91" s="216"/>
      <c r="AB91" s="216"/>
      <c r="AC91" s="216"/>
      <c r="AD91" s="214"/>
    </row>
    <row r="92" spans="1:30" ht="18.75" customHeight="1" thickBot="1" x14ac:dyDescent="0.3">
      <c r="B92" s="13" t="s">
        <v>434</v>
      </c>
      <c r="C92" s="13"/>
      <c r="D92" s="13"/>
      <c r="E92" s="13"/>
      <c r="F92" s="13"/>
      <c r="G92" s="13"/>
      <c r="H92" s="13"/>
      <c r="I92" s="13"/>
      <c r="J92" s="13"/>
      <c r="K92" s="213"/>
      <c r="L92" s="217">
        <f>L90/L91</f>
        <v>-975.65000000002328</v>
      </c>
      <c r="M92" s="202"/>
      <c r="N92" s="203"/>
      <c r="O92" s="1"/>
      <c r="Q92" s="164"/>
      <c r="V92" s="218"/>
      <c r="W92" s="218"/>
      <c r="X92" s="218"/>
      <c r="Y92" s="218"/>
      <c r="Z92" s="218"/>
      <c r="AA92" s="218"/>
      <c r="AB92" s="218"/>
      <c r="AC92" s="218"/>
      <c r="AD92" s="219"/>
    </row>
    <row r="93" spans="1:30" ht="18.75" customHeight="1" thickTop="1" x14ac:dyDescent="0.25">
      <c r="N93" s="219"/>
      <c r="O93" s="220"/>
      <c r="P93" s="219"/>
      <c r="Q93" s="219"/>
      <c r="V93" s="218"/>
      <c r="W93" s="218"/>
      <c r="X93" s="218"/>
      <c r="Y93" s="218"/>
      <c r="Z93" s="218"/>
      <c r="AA93" s="218"/>
      <c r="AB93" s="218"/>
      <c r="AC93" s="218"/>
      <c r="AD93" s="214"/>
    </row>
    <row r="94" spans="1:30" ht="18.75" customHeight="1" thickBot="1" x14ac:dyDescent="0.3">
      <c r="B94" s="221" t="s">
        <v>158</v>
      </c>
      <c r="C94" s="13"/>
      <c r="D94" s="13"/>
      <c r="E94" s="13"/>
      <c r="G94" s="13"/>
      <c r="H94" s="13"/>
      <c r="I94" s="13"/>
      <c r="J94" s="13"/>
      <c r="L94" s="222">
        <f>IF(M86="H",(K86*0.02)+L86,(K86*0.05)+L86)</f>
        <v>0</v>
      </c>
      <c r="M94" s="202"/>
      <c r="V94" s="223"/>
      <c r="W94" s="223"/>
      <c r="X94" s="223"/>
      <c r="Y94" s="223"/>
      <c r="Z94" s="223"/>
      <c r="AA94" s="223"/>
      <c r="AB94" s="223"/>
      <c r="AC94" s="223"/>
      <c r="AD94" s="214"/>
    </row>
    <row r="95" spans="1:30" ht="21.75" customHeight="1" thickTop="1" x14ac:dyDescent="0.25">
      <c r="B95" s="224" t="s">
        <v>159</v>
      </c>
      <c r="C95" s="224"/>
      <c r="D95" s="224"/>
      <c r="E95" s="224"/>
      <c r="F95" s="224"/>
      <c r="G95" s="224"/>
      <c r="H95" s="224"/>
      <c r="I95" s="224"/>
      <c r="J95" s="224"/>
      <c r="K95" s="224"/>
      <c r="L95" s="224"/>
      <c r="M95" s="219"/>
      <c r="V95" s="223"/>
      <c r="W95" s="223"/>
      <c r="X95" s="223"/>
      <c r="Y95" s="223"/>
      <c r="Z95" s="223"/>
      <c r="AA95" s="223"/>
      <c r="AB95" s="223"/>
      <c r="AC95" s="223"/>
      <c r="AD95" s="214"/>
    </row>
    <row r="96" spans="1:30" x14ac:dyDescent="0.25">
      <c r="B96" s="225"/>
      <c r="V96" s="223"/>
      <c r="W96" s="223"/>
      <c r="X96" s="223"/>
      <c r="Y96" s="223"/>
      <c r="Z96" s="223"/>
      <c r="AA96" s="223"/>
      <c r="AB96" s="223"/>
      <c r="AC96" s="223"/>
      <c r="AD96" s="219"/>
    </row>
    <row r="97" spans="2:30" x14ac:dyDescent="0.25">
      <c r="B97" s="225"/>
      <c r="V97" s="223"/>
      <c r="W97" s="223"/>
      <c r="X97" s="223"/>
      <c r="Y97" s="223"/>
      <c r="Z97" s="223"/>
      <c r="AA97" s="223"/>
      <c r="AB97" s="223"/>
      <c r="AC97" s="223"/>
      <c r="AD97" s="219"/>
    </row>
    <row r="98" spans="2:30" hidden="1" x14ac:dyDescent="0.25">
      <c r="B98" s="226" t="s">
        <v>160</v>
      </c>
      <c r="C98" s="227"/>
      <c r="V98" s="228"/>
      <c r="W98" s="228"/>
      <c r="X98" s="228"/>
      <c r="Y98" s="228"/>
      <c r="Z98" s="228"/>
      <c r="AA98" s="228"/>
      <c r="AB98" s="228"/>
      <c r="AC98" s="228"/>
    </row>
    <row r="99" spans="2:30" hidden="1" x14ac:dyDescent="0.25">
      <c r="B99" s="229"/>
      <c r="C99" s="227"/>
      <c r="V99" s="225"/>
      <c r="W99" s="13"/>
      <c r="X99" s="13"/>
      <c r="Y99" s="13"/>
      <c r="Z99" s="13"/>
      <c r="AA99" s="13"/>
      <c r="AB99" s="13"/>
      <c r="AC99" s="13"/>
    </row>
    <row r="100" spans="2:30" hidden="1" x14ac:dyDescent="0.25">
      <c r="B100" s="230" t="s">
        <v>161</v>
      </c>
      <c r="C100" s="226" t="s">
        <v>162</v>
      </c>
      <c r="V100" s="225"/>
    </row>
    <row r="101" spans="2:30" hidden="1" x14ac:dyDescent="0.25">
      <c r="B101" s="230" t="s">
        <v>163</v>
      </c>
      <c r="C101" s="226" t="s">
        <v>164</v>
      </c>
      <c r="V101" s="225"/>
    </row>
    <row r="102" spans="2:30" hidden="1" x14ac:dyDescent="0.25">
      <c r="B102" s="230" t="s">
        <v>165</v>
      </c>
      <c r="C102" s="226" t="s">
        <v>166</v>
      </c>
      <c r="V102" s="225"/>
      <c r="W102" s="231"/>
      <c r="X102" s="231"/>
      <c r="Y102" s="231"/>
      <c r="Z102" s="231"/>
      <c r="AA102" s="231"/>
      <c r="AB102" s="231"/>
      <c r="AC102" s="231"/>
      <c r="AD102" s="231"/>
    </row>
    <row r="103" spans="2:30" hidden="1" x14ac:dyDescent="0.25">
      <c r="B103" s="230" t="s">
        <v>167</v>
      </c>
      <c r="C103" s="226" t="s">
        <v>168</v>
      </c>
      <c r="V103" s="225"/>
    </row>
    <row r="104" spans="2:30" hidden="1" x14ac:dyDescent="0.25">
      <c r="B104" s="232"/>
      <c r="C104" s="226" t="s">
        <v>169</v>
      </c>
      <c r="V104" s="225"/>
    </row>
    <row r="105" spans="2:30" hidden="1" x14ac:dyDescent="0.25">
      <c r="B105" s="230" t="s">
        <v>170</v>
      </c>
      <c r="C105" s="226" t="s">
        <v>171</v>
      </c>
      <c r="V105" s="225"/>
    </row>
    <row r="106" spans="2:30" hidden="1" x14ac:dyDescent="0.25">
      <c r="B106" s="230" t="s">
        <v>172</v>
      </c>
      <c r="C106" s="226" t="s">
        <v>173</v>
      </c>
      <c r="V106" s="225"/>
    </row>
    <row r="107" spans="2:30" hidden="1" x14ac:dyDescent="0.25">
      <c r="B107" s="230" t="s">
        <v>234</v>
      </c>
      <c r="C107" s="226" t="s">
        <v>175</v>
      </c>
      <c r="V107" s="225"/>
    </row>
    <row r="108" spans="2:30" hidden="1" x14ac:dyDescent="0.25">
      <c r="B108" s="230" t="s">
        <v>176</v>
      </c>
      <c r="C108" s="226" t="s">
        <v>177</v>
      </c>
      <c r="V108" s="225"/>
    </row>
    <row r="109" spans="2:30" hidden="1" x14ac:dyDescent="0.25">
      <c r="B109" s="230" t="s">
        <v>178</v>
      </c>
      <c r="C109" s="226" t="s">
        <v>179</v>
      </c>
      <c r="V109" s="225"/>
    </row>
    <row r="110" spans="2:30" hidden="1" x14ac:dyDescent="0.25">
      <c r="B110" s="232"/>
      <c r="C110" s="226"/>
      <c r="V110" s="225"/>
    </row>
    <row r="111" spans="2:30" hidden="1" x14ac:dyDescent="0.25">
      <c r="B111" s="230" t="s">
        <v>180</v>
      </c>
      <c r="C111" s="226" t="s">
        <v>181</v>
      </c>
      <c r="V111" s="225"/>
    </row>
    <row r="112" spans="2:30" hidden="1" x14ac:dyDescent="0.25">
      <c r="B112" s="230" t="s">
        <v>180</v>
      </c>
      <c r="C112" s="226" t="s">
        <v>182</v>
      </c>
    </row>
    <row r="113" spans="2:3" hidden="1" x14ac:dyDescent="0.25">
      <c r="B113" s="230" t="s">
        <v>183</v>
      </c>
      <c r="C113" s="226" t="s">
        <v>184</v>
      </c>
    </row>
    <row r="114" spans="2:3" hidden="1" x14ac:dyDescent="0.25">
      <c r="B114" s="230" t="s">
        <v>185</v>
      </c>
      <c r="C114" s="226" t="s">
        <v>186</v>
      </c>
    </row>
    <row r="115" spans="2:3" hidden="1" x14ac:dyDescent="0.25">
      <c r="B115" s="230" t="s">
        <v>183</v>
      </c>
      <c r="C115" s="226" t="s">
        <v>187</v>
      </c>
    </row>
    <row r="116" spans="2:3" hidden="1" x14ac:dyDescent="0.25">
      <c r="B116" s="230" t="s">
        <v>188</v>
      </c>
      <c r="C116" s="226" t="s">
        <v>189</v>
      </c>
    </row>
    <row r="117" spans="2:3" hidden="1" x14ac:dyDescent="0.25">
      <c r="B117" s="230" t="s">
        <v>190</v>
      </c>
      <c r="C117" s="226" t="s">
        <v>191</v>
      </c>
    </row>
    <row r="118" spans="2:3" hidden="1" x14ac:dyDescent="0.25">
      <c r="B118" s="232" t="s">
        <v>192</v>
      </c>
      <c r="C118" s="226" t="s">
        <v>193</v>
      </c>
    </row>
    <row r="119" spans="2:3" hidden="1" x14ac:dyDescent="0.25">
      <c r="B119" s="232"/>
      <c r="C119" s="226"/>
    </row>
    <row r="120" spans="2:3" hidden="1" x14ac:dyDescent="0.25">
      <c r="B120" s="230" t="s">
        <v>161</v>
      </c>
      <c r="C120" s="226" t="s">
        <v>194</v>
      </c>
    </row>
    <row r="121" spans="2:3" hidden="1" x14ac:dyDescent="0.25">
      <c r="B121" s="230" t="s">
        <v>195</v>
      </c>
      <c r="C121" s="226" t="s">
        <v>196</v>
      </c>
    </row>
    <row r="122" spans="2:3" hidden="1" x14ac:dyDescent="0.25">
      <c r="B122" s="230" t="s">
        <v>197</v>
      </c>
      <c r="C122" s="226" t="s">
        <v>198</v>
      </c>
    </row>
    <row r="123" spans="2:3" hidden="1" x14ac:dyDescent="0.25">
      <c r="B123" s="230" t="s">
        <v>235</v>
      </c>
      <c r="C123" s="226" t="s">
        <v>200</v>
      </c>
    </row>
    <row r="124" spans="2:3" hidden="1" x14ac:dyDescent="0.25">
      <c r="B124" s="230" t="s">
        <v>236</v>
      </c>
      <c r="C124" s="226" t="s">
        <v>202</v>
      </c>
    </row>
    <row r="125" spans="2:3" hidden="1" x14ac:dyDescent="0.25">
      <c r="B125" s="230" t="s">
        <v>203</v>
      </c>
      <c r="C125" s="226" t="s">
        <v>204</v>
      </c>
    </row>
    <row r="126" spans="2:3" hidden="1" x14ac:dyDescent="0.25">
      <c r="B126" s="230" t="s">
        <v>203</v>
      </c>
      <c r="C126" s="226" t="s">
        <v>205</v>
      </c>
    </row>
    <row r="127" spans="2:3" hidden="1" x14ac:dyDescent="0.25">
      <c r="B127" s="230" t="s">
        <v>203</v>
      </c>
      <c r="C127" s="226" t="s">
        <v>206</v>
      </c>
    </row>
    <row r="128" spans="2:3" hidden="1" x14ac:dyDescent="0.25">
      <c r="B128" s="230" t="s">
        <v>203</v>
      </c>
      <c r="C128" s="226" t="s">
        <v>207</v>
      </c>
    </row>
    <row r="129" spans="2:3" hidden="1" x14ac:dyDescent="0.25">
      <c r="B129" s="230" t="s">
        <v>167</v>
      </c>
      <c r="C129" s="226" t="s">
        <v>208</v>
      </c>
    </row>
    <row r="130" spans="2:3" hidden="1" x14ac:dyDescent="0.25">
      <c r="B130" s="230" t="s">
        <v>209</v>
      </c>
      <c r="C130" s="226" t="s">
        <v>210</v>
      </c>
    </row>
    <row r="131" spans="2:3" hidden="1" x14ac:dyDescent="0.25">
      <c r="B131" s="230" t="s">
        <v>203</v>
      </c>
      <c r="C131" s="226" t="s">
        <v>211</v>
      </c>
    </row>
    <row r="132" spans="2:3" hidden="1" x14ac:dyDescent="0.25">
      <c r="B132" s="226"/>
      <c r="C132" s="226"/>
    </row>
    <row r="133" spans="2:3" hidden="1" x14ac:dyDescent="0.25">
      <c r="B133" s="226"/>
      <c r="C133" s="226"/>
    </row>
    <row r="134" spans="2:3" hidden="1" x14ac:dyDescent="0.25">
      <c r="B134" s="232"/>
      <c r="C134" s="232"/>
    </row>
    <row r="135" spans="2:3" hidden="1" x14ac:dyDescent="0.25">
      <c r="B135" s="232">
        <f>NvsElapsedTime</f>
        <v>1.15740695036948E-5</v>
      </c>
      <c r="C135" s="232"/>
    </row>
    <row r="136" spans="2:3" hidden="1" x14ac:dyDescent="0.25">
      <c r="B136" s="233">
        <f>NvsEndTime</f>
        <v>41754.487731481502</v>
      </c>
      <c r="C136" s="233" t="s">
        <v>212</v>
      </c>
    </row>
    <row r="137" spans="2:3" x14ac:dyDescent="0.25">
      <c r="B137" s="226"/>
      <c r="C137" s="234"/>
    </row>
    <row r="138" spans="2:3" x14ac:dyDescent="0.25">
      <c r="B138" s="226"/>
      <c r="C138" s="226"/>
    </row>
    <row r="139" spans="2:3" x14ac:dyDescent="0.25">
      <c r="B139" s="226"/>
      <c r="C139" s="226"/>
    </row>
    <row r="140" spans="2:3" x14ac:dyDescent="0.25">
      <c r="B140" s="226"/>
      <c r="C140" s="226"/>
    </row>
    <row r="141" spans="2:3" x14ac:dyDescent="0.25">
      <c r="B141" s="226"/>
      <c r="C141" s="226"/>
    </row>
    <row r="142" spans="2:3" x14ac:dyDescent="0.25">
      <c r="B142" s="226"/>
      <c r="C142" s="226"/>
    </row>
    <row r="143" spans="2:3" x14ac:dyDescent="0.25">
      <c r="B143" s="226"/>
      <c r="C143" s="226"/>
    </row>
    <row r="144" spans="2:3" x14ac:dyDescent="0.25">
      <c r="B144" s="226"/>
      <c r="C144" s="226"/>
    </row>
    <row r="145" spans="2:3" x14ac:dyDescent="0.25">
      <c r="B145" s="226"/>
      <c r="C145" s="226"/>
    </row>
    <row r="146" spans="2:3" x14ac:dyDescent="0.25">
      <c r="B146" s="226"/>
      <c r="C146" s="226"/>
    </row>
    <row r="147" spans="2:3" x14ac:dyDescent="0.25">
      <c r="B147" s="226"/>
      <c r="C147" s="226"/>
    </row>
    <row r="148" spans="2:3" x14ac:dyDescent="0.25">
      <c r="B148" s="226"/>
      <c r="C148" s="226"/>
    </row>
    <row r="149" spans="2:3" x14ac:dyDescent="0.25">
      <c r="B149" s="226"/>
      <c r="C149" s="226"/>
    </row>
    <row r="150" spans="2:3" x14ac:dyDescent="0.25">
      <c r="B150" s="226"/>
      <c r="C150" s="226"/>
    </row>
    <row r="151" spans="2:3" x14ac:dyDescent="0.25">
      <c r="B151" s="226"/>
      <c r="C151" s="226"/>
    </row>
  </sheetData>
  <mergeCells count="151">
    <mergeCell ref="W2:AC2"/>
    <mergeCell ref="V3:AC3"/>
    <mergeCell ref="V4:AC4"/>
    <mergeCell ref="V5:W5"/>
    <mergeCell ref="X5:Y5"/>
    <mergeCell ref="V6:AC6"/>
    <mergeCell ref="V7:W7"/>
    <mergeCell ref="X7:Y7"/>
    <mergeCell ref="Z7:AA7"/>
    <mergeCell ref="V9:W9"/>
    <mergeCell ref="X9:Y9"/>
    <mergeCell ref="Z9:AA9"/>
    <mergeCell ref="V10:W10"/>
    <mergeCell ref="X10:Y10"/>
    <mergeCell ref="Z10:AA10"/>
    <mergeCell ref="AB7:AC7"/>
    <mergeCell ref="V8:W8"/>
    <mergeCell ref="X8:Y8"/>
    <mergeCell ref="Z8:AA8"/>
    <mergeCell ref="V18:W18"/>
    <mergeCell ref="X18:Y18"/>
    <mergeCell ref="Z18:AA18"/>
    <mergeCell ref="V14:W14"/>
    <mergeCell ref="X14:Y14"/>
    <mergeCell ref="Z14:AA14"/>
    <mergeCell ref="V11:W11"/>
    <mergeCell ref="X11:Y11"/>
    <mergeCell ref="Z11:AA11"/>
    <mergeCell ref="V12:W12"/>
    <mergeCell ref="X12:Y12"/>
    <mergeCell ref="Z12:AA12"/>
    <mergeCell ref="V15:W15"/>
    <mergeCell ref="X15:Y15"/>
    <mergeCell ref="Z15:AA15"/>
    <mergeCell ref="V16:W16"/>
    <mergeCell ref="X16:Y16"/>
    <mergeCell ref="Z16:AA16"/>
    <mergeCell ref="V17:W17"/>
    <mergeCell ref="X17:Y17"/>
    <mergeCell ref="Z17:AA17"/>
    <mergeCell ref="V13:W13"/>
    <mergeCell ref="X13:Y13"/>
    <mergeCell ref="Z13:AA13"/>
    <mergeCell ref="V26:W26"/>
    <mergeCell ref="X26:Y26"/>
    <mergeCell ref="Z26:AA26"/>
    <mergeCell ref="V19:W19"/>
    <mergeCell ref="X19:Y19"/>
    <mergeCell ref="Z19:AA19"/>
    <mergeCell ref="V20:W20"/>
    <mergeCell ref="X20:Y20"/>
    <mergeCell ref="Z20:AA20"/>
    <mergeCell ref="V21:W21"/>
    <mergeCell ref="X21:Y21"/>
    <mergeCell ref="Z21:AA21"/>
    <mergeCell ref="V22:W22"/>
    <mergeCell ref="X22:Y22"/>
    <mergeCell ref="Z22:AA22"/>
    <mergeCell ref="V23:W23"/>
    <mergeCell ref="X23:Y23"/>
    <mergeCell ref="Z23:AA23"/>
    <mergeCell ref="V24:W24"/>
    <mergeCell ref="X24:Y24"/>
    <mergeCell ref="Z24:AA24"/>
    <mergeCell ref="V25:W25"/>
    <mergeCell ref="X25:Y25"/>
    <mergeCell ref="Z25:AA25"/>
    <mergeCell ref="V40:W40"/>
    <mergeCell ref="X40:AA40"/>
    <mergeCell ref="V27:W27"/>
    <mergeCell ref="X27:Y27"/>
    <mergeCell ref="B28:C36"/>
    <mergeCell ref="V28:W36"/>
    <mergeCell ref="X28:Y28"/>
    <mergeCell ref="X29:Y29"/>
    <mergeCell ref="X30:Y30"/>
    <mergeCell ref="X31:Y31"/>
    <mergeCell ref="X32:Y32"/>
    <mergeCell ref="X33:Y33"/>
    <mergeCell ref="X34:Y34"/>
    <mergeCell ref="X35:Y35"/>
    <mergeCell ref="X36:Y36"/>
    <mergeCell ref="V37:W37"/>
    <mergeCell ref="X37:Y37"/>
    <mergeCell ref="Z37:AB37"/>
    <mergeCell ref="V38:AC38"/>
    <mergeCell ref="V39:W39"/>
    <mergeCell ref="X39:Y39"/>
    <mergeCell ref="Z39:AC39"/>
    <mergeCell ref="V57:AA57"/>
    <mergeCell ref="AB57:AC57"/>
    <mergeCell ref="V58:X58"/>
    <mergeCell ref="Y58:Z58"/>
    <mergeCell ref="V41:AC41"/>
    <mergeCell ref="V42:AC42"/>
    <mergeCell ref="V43:AC43"/>
    <mergeCell ref="V44:AB44"/>
    <mergeCell ref="V45:AC45"/>
    <mergeCell ref="X46:Y46"/>
    <mergeCell ref="Z46:AC46"/>
    <mergeCell ref="X47:Y47"/>
    <mergeCell ref="X48:Y48"/>
    <mergeCell ref="X49:Y49"/>
    <mergeCell ref="X50:AB50"/>
    <mergeCell ref="V51:AC51"/>
    <mergeCell ref="V52:AC52"/>
    <mergeCell ref="V53:W53"/>
    <mergeCell ref="Y53:Z53"/>
    <mergeCell ref="AA53:AC53"/>
    <mergeCell ref="V54:AA54"/>
    <mergeCell ref="AB54:AC54"/>
    <mergeCell ref="V55:AC55"/>
    <mergeCell ref="V56:W56"/>
    <mergeCell ref="Y56:Z56"/>
    <mergeCell ref="AA56:AC56"/>
    <mergeCell ref="V72:AB72"/>
    <mergeCell ref="V73:AC73"/>
    <mergeCell ref="V74:W74"/>
    <mergeCell ref="V75:W75"/>
    <mergeCell ref="V59:AC59"/>
    <mergeCell ref="V60:W60"/>
    <mergeCell ref="X60:AC60"/>
    <mergeCell ref="V61:W61"/>
    <mergeCell ref="X61:AC61"/>
    <mergeCell ref="V62:W62"/>
    <mergeCell ref="X62:AC62"/>
    <mergeCell ref="V63:AC63"/>
    <mergeCell ref="V64:W64"/>
    <mergeCell ref="X64:AC64"/>
    <mergeCell ref="V65:W65"/>
    <mergeCell ref="X65:AC65"/>
    <mergeCell ref="V66:X66"/>
    <mergeCell ref="Y66:Z66"/>
    <mergeCell ref="V67:AC67"/>
    <mergeCell ref="V68:X68"/>
    <mergeCell ref="Y68:Z68"/>
    <mergeCell ref="V69:X69"/>
    <mergeCell ref="Y69:Z69"/>
    <mergeCell ref="V70:X70"/>
    <mergeCell ref="Y70:Z70"/>
    <mergeCell ref="V71:X71"/>
    <mergeCell ref="Y71:Z71"/>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AD151"/>
  <sheetViews>
    <sheetView topLeftCell="B2" zoomScale="70" zoomScaleNormal="70" workbookViewId="0">
      <selection activeCell="B2" sqref="B2"/>
    </sheetView>
  </sheetViews>
  <sheetFormatPr defaultColWidth="8.85546875" defaultRowHeight="15.75" x14ac:dyDescent="0.25"/>
  <cols>
    <col min="1" max="1" width="11.28515625" style="1" hidden="1" customWidth="1"/>
    <col min="2" max="2" width="10.28515625" style="2" customWidth="1"/>
    <col min="3" max="3" width="29" style="1" customWidth="1"/>
    <col min="4" max="5" width="12.28515625" style="1" customWidth="1"/>
    <col min="6" max="6" width="12.28515625" style="1" hidden="1" customWidth="1"/>
    <col min="7" max="7" width="18.140625" style="1" customWidth="1"/>
    <col min="8" max="8" width="6.7109375" style="1" customWidth="1"/>
    <col min="9" max="9" width="15.42578125" style="1" customWidth="1"/>
    <col min="10" max="10" width="13.85546875" style="1" customWidth="1"/>
    <col min="11" max="11" width="15.5703125" style="1" bestFit="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28515625" style="1" customWidth="1"/>
    <col min="18" max="18" width="8.85546875" style="1"/>
    <col min="19" max="21" width="0" style="1" hidden="1" customWidth="1"/>
    <col min="22" max="22" width="9" style="1" bestFit="1" customWidth="1"/>
    <col min="23" max="23" width="12.28515625" style="1" bestFit="1" customWidth="1"/>
    <col min="24" max="24" width="12.7109375" style="1" customWidth="1"/>
    <col min="25" max="25" width="8.85546875" style="1"/>
    <col min="26" max="26" width="13.28515625" style="1" bestFit="1" customWidth="1"/>
    <col min="27" max="27" width="9" style="1" bestFit="1" customWidth="1"/>
    <col min="28" max="28" width="14.7109375" style="1" bestFit="1" customWidth="1"/>
    <col min="29" max="29" width="15.7109375" style="1" bestFit="1" customWidth="1"/>
    <col min="30" max="30" width="9" style="1" bestFit="1" customWidth="1"/>
    <col min="31" max="16384" width="8.85546875" style="1"/>
  </cols>
  <sheetData>
    <row r="1" spans="1:30" ht="15.6" hidden="1" customHeight="1" thickBot="1" x14ac:dyDescent="0.3">
      <c r="A1" s="1" t="s">
        <v>0</v>
      </c>
      <c r="D1" s="1" t="s">
        <v>1</v>
      </c>
      <c r="E1" s="1" t="s">
        <v>2</v>
      </c>
      <c r="F1" s="1" t="s">
        <v>3</v>
      </c>
    </row>
    <row r="2" spans="1:30" ht="16.5" thickBot="1" x14ac:dyDescent="0.3">
      <c r="B2" s="4">
        <v>50</v>
      </c>
      <c r="C2" s="560" t="s">
        <v>4</v>
      </c>
      <c r="D2" s="561"/>
      <c r="E2" s="561"/>
      <c r="F2" s="561"/>
      <c r="G2" s="561"/>
      <c r="H2" s="562"/>
      <c r="I2" s="562"/>
      <c r="J2" s="562"/>
      <c r="K2" s="562"/>
      <c r="L2" s="562"/>
      <c r="N2" s="3"/>
      <c r="O2" s="1"/>
      <c r="V2" s="8">
        <f>'2791'!B2</f>
        <v>50</v>
      </c>
      <c r="W2" s="670" t="s">
        <v>4</v>
      </c>
      <c r="X2" s="671"/>
      <c r="Y2" s="672"/>
      <c r="Z2" s="672"/>
      <c r="AA2" s="672"/>
      <c r="AB2" s="672"/>
      <c r="AC2" s="672"/>
      <c r="AD2" s="9"/>
    </row>
    <row r="3" spans="1:30" x14ac:dyDescent="0.25">
      <c r="B3" s="13" t="str">
        <f>"Revenue Estimate Worksheet for "&amp;B124</f>
        <v>Revenue Estimate Worksheet for Renaissance Learning Center</v>
      </c>
      <c r="C3" s="82"/>
      <c r="D3" s="82"/>
      <c r="E3" s="82"/>
      <c r="F3" s="82"/>
      <c r="G3" s="82"/>
      <c r="H3" s="82"/>
      <c r="I3" s="82"/>
      <c r="J3" s="82"/>
      <c r="K3" s="82"/>
      <c r="L3" s="82"/>
      <c r="M3" s="13"/>
      <c r="N3" s="13"/>
      <c r="O3" s="13"/>
      <c r="P3" s="13"/>
      <c r="Q3" s="13"/>
      <c r="V3" s="610" t="s">
        <v>5</v>
      </c>
      <c r="W3" s="610"/>
      <c r="X3" s="610"/>
      <c r="Y3" s="610"/>
      <c r="Z3" s="610"/>
      <c r="AA3" s="610"/>
      <c r="AB3" s="610"/>
      <c r="AC3" s="610"/>
      <c r="AD3" s="191"/>
    </row>
    <row r="4" spans="1:30" x14ac:dyDescent="0.25">
      <c r="B4" s="2" t="s">
        <v>6</v>
      </c>
      <c r="C4" s="13"/>
      <c r="D4" s="13"/>
      <c r="E4" s="13"/>
      <c r="F4" s="13"/>
      <c r="G4" s="13"/>
      <c r="H4" s="13"/>
      <c r="I4" s="13"/>
      <c r="J4" s="13"/>
      <c r="K4" s="13"/>
      <c r="L4" s="13"/>
      <c r="M4" s="13"/>
      <c r="N4" s="13"/>
      <c r="O4" s="13"/>
      <c r="P4" s="13"/>
      <c r="Q4" s="13"/>
      <c r="V4" s="610" t="str">
        <f>+Based_on_the_Second_Calculation_of_the_FEFP_2010_11</f>
        <v>Based on the Fourth Calculation of the FEFP 2013-14</v>
      </c>
      <c r="W4" s="610"/>
      <c r="X4" s="610"/>
      <c r="Y4" s="610"/>
      <c r="Z4" s="610"/>
      <c r="AA4" s="610"/>
      <c r="AB4" s="610"/>
      <c r="AC4" s="610"/>
      <c r="AD4" s="191"/>
    </row>
    <row r="5" spans="1:30" ht="18.75" customHeight="1" x14ac:dyDescent="0.25">
      <c r="B5" s="16" t="s">
        <v>7</v>
      </c>
      <c r="C5" s="16"/>
      <c r="D5" s="16"/>
      <c r="E5" s="16"/>
      <c r="F5" s="16"/>
      <c r="G5" s="17" t="s">
        <v>8</v>
      </c>
      <c r="H5" s="17"/>
      <c r="I5" s="17"/>
      <c r="J5" s="17"/>
      <c r="K5" s="17"/>
      <c r="L5" s="17"/>
      <c r="M5" s="18"/>
      <c r="N5" s="18"/>
      <c r="O5" s="18"/>
      <c r="P5" s="18"/>
      <c r="Q5" s="18"/>
      <c r="V5" s="611" t="s">
        <v>7</v>
      </c>
      <c r="W5" s="611"/>
      <c r="X5" s="612" t="s">
        <v>8</v>
      </c>
      <c r="Y5" s="612"/>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613" t="s">
        <v>9</v>
      </c>
      <c r="W6" s="613"/>
      <c r="X6" s="613"/>
      <c r="Y6" s="613"/>
      <c r="Z6" s="613"/>
      <c r="AA6" s="613"/>
      <c r="AB6" s="613"/>
      <c r="AC6" s="613"/>
      <c r="AD6" s="22"/>
    </row>
    <row r="7" spans="1:30" ht="18" customHeight="1" x14ac:dyDescent="0.25">
      <c r="B7" s="23" t="s">
        <v>10</v>
      </c>
      <c r="C7" s="23"/>
      <c r="D7" s="23"/>
      <c r="E7" s="23"/>
      <c r="F7" s="23"/>
      <c r="G7" s="563">
        <v>3752.3</v>
      </c>
      <c r="H7" s="563"/>
      <c r="I7" s="23" t="s">
        <v>11</v>
      </c>
      <c r="J7" s="23"/>
      <c r="K7" s="25">
        <v>1.0326</v>
      </c>
      <c r="L7" s="25"/>
      <c r="O7" s="1"/>
      <c r="V7" s="620" t="s">
        <v>10</v>
      </c>
      <c r="W7" s="620"/>
      <c r="X7" s="673">
        <f>'2791'!G7</f>
        <v>3752.3</v>
      </c>
      <c r="Y7" s="673"/>
      <c r="Z7" s="622" t="s">
        <v>11</v>
      </c>
      <c r="AA7" s="622"/>
      <c r="AB7" s="602">
        <f>+K7</f>
        <v>1.0326</v>
      </c>
      <c r="AC7" s="602"/>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603" t="s">
        <v>12</v>
      </c>
      <c r="W8" s="603"/>
      <c r="X8" s="604" t="s">
        <v>15</v>
      </c>
      <c r="Y8" s="604"/>
      <c r="Z8" s="605" t="s">
        <v>16</v>
      </c>
      <c r="AA8" s="605"/>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614" t="s">
        <v>22</v>
      </c>
      <c r="W9" s="614"/>
      <c r="X9" s="615" t="s">
        <v>23</v>
      </c>
      <c r="Y9" s="615"/>
      <c r="Z9" s="616" t="s">
        <v>24</v>
      </c>
      <c r="AA9" s="616"/>
      <c r="AB9" s="43" t="s">
        <v>25</v>
      </c>
      <c r="AC9" s="44" t="s">
        <v>26</v>
      </c>
      <c r="AD9" s="9"/>
    </row>
    <row r="10" spans="1:30" x14ac:dyDescent="0.25">
      <c r="A10" s="1" t="s">
        <v>27</v>
      </c>
      <c r="B10" s="45" t="s">
        <v>28</v>
      </c>
      <c r="C10" s="45"/>
      <c r="D10" s="45">
        <v>0</v>
      </c>
      <c r="E10" s="45">
        <v>0</v>
      </c>
      <c r="F10" s="45">
        <v>0</v>
      </c>
      <c r="G10" s="46">
        <f>D10+E10</f>
        <v>0</v>
      </c>
      <c r="H10" s="47"/>
      <c r="I10" s="48">
        <v>1.125</v>
      </c>
      <c r="J10" s="48"/>
      <c r="K10" s="49">
        <f>ROUND(G10*I10,4)</f>
        <v>0</v>
      </c>
      <c r="L10" s="50">
        <f>ROUND(ROUND(K10*$G$7,4)*($K$7),0)</f>
        <v>0</v>
      </c>
      <c r="N10" s="51">
        <v>5101</v>
      </c>
      <c r="O10" s="564">
        <v>101</v>
      </c>
      <c r="P10" s="53"/>
      <c r="Q10" s="565"/>
      <c r="V10" s="617" t="s">
        <v>28</v>
      </c>
      <c r="W10" s="617"/>
      <c r="X10" s="618">
        <f>IF('2791'!K$84=1,'2791'!G10,0)</f>
        <v>0</v>
      </c>
      <c r="Y10" s="618"/>
      <c r="Z10" s="619">
        <v>1</v>
      </c>
      <c r="AA10" s="619"/>
      <c r="AB10" s="55">
        <f t="shared" ref="AB10:AB25" si="0">ROUND(X10*Z10,4)</f>
        <v>0</v>
      </c>
      <c r="AC10" s="56">
        <f t="shared" ref="AC10:AC25" si="1">ROUND(ROUND(AB10*$X$7,4)*($AB$7),0)</f>
        <v>0</v>
      </c>
      <c r="AD10" s="9">
        <v>1</v>
      </c>
    </row>
    <row r="11" spans="1:30" x14ac:dyDescent="0.25">
      <c r="A11" s="1" t="s">
        <v>29</v>
      </c>
      <c r="B11" s="13" t="s">
        <v>30</v>
      </c>
      <c r="C11" s="13"/>
      <c r="D11" s="13">
        <v>1</v>
      </c>
      <c r="E11" s="13">
        <v>1</v>
      </c>
      <c r="F11" s="13">
        <v>1.24</v>
      </c>
      <c r="G11" s="46">
        <f t="shared" ref="G11:G25" si="2">D11+E11</f>
        <v>2</v>
      </c>
      <c r="H11" s="47"/>
      <c r="I11" s="57">
        <f>I10</f>
        <v>1.125</v>
      </c>
      <c r="J11" s="57"/>
      <c r="K11" s="49">
        <f t="shared" ref="K11:K25" si="3">ROUND(G11*I11,4)</f>
        <v>2.25</v>
      </c>
      <c r="L11" s="50">
        <f t="shared" ref="L11:L25" si="4">ROUND(ROUND(K11*$G$7,4)*($K$7),0)</f>
        <v>8718</v>
      </c>
      <c r="M11" s="1" t="str">
        <f>IF(ROUND(G11,2)=ROUND(SUM(G28:G30),2)," ","CHECK 2. PK-3 Lines Below")</f>
        <v xml:space="preserve"> </v>
      </c>
      <c r="N11" s="51">
        <v>5101</v>
      </c>
      <c r="O11" s="58" t="s">
        <v>31</v>
      </c>
      <c r="P11" s="53"/>
      <c r="Q11" s="565"/>
      <c r="V11" s="623" t="s">
        <v>30</v>
      </c>
      <c r="W11" s="623"/>
      <c r="X11" s="618">
        <f>IF('2791'!K$84=1,'2791'!G11,0)</f>
        <v>2</v>
      </c>
      <c r="Y11" s="618"/>
      <c r="Z11" s="624">
        <v>1</v>
      </c>
      <c r="AA11" s="624"/>
      <c r="AB11" s="55">
        <f t="shared" si="0"/>
        <v>2</v>
      </c>
      <c r="AC11" s="56">
        <f t="shared" si="1"/>
        <v>7749</v>
      </c>
      <c r="AD11" s="9"/>
    </row>
    <row r="12" spans="1:30" x14ac:dyDescent="0.25">
      <c r="A12" s="1" t="s">
        <v>32</v>
      </c>
      <c r="B12" s="13" t="s">
        <v>33</v>
      </c>
      <c r="C12" s="13"/>
      <c r="D12" s="13">
        <v>0</v>
      </c>
      <c r="E12" s="13">
        <v>0</v>
      </c>
      <c r="F12" s="13">
        <v>0</v>
      </c>
      <c r="G12" s="46">
        <f t="shared" si="2"/>
        <v>0</v>
      </c>
      <c r="H12" s="47"/>
      <c r="I12" s="57">
        <v>1</v>
      </c>
      <c r="J12" s="57"/>
      <c r="K12" s="49">
        <f t="shared" si="3"/>
        <v>0</v>
      </c>
      <c r="L12" s="50">
        <f t="shared" si="4"/>
        <v>0</v>
      </c>
      <c r="N12" s="51">
        <v>5102</v>
      </c>
      <c r="O12" s="564">
        <v>102</v>
      </c>
      <c r="P12" s="53"/>
      <c r="Q12" s="565"/>
      <c r="V12" s="623" t="s">
        <v>33</v>
      </c>
      <c r="W12" s="623"/>
      <c r="X12" s="618">
        <f>IF('2791'!K$84=1,'2791'!G12,0)</f>
        <v>0</v>
      </c>
      <c r="Y12" s="618"/>
      <c r="Z12" s="624">
        <v>1</v>
      </c>
      <c r="AA12" s="624"/>
      <c r="AB12" s="55">
        <f t="shared" si="0"/>
        <v>0</v>
      </c>
      <c r="AC12" s="56">
        <f t="shared" si="1"/>
        <v>0</v>
      </c>
      <c r="AD12" s="9"/>
    </row>
    <row r="13" spans="1:30" x14ac:dyDescent="0.25">
      <c r="A13" s="1" t="s">
        <v>34</v>
      </c>
      <c r="B13" s="13" t="s">
        <v>35</v>
      </c>
      <c r="C13" s="13"/>
      <c r="D13" s="13">
        <v>0.96</v>
      </c>
      <c r="E13" s="13">
        <v>0.96</v>
      </c>
      <c r="F13" s="13">
        <v>1.1000000000000001</v>
      </c>
      <c r="G13" s="46">
        <f t="shared" si="2"/>
        <v>1.92</v>
      </c>
      <c r="H13" s="47"/>
      <c r="I13" s="57">
        <f>I12</f>
        <v>1</v>
      </c>
      <c r="J13" s="57"/>
      <c r="K13" s="49">
        <f t="shared" si="3"/>
        <v>1.92</v>
      </c>
      <c r="L13" s="50">
        <f t="shared" si="4"/>
        <v>7439</v>
      </c>
      <c r="M13" s="1" t="str">
        <f>IF(ROUND(G13,2)=ROUND(SUM(G31:G33),2)," ","CHECK 2. PK-3 Lines Below")</f>
        <v xml:space="preserve"> </v>
      </c>
      <c r="N13" s="51">
        <v>5102</v>
      </c>
      <c r="O13" s="58" t="s">
        <v>36</v>
      </c>
      <c r="P13" s="53"/>
      <c r="Q13" s="565"/>
      <c r="V13" s="623" t="s">
        <v>35</v>
      </c>
      <c r="W13" s="623"/>
      <c r="X13" s="618">
        <f>IF('2791'!K$84=1,'2791'!G13,0)</f>
        <v>1.92</v>
      </c>
      <c r="Y13" s="618"/>
      <c r="Z13" s="624">
        <v>1</v>
      </c>
      <c r="AA13" s="624"/>
      <c r="AB13" s="55">
        <f t="shared" si="0"/>
        <v>1.92</v>
      </c>
      <c r="AC13" s="56">
        <f t="shared" si="1"/>
        <v>7439</v>
      </c>
      <c r="AD13" s="9"/>
    </row>
    <row r="14" spans="1:30" x14ac:dyDescent="0.25">
      <c r="A14" s="1" t="s">
        <v>37</v>
      </c>
      <c r="B14" s="13" t="s">
        <v>38</v>
      </c>
      <c r="C14" s="13"/>
      <c r="D14" s="13">
        <v>0</v>
      </c>
      <c r="E14" s="13">
        <v>0</v>
      </c>
      <c r="F14" s="13">
        <v>0</v>
      </c>
      <c r="G14" s="46">
        <f t="shared" si="2"/>
        <v>0</v>
      </c>
      <c r="H14" s="47"/>
      <c r="I14" s="57">
        <v>1.0109999999999999</v>
      </c>
      <c r="J14" s="57"/>
      <c r="K14" s="49">
        <f t="shared" si="3"/>
        <v>0</v>
      </c>
      <c r="L14" s="50">
        <f t="shared" si="4"/>
        <v>0</v>
      </c>
      <c r="N14" s="51">
        <v>5103</v>
      </c>
      <c r="O14" s="564">
        <v>103</v>
      </c>
      <c r="P14" s="53"/>
      <c r="Q14" s="565"/>
      <c r="V14" s="623" t="s">
        <v>38</v>
      </c>
      <c r="W14" s="623"/>
      <c r="X14" s="618">
        <f>IF('2791'!K$84=1,'2791'!G14,0)</f>
        <v>0</v>
      </c>
      <c r="Y14" s="618"/>
      <c r="Z14" s="624">
        <v>1</v>
      </c>
      <c r="AA14" s="624"/>
      <c r="AB14" s="55">
        <f t="shared" si="0"/>
        <v>0</v>
      </c>
      <c r="AC14" s="56">
        <f t="shared" si="1"/>
        <v>0</v>
      </c>
      <c r="AD14" s="9"/>
    </row>
    <row r="15" spans="1:30" x14ac:dyDescent="0.25">
      <c r="A15" s="1" t="s">
        <v>39</v>
      </c>
      <c r="B15" s="13" t="s">
        <v>40</v>
      </c>
      <c r="C15" s="13"/>
      <c r="D15" s="13">
        <v>0</v>
      </c>
      <c r="E15" s="13">
        <v>0</v>
      </c>
      <c r="F15" s="13">
        <v>0</v>
      </c>
      <c r="G15" s="46">
        <f t="shared" si="2"/>
        <v>0</v>
      </c>
      <c r="H15" s="47"/>
      <c r="I15" s="57">
        <f>I14</f>
        <v>1.0109999999999999</v>
      </c>
      <c r="J15" s="57"/>
      <c r="K15" s="49">
        <f t="shared" si="3"/>
        <v>0</v>
      </c>
      <c r="L15" s="59">
        <f t="shared" si="4"/>
        <v>0</v>
      </c>
      <c r="M15" s="1" t="str">
        <f>IF(ROUND(G15,2)=ROUND(SUM(G34:G36),2)," ","CHECK 2. PK-3 Lines Below")</f>
        <v xml:space="preserve"> </v>
      </c>
      <c r="N15" s="51">
        <v>5103</v>
      </c>
      <c r="O15" s="58" t="s">
        <v>41</v>
      </c>
      <c r="P15" s="53"/>
      <c r="Q15" s="565"/>
      <c r="V15" s="623" t="s">
        <v>40</v>
      </c>
      <c r="W15" s="623"/>
      <c r="X15" s="618">
        <f>IF('2791'!K$84=1,'2791'!G15,0)</f>
        <v>0</v>
      </c>
      <c r="Y15" s="618"/>
      <c r="Z15" s="624">
        <v>1</v>
      </c>
      <c r="AA15" s="624"/>
      <c r="AB15" s="55">
        <f t="shared" si="0"/>
        <v>0</v>
      </c>
      <c r="AC15" s="60">
        <f t="shared" si="1"/>
        <v>0</v>
      </c>
      <c r="AD15" s="9"/>
    </row>
    <row r="16" spans="1:30" x14ac:dyDescent="0.25">
      <c r="A16" s="1" t="s">
        <v>42</v>
      </c>
      <c r="B16" s="13" t="s">
        <v>43</v>
      </c>
      <c r="C16" s="13"/>
      <c r="D16" s="13">
        <v>36</v>
      </c>
      <c r="E16" s="13">
        <v>38.020000000000003</v>
      </c>
      <c r="F16" s="13">
        <v>41.38</v>
      </c>
      <c r="G16" s="46">
        <f t="shared" si="2"/>
        <v>74.02000000000001</v>
      </c>
      <c r="H16" s="47"/>
      <c r="I16" s="57">
        <v>3.5579999999999998</v>
      </c>
      <c r="J16" s="57"/>
      <c r="K16" s="49">
        <f t="shared" si="3"/>
        <v>263.36320000000001</v>
      </c>
      <c r="L16" s="50">
        <f t="shared" si="4"/>
        <v>1020434</v>
      </c>
      <c r="N16" s="51">
        <v>5101</v>
      </c>
      <c r="O16" s="53">
        <v>254</v>
      </c>
      <c r="P16" s="53"/>
      <c r="Q16" s="565"/>
      <c r="V16" s="623" t="s">
        <v>43</v>
      </c>
      <c r="W16" s="623"/>
      <c r="X16" s="618">
        <f>IF('2791'!K$84=1,'2791'!G16,0)</f>
        <v>74.02000000000001</v>
      </c>
      <c r="Y16" s="618"/>
      <c r="Z16" s="624">
        <v>1</v>
      </c>
      <c r="AA16" s="624"/>
      <c r="AB16" s="55">
        <f t="shared" si="0"/>
        <v>74.02</v>
      </c>
      <c r="AC16" s="56">
        <f t="shared" si="1"/>
        <v>286800</v>
      </c>
      <c r="AD16" s="9"/>
    </row>
    <row r="17" spans="1:30" x14ac:dyDescent="0.25">
      <c r="A17" s="1" t="s">
        <v>44</v>
      </c>
      <c r="B17" s="13" t="s">
        <v>45</v>
      </c>
      <c r="C17" s="13"/>
      <c r="D17" s="13">
        <v>0</v>
      </c>
      <c r="E17" s="13">
        <v>0</v>
      </c>
      <c r="F17" s="13">
        <v>41.38</v>
      </c>
      <c r="G17" s="46">
        <f t="shared" si="2"/>
        <v>0</v>
      </c>
      <c r="H17" s="47"/>
      <c r="I17" s="57">
        <f>I16</f>
        <v>3.5579999999999998</v>
      </c>
      <c r="J17" s="57"/>
      <c r="K17" s="49">
        <f t="shared" si="3"/>
        <v>0</v>
      </c>
      <c r="L17" s="50">
        <f t="shared" si="4"/>
        <v>0</v>
      </c>
      <c r="N17" s="51">
        <v>5102</v>
      </c>
      <c r="O17" s="565">
        <v>254</v>
      </c>
      <c r="P17" s="53"/>
      <c r="Q17" s="565"/>
      <c r="V17" s="623" t="s">
        <v>45</v>
      </c>
      <c r="W17" s="623"/>
      <c r="X17" s="618">
        <f>IF('2791'!K$84=1,'2791'!G17,0)</f>
        <v>0</v>
      </c>
      <c r="Y17" s="618"/>
      <c r="Z17" s="624">
        <v>1</v>
      </c>
      <c r="AA17" s="624"/>
      <c r="AB17" s="55">
        <f t="shared" si="0"/>
        <v>0</v>
      </c>
      <c r="AC17" s="56">
        <f t="shared" si="1"/>
        <v>0</v>
      </c>
      <c r="AD17" s="9"/>
    </row>
    <row r="18" spans="1:30" x14ac:dyDescent="0.25">
      <c r="A18" s="1" t="s">
        <v>46</v>
      </c>
      <c r="B18" s="13" t="s">
        <v>47</v>
      </c>
      <c r="C18" s="13"/>
      <c r="D18" s="13">
        <v>0</v>
      </c>
      <c r="E18" s="13">
        <v>0</v>
      </c>
      <c r="F18" s="13">
        <v>0</v>
      </c>
      <c r="G18" s="46">
        <f t="shared" si="2"/>
        <v>0</v>
      </c>
      <c r="H18" s="47"/>
      <c r="I18" s="57">
        <f>I17</f>
        <v>3.5579999999999998</v>
      </c>
      <c r="J18" s="57"/>
      <c r="K18" s="49">
        <f t="shared" si="3"/>
        <v>0</v>
      </c>
      <c r="L18" s="50">
        <f t="shared" si="4"/>
        <v>0</v>
      </c>
      <c r="N18" s="51">
        <v>5103</v>
      </c>
      <c r="O18" s="565">
        <v>254</v>
      </c>
      <c r="P18" s="53"/>
      <c r="Q18" s="565"/>
      <c r="V18" s="623" t="s">
        <v>47</v>
      </c>
      <c r="W18" s="623"/>
      <c r="X18" s="618">
        <f>IF('2791'!K$84=1,'2791'!G18,0)</f>
        <v>0</v>
      </c>
      <c r="Y18" s="618"/>
      <c r="Z18" s="624">
        <v>1</v>
      </c>
      <c r="AA18" s="624"/>
      <c r="AB18" s="55">
        <f t="shared" si="0"/>
        <v>0</v>
      </c>
      <c r="AC18" s="56">
        <f t="shared" si="1"/>
        <v>0</v>
      </c>
      <c r="AD18" s="9"/>
    </row>
    <row r="19" spans="1:30" ht="15" customHeight="1" x14ac:dyDescent="0.25">
      <c r="A19" s="1" t="s">
        <v>48</v>
      </c>
      <c r="B19" s="13" t="s">
        <v>49</v>
      </c>
      <c r="C19" s="13"/>
      <c r="D19" s="13">
        <v>16</v>
      </c>
      <c r="E19" s="13">
        <v>17</v>
      </c>
      <c r="F19" s="13">
        <v>18.100000000000001</v>
      </c>
      <c r="G19" s="46">
        <f t="shared" si="2"/>
        <v>33</v>
      </c>
      <c r="H19" s="47"/>
      <c r="I19" s="57">
        <v>5.0890000000000004</v>
      </c>
      <c r="J19" s="57"/>
      <c r="K19" s="49">
        <f t="shared" si="3"/>
        <v>167.93700000000001</v>
      </c>
      <c r="L19" s="50">
        <f t="shared" si="4"/>
        <v>650693</v>
      </c>
      <c r="N19" s="51">
        <v>5101</v>
      </c>
      <c r="O19" s="53">
        <v>255</v>
      </c>
      <c r="P19" s="53"/>
      <c r="Q19" s="565"/>
      <c r="V19" s="623" t="s">
        <v>49</v>
      </c>
      <c r="W19" s="623"/>
      <c r="X19" s="618">
        <f>IF('2791'!K$84=1,'2791'!G19,0)</f>
        <v>33</v>
      </c>
      <c r="Y19" s="618"/>
      <c r="Z19" s="624">
        <v>1</v>
      </c>
      <c r="AA19" s="624"/>
      <c r="AB19" s="55">
        <f t="shared" si="0"/>
        <v>33</v>
      </c>
      <c r="AC19" s="56">
        <f t="shared" si="1"/>
        <v>127863</v>
      </c>
      <c r="AD19" s="9"/>
    </row>
    <row r="20" spans="1:30" ht="15" customHeight="1" x14ac:dyDescent="0.25">
      <c r="A20" s="1" t="s">
        <v>50</v>
      </c>
      <c r="B20" s="13" t="s">
        <v>51</v>
      </c>
      <c r="C20" s="13"/>
      <c r="D20" s="13">
        <v>0</v>
      </c>
      <c r="E20" s="13">
        <v>0</v>
      </c>
      <c r="F20" s="13">
        <v>18.100000000000001</v>
      </c>
      <c r="G20" s="46">
        <f t="shared" si="2"/>
        <v>0</v>
      </c>
      <c r="H20" s="47"/>
      <c r="I20" s="57">
        <f>I19</f>
        <v>5.0890000000000004</v>
      </c>
      <c r="J20" s="57"/>
      <c r="K20" s="49">
        <f t="shared" si="3"/>
        <v>0</v>
      </c>
      <c r="L20" s="50">
        <f t="shared" si="4"/>
        <v>0</v>
      </c>
      <c r="N20" s="51">
        <v>5102</v>
      </c>
      <c r="O20" s="565">
        <v>255</v>
      </c>
      <c r="P20" s="53"/>
      <c r="Q20" s="565"/>
      <c r="V20" s="623" t="s">
        <v>51</v>
      </c>
      <c r="W20" s="623"/>
      <c r="X20" s="618">
        <f>IF('2791'!K$84=1,'2791'!G20,0)</f>
        <v>0</v>
      </c>
      <c r="Y20" s="618"/>
      <c r="Z20" s="624">
        <v>1</v>
      </c>
      <c r="AA20" s="624"/>
      <c r="AB20" s="55">
        <f t="shared" si="0"/>
        <v>0</v>
      </c>
      <c r="AC20" s="56">
        <f t="shared" si="1"/>
        <v>0</v>
      </c>
      <c r="AD20" s="9"/>
    </row>
    <row r="21" spans="1:30" ht="15" customHeight="1" x14ac:dyDescent="0.25">
      <c r="A21" s="1" t="s">
        <v>52</v>
      </c>
      <c r="B21" s="13" t="s">
        <v>53</v>
      </c>
      <c r="C21" s="13"/>
      <c r="D21" s="13">
        <v>0</v>
      </c>
      <c r="E21" s="13">
        <v>0</v>
      </c>
      <c r="F21" s="13">
        <v>0</v>
      </c>
      <c r="G21" s="46">
        <f t="shared" si="2"/>
        <v>0</v>
      </c>
      <c r="H21" s="47"/>
      <c r="I21" s="57">
        <f>I20</f>
        <v>5.0890000000000004</v>
      </c>
      <c r="J21" s="57"/>
      <c r="K21" s="49">
        <f t="shared" si="3"/>
        <v>0</v>
      </c>
      <c r="L21" s="50">
        <f t="shared" si="4"/>
        <v>0</v>
      </c>
      <c r="N21" s="51">
        <v>5103</v>
      </c>
      <c r="O21" s="565">
        <v>255</v>
      </c>
      <c r="P21" s="53"/>
      <c r="Q21" s="565"/>
      <c r="V21" s="623" t="s">
        <v>53</v>
      </c>
      <c r="W21" s="623"/>
      <c r="X21" s="618">
        <f>IF('2791'!K$84=1,'2791'!G21,0)</f>
        <v>0</v>
      </c>
      <c r="Y21" s="618"/>
      <c r="Z21" s="624">
        <v>1</v>
      </c>
      <c r="AA21" s="624"/>
      <c r="AB21" s="55">
        <f t="shared" si="0"/>
        <v>0</v>
      </c>
      <c r="AC21" s="56">
        <f t="shared" si="1"/>
        <v>0</v>
      </c>
      <c r="AD21" s="9"/>
    </row>
    <row r="22" spans="1:30" x14ac:dyDescent="0.25">
      <c r="A22" s="1" t="s">
        <v>54</v>
      </c>
      <c r="B22" s="13" t="s">
        <v>55</v>
      </c>
      <c r="C22" s="13"/>
      <c r="D22" s="13">
        <v>0</v>
      </c>
      <c r="E22" s="13">
        <v>0</v>
      </c>
      <c r="F22" s="13">
        <v>0</v>
      </c>
      <c r="G22" s="46">
        <f t="shared" si="2"/>
        <v>0</v>
      </c>
      <c r="H22" s="47"/>
      <c r="I22" s="57">
        <v>1.145</v>
      </c>
      <c r="J22" s="57"/>
      <c r="K22" s="49">
        <f t="shared" si="3"/>
        <v>0</v>
      </c>
      <c r="L22" s="50">
        <f t="shared" si="4"/>
        <v>0</v>
      </c>
      <c r="N22" s="51">
        <v>5101</v>
      </c>
      <c r="O22" s="564">
        <v>130</v>
      </c>
      <c r="P22" s="53"/>
      <c r="Q22" s="565"/>
      <c r="V22" s="623" t="s">
        <v>55</v>
      </c>
      <c r="W22" s="623"/>
      <c r="X22" s="618">
        <f>IF('2791'!K$84=1,'2791'!G22,0)</f>
        <v>0</v>
      </c>
      <c r="Y22" s="618"/>
      <c r="Z22" s="624">
        <v>1</v>
      </c>
      <c r="AA22" s="624"/>
      <c r="AB22" s="55">
        <f t="shared" si="0"/>
        <v>0</v>
      </c>
      <c r="AC22" s="56">
        <f t="shared" si="1"/>
        <v>0</v>
      </c>
      <c r="AD22" s="9"/>
    </row>
    <row r="23" spans="1:30" x14ac:dyDescent="0.25">
      <c r="A23" s="1" t="s">
        <v>56</v>
      </c>
      <c r="B23" s="13" t="s">
        <v>57</v>
      </c>
      <c r="C23" s="13"/>
      <c r="D23" s="13">
        <v>0</v>
      </c>
      <c r="E23" s="13">
        <v>0</v>
      </c>
      <c r="F23" s="13">
        <v>0</v>
      </c>
      <c r="G23" s="46">
        <f t="shared" si="2"/>
        <v>0</v>
      </c>
      <c r="H23" s="47"/>
      <c r="I23" s="57">
        <f>I22</f>
        <v>1.145</v>
      </c>
      <c r="J23" s="57"/>
      <c r="K23" s="49">
        <f t="shared" si="3"/>
        <v>0</v>
      </c>
      <c r="L23" s="50">
        <f t="shared" si="4"/>
        <v>0</v>
      </c>
      <c r="N23" s="51">
        <v>5102</v>
      </c>
      <c r="O23" s="564">
        <v>130</v>
      </c>
      <c r="P23" s="53"/>
      <c r="Q23" s="565"/>
      <c r="V23" s="623" t="s">
        <v>57</v>
      </c>
      <c r="W23" s="623"/>
      <c r="X23" s="618">
        <f>IF('2791'!K$84=1,'2791'!G23,0)</f>
        <v>0</v>
      </c>
      <c r="Y23" s="618"/>
      <c r="Z23" s="624">
        <v>1</v>
      </c>
      <c r="AA23" s="624"/>
      <c r="AB23" s="55">
        <f t="shared" si="0"/>
        <v>0</v>
      </c>
      <c r="AC23" s="56">
        <f t="shared" si="1"/>
        <v>0</v>
      </c>
      <c r="AD23" s="9"/>
    </row>
    <row r="24" spans="1:30" x14ac:dyDescent="0.25">
      <c r="A24" s="1" t="s">
        <v>58</v>
      </c>
      <c r="B24" s="13" t="s">
        <v>59</v>
      </c>
      <c r="C24" s="13"/>
      <c r="D24" s="13">
        <v>0</v>
      </c>
      <c r="E24" s="13">
        <v>0</v>
      </c>
      <c r="F24" s="13">
        <v>0</v>
      </c>
      <c r="G24" s="46">
        <f t="shared" si="2"/>
        <v>0</v>
      </c>
      <c r="H24" s="47"/>
      <c r="I24" s="57">
        <f>I23</f>
        <v>1.145</v>
      </c>
      <c r="J24" s="57"/>
      <c r="K24" s="49">
        <f t="shared" si="3"/>
        <v>0</v>
      </c>
      <c r="L24" s="50">
        <f t="shared" si="4"/>
        <v>0</v>
      </c>
      <c r="N24" s="51">
        <v>5103</v>
      </c>
      <c r="O24" s="564">
        <v>130</v>
      </c>
      <c r="P24" s="53"/>
      <c r="Q24" s="565"/>
      <c r="V24" s="623" t="s">
        <v>59</v>
      </c>
      <c r="W24" s="623"/>
      <c r="X24" s="618">
        <f>IF('2791'!K$84=1,'2791'!G24,0)</f>
        <v>0</v>
      </c>
      <c r="Y24" s="618"/>
      <c r="Z24" s="624">
        <v>1</v>
      </c>
      <c r="AA24" s="624"/>
      <c r="AB24" s="55">
        <f t="shared" si="0"/>
        <v>0</v>
      </c>
      <c r="AC24" s="56">
        <f t="shared" si="1"/>
        <v>0</v>
      </c>
      <c r="AD24" s="9"/>
    </row>
    <row r="25" spans="1:30" ht="16.5" thickBot="1" x14ac:dyDescent="0.3">
      <c r="A25" s="1" t="s">
        <v>60</v>
      </c>
      <c r="B25" s="13" t="s">
        <v>61</v>
      </c>
      <c r="C25" s="13"/>
      <c r="D25" s="13">
        <v>0</v>
      </c>
      <c r="E25" s="13">
        <v>0</v>
      </c>
      <c r="F25" s="13">
        <v>0</v>
      </c>
      <c r="G25" s="46">
        <f t="shared" si="2"/>
        <v>0</v>
      </c>
      <c r="H25" s="47"/>
      <c r="I25" s="57">
        <v>1.0109999999999999</v>
      </c>
      <c r="J25" s="57"/>
      <c r="K25" s="49">
        <f t="shared" si="3"/>
        <v>0</v>
      </c>
      <c r="L25" s="50">
        <f t="shared" si="4"/>
        <v>0</v>
      </c>
      <c r="N25" s="51">
        <v>5310</v>
      </c>
      <c r="O25" s="564">
        <v>300</v>
      </c>
      <c r="P25" s="53"/>
      <c r="Q25" s="565"/>
      <c r="V25" s="623" t="s">
        <v>61</v>
      </c>
      <c r="W25" s="623"/>
      <c r="X25" s="618">
        <f>IF('2791'!K$84=1,'2791'!G25,0)</f>
        <v>0</v>
      </c>
      <c r="Y25" s="618"/>
      <c r="Z25" s="624">
        <v>1</v>
      </c>
      <c r="AA25" s="624"/>
      <c r="AB25" s="55">
        <f t="shared" si="0"/>
        <v>0</v>
      </c>
      <c r="AC25" s="56">
        <f t="shared" si="1"/>
        <v>0</v>
      </c>
      <c r="AD25" s="9"/>
    </row>
    <row r="26" spans="1:30" ht="20.25" customHeight="1" thickBot="1" x14ac:dyDescent="0.3">
      <c r="B26" s="62" t="s">
        <v>62</v>
      </c>
      <c r="C26" s="62"/>
      <c r="D26" s="63">
        <f t="shared" ref="D26:E26" si="5">SUM(D10:D25)</f>
        <v>53.96</v>
      </c>
      <c r="E26" s="63">
        <f t="shared" si="5"/>
        <v>56.980000000000004</v>
      </c>
      <c r="F26" s="63"/>
      <c r="G26" s="63">
        <f>SUM(G10:G25)</f>
        <v>110.94000000000001</v>
      </c>
      <c r="H26" s="64"/>
      <c r="I26" s="64"/>
      <c r="J26" s="65"/>
      <c r="K26" s="66">
        <f>SUM(K10:K25)</f>
        <v>435.47020000000003</v>
      </c>
      <c r="L26" s="67">
        <f>SUM(L10:L25)</f>
        <v>1687284</v>
      </c>
      <c r="N26" s="565"/>
      <c r="O26" s="68"/>
      <c r="P26" s="565"/>
      <c r="Q26" s="565"/>
      <c r="V26" s="625" t="s">
        <v>62</v>
      </c>
      <c r="W26" s="625"/>
      <c r="X26" s="626">
        <f>SUM(X10:X25)</f>
        <v>110.94000000000001</v>
      </c>
      <c r="Y26" s="626"/>
      <c r="Z26" s="627"/>
      <c r="AA26" s="628"/>
      <c r="AB26" s="69">
        <f>SUM(AB10:AB25)</f>
        <v>110.94</v>
      </c>
      <c r="AC26" s="70">
        <f>SUM(AC10:AC25)</f>
        <v>429851</v>
      </c>
      <c r="AD26" s="9"/>
    </row>
    <row r="27" spans="1:30" ht="51.75" customHeight="1" x14ac:dyDescent="0.25">
      <c r="B27" s="62" t="s">
        <v>63</v>
      </c>
      <c r="C27" s="62"/>
      <c r="D27" s="71" t="s">
        <v>13</v>
      </c>
      <c r="E27" s="71" t="s">
        <v>14</v>
      </c>
      <c r="F27" s="27"/>
      <c r="G27" s="72" t="s">
        <v>64</v>
      </c>
      <c r="H27" s="73"/>
      <c r="I27" s="74" t="s">
        <v>65</v>
      </c>
      <c r="J27" s="74" t="s">
        <v>66</v>
      </c>
      <c r="K27" s="75" t="s">
        <v>67</v>
      </c>
      <c r="N27" s="565"/>
      <c r="O27" s="68"/>
      <c r="P27" s="565"/>
      <c r="Q27" s="565"/>
      <c r="V27" s="629" t="s">
        <v>63</v>
      </c>
      <c r="W27" s="629"/>
      <c r="X27" s="630" t="s">
        <v>64</v>
      </c>
      <c r="Y27" s="630"/>
      <c r="Z27" s="76" t="s">
        <v>65</v>
      </c>
      <c r="AA27" s="77" t="s">
        <v>66</v>
      </c>
      <c r="AB27" s="78" t="s">
        <v>67</v>
      </c>
      <c r="AC27" s="9"/>
      <c r="AD27" s="9"/>
    </row>
    <row r="28" spans="1:30" ht="15.75" customHeight="1" x14ac:dyDescent="0.25">
      <c r="A28" s="1" t="s">
        <v>68</v>
      </c>
      <c r="B28" s="631" t="s">
        <v>69</v>
      </c>
      <c r="C28" s="632"/>
      <c r="D28" s="13">
        <v>0</v>
      </c>
      <c r="E28" s="13">
        <v>1</v>
      </c>
      <c r="F28" s="79">
        <v>0</v>
      </c>
      <c r="G28" s="46">
        <f t="shared" ref="G28:G36" si="6">D28+E28</f>
        <v>1</v>
      </c>
      <c r="H28" s="80"/>
      <c r="I28" s="81" t="s">
        <v>70</v>
      </c>
      <c r="J28" s="82">
        <v>251</v>
      </c>
      <c r="K28" s="83">
        <v>1047</v>
      </c>
      <c r="L28" s="84">
        <f>ROUND(G28*K28,0)</f>
        <v>1047</v>
      </c>
      <c r="N28" s="552">
        <v>5101</v>
      </c>
      <c r="O28" s="565">
        <v>251</v>
      </c>
      <c r="P28" s="86"/>
      <c r="Q28" s="87"/>
      <c r="V28" s="637" t="s">
        <v>69</v>
      </c>
      <c r="W28" s="637"/>
      <c r="X28" s="638"/>
      <c r="Y28" s="638"/>
      <c r="Z28" s="88" t="s">
        <v>70</v>
      </c>
      <c r="AA28" s="558">
        <v>251</v>
      </c>
      <c r="AB28" s="90">
        <f>+K28</f>
        <v>1047</v>
      </c>
      <c r="AC28" s="91">
        <f t="shared" ref="AC28:AC36" si="7">ROUND(X28*AB28,0)</f>
        <v>0</v>
      </c>
      <c r="AD28" s="9"/>
    </row>
    <row r="29" spans="1:30" x14ac:dyDescent="0.25">
      <c r="A29" s="1" t="s">
        <v>71</v>
      </c>
      <c r="B29" s="633"/>
      <c r="C29" s="634"/>
      <c r="D29" s="13">
        <v>0</v>
      </c>
      <c r="E29" s="13">
        <v>0</v>
      </c>
      <c r="F29" s="92">
        <v>0</v>
      </c>
      <c r="G29" s="46">
        <f t="shared" si="6"/>
        <v>0</v>
      </c>
      <c r="H29" s="80"/>
      <c r="I29" s="82" t="s">
        <v>70</v>
      </c>
      <c r="J29" s="82">
        <v>252</v>
      </c>
      <c r="K29" s="83">
        <v>3380</v>
      </c>
      <c r="L29" s="84">
        <f t="shared" ref="L29:L36" si="8">ROUND(G29*K29,0)</f>
        <v>0</v>
      </c>
      <c r="N29" s="552">
        <v>5101</v>
      </c>
      <c r="O29" s="565">
        <v>252</v>
      </c>
      <c r="P29" s="86"/>
      <c r="Q29" s="87"/>
      <c r="V29" s="637"/>
      <c r="W29" s="637"/>
      <c r="X29" s="638"/>
      <c r="Y29" s="638"/>
      <c r="Z29" s="558" t="s">
        <v>70</v>
      </c>
      <c r="AA29" s="558">
        <v>252</v>
      </c>
      <c r="AB29" s="90">
        <f t="shared" ref="AB29:AB36" si="9">+K29</f>
        <v>3380</v>
      </c>
      <c r="AC29" s="91">
        <f t="shared" si="7"/>
        <v>0</v>
      </c>
      <c r="AD29" s="9"/>
    </row>
    <row r="30" spans="1:30" x14ac:dyDescent="0.25">
      <c r="A30" s="1" t="s">
        <v>72</v>
      </c>
      <c r="B30" s="633"/>
      <c r="C30" s="634"/>
      <c r="D30" s="13">
        <v>1</v>
      </c>
      <c r="E30" s="13">
        <v>0</v>
      </c>
      <c r="F30" s="92">
        <v>0.5</v>
      </c>
      <c r="G30" s="46">
        <f t="shared" si="6"/>
        <v>1</v>
      </c>
      <c r="H30" s="80"/>
      <c r="I30" s="82" t="s">
        <v>70</v>
      </c>
      <c r="J30" s="82">
        <v>253</v>
      </c>
      <c r="K30" s="83">
        <v>6896</v>
      </c>
      <c r="L30" s="84">
        <f t="shared" si="8"/>
        <v>6896</v>
      </c>
      <c r="N30" s="552">
        <v>5101</v>
      </c>
      <c r="O30" s="565">
        <v>253</v>
      </c>
      <c r="P30" s="86"/>
      <c r="Q30" s="68"/>
      <c r="V30" s="637"/>
      <c r="W30" s="637"/>
      <c r="X30" s="638"/>
      <c r="Y30" s="638"/>
      <c r="Z30" s="558" t="s">
        <v>70</v>
      </c>
      <c r="AA30" s="558">
        <v>253</v>
      </c>
      <c r="AB30" s="90">
        <f t="shared" si="9"/>
        <v>6896</v>
      </c>
      <c r="AC30" s="91">
        <f t="shared" si="7"/>
        <v>0</v>
      </c>
      <c r="AD30" s="9"/>
    </row>
    <row r="31" spans="1:30" x14ac:dyDescent="0.25">
      <c r="A31" s="1" t="s">
        <v>73</v>
      </c>
      <c r="B31" s="633"/>
      <c r="C31" s="634"/>
      <c r="D31" s="13">
        <v>0</v>
      </c>
      <c r="E31" s="13">
        <v>0</v>
      </c>
      <c r="F31" s="92">
        <v>0</v>
      </c>
      <c r="G31" s="46">
        <f t="shared" si="6"/>
        <v>0</v>
      </c>
      <c r="H31" s="80"/>
      <c r="I31" s="93" t="s">
        <v>74</v>
      </c>
      <c r="J31" s="82">
        <v>251</v>
      </c>
      <c r="K31" s="83">
        <v>1173</v>
      </c>
      <c r="L31" s="84">
        <f t="shared" si="8"/>
        <v>0</v>
      </c>
      <c r="N31" s="552">
        <v>5102</v>
      </c>
      <c r="O31" s="565">
        <v>251</v>
      </c>
      <c r="P31" s="86"/>
      <c r="Q31" s="68"/>
      <c r="V31" s="637"/>
      <c r="W31" s="637"/>
      <c r="X31" s="638"/>
      <c r="Y31" s="638"/>
      <c r="Z31" s="94" t="s">
        <v>74</v>
      </c>
      <c r="AA31" s="558">
        <v>251</v>
      </c>
      <c r="AB31" s="90">
        <f t="shared" si="9"/>
        <v>1173</v>
      </c>
      <c r="AC31" s="91">
        <f t="shared" si="7"/>
        <v>0</v>
      </c>
      <c r="AD31" s="9"/>
    </row>
    <row r="32" spans="1:30" x14ac:dyDescent="0.25">
      <c r="A32" s="1" t="s">
        <v>75</v>
      </c>
      <c r="B32" s="633"/>
      <c r="C32" s="634"/>
      <c r="D32" s="13">
        <v>0.46</v>
      </c>
      <c r="E32" s="13">
        <v>0.46</v>
      </c>
      <c r="F32" s="92">
        <v>0.5</v>
      </c>
      <c r="G32" s="46">
        <f t="shared" si="6"/>
        <v>0.92</v>
      </c>
      <c r="H32" s="80"/>
      <c r="I32" s="93" t="s">
        <v>74</v>
      </c>
      <c r="J32" s="82">
        <v>252</v>
      </c>
      <c r="K32" s="83">
        <v>3506</v>
      </c>
      <c r="L32" s="84">
        <f t="shared" si="8"/>
        <v>3226</v>
      </c>
      <c r="N32" s="552">
        <v>5102</v>
      </c>
      <c r="O32" s="565">
        <v>252</v>
      </c>
      <c r="P32" s="86"/>
      <c r="Q32" s="565"/>
      <c r="V32" s="637"/>
      <c r="W32" s="637"/>
      <c r="X32" s="638"/>
      <c r="Y32" s="638"/>
      <c r="Z32" s="94" t="s">
        <v>74</v>
      </c>
      <c r="AA32" s="558">
        <v>252</v>
      </c>
      <c r="AB32" s="90">
        <f t="shared" si="9"/>
        <v>3506</v>
      </c>
      <c r="AC32" s="91">
        <f t="shared" si="7"/>
        <v>0</v>
      </c>
      <c r="AD32" s="9"/>
    </row>
    <row r="33" spans="1:30" x14ac:dyDescent="0.25">
      <c r="A33" s="1" t="s">
        <v>76</v>
      </c>
      <c r="B33" s="633"/>
      <c r="C33" s="634"/>
      <c r="D33" s="13">
        <v>0.5</v>
      </c>
      <c r="E33" s="13">
        <v>0.5</v>
      </c>
      <c r="F33" s="92">
        <v>1.5</v>
      </c>
      <c r="G33" s="46">
        <f t="shared" si="6"/>
        <v>1</v>
      </c>
      <c r="H33" s="80"/>
      <c r="I33" s="93" t="s">
        <v>74</v>
      </c>
      <c r="J33" s="82">
        <v>253</v>
      </c>
      <c r="K33" s="83">
        <v>7023</v>
      </c>
      <c r="L33" s="84">
        <f t="shared" si="8"/>
        <v>7023</v>
      </c>
      <c r="N33" s="552">
        <v>5102</v>
      </c>
      <c r="O33" s="565">
        <v>253</v>
      </c>
      <c r="P33" s="86"/>
      <c r="Q33" s="87"/>
      <c r="V33" s="637"/>
      <c r="W33" s="637"/>
      <c r="X33" s="638"/>
      <c r="Y33" s="638"/>
      <c r="Z33" s="94" t="s">
        <v>74</v>
      </c>
      <c r="AA33" s="558">
        <v>253</v>
      </c>
      <c r="AB33" s="90">
        <f t="shared" si="9"/>
        <v>7023</v>
      </c>
      <c r="AC33" s="91">
        <f t="shared" si="7"/>
        <v>0</v>
      </c>
      <c r="AD33" s="9"/>
    </row>
    <row r="34" spans="1:30" x14ac:dyDescent="0.25">
      <c r="A34" s="1" t="s">
        <v>77</v>
      </c>
      <c r="B34" s="633"/>
      <c r="C34" s="634"/>
      <c r="D34" s="13">
        <v>0</v>
      </c>
      <c r="E34" s="13">
        <v>0</v>
      </c>
      <c r="F34" s="92">
        <v>0</v>
      </c>
      <c r="G34" s="46">
        <f t="shared" si="6"/>
        <v>0</v>
      </c>
      <c r="H34" s="80"/>
      <c r="I34" s="93" t="s">
        <v>78</v>
      </c>
      <c r="J34" s="82">
        <v>251</v>
      </c>
      <c r="K34" s="83">
        <v>835</v>
      </c>
      <c r="L34" s="84">
        <f t="shared" si="8"/>
        <v>0</v>
      </c>
      <c r="N34" s="552">
        <v>5103</v>
      </c>
      <c r="O34" s="565">
        <v>251</v>
      </c>
      <c r="P34" s="86"/>
      <c r="Q34" s="87"/>
      <c r="V34" s="637"/>
      <c r="W34" s="637"/>
      <c r="X34" s="638"/>
      <c r="Y34" s="638"/>
      <c r="Z34" s="94" t="s">
        <v>78</v>
      </c>
      <c r="AA34" s="558">
        <v>251</v>
      </c>
      <c r="AB34" s="90">
        <f t="shared" si="9"/>
        <v>835</v>
      </c>
      <c r="AC34" s="91">
        <f t="shared" si="7"/>
        <v>0</v>
      </c>
      <c r="AD34" s="9"/>
    </row>
    <row r="35" spans="1:30" x14ac:dyDescent="0.25">
      <c r="A35" s="1" t="s">
        <v>79</v>
      </c>
      <c r="B35" s="633"/>
      <c r="C35" s="634"/>
      <c r="D35" s="13">
        <v>0</v>
      </c>
      <c r="E35" s="13">
        <v>0</v>
      </c>
      <c r="F35" s="92">
        <v>0</v>
      </c>
      <c r="G35" s="46">
        <f t="shared" si="6"/>
        <v>0</v>
      </c>
      <c r="H35" s="80"/>
      <c r="I35" s="93" t="s">
        <v>78</v>
      </c>
      <c r="J35" s="82">
        <v>252</v>
      </c>
      <c r="K35" s="83">
        <v>3168</v>
      </c>
      <c r="L35" s="84">
        <f t="shared" si="8"/>
        <v>0</v>
      </c>
      <c r="N35" s="552">
        <v>5103</v>
      </c>
      <c r="O35" s="565">
        <v>252</v>
      </c>
      <c r="P35" s="86"/>
      <c r="Q35" s="95"/>
      <c r="V35" s="637"/>
      <c r="W35" s="637"/>
      <c r="X35" s="638"/>
      <c r="Y35" s="638"/>
      <c r="Z35" s="94" t="s">
        <v>78</v>
      </c>
      <c r="AA35" s="558">
        <v>252</v>
      </c>
      <c r="AB35" s="90">
        <f t="shared" si="9"/>
        <v>3168</v>
      </c>
      <c r="AC35" s="91">
        <f t="shared" si="7"/>
        <v>0</v>
      </c>
      <c r="AD35" s="9"/>
    </row>
    <row r="36" spans="1:30" ht="16.5" thickBot="1" x14ac:dyDescent="0.3">
      <c r="A36" s="1" t="s">
        <v>80</v>
      </c>
      <c r="B36" s="635"/>
      <c r="C36" s="636"/>
      <c r="D36" s="13">
        <v>0</v>
      </c>
      <c r="E36" s="13">
        <v>0</v>
      </c>
      <c r="F36" s="92">
        <v>0</v>
      </c>
      <c r="G36" s="46">
        <f t="shared" si="6"/>
        <v>0</v>
      </c>
      <c r="H36" s="80"/>
      <c r="I36" s="93" t="s">
        <v>78</v>
      </c>
      <c r="J36" s="82">
        <v>253</v>
      </c>
      <c r="K36" s="83">
        <v>6685</v>
      </c>
      <c r="L36" s="96">
        <f t="shared" si="8"/>
        <v>0</v>
      </c>
      <c r="N36" s="552">
        <v>5103</v>
      </c>
      <c r="O36" s="565">
        <v>253</v>
      </c>
      <c r="P36" s="86"/>
      <c r="Q36" s="97"/>
      <c r="V36" s="637"/>
      <c r="W36" s="637"/>
      <c r="X36" s="645"/>
      <c r="Y36" s="645"/>
      <c r="Z36" s="94" t="s">
        <v>78</v>
      </c>
      <c r="AA36" s="558">
        <v>253</v>
      </c>
      <c r="AB36" s="90">
        <f t="shared" si="9"/>
        <v>6685</v>
      </c>
      <c r="AC36" s="98">
        <f t="shared" si="7"/>
        <v>0</v>
      </c>
      <c r="AD36" s="9"/>
    </row>
    <row r="37" spans="1:30" ht="18.75" customHeight="1" x14ac:dyDescent="0.25">
      <c r="B37" s="13" t="s">
        <v>81</v>
      </c>
      <c r="C37" s="13"/>
      <c r="D37" s="63">
        <f t="shared" ref="D37:E37" si="10">SUM(D28:D36)</f>
        <v>1.96</v>
      </c>
      <c r="E37" s="63">
        <f t="shared" si="10"/>
        <v>1.96</v>
      </c>
      <c r="F37" s="63"/>
      <c r="G37" s="63">
        <f>SUM(G28:G36)</f>
        <v>3.92</v>
      </c>
      <c r="H37" s="64"/>
      <c r="I37" s="13" t="s">
        <v>82</v>
      </c>
      <c r="J37" s="13"/>
      <c r="K37" s="13"/>
      <c r="L37" s="50">
        <f>SUM(L28:L36)</f>
        <v>18192</v>
      </c>
      <c r="N37" s="565"/>
      <c r="O37" s="68"/>
      <c r="P37" s="565"/>
      <c r="Q37" s="565"/>
      <c r="V37" s="646" t="s">
        <v>81</v>
      </c>
      <c r="W37" s="646"/>
      <c r="X37" s="626">
        <f>SUM(X28:X36)</f>
        <v>0</v>
      </c>
      <c r="Y37" s="626"/>
      <c r="Z37" s="646" t="s">
        <v>82</v>
      </c>
      <c r="AA37" s="646"/>
      <c r="AB37" s="646"/>
      <c r="AC37" s="56">
        <f>SUM(AC28:AC36)</f>
        <v>0</v>
      </c>
      <c r="AD37" s="9"/>
    </row>
    <row r="38" spans="1:30" ht="30.75" customHeight="1" x14ac:dyDescent="0.25">
      <c r="B38" s="99" t="s">
        <v>83</v>
      </c>
      <c r="C38" s="99"/>
      <c r="D38" s="99"/>
      <c r="E38" s="99"/>
      <c r="F38" s="99"/>
      <c r="G38" s="99"/>
      <c r="H38" s="100"/>
      <c r="I38" s="99"/>
      <c r="J38" s="99"/>
      <c r="K38" s="99"/>
      <c r="L38" s="99"/>
      <c r="M38" s="101"/>
      <c r="N38" s="565"/>
      <c r="O38" s="68"/>
      <c r="P38" s="565"/>
      <c r="Q38" s="565"/>
      <c r="V38" s="639" t="s">
        <v>83</v>
      </c>
      <c r="W38" s="639"/>
      <c r="X38" s="639"/>
      <c r="Y38" s="639"/>
      <c r="Z38" s="639"/>
      <c r="AA38" s="639"/>
      <c r="AB38" s="639"/>
      <c r="AC38" s="639"/>
      <c r="AD38" s="102"/>
    </row>
    <row r="39" spans="1:30" ht="15.75" customHeight="1" x14ac:dyDescent="0.25">
      <c r="B39" s="103" t="s">
        <v>84</v>
      </c>
      <c r="C39" s="103"/>
      <c r="D39" s="103"/>
      <c r="E39" s="103"/>
      <c r="F39" s="103"/>
      <c r="G39" s="104">
        <v>34389540</v>
      </c>
      <c r="H39" s="104"/>
      <c r="I39" s="13" t="s">
        <v>85</v>
      </c>
      <c r="J39" s="13"/>
      <c r="K39" s="13"/>
      <c r="L39" s="13"/>
      <c r="O39" s="1"/>
      <c r="V39" s="640" t="s">
        <v>84</v>
      </c>
      <c r="W39" s="640"/>
      <c r="X39" s="641">
        <f>+G39</f>
        <v>34389540</v>
      </c>
      <c r="Y39" s="641"/>
      <c r="Z39" s="642" t="s">
        <v>85</v>
      </c>
      <c r="AA39" s="642"/>
      <c r="AB39" s="642"/>
      <c r="AC39" s="642"/>
      <c r="AD39" s="9"/>
    </row>
    <row r="40" spans="1:30" ht="15.75" customHeight="1" x14ac:dyDescent="0.25">
      <c r="B40" s="566" t="s">
        <v>86</v>
      </c>
      <c r="C40" s="566"/>
      <c r="D40" s="566"/>
      <c r="E40" s="566"/>
      <c r="F40" s="566"/>
      <c r="G40" s="106">
        <v>180284.81</v>
      </c>
      <c r="H40" s="106"/>
      <c r="I40" s="106"/>
      <c r="J40" s="106"/>
      <c r="K40" s="50">
        <f>ROUND(G39/G40,0)</f>
        <v>191</v>
      </c>
      <c r="L40" s="50">
        <f>ROUND(K40*$G$26,0)</f>
        <v>21190</v>
      </c>
      <c r="N40" s="107"/>
      <c r="O40" s="107"/>
      <c r="P40" s="107"/>
      <c r="Q40" s="107"/>
      <c r="V40" s="674" t="s">
        <v>86</v>
      </c>
      <c r="W40" s="674"/>
      <c r="X40" s="644">
        <f>+G40</f>
        <v>180284.81</v>
      </c>
      <c r="Y40" s="644"/>
      <c r="Z40" s="644"/>
      <c r="AA40" s="644"/>
      <c r="AB40" s="56">
        <f>ROUND(X39/X40,0)</f>
        <v>191</v>
      </c>
      <c r="AC40" s="56">
        <f>ROUND(AB40*$X$26,0)</f>
        <v>21190</v>
      </c>
      <c r="AD40" s="9"/>
    </row>
    <row r="41" spans="1:30" ht="15.75" customHeight="1" x14ac:dyDescent="0.25">
      <c r="B41" s="108" t="s">
        <v>87</v>
      </c>
      <c r="C41" s="108"/>
      <c r="D41" s="108"/>
      <c r="E41" s="108"/>
      <c r="F41" s="108"/>
      <c r="G41" s="108"/>
      <c r="H41" s="108"/>
      <c r="I41" s="108"/>
      <c r="J41" s="108"/>
      <c r="K41" s="108"/>
      <c r="L41" s="108"/>
      <c r="N41" s="101"/>
      <c r="O41" s="109"/>
      <c r="P41" s="101"/>
      <c r="Q41" s="101"/>
      <c r="V41" s="652" t="s">
        <v>87</v>
      </c>
      <c r="W41" s="652"/>
      <c r="X41" s="652"/>
      <c r="Y41" s="652"/>
      <c r="Z41" s="652"/>
      <c r="AA41" s="652"/>
      <c r="AB41" s="652"/>
      <c r="AC41" s="652"/>
      <c r="AD41" s="9"/>
    </row>
    <row r="42" spans="1:30" ht="28.5" customHeight="1" x14ac:dyDescent="0.25">
      <c r="B42" s="99" t="s">
        <v>88</v>
      </c>
      <c r="C42" s="99"/>
      <c r="D42" s="99"/>
      <c r="E42" s="99"/>
      <c r="F42" s="99"/>
      <c r="G42" s="99"/>
      <c r="H42" s="99"/>
      <c r="I42" s="99"/>
      <c r="J42" s="99"/>
      <c r="K42" s="99"/>
      <c r="L42" s="99"/>
      <c r="M42" s="107"/>
      <c r="O42" s="1"/>
      <c r="V42" s="639" t="s">
        <v>88</v>
      </c>
      <c r="W42" s="639"/>
      <c r="X42" s="639"/>
      <c r="Y42" s="639"/>
      <c r="Z42" s="639"/>
      <c r="AA42" s="639"/>
      <c r="AB42" s="639"/>
      <c r="AC42" s="639"/>
      <c r="AD42" s="556"/>
    </row>
    <row r="43" spans="1:30" x14ac:dyDescent="0.25">
      <c r="B43" s="103" t="s">
        <v>89</v>
      </c>
      <c r="C43" s="103"/>
      <c r="D43" s="103"/>
      <c r="E43" s="103"/>
      <c r="F43" s="103"/>
      <c r="G43" s="103"/>
      <c r="H43" s="103"/>
      <c r="I43" s="103"/>
      <c r="J43" s="103"/>
      <c r="K43" s="103"/>
      <c r="L43" s="103"/>
      <c r="M43" s="112"/>
      <c r="N43" s="101"/>
      <c r="O43" s="101"/>
      <c r="P43" s="101"/>
      <c r="Q43" s="101"/>
      <c r="V43" s="676" t="s">
        <v>89</v>
      </c>
      <c r="W43" s="676"/>
      <c r="X43" s="676"/>
      <c r="Y43" s="676"/>
      <c r="Z43" s="676"/>
      <c r="AA43" s="676"/>
      <c r="AB43" s="676"/>
      <c r="AC43" s="676"/>
      <c r="AD43" s="113"/>
    </row>
    <row r="44" spans="1:30" ht="24" customHeight="1" x14ac:dyDescent="0.25">
      <c r="B44" s="62" t="s">
        <v>90</v>
      </c>
      <c r="C44" s="62"/>
      <c r="D44" s="62"/>
      <c r="E44" s="62"/>
      <c r="F44" s="62"/>
      <c r="G44" s="62"/>
      <c r="H44" s="62"/>
      <c r="I44" s="62"/>
      <c r="J44" s="62"/>
      <c r="K44" s="62"/>
      <c r="L44" s="114">
        <f>SUM(L26,L37,L40)</f>
        <v>1726666</v>
      </c>
      <c r="O44" s="1"/>
      <c r="V44" s="654" t="s">
        <v>90</v>
      </c>
      <c r="W44" s="654"/>
      <c r="X44" s="654"/>
      <c r="Y44" s="654"/>
      <c r="Z44" s="654"/>
      <c r="AA44" s="654"/>
      <c r="AB44" s="654"/>
      <c r="AC44" s="115">
        <f>SUM(AC26,AC37,AC40)</f>
        <v>451041</v>
      </c>
      <c r="AD44" s="9"/>
    </row>
    <row r="45" spans="1:30" ht="30.75" customHeight="1" x14ac:dyDescent="0.25">
      <c r="B45" s="99" t="s">
        <v>91</v>
      </c>
      <c r="C45" s="99"/>
      <c r="D45" s="99"/>
      <c r="E45" s="99"/>
      <c r="F45" s="99"/>
      <c r="G45" s="99"/>
      <c r="H45" s="99"/>
      <c r="I45" s="99"/>
      <c r="J45" s="99"/>
      <c r="K45" s="99"/>
      <c r="L45" s="99"/>
      <c r="M45" s="116"/>
      <c r="O45" s="1"/>
      <c r="V45" s="639" t="s">
        <v>91</v>
      </c>
      <c r="W45" s="639"/>
      <c r="X45" s="639"/>
      <c r="Y45" s="639"/>
      <c r="Z45" s="639"/>
      <c r="AA45" s="639"/>
      <c r="AB45" s="639"/>
      <c r="AC45" s="639"/>
      <c r="AD45" s="553"/>
    </row>
    <row r="46" spans="1:30" ht="18.75" customHeight="1" x14ac:dyDescent="0.25">
      <c r="B46" s="1"/>
      <c r="C46" s="118" t="s">
        <v>92</v>
      </c>
      <c r="D46" s="118"/>
      <c r="E46" s="118"/>
      <c r="F46" s="118"/>
      <c r="G46" s="118" t="s">
        <v>93</v>
      </c>
      <c r="H46" s="119"/>
      <c r="I46" s="120" t="s">
        <v>94</v>
      </c>
      <c r="J46" s="121"/>
      <c r="K46" s="121"/>
      <c r="L46" s="121"/>
      <c r="M46" s="122"/>
      <c r="O46" s="1"/>
      <c r="V46" s="9"/>
      <c r="W46" s="555" t="s">
        <v>92</v>
      </c>
      <c r="X46" s="655" t="s">
        <v>95</v>
      </c>
      <c r="Y46" s="655"/>
      <c r="Z46" s="656" t="s">
        <v>94</v>
      </c>
      <c r="AA46" s="656"/>
      <c r="AB46" s="656"/>
      <c r="AC46" s="656"/>
      <c r="AD46" s="124"/>
    </row>
    <row r="47" spans="1:30" ht="18.75" customHeight="1" x14ac:dyDescent="0.25">
      <c r="B47" s="107" t="s">
        <v>96</v>
      </c>
      <c r="C47" s="125">
        <f>K10+K11+K16+K19+K22</f>
        <v>433.55020000000002</v>
      </c>
      <c r="D47" s="125"/>
      <c r="E47" s="125"/>
      <c r="F47" s="125"/>
      <c r="G47" s="567">
        <f>K7</f>
        <v>1.0326</v>
      </c>
      <c r="H47" s="567"/>
      <c r="I47" s="127">
        <v>1316.85</v>
      </c>
      <c r="J47" s="128" t="s">
        <v>97</v>
      </c>
      <c r="K47" s="129">
        <f>ROUND(C47*G47*I47,0)</f>
        <v>589533</v>
      </c>
      <c r="L47" s="130"/>
      <c r="O47" s="1"/>
      <c r="V47" s="556" t="s">
        <v>96</v>
      </c>
      <c r="W47" s="131">
        <f>AB10+AB11+AB16+AB19+AB22</f>
        <v>109.02</v>
      </c>
      <c r="X47" s="675">
        <f>AB7</f>
        <v>1.0326</v>
      </c>
      <c r="Y47" s="675"/>
      <c r="Z47" s="132">
        <f>+I47</f>
        <v>1316.85</v>
      </c>
      <c r="AA47" s="133" t="s">
        <v>97</v>
      </c>
      <c r="AB47" s="134">
        <f>ROUND(W47*X47*Z47,0)</f>
        <v>148243</v>
      </c>
      <c r="AC47" s="135"/>
      <c r="AD47" s="9"/>
    </row>
    <row r="48" spans="1:30" ht="18" customHeight="1" x14ac:dyDescent="0.25">
      <c r="B48" s="136" t="s">
        <v>74</v>
      </c>
      <c r="C48" s="125">
        <f>K12+K13+K17+K20+K23</f>
        <v>1.92</v>
      </c>
      <c r="D48" s="125"/>
      <c r="E48" s="125"/>
      <c r="F48" s="125"/>
      <c r="G48" s="567">
        <f>K7</f>
        <v>1.0326</v>
      </c>
      <c r="H48" s="567"/>
      <c r="I48" s="127">
        <v>898.23</v>
      </c>
      <c r="J48" s="128" t="s">
        <v>97</v>
      </c>
      <c r="K48" s="129">
        <f>ROUND(C48*G48*I48,0)</f>
        <v>1781</v>
      </c>
      <c r="L48" s="62"/>
      <c r="O48" s="1"/>
      <c r="V48" s="137" t="s">
        <v>74</v>
      </c>
      <c r="W48" s="131">
        <f>AB12+AB13+AB17+AB20+AB23</f>
        <v>1.92</v>
      </c>
      <c r="X48" s="675">
        <f>AB7</f>
        <v>1.0326</v>
      </c>
      <c r="Y48" s="675"/>
      <c r="Z48" s="132">
        <f>+I48</f>
        <v>898.23</v>
      </c>
      <c r="AA48" s="133" t="s">
        <v>97</v>
      </c>
      <c r="AB48" s="134">
        <f>ROUND(W48*X48*Z48,0)</f>
        <v>1781</v>
      </c>
      <c r="AC48" s="138"/>
      <c r="AD48" s="9"/>
    </row>
    <row r="49" spans="2:30" ht="19.5" customHeight="1" thickBot="1" x14ac:dyDescent="0.3">
      <c r="B49" s="139" t="s">
        <v>78</v>
      </c>
      <c r="C49" s="140">
        <f>K14+K15+K18+K21+K24+K25</f>
        <v>0</v>
      </c>
      <c r="D49" s="125"/>
      <c r="E49" s="125"/>
      <c r="F49" s="125"/>
      <c r="G49" s="567">
        <f>K7</f>
        <v>1.0326</v>
      </c>
      <c r="H49" s="567"/>
      <c r="I49" s="127">
        <v>900.39</v>
      </c>
      <c r="J49" s="128" t="s">
        <v>97</v>
      </c>
      <c r="K49" s="129">
        <f>ROUND(C49*G49*I49,0)</f>
        <v>0</v>
      </c>
      <c r="L49" s="62"/>
      <c r="M49" s="112"/>
      <c r="N49" s="141"/>
      <c r="O49" s="142"/>
      <c r="P49" s="101"/>
      <c r="Q49" s="143"/>
      <c r="V49" s="144" t="s">
        <v>78</v>
      </c>
      <c r="W49" s="145">
        <f>AB14+AB15+AB18+AB21+AB24+AB25</f>
        <v>0</v>
      </c>
      <c r="X49" s="675">
        <f>AB7</f>
        <v>1.0326</v>
      </c>
      <c r="Y49" s="675"/>
      <c r="Z49" s="132">
        <f>+I49</f>
        <v>900.39</v>
      </c>
      <c r="AA49" s="133" t="s">
        <v>97</v>
      </c>
      <c r="AB49" s="134">
        <f>ROUND(W49*X49*Z49,0)</f>
        <v>0</v>
      </c>
      <c r="AC49" s="138"/>
      <c r="AD49" s="113"/>
    </row>
    <row r="50" spans="2:30" ht="24" customHeight="1" thickBot="1" x14ac:dyDescent="0.3">
      <c r="B50" s="146" t="s">
        <v>98</v>
      </c>
      <c r="C50" s="147">
        <f>SUM(C47:C49)</f>
        <v>435.47020000000003</v>
      </c>
      <c r="D50" s="148"/>
      <c r="E50" s="149"/>
      <c r="F50" s="149"/>
      <c r="G50" s="150" t="s">
        <v>99</v>
      </c>
      <c r="H50" s="150"/>
      <c r="I50" s="150"/>
      <c r="J50" s="150"/>
      <c r="K50" s="150"/>
      <c r="L50" s="50">
        <f>IF(B2=75,0,K49+K48+K47)</f>
        <v>591314</v>
      </c>
      <c r="N50" s="3"/>
      <c r="O50" s="1"/>
      <c r="V50" s="554" t="s">
        <v>98</v>
      </c>
      <c r="W50" s="152">
        <f>SUM(W47:W49)</f>
        <v>110.94</v>
      </c>
      <c r="X50" s="648" t="s">
        <v>99</v>
      </c>
      <c r="Y50" s="649"/>
      <c r="Z50" s="649"/>
      <c r="AA50" s="649"/>
      <c r="AB50" s="649"/>
      <c r="AC50" s="56">
        <f>IF(V2=75,0,AB49+AB48+AB47)</f>
        <v>150024</v>
      </c>
      <c r="AD50" s="9"/>
    </row>
    <row r="51" spans="2:30" ht="19.5" customHeight="1" x14ac:dyDescent="0.25">
      <c r="B51" s="153" t="s">
        <v>100</v>
      </c>
      <c r="C51" s="153"/>
      <c r="D51" s="153"/>
      <c r="E51" s="153"/>
      <c r="F51" s="153"/>
      <c r="G51" s="153"/>
      <c r="H51" s="153"/>
      <c r="I51" s="153"/>
      <c r="J51" s="153"/>
      <c r="K51" s="153"/>
      <c r="L51" s="153"/>
      <c r="M51" s="141"/>
      <c r="N51" s="101"/>
      <c r="O51" s="1"/>
      <c r="V51" s="650" t="s">
        <v>100</v>
      </c>
      <c r="W51" s="650"/>
      <c r="X51" s="650"/>
      <c r="Y51" s="650"/>
      <c r="Z51" s="650"/>
      <c r="AA51" s="650"/>
      <c r="AB51" s="650"/>
      <c r="AC51" s="650"/>
      <c r="AD51" s="154"/>
    </row>
    <row r="52" spans="2:30" ht="27.75" customHeight="1" x14ac:dyDescent="0.25">
      <c r="B52" s="13" t="s">
        <v>101</v>
      </c>
      <c r="C52" s="13"/>
      <c r="D52" s="13"/>
      <c r="E52" s="13"/>
      <c r="F52" s="13"/>
      <c r="G52" s="13"/>
      <c r="H52" s="13"/>
      <c r="I52" s="13"/>
      <c r="J52" s="13"/>
      <c r="K52" s="13"/>
      <c r="L52" s="13"/>
      <c r="O52" s="1"/>
      <c r="V52" s="651" t="s">
        <v>101</v>
      </c>
      <c r="W52" s="651"/>
      <c r="X52" s="651"/>
      <c r="Y52" s="651"/>
      <c r="Z52" s="651"/>
      <c r="AA52" s="651"/>
      <c r="AB52" s="651"/>
      <c r="AC52" s="651"/>
      <c r="AD52" s="9"/>
    </row>
    <row r="53" spans="2:30" x14ac:dyDescent="0.25">
      <c r="B53" s="13" t="s">
        <v>102</v>
      </c>
      <c r="C53" s="13"/>
      <c r="D53" s="13"/>
      <c r="E53" s="13"/>
      <c r="F53" s="13"/>
      <c r="G53" s="155">
        <f>K26</f>
        <v>435.47020000000003</v>
      </c>
      <c r="H53" s="57" t="s">
        <v>103</v>
      </c>
      <c r="I53" s="57"/>
      <c r="J53" s="156">
        <v>197823.77</v>
      </c>
      <c r="K53" s="156"/>
      <c r="L53" s="156"/>
      <c r="N53" s="3"/>
      <c r="O53" s="1"/>
      <c r="V53" s="657" t="s">
        <v>102</v>
      </c>
      <c r="W53" s="657"/>
      <c r="X53" s="157">
        <f>AB26</f>
        <v>110.94</v>
      </c>
      <c r="Y53" s="658" t="s">
        <v>103</v>
      </c>
      <c r="Z53" s="658"/>
      <c r="AA53" s="659">
        <f>+J53</f>
        <v>197823.77</v>
      </c>
      <c r="AB53" s="659"/>
      <c r="AC53" s="659"/>
      <c r="AD53" s="9"/>
    </row>
    <row r="54" spans="2:30" x14ac:dyDescent="0.25">
      <c r="B54" s="13" t="s">
        <v>104</v>
      </c>
      <c r="C54" s="13"/>
      <c r="D54" s="13"/>
      <c r="E54" s="13"/>
      <c r="F54" s="13"/>
      <c r="G54" s="13"/>
      <c r="H54" s="13"/>
      <c r="I54" s="13"/>
      <c r="J54" s="13"/>
      <c r="K54" s="158">
        <f>ROUND(G53/J53,6)</f>
        <v>2.2009999999999998E-3</v>
      </c>
      <c r="L54" s="158"/>
      <c r="N54" s="101"/>
      <c r="O54" s="1"/>
      <c r="V54" s="657" t="s">
        <v>104</v>
      </c>
      <c r="W54" s="657"/>
      <c r="X54" s="657"/>
      <c r="Y54" s="657"/>
      <c r="Z54" s="657"/>
      <c r="AA54" s="657"/>
      <c r="AB54" s="660">
        <f>ROUND(X53/AA53,6)</f>
        <v>5.6099999999999998E-4</v>
      </c>
      <c r="AC54" s="660"/>
      <c r="AD54" s="9"/>
    </row>
    <row r="55" spans="2:30" ht="24" customHeight="1" x14ac:dyDescent="0.25">
      <c r="B55" s="13" t="s">
        <v>105</v>
      </c>
      <c r="C55" s="13"/>
      <c r="D55" s="13"/>
      <c r="E55" s="13"/>
      <c r="F55" s="13"/>
      <c r="G55" s="13"/>
      <c r="H55" s="13"/>
      <c r="I55" s="13"/>
      <c r="J55" s="13"/>
      <c r="K55" s="13"/>
      <c r="L55" s="13"/>
      <c r="O55" s="1"/>
      <c r="V55" s="651" t="s">
        <v>105</v>
      </c>
      <c r="W55" s="651"/>
      <c r="X55" s="651"/>
      <c r="Y55" s="651"/>
      <c r="Z55" s="651"/>
      <c r="AA55" s="651"/>
      <c r="AB55" s="651"/>
      <c r="AC55" s="651"/>
      <c r="AD55" s="9"/>
    </row>
    <row r="56" spans="2:30" x14ac:dyDescent="0.25">
      <c r="B56" s="13" t="s">
        <v>106</v>
      </c>
      <c r="C56" s="13"/>
      <c r="D56" s="13"/>
      <c r="E56" s="13"/>
      <c r="F56" s="13"/>
      <c r="G56" s="159">
        <f>G26</f>
        <v>110.94000000000001</v>
      </c>
      <c r="H56" s="57" t="s">
        <v>107</v>
      </c>
      <c r="I56" s="57"/>
      <c r="J56" s="156">
        <f>+G40</f>
        <v>180284.81</v>
      </c>
      <c r="K56" s="156"/>
      <c r="L56" s="156"/>
      <c r="O56" s="1"/>
      <c r="V56" s="657" t="s">
        <v>106</v>
      </c>
      <c r="W56" s="657"/>
      <c r="X56" s="160">
        <f>X26</f>
        <v>110.94000000000001</v>
      </c>
      <c r="Y56" s="658" t="s">
        <v>107</v>
      </c>
      <c r="Z56" s="658"/>
      <c r="AA56" s="659">
        <f>+J56</f>
        <v>180284.81</v>
      </c>
      <c r="AB56" s="659"/>
      <c r="AC56" s="659"/>
      <c r="AD56" s="9"/>
    </row>
    <row r="57" spans="2:30" x14ac:dyDescent="0.25">
      <c r="B57" s="13" t="s">
        <v>108</v>
      </c>
      <c r="C57" s="13"/>
      <c r="D57" s="13"/>
      <c r="E57" s="13"/>
      <c r="F57" s="13"/>
      <c r="G57" s="13"/>
      <c r="H57" s="13"/>
      <c r="I57" s="13"/>
      <c r="J57" s="13"/>
      <c r="K57" s="158">
        <f>ROUND(G56/J56,6)</f>
        <v>6.1499999999999999E-4</v>
      </c>
      <c r="L57" s="158"/>
      <c r="O57" s="1"/>
      <c r="V57" s="657" t="s">
        <v>108</v>
      </c>
      <c r="W57" s="657"/>
      <c r="X57" s="657"/>
      <c r="Y57" s="657"/>
      <c r="Z57" s="657"/>
      <c r="AA57" s="657"/>
      <c r="AB57" s="660">
        <f>ROUND(X56/AA56,6)</f>
        <v>6.1499999999999999E-4</v>
      </c>
      <c r="AC57" s="660"/>
      <c r="AD57" s="9"/>
    </row>
    <row r="58" spans="2:30" ht="20.25" customHeight="1" x14ac:dyDescent="0.25">
      <c r="B58" s="161" t="s">
        <v>109</v>
      </c>
      <c r="C58" s="161"/>
      <c r="D58" s="161"/>
      <c r="E58" s="161"/>
      <c r="F58" s="161"/>
      <c r="G58" s="161"/>
      <c r="H58" s="161"/>
      <c r="I58" s="161"/>
      <c r="J58" s="161"/>
      <c r="K58" s="161"/>
      <c r="L58" s="161"/>
      <c r="N58" s="18"/>
      <c r="O58" s="18"/>
      <c r="V58" s="629" t="s">
        <v>110</v>
      </c>
      <c r="W58" s="629"/>
      <c r="X58" s="629"/>
      <c r="Y58" s="661">
        <f>X65+X64+X62+X61+X60</f>
        <v>4123852</v>
      </c>
      <c r="Z58" s="661"/>
      <c r="AA58" s="557" t="s">
        <v>111</v>
      </c>
      <c r="AB58" s="163">
        <f>AB54</f>
        <v>5.6099999999999998E-4</v>
      </c>
      <c r="AC58" s="56">
        <f>ROUND(Y58*AB58,0)</f>
        <v>2313</v>
      </c>
      <c r="AD58" s="9"/>
    </row>
    <row r="59" spans="2:30" x14ac:dyDescent="0.25">
      <c r="B59" s="62" t="s">
        <v>110</v>
      </c>
      <c r="C59" s="62"/>
      <c r="D59" s="62"/>
      <c r="E59" s="62"/>
      <c r="F59" s="62"/>
      <c r="G59" s="62"/>
      <c r="H59" s="164" t="s">
        <v>22</v>
      </c>
      <c r="I59" s="129">
        <v>4123852</v>
      </c>
      <c r="J59" s="165" t="s">
        <v>111</v>
      </c>
      <c r="K59" s="166">
        <f>K54</f>
        <v>2.2009999999999998E-3</v>
      </c>
      <c r="L59" s="50">
        <f>ROUND(I59*K59,0)</f>
        <v>9077</v>
      </c>
      <c r="O59" s="1"/>
      <c r="P59" s="165"/>
      <c r="Q59" s="165"/>
      <c r="V59" s="662" t="s">
        <v>112</v>
      </c>
      <c r="W59" s="662"/>
      <c r="X59" s="662"/>
      <c r="Y59" s="662"/>
      <c r="Z59" s="662"/>
      <c r="AA59" s="662"/>
      <c r="AB59" s="662"/>
      <c r="AC59" s="662"/>
      <c r="AD59" s="9"/>
    </row>
    <row r="60" spans="2:30" x14ac:dyDescent="0.25">
      <c r="B60" s="62" t="s">
        <v>112</v>
      </c>
      <c r="C60" s="62"/>
      <c r="D60" s="62"/>
      <c r="E60" s="62"/>
      <c r="F60" s="62"/>
      <c r="G60" s="62"/>
      <c r="H60" s="62"/>
      <c r="I60" s="62"/>
      <c r="J60" s="62"/>
      <c r="K60" s="62"/>
      <c r="L60" s="62"/>
      <c r="O60" s="1"/>
      <c r="P60" s="165"/>
      <c r="Q60" s="165"/>
      <c r="V60" s="663" t="s">
        <v>113</v>
      </c>
      <c r="W60" s="663"/>
      <c r="X60" s="664">
        <f>+G61</f>
        <v>0</v>
      </c>
      <c r="Y60" s="664"/>
      <c r="Z60" s="664"/>
      <c r="AA60" s="664"/>
      <c r="AB60" s="664"/>
      <c r="AC60" s="664"/>
      <c r="AD60" s="9"/>
    </row>
    <row r="61" spans="2:30" ht="15" customHeight="1" x14ac:dyDescent="0.25">
      <c r="B61" s="167" t="s">
        <v>113</v>
      </c>
      <c r="C61" s="62"/>
      <c r="D61" s="62"/>
      <c r="E61" s="62"/>
      <c r="F61" s="62"/>
      <c r="G61" s="168">
        <v>0</v>
      </c>
      <c r="H61" s="168"/>
      <c r="I61" s="168"/>
      <c r="J61" s="168"/>
      <c r="K61" s="168"/>
      <c r="L61" s="168"/>
      <c r="O61" s="1"/>
      <c r="P61" s="165"/>
      <c r="Q61" s="165"/>
      <c r="V61" s="663" t="s">
        <v>114</v>
      </c>
      <c r="W61" s="663"/>
      <c r="X61" s="664">
        <f>+G62</f>
        <v>0</v>
      </c>
      <c r="Y61" s="664"/>
      <c r="Z61" s="664"/>
      <c r="AA61" s="664"/>
      <c r="AB61" s="664"/>
      <c r="AC61" s="664"/>
      <c r="AD61" s="9"/>
    </row>
    <row r="62" spans="2:30" ht="13.5" customHeight="1" x14ac:dyDescent="0.25">
      <c r="B62" s="167" t="s">
        <v>114</v>
      </c>
      <c r="C62" s="62"/>
      <c r="D62" s="62"/>
      <c r="E62" s="62"/>
      <c r="F62" s="62"/>
      <c r="G62" s="168">
        <v>0</v>
      </c>
      <c r="H62" s="168"/>
      <c r="I62" s="168"/>
      <c r="J62" s="168"/>
      <c r="K62" s="168"/>
      <c r="L62" s="168"/>
      <c r="N62" s="165"/>
      <c r="O62" s="165"/>
      <c r="P62" s="165"/>
      <c r="Q62" s="165"/>
      <c r="V62" s="663" t="s">
        <v>115</v>
      </c>
      <c r="W62" s="663"/>
      <c r="X62" s="664">
        <v>0</v>
      </c>
      <c r="Y62" s="664"/>
      <c r="Z62" s="664"/>
      <c r="AA62" s="664"/>
      <c r="AB62" s="664"/>
      <c r="AC62" s="664"/>
      <c r="AD62" s="9"/>
    </row>
    <row r="63" spans="2:30" ht="13.5" hidden="1" customHeight="1" x14ac:dyDescent="0.25">
      <c r="B63" s="62" t="s">
        <v>115</v>
      </c>
      <c r="C63" s="62"/>
      <c r="D63" s="62"/>
      <c r="E63" s="62"/>
      <c r="F63" s="62"/>
      <c r="G63" s="168">
        <v>0</v>
      </c>
      <c r="H63" s="168"/>
      <c r="I63" s="168"/>
      <c r="J63" s="168"/>
      <c r="K63" s="168"/>
      <c r="L63" s="168"/>
      <c r="O63" s="1"/>
      <c r="P63" s="165"/>
      <c r="Q63" s="165"/>
      <c r="V63" s="662" t="s">
        <v>116</v>
      </c>
      <c r="W63" s="662"/>
      <c r="X63" s="662"/>
      <c r="Y63" s="662"/>
      <c r="Z63" s="662"/>
      <c r="AA63" s="662"/>
      <c r="AB63" s="662"/>
      <c r="AC63" s="662"/>
      <c r="AD63" s="553"/>
    </row>
    <row r="64" spans="2:30" ht="13.5" customHeight="1" x14ac:dyDescent="0.25">
      <c r="B64" s="62" t="s">
        <v>116</v>
      </c>
      <c r="C64" s="62"/>
      <c r="D64" s="62"/>
      <c r="E64" s="62"/>
      <c r="F64" s="62"/>
      <c r="G64" s="62"/>
      <c r="H64" s="62"/>
      <c r="I64" s="62"/>
      <c r="J64" s="62"/>
      <c r="K64" s="62"/>
      <c r="L64" s="62"/>
      <c r="M64" s="116"/>
      <c r="N64" s="18"/>
      <c r="O64" s="1"/>
      <c r="V64" s="663" t="s">
        <v>117</v>
      </c>
      <c r="W64" s="663"/>
      <c r="X64" s="664">
        <f>+G65</f>
        <v>4123852</v>
      </c>
      <c r="Y64" s="664"/>
      <c r="Z64" s="664"/>
      <c r="AA64" s="664"/>
      <c r="AB64" s="664"/>
      <c r="AC64" s="664"/>
      <c r="AD64" s="9"/>
    </row>
    <row r="65" spans="1:30" ht="12.75" customHeight="1" x14ac:dyDescent="0.25">
      <c r="B65" s="167" t="s">
        <v>117</v>
      </c>
      <c r="C65" s="62"/>
      <c r="D65" s="62"/>
      <c r="E65" s="62"/>
      <c r="F65" s="62"/>
      <c r="G65" s="168">
        <f>+I59</f>
        <v>4123852</v>
      </c>
      <c r="H65" s="168"/>
      <c r="I65" s="168"/>
      <c r="J65" s="168"/>
      <c r="K65" s="168"/>
      <c r="L65" s="168"/>
      <c r="O65" s="1"/>
      <c r="V65" s="663" t="s">
        <v>118</v>
      </c>
      <c r="W65" s="663"/>
      <c r="X65" s="664">
        <f>+G66</f>
        <v>0</v>
      </c>
      <c r="Y65" s="664"/>
      <c r="Z65" s="664"/>
      <c r="AA65" s="664"/>
      <c r="AB65" s="664"/>
      <c r="AC65" s="664"/>
      <c r="AD65" s="20"/>
    </row>
    <row r="66" spans="1:30" ht="15" customHeight="1" x14ac:dyDescent="0.25">
      <c r="B66" s="167" t="s">
        <v>118</v>
      </c>
      <c r="C66" s="62"/>
      <c r="D66" s="62"/>
      <c r="E66" s="62"/>
      <c r="F66" s="62"/>
      <c r="G66" s="168">
        <v>0</v>
      </c>
      <c r="H66" s="168"/>
      <c r="I66" s="168"/>
      <c r="J66" s="168"/>
      <c r="K66" s="168"/>
      <c r="L66" s="168"/>
      <c r="M66" s="18"/>
      <c r="N66" s="3"/>
      <c r="O66" s="169"/>
      <c r="P66" s="169"/>
      <c r="Q66" s="169"/>
      <c r="V66" s="651" t="s">
        <v>119</v>
      </c>
      <c r="W66" s="651"/>
      <c r="X66" s="651"/>
      <c r="Y66" s="661">
        <f>+I67</f>
        <v>96774526</v>
      </c>
      <c r="Z66" s="661"/>
      <c r="AA66" s="557" t="s">
        <v>111</v>
      </c>
      <c r="AB66" s="163">
        <f>AB54</f>
        <v>5.6099999999999998E-4</v>
      </c>
      <c r="AC66" s="56">
        <f>ROUND(Y66*AB66,0)</f>
        <v>54291</v>
      </c>
      <c r="AD66" s="9"/>
    </row>
    <row r="67" spans="1:30" ht="20.25" customHeight="1" x14ac:dyDescent="0.25">
      <c r="B67" s="13" t="s">
        <v>119</v>
      </c>
      <c r="C67" s="13"/>
      <c r="D67" s="13"/>
      <c r="E67" s="13"/>
      <c r="F67" s="13"/>
      <c r="H67" s="164" t="s">
        <v>25</v>
      </c>
      <c r="I67" s="129">
        <v>96774526</v>
      </c>
      <c r="J67" s="165" t="s">
        <v>111</v>
      </c>
      <c r="K67" s="166">
        <f>K54</f>
        <v>2.2009999999999998E-3</v>
      </c>
      <c r="L67" s="50">
        <f>ROUND(I67*K67,0)</f>
        <v>213001</v>
      </c>
      <c r="O67" s="1"/>
      <c r="V67" s="651" t="s">
        <v>120</v>
      </c>
      <c r="W67" s="651"/>
      <c r="X67" s="651"/>
      <c r="Y67" s="651"/>
      <c r="Z67" s="651"/>
      <c r="AA67" s="651"/>
      <c r="AB67" s="651"/>
      <c r="AC67" s="651"/>
      <c r="AD67" s="9"/>
    </row>
    <row r="68" spans="1:30" ht="20.25" customHeight="1" x14ac:dyDescent="0.25">
      <c r="B68" s="13" t="s">
        <v>120</v>
      </c>
      <c r="C68" s="13"/>
      <c r="D68" s="13"/>
      <c r="E68" s="13"/>
      <c r="F68" s="13"/>
      <c r="H68" s="13"/>
      <c r="I68" s="13"/>
      <c r="J68" s="82"/>
      <c r="K68" s="13"/>
      <c r="L68" s="13"/>
      <c r="O68" s="1"/>
      <c r="V68" s="667" t="s">
        <v>121</v>
      </c>
      <c r="W68" s="667"/>
      <c r="X68" s="667"/>
      <c r="Y68" s="661">
        <f>+I69</f>
        <v>0</v>
      </c>
      <c r="Z68" s="661"/>
      <c r="AA68" s="557" t="s">
        <v>111</v>
      </c>
      <c r="AB68" s="163">
        <f>AB57</f>
        <v>6.1499999999999999E-4</v>
      </c>
      <c r="AC68" s="56">
        <f>ROUND(Y68*AB68,0)</f>
        <v>0</v>
      </c>
      <c r="AD68" s="9"/>
    </row>
    <row r="69" spans="1:30" ht="15" customHeight="1" x14ac:dyDescent="0.25">
      <c r="B69" s="170" t="s">
        <v>121</v>
      </c>
      <c r="C69" s="13"/>
      <c r="D69" s="13"/>
      <c r="E69" s="13"/>
      <c r="F69" s="13"/>
      <c r="H69" s="164" t="s">
        <v>23</v>
      </c>
      <c r="I69" s="129">
        <v>0</v>
      </c>
      <c r="J69" s="165" t="s">
        <v>111</v>
      </c>
      <c r="K69" s="166">
        <f>K57</f>
        <v>6.1499999999999999E-4</v>
      </c>
      <c r="L69" s="50">
        <f>ROUND(I69*K69,0)</f>
        <v>0</v>
      </c>
      <c r="O69" s="1"/>
      <c r="V69" s="651" t="s">
        <v>122</v>
      </c>
      <c r="W69" s="651"/>
      <c r="X69" s="651"/>
      <c r="Y69" s="668">
        <f>+I70</f>
        <v>-3460775</v>
      </c>
      <c r="Z69" s="668"/>
      <c r="AA69" s="557" t="s">
        <v>111</v>
      </c>
      <c r="AB69" s="163">
        <f>AB54</f>
        <v>5.6099999999999998E-4</v>
      </c>
      <c r="AC69" s="56">
        <f>ROUND(Y69*AB69,0)</f>
        <v>-1941</v>
      </c>
      <c r="AD69" s="9"/>
    </row>
    <row r="70" spans="1:30" ht="20.25" customHeight="1" x14ac:dyDescent="0.25">
      <c r="B70" s="13" t="s">
        <v>122</v>
      </c>
      <c r="C70" s="13"/>
      <c r="D70" s="13"/>
      <c r="E70" s="13"/>
      <c r="F70" s="13"/>
      <c r="H70" s="164" t="s">
        <v>22</v>
      </c>
      <c r="I70" s="129">
        <v>-3460775</v>
      </c>
      <c r="J70" s="165" t="s">
        <v>111</v>
      </c>
      <c r="K70" s="166">
        <f>K54</f>
        <v>2.2009999999999998E-3</v>
      </c>
      <c r="L70" s="50">
        <f>ROUND(I70*K70,0)</f>
        <v>-7617</v>
      </c>
      <c r="O70" s="1"/>
      <c r="V70" s="651" t="s">
        <v>123</v>
      </c>
      <c r="W70" s="651"/>
      <c r="X70" s="651"/>
      <c r="Y70" s="665">
        <f>+I71</f>
        <v>1874788</v>
      </c>
      <c r="Z70" s="665"/>
      <c r="AA70" s="557" t="s">
        <v>111</v>
      </c>
      <c r="AB70" s="163">
        <f>AB54</f>
        <v>5.6099999999999998E-4</v>
      </c>
      <c r="AC70" s="56">
        <f>ROUND(Y70*AB70,0)</f>
        <v>1052</v>
      </c>
      <c r="AD70" s="9"/>
    </row>
    <row r="71" spans="1:30" ht="20.25" customHeight="1" x14ac:dyDescent="0.25">
      <c r="B71" s="13" t="s">
        <v>123</v>
      </c>
      <c r="C71" s="13"/>
      <c r="D71" s="13"/>
      <c r="E71" s="13"/>
      <c r="F71" s="13"/>
      <c r="H71" s="164" t="s">
        <v>22</v>
      </c>
      <c r="I71" s="129">
        <v>1874788</v>
      </c>
      <c r="J71" s="165" t="s">
        <v>111</v>
      </c>
      <c r="K71" s="166">
        <f>K54</f>
        <v>2.2009999999999998E-3</v>
      </c>
      <c r="L71" s="50">
        <f>ROUND(I71*K71,0)</f>
        <v>4126</v>
      </c>
      <c r="O71" s="1"/>
      <c r="V71" s="651" t="s">
        <v>124</v>
      </c>
      <c r="W71" s="651"/>
      <c r="X71" s="651"/>
      <c r="Y71" s="665">
        <f>+I72</f>
        <v>14223298</v>
      </c>
      <c r="Z71" s="665"/>
      <c r="AA71" s="557" t="s">
        <v>111</v>
      </c>
      <c r="AB71" s="163">
        <f>AB57</f>
        <v>6.1499999999999999E-4</v>
      </c>
      <c r="AC71" s="56">
        <f>ROUND(Y71*AB71,0)</f>
        <v>8747</v>
      </c>
      <c r="AD71" s="9"/>
    </row>
    <row r="72" spans="1:30" ht="21" customHeight="1" x14ac:dyDescent="0.25">
      <c r="B72" s="13" t="s">
        <v>124</v>
      </c>
      <c r="C72" s="13"/>
      <c r="D72" s="13"/>
      <c r="E72" s="13"/>
      <c r="F72" s="13"/>
      <c r="H72" s="164" t="s">
        <v>23</v>
      </c>
      <c r="I72" s="171">
        <v>14223298</v>
      </c>
      <c r="J72" s="165" t="s">
        <v>111</v>
      </c>
      <c r="K72" s="166">
        <f>K57</f>
        <v>6.1499999999999999E-4</v>
      </c>
      <c r="L72" s="50">
        <f>ROUND(I72*K72,0)</f>
        <v>8747</v>
      </c>
      <c r="O72" s="1"/>
      <c r="V72" s="623" t="s">
        <v>125</v>
      </c>
      <c r="W72" s="623"/>
      <c r="X72" s="623"/>
      <c r="Y72" s="623"/>
      <c r="Z72" s="623"/>
      <c r="AA72" s="623"/>
      <c r="AB72" s="623"/>
      <c r="AC72" s="60"/>
      <c r="AD72" s="9"/>
    </row>
    <row r="73" spans="1:30" ht="17.25" customHeight="1" x14ac:dyDescent="0.25">
      <c r="B73" s="13" t="s">
        <v>125</v>
      </c>
      <c r="C73" s="13"/>
      <c r="D73" s="13"/>
      <c r="E73" s="13"/>
      <c r="F73" s="13"/>
      <c r="H73" s="13"/>
      <c r="I73" s="13"/>
      <c r="J73" s="82"/>
      <c r="K73" s="13"/>
      <c r="L73" s="59"/>
      <c r="O73" s="1"/>
      <c r="V73" s="651" t="s">
        <v>126</v>
      </c>
      <c r="W73" s="651"/>
      <c r="X73" s="651"/>
      <c r="Y73" s="651"/>
      <c r="Z73" s="651"/>
      <c r="AA73" s="651"/>
      <c r="AB73" s="651"/>
      <c r="AC73" s="651"/>
      <c r="AD73" s="9"/>
    </row>
    <row r="74" spans="1:30" ht="31.5" x14ac:dyDescent="0.25">
      <c r="B74" s="13" t="s">
        <v>126</v>
      </c>
      <c r="C74" s="13"/>
      <c r="D74" s="27" t="s">
        <v>13</v>
      </c>
      <c r="E74" s="27" t="s">
        <v>14</v>
      </c>
      <c r="F74" s="27"/>
      <c r="H74" s="164" t="s">
        <v>26</v>
      </c>
      <c r="I74" s="172"/>
      <c r="J74" s="164"/>
      <c r="K74" s="172"/>
      <c r="L74" s="112"/>
      <c r="O74" s="1"/>
      <c r="V74" s="666" t="s">
        <v>127</v>
      </c>
      <c r="W74" s="666"/>
      <c r="X74" s="173" t="s">
        <v>128</v>
      </c>
      <c r="Y74" s="174"/>
      <c r="Z74" s="175">
        <f>+I75</f>
        <v>109.5</v>
      </c>
      <c r="AA74" s="559" t="s">
        <v>129</v>
      </c>
      <c r="AB74" s="177">
        <f>+K75</f>
        <v>361</v>
      </c>
      <c r="AC74" s="56">
        <f>ROUND(AB74*Z74,0)</f>
        <v>39530</v>
      </c>
      <c r="AD74" s="9"/>
    </row>
    <row r="75" spans="1:30" ht="19.5" customHeight="1" x14ac:dyDescent="0.25">
      <c r="A75" s="1" t="s">
        <v>130</v>
      </c>
      <c r="B75" s="178" t="s">
        <v>127</v>
      </c>
      <c r="C75" s="179" t="s">
        <v>128</v>
      </c>
      <c r="D75" s="178">
        <v>107</v>
      </c>
      <c r="E75" s="178">
        <v>112</v>
      </c>
      <c r="F75" s="178">
        <v>0</v>
      </c>
      <c r="G75" s="180">
        <f>IF(E75=0,D75,E75)</f>
        <v>112</v>
      </c>
      <c r="H75" s="181"/>
      <c r="I75" s="182">
        <f>AVERAGE(G75,D75)</f>
        <v>109.5</v>
      </c>
      <c r="J75" s="183" t="s">
        <v>129</v>
      </c>
      <c r="K75" s="184">
        <v>361</v>
      </c>
      <c r="L75" s="50">
        <f>ROUND(K75*I75,0)</f>
        <v>39530</v>
      </c>
      <c r="N75" s="1">
        <v>7802</v>
      </c>
      <c r="O75" s="1">
        <v>0</v>
      </c>
      <c r="V75" s="666" t="s">
        <v>127</v>
      </c>
      <c r="W75" s="666"/>
      <c r="X75" s="173" t="s">
        <v>131</v>
      </c>
      <c r="Y75" s="185"/>
      <c r="Z75" s="186"/>
      <c r="AA75" s="559" t="s">
        <v>129</v>
      </c>
      <c r="AB75" s="187">
        <f>+K76</f>
        <v>1358</v>
      </c>
      <c r="AC75" s="56">
        <f>ROUND(AB75*Z75,0)</f>
        <v>0</v>
      </c>
      <c r="AD75" s="9"/>
    </row>
    <row r="76" spans="1:30" ht="19.5" customHeight="1" x14ac:dyDescent="0.25">
      <c r="A76" s="1" t="s">
        <v>132</v>
      </c>
      <c r="B76" s="178" t="s">
        <v>127</v>
      </c>
      <c r="C76" s="179" t="s">
        <v>131</v>
      </c>
      <c r="D76" s="178">
        <v>0</v>
      </c>
      <c r="E76" s="178">
        <v>0</v>
      </c>
      <c r="F76" s="178">
        <v>0</v>
      </c>
      <c r="G76" s="180">
        <f>IF(E76=0,D76,E76)</f>
        <v>0</v>
      </c>
      <c r="H76" s="181"/>
      <c r="I76" s="182">
        <f>AVERAGE(G76,D76)</f>
        <v>0</v>
      </c>
      <c r="J76" s="183" t="s">
        <v>129</v>
      </c>
      <c r="K76" s="188">
        <v>1358</v>
      </c>
      <c r="L76" s="50">
        <f>ROUND(K76*I76,0)</f>
        <v>0</v>
      </c>
      <c r="N76" s="1">
        <v>7802</v>
      </c>
      <c r="O76" s="1">
        <v>110</v>
      </c>
      <c r="V76" s="651" t="s">
        <v>133</v>
      </c>
      <c r="W76" s="651"/>
      <c r="X76" s="651"/>
      <c r="Y76" s="661">
        <f>+I77</f>
        <v>33305823</v>
      </c>
      <c r="Z76" s="661"/>
      <c r="AA76" s="559" t="s">
        <v>129</v>
      </c>
      <c r="AB76" s="163">
        <f>AB54</f>
        <v>5.6099999999999998E-4</v>
      </c>
      <c r="AC76" s="56">
        <f>ROUND(Y76*AB76,0)</f>
        <v>18685</v>
      </c>
      <c r="AD76" s="9"/>
    </row>
    <row r="77" spans="1:30" ht="26.25" customHeight="1" x14ac:dyDescent="0.25">
      <c r="B77" s="13" t="s">
        <v>133</v>
      </c>
      <c r="C77" s="13"/>
      <c r="D77" s="13"/>
      <c r="E77" s="13"/>
      <c r="F77" s="13"/>
      <c r="H77" s="164" t="s">
        <v>134</v>
      </c>
      <c r="I77" s="189">
        <v>33305823</v>
      </c>
      <c r="J77" s="165" t="s">
        <v>111</v>
      </c>
      <c r="K77" s="166">
        <f>K54</f>
        <v>2.2009999999999998E-3</v>
      </c>
      <c r="L77" s="50">
        <f>ROUND(I77*K77,0)</f>
        <v>73306</v>
      </c>
      <c r="O77" s="1"/>
      <c r="V77" s="651" t="str">
        <f>+B78</f>
        <v>15.  Additional Allocation (WFTE share)</v>
      </c>
      <c r="W77" s="651"/>
      <c r="X77" s="651"/>
      <c r="Y77" s="661">
        <f>+I78</f>
        <v>680688</v>
      </c>
      <c r="Z77" s="661"/>
      <c r="AA77" s="559" t="s">
        <v>129</v>
      </c>
      <c r="AB77" s="163">
        <f>AB54</f>
        <v>5.6099999999999998E-4</v>
      </c>
      <c r="AC77" s="56">
        <f>ROUND(Y77*AB77,0)</f>
        <v>382</v>
      </c>
      <c r="AD77" s="9"/>
    </row>
    <row r="78" spans="1:30" ht="26.25" customHeight="1" x14ac:dyDescent="0.25">
      <c r="B78" s="669" t="s">
        <v>135</v>
      </c>
      <c r="C78" s="669"/>
      <c r="D78" s="669"/>
      <c r="E78" s="13"/>
      <c r="F78" s="13"/>
      <c r="H78" s="164" t="s">
        <v>136</v>
      </c>
      <c r="I78" s="190">
        <v>680688</v>
      </c>
      <c r="J78" s="165" t="s">
        <v>111</v>
      </c>
      <c r="K78" s="166">
        <f>K54</f>
        <v>2.2009999999999998E-3</v>
      </c>
      <c r="L78" s="50">
        <f>ROUND(I78*K78,0)</f>
        <v>1498</v>
      </c>
      <c r="O78" s="1"/>
      <c r="V78" s="651" t="str">
        <f t="shared" ref="V78:V79" si="11">+B79</f>
        <v>16.  Florida Teachers Lead Program Stipend</v>
      </c>
      <c r="W78" s="651"/>
      <c r="X78" s="651"/>
      <c r="Y78" s="191"/>
      <c r="Z78" s="191"/>
      <c r="AA78" s="191"/>
      <c r="AB78" s="191"/>
      <c r="AC78" s="134"/>
      <c r="AD78" s="9"/>
    </row>
    <row r="79" spans="1:30" ht="21" customHeight="1" x14ac:dyDescent="0.25">
      <c r="B79" s="669" t="s">
        <v>137</v>
      </c>
      <c r="C79" s="669"/>
      <c r="D79" s="669"/>
      <c r="E79" s="13"/>
      <c r="F79" s="13"/>
      <c r="H79" s="164"/>
      <c r="I79" s="172"/>
      <c r="J79" s="172"/>
      <c r="K79" s="172"/>
      <c r="L79" s="129"/>
      <c r="N79" s="192"/>
      <c r="O79" s="1"/>
      <c r="Q79" s="164"/>
      <c r="V79" s="651" t="str">
        <f t="shared" si="11"/>
        <v>17.  Food Service Allocation</v>
      </c>
      <c r="W79" s="651"/>
      <c r="X79" s="651"/>
      <c r="Y79" s="191"/>
      <c r="Z79" s="191"/>
      <c r="AA79" s="191"/>
      <c r="AB79" s="191"/>
      <c r="AC79" s="193"/>
      <c r="AD79" s="9"/>
    </row>
    <row r="80" spans="1:30" ht="21" customHeight="1" x14ac:dyDescent="0.25">
      <c r="B80" s="669" t="s">
        <v>138</v>
      </c>
      <c r="C80" s="669"/>
      <c r="D80" s="669"/>
      <c r="E80" s="13"/>
      <c r="F80" s="13"/>
      <c r="H80" s="194" t="s">
        <v>139</v>
      </c>
      <c r="I80" s="195"/>
      <c r="J80" s="195"/>
      <c r="K80" s="195"/>
      <c r="L80" s="196"/>
      <c r="N80" s="197"/>
      <c r="O80" s="1"/>
      <c r="Q80" s="164"/>
      <c r="V80" s="191"/>
      <c r="W80" s="191"/>
      <c r="X80" s="191"/>
      <c r="Y80" s="191"/>
      <c r="Z80" s="191"/>
      <c r="AA80" s="191"/>
      <c r="AB80" s="191"/>
      <c r="AC80" s="193"/>
      <c r="AD80" s="9"/>
    </row>
    <row r="81" spans="1:30" ht="21" customHeight="1" thickBot="1" x14ac:dyDescent="0.3">
      <c r="B81" s="13"/>
      <c r="C81" s="13"/>
      <c r="D81" s="13"/>
      <c r="E81" s="13"/>
      <c r="F81" s="13"/>
      <c r="G81" s="13"/>
      <c r="H81" s="13"/>
      <c r="I81" s="13"/>
      <c r="J81" s="13"/>
      <c r="K81" s="13"/>
      <c r="L81" s="196"/>
      <c r="M81" s="198"/>
      <c r="N81" s="197"/>
      <c r="O81" s="1"/>
      <c r="Q81" s="164"/>
      <c r="V81" s="191" t="s">
        <v>140</v>
      </c>
      <c r="W81" s="191"/>
      <c r="X81" s="191"/>
      <c r="Y81" s="191"/>
      <c r="Z81" s="191"/>
      <c r="AA81" s="191"/>
      <c r="AB81" s="191"/>
      <c r="AC81" s="199">
        <f>SUM(AC44:AC80)</f>
        <v>724124</v>
      </c>
      <c r="AD81" s="200"/>
    </row>
    <row r="82" spans="1:30" ht="22.5" customHeight="1" thickTop="1" thickBot="1" x14ac:dyDescent="0.3">
      <c r="B82" s="13" t="s">
        <v>141</v>
      </c>
      <c r="C82" s="13"/>
      <c r="D82" s="13"/>
      <c r="E82" s="13"/>
      <c r="F82" s="13"/>
      <c r="G82" s="13"/>
      <c r="H82" s="13"/>
      <c r="I82" s="13"/>
      <c r="J82" s="13"/>
      <c r="K82" s="13"/>
      <c r="L82" s="201">
        <f>SUM(L44:L81)</f>
        <v>2659648</v>
      </c>
      <c r="M82" s="202"/>
      <c r="N82" s="203"/>
      <c r="O82" s="1"/>
      <c r="Q82" s="164"/>
      <c r="V82" s="191"/>
      <c r="W82" s="191"/>
      <c r="X82" s="191"/>
      <c r="Y82" s="191"/>
      <c r="Z82" s="191"/>
      <c r="AA82" s="191"/>
      <c r="AB82" s="191"/>
      <c r="AC82" s="204"/>
      <c r="AD82" s="200"/>
    </row>
    <row r="83" spans="1:30" ht="27.75" customHeight="1" thickTop="1" x14ac:dyDescent="0.25">
      <c r="B83" s="13" t="s">
        <v>142</v>
      </c>
      <c r="C83" s="13"/>
      <c r="D83" s="13"/>
      <c r="E83" s="13"/>
      <c r="F83" s="13"/>
      <c r="G83" s="13"/>
      <c r="H83" s="13"/>
      <c r="I83" s="13"/>
      <c r="J83" s="13"/>
      <c r="K83" s="82" t="s">
        <v>143</v>
      </c>
      <c r="L83" s="205" t="s">
        <v>144</v>
      </c>
      <c r="M83" s="202"/>
      <c r="N83" s="203"/>
      <c r="O83" s="1"/>
      <c r="Q83" s="164"/>
      <c r="V83" s="9" t="s">
        <v>145</v>
      </c>
      <c r="W83" s="9"/>
      <c r="X83" s="9"/>
      <c r="Y83" s="9"/>
      <c r="Z83" s="9"/>
      <c r="AA83" s="9"/>
      <c r="AB83" s="9"/>
      <c r="AC83" s="9"/>
      <c r="AD83" s="9"/>
    </row>
    <row r="84" spans="1:30" ht="18.75" customHeight="1" thickBot="1" x14ac:dyDescent="0.3">
      <c r="B84" s="13" t="s">
        <v>146</v>
      </c>
      <c r="C84" s="13"/>
      <c r="D84" s="13"/>
      <c r="E84" s="13"/>
      <c r="F84" s="13"/>
      <c r="G84" s="13"/>
      <c r="H84" s="13"/>
      <c r="I84" s="13"/>
      <c r="J84" s="13"/>
      <c r="K84" s="207">
        <f>IF(G26=0,"",IF((G11+G13+SUM(G15:G21))/G26&gt;0.75,1,""))</f>
        <v>1</v>
      </c>
      <c r="L84" s="201">
        <f>'2791'!AC81</f>
        <v>724124</v>
      </c>
      <c r="M84" s="202"/>
      <c r="N84" s="203"/>
      <c r="O84" s="1"/>
      <c r="Q84" s="164"/>
      <c r="V84" s="191" t="s">
        <v>147</v>
      </c>
      <c r="W84" s="191"/>
      <c r="X84" s="191"/>
      <c r="Y84" s="191"/>
      <c r="Z84" s="191"/>
      <c r="AA84" s="191"/>
      <c r="AB84" s="191"/>
      <c r="AC84" s="191"/>
      <c r="AD84" s="9"/>
    </row>
    <row r="85" spans="1:30" ht="18.75" customHeight="1" thickTop="1" x14ac:dyDescent="0.25">
      <c r="B85" s="13"/>
      <c r="C85" s="13"/>
      <c r="D85" s="13"/>
      <c r="E85" s="13"/>
      <c r="F85" s="13"/>
      <c r="G85" s="13"/>
      <c r="H85" s="13"/>
      <c r="I85" s="13"/>
      <c r="J85" s="13"/>
      <c r="M85" s="202"/>
      <c r="N85" s="203"/>
      <c r="O85" s="1"/>
      <c r="Q85" s="164"/>
      <c r="V85" s="191" t="s">
        <v>148</v>
      </c>
      <c r="W85" s="191"/>
      <c r="X85" s="191"/>
      <c r="Y85" s="191"/>
      <c r="Z85" s="191"/>
      <c r="AA85" s="191"/>
      <c r="AB85" s="191"/>
      <c r="AC85" s="191"/>
      <c r="AD85" s="9"/>
    </row>
    <row r="86" spans="1:30" ht="18.75" customHeight="1" x14ac:dyDescent="0.25">
      <c r="B86" s="2" t="s">
        <v>149</v>
      </c>
      <c r="C86" s="13"/>
      <c r="D86" s="13"/>
      <c r="E86" s="13"/>
      <c r="F86" s="13"/>
      <c r="G86" s="13"/>
      <c r="H86" s="13"/>
      <c r="I86" s="13"/>
      <c r="J86" s="209" t="s">
        <v>150</v>
      </c>
      <c r="K86" s="210">
        <f>IF(K84=1,L84,L82)</f>
        <v>724124</v>
      </c>
      <c r="L86" s="211">
        <f>IF(G26=0,0,IF(G26&gt;250,-(((250/G26)*K86)*IF(M86="H",0.02,0.05)),IF(M86="H",-0.02*K86,-0.05*K86)))</f>
        <v>-36206.200000000004</v>
      </c>
      <c r="M86" s="212" t="str">
        <f>IF(B123="2801","H",IF(B123="2911","H",IF(B123="3382","H"," ")))</f>
        <v xml:space="preserve"> </v>
      </c>
      <c r="N86" s="203"/>
      <c r="O86" s="1"/>
      <c r="Q86" s="164"/>
      <c r="V86" s="191" t="s">
        <v>151</v>
      </c>
      <c r="W86" s="191"/>
      <c r="X86" s="191"/>
      <c r="Y86" s="191"/>
      <c r="Z86" s="191"/>
      <c r="AA86" s="191"/>
      <c r="AB86" s="191"/>
      <c r="AC86" s="191"/>
      <c r="AD86" s="9"/>
    </row>
    <row r="87" spans="1:30" ht="18.75" customHeight="1" x14ac:dyDescent="0.25">
      <c r="B87" s="2" t="s">
        <v>152</v>
      </c>
      <c r="C87" s="13"/>
      <c r="D87" s="13"/>
      <c r="E87" s="13"/>
      <c r="F87" s="13"/>
      <c r="G87" s="13"/>
      <c r="H87" s="13"/>
      <c r="I87" s="13"/>
      <c r="J87" s="13"/>
      <c r="K87" s="213"/>
      <c r="L87" s="205">
        <f>L82+L86</f>
        <v>2623441.7999999998</v>
      </c>
      <c r="M87" s="202"/>
      <c r="N87" s="203"/>
      <c r="O87" s="1"/>
      <c r="Q87" s="164"/>
      <c r="V87" s="198"/>
      <c r="W87" s="198"/>
      <c r="X87" s="198"/>
      <c r="Y87" s="198"/>
      <c r="Z87" s="198"/>
      <c r="AA87" s="198"/>
      <c r="AB87" s="198"/>
      <c r="AC87" s="198"/>
      <c r="AD87" s="198"/>
    </row>
    <row r="88" spans="1:30" x14ac:dyDescent="0.25">
      <c r="V88" s="198"/>
      <c r="W88" s="198"/>
      <c r="X88" s="198"/>
      <c r="Y88" s="198"/>
      <c r="Z88" s="198"/>
      <c r="AA88" s="198"/>
      <c r="AB88" s="198"/>
      <c r="AC88" s="198"/>
      <c r="AD88" s="568"/>
    </row>
    <row r="89" spans="1:30" ht="18.75" customHeight="1" x14ac:dyDescent="0.25">
      <c r="A89" s="1" t="s">
        <v>153</v>
      </c>
      <c r="B89" s="13" t="s">
        <v>154</v>
      </c>
      <c r="C89" s="13"/>
      <c r="D89" s="13">
        <v>1270725</v>
      </c>
      <c r="E89" s="13">
        <v>206732</v>
      </c>
      <c r="F89" s="13">
        <v>2095738</v>
      </c>
      <c r="G89" s="13"/>
      <c r="H89" s="13"/>
      <c r="I89" s="13"/>
      <c r="J89" s="13"/>
      <c r="K89" s="213"/>
      <c r="L89" s="84">
        <f>-F89-283375</f>
        <v>-2379113</v>
      </c>
      <c r="M89" s="202"/>
      <c r="N89" s="203"/>
      <c r="O89" s="1"/>
      <c r="Q89" s="164"/>
      <c r="V89" s="198">
        <v>2801</v>
      </c>
      <c r="W89" s="198"/>
      <c r="X89" s="198"/>
      <c r="Y89" s="198"/>
      <c r="Z89" s="198"/>
      <c r="AA89" s="198"/>
      <c r="AB89" s="198"/>
      <c r="AC89" s="198"/>
      <c r="AD89" s="198"/>
    </row>
    <row r="90" spans="1:30" ht="18.75" customHeight="1" x14ac:dyDescent="0.25">
      <c r="B90" s="13" t="s">
        <v>155</v>
      </c>
      <c r="C90" s="13"/>
      <c r="D90" s="13"/>
      <c r="E90" s="13"/>
      <c r="F90" s="13"/>
      <c r="G90" s="13"/>
      <c r="H90" s="13"/>
      <c r="I90" s="13"/>
      <c r="J90" s="13"/>
      <c r="K90" s="213"/>
      <c r="L90" s="205">
        <f>L87+L89</f>
        <v>244328.79999999981</v>
      </c>
      <c r="M90" s="202"/>
      <c r="N90" s="203"/>
      <c r="O90" s="1"/>
      <c r="Q90" s="164"/>
      <c r="V90" s="198">
        <v>2911</v>
      </c>
      <c r="W90" s="569"/>
      <c r="X90" s="569"/>
      <c r="Y90" s="569"/>
      <c r="Z90" s="569"/>
      <c r="AA90" s="569"/>
      <c r="AB90" s="569"/>
      <c r="AC90" s="569"/>
      <c r="AD90" s="198"/>
    </row>
    <row r="91" spans="1:30" ht="18.75" customHeight="1" x14ac:dyDescent="0.25">
      <c r="B91" s="13" t="s">
        <v>156</v>
      </c>
      <c r="C91" s="13"/>
      <c r="D91" s="13"/>
      <c r="E91" s="13"/>
      <c r="F91" s="13"/>
      <c r="G91" s="13"/>
      <c r="H91" s="13"/>
      <c r="I91" s="13"/>
      <c r="J91" s="13"/>
      <c r="K91" s="213"/>
      <c r="L91" s="205">
        <v>1</v>
      </c>
      <c r="M91" s="202"/>
      <c r="N91" s="203"/>
      <c r="O91" s="1"/>
      <c r="Q91" s="164"/>
      <c r="V91" s="198">
        <v>3382</v>
      </c>
      <c r="W91" s="569"/>
      <c r="X91" s="569"/>
      <c r="Y91" s="569"/>
      <c r="Z91" s="569"/>
      <c r="AA91" s="569"/>
      <c r="AB91" s="569"/>
      <c r="AC91" s="569"/>
      <c r="AD91" s="198"/>
    </row>
    <row r="92" spans="1:30" ht="18.75" customHeight="1" thickBot="1" x14ac:dyDescent="0.3">
      <c r="B92" s="13" t="s">
        <v>157</v>
      </c>
      <c r="C92" s="13"/>
      <c r="D92" s="13"/>
      <c r="E92" s="13"/>
      <c r="F92" s="13"/>
      <c r="G92" s="13"/>
      <c r="H92" s="13"/>
      <c r="I92" s="13"/>
      <c r="J92" s="13"/>
      <c r="K92" s="213"/>
      <c r="L92" s="217">
        <f>L90/L91</f>
        <v>244328.79999999981</v>
      </c>
      <c r="M92" s="202"/>
      <c r="N92" s="203"/>
      <c r="O92" s="1"/>
      <c r="Q92" s="164"/>
      <c r="V92" s="570"/>
      <c r="W92" s="570"/>
      <c r="X92" s="570"/>
      <c r="Y92" s="570"/>
      <c r="Z92" s="570"/>
      <c r="AA92" s="570"/>
      <c r="AB92" s="570"/>
      <c r="AC92" s="570"/>
    </row>
    <row r="93" spans="1:30" ht="18.75" customHeight="1" thickTop="1" x14ac:dyDescent="0.25">
      <c r="V93" s="570"/>
      <c r="W93" s="570"/>
      <c r="X93" s="570"/>
      <c r="Y93" s="570"/>
      <c r="Z93" s="570"/>
      <c r="AA93" s="570"/>
      <c r="AB93" s="570"/>
      <c r="AC93" s="570"/>
      <c r="AD93" s="198"/>
    </row>
    <row r="94" spans="1:30" ht="18.75" customHeight="1" thickBot="1" x14ac:dyDescent="0.3">
      <c r="B94" s="221" t="s">
        <v>158</v>
      </c>
      <c r="C94" s="13"/>
      <c r="D94" s="13"/>
      <c r="E94" s="13"/>
      <c r="G94" s="13"/>
      <c r="H94" s="13"/>
      <c r="I94" s="13"/>
      <c r="J94" s="13"/>
      <c r="L94" s="222">
        <f>IF(M86="H",(K86*0.02)+L86,(K86*0.05)+L86)</f>
        <v>0</v>
      </c>
      <c r="M94" s="202"/>
      <c r="V94" s="571"/>
      <c r="W94" s="571"/>
      <c r="X94" s="571"/>
      <c r="Y94" s="571"/>
      <c r="Z94" s="571"/>
      <c r="AA94" s="571"/>
      <c r="AB94" s="571"/>
      <c r="AC94" s="571"/>
      <c r="AD94" s="198"/>
    </row>
    <row r="95" spans="1:30" ht="21.75" customHeight="1" thickTop="1" x14ac:dyDescent="0.25">
      <c r="B95" s="13" t="s">
        <v>159</v>
      </c>
      <c r="C95" s="13"/>
      <c r="D95" s="13"/>
      <c r="E95" s="13"/>
      <c r="F95" s="13"/>
      <c r="G95" s="13"/>
      <c r="H95" s="13"/>
      <c r="I95" s="13"/>
      <c r="J95" s="13"/>
      <c r="K95" s="13"/>
      <c r="L95" s="13"/>
      <c r="V95" s="571"/>
      <c r="W95" s="571"/>
      <c r="X95" s="571"/>
      <c r="Y95" s="571"/>
      <c r="Z95" s="571"/>
      <c r="AA95" s="571"/>
      <c r="AB95" s="571"/>
      <c r="AC95" s="571"/>
      <c r="AD95" s="198"/>
    </row>
    <row r="96" spans="1:30" x14ac:dyDescent="0.25">
      <c r="B96" s="225"/>
      <c r="V96" s="571"/>
      <c r="W96" s="571"/>
      <c r="X96" s="571"/>
      <c r="Y96" s="571"/>
      <c r="Z96" s="571"/>
      <c r="AA96" s="571"/>
      <c r="AB96" s="571"/>
      <c r="AC96" s="571"/>
    </row>
    <row r="97" spans="2:30" x14ac:dyDescent="0.25">
      <c r="B97" s="225"/>
      <c r="V97" s="571"/>
      <c r="W97" s="571"/>
      <c r="X97" s="571"/>
      <c r="Y97" s="571"/>
      <c r="Z97" s="571"/>
      <c r="AA97" s="571"/>
      <c r="AB97" s="571"/>
      <c r="AC97" s="571"/>
    </row>
    <row r="98" spans="2:30" hidden="1" x14ac:dyDescent="0.25">
      <c r="B98" s="226" t="s">
        <v>160</v>
      </c>
      <c r="C98" s="227"/>
      <c r="V98" s="572"/>
      <c r="W98" s="572"/>
      <c r="X98" s="572"/>
      <c r="Y98" s="572"/>
      <c r="Z98" s="572"/>
      <c r="AA98" s="572"/>
      <c r="AB98" s="572"/>
      <c r="AC98" s="572"/>
    </row>
    <row r="99" spans="2:30" hidden="1" x14ac:dyDescent="0.25">
      <c r="B99" s="229"/>
      <c r="C99" s="227"/>
      <c r="V99" s="225"/>
      <c r="W99" s="13"/>
      <c r="X99" s="13"/>
      <c r="Y99" s="13"/>
      <c r="Z99" s="13"/>
      <c r="AA99" s="13"/>
      <c r="AB99" s="13"/>
      <c r="AC99" s="13"/>
    </row>
    <row r="100" spans="2:30" hidden="1" x14ac:dyDescent="0.25">
      <c r="B100" s="230" t="s">
        <v>161</v>
      </c>
      <c r="C100" s="226" t="s">
        <v>162</v>
      </c>
      <c r="V100" s="225"/>
    </row>
    <row r="101" spans="2:30" hidden="1" x14ac:dyDescent="0.25">
      <c r="B101" s="230" t="s">
        <v>163</v>
      </c>
      <c r="C101" s="226" t="s">
        <v>164</v>
      </c>
      <c r="V101" s="225"/>
    </row>
    <row r="102" spans="2:30" hidden="1" x14ac:dyDescent="0.25">
      <c r="B102" s="230" t="s">
        <v>165</v>
      </c>
      <c r="C102" s="226" t="s">
        <v>166</v>
      </c>
      <c r="V102" s="225"/>
      <c r="W102" s="231"/>
      <c r="X102" s="231"/>
      <c r="Y102" s="231"/>
      <c r="Z102" s="231"/>
      <c r="AA102" s="231"/>
      <c r="AB102" s="231"/>
      <c r="AC102" s="231"/>
      <c r="AD102" s="231"/>
    </row>
    <row r="103" spans="2:30" hidden="1" x14ac:dyDescent="0.25">
      <c r="B103" s="230" t="s">
        <v>167</v>
      </c>
      <c r="C103" s="226" t="s">
        <v>168</v>
      </c>
      <c r="V103" s="225"/>
    </row>
    <row r="104" spans="2:30" hidden="1" x14ac:dyDescent="0.25">
      <c r="B104" s="232"/>
      <c r="C104" s="226" t="s">
        <v>169</v>
      </c>
      <c r="V104" s="225"/>
    </row>
    <row r="105" spans="2:30" hidden="1" x14ac:dyDescent="0.25">
      <c r="B105" s="230" t="s">
        <v>170</v>
      </c>
      <c r="C105" s="226" t="s">
        <v>171</v>
      </c>
      <c r="V105" s="225"/>
    </row>
    <row r="106" spans="2:30" hidden="1" x14ac:dyDescent="0.25">
      <c r="B106" s="230" t="s">
        <v>172</v>
      </c>
      <c r="C106" s="226" t="s">
        <v>173</v>
      </c>
      <c r="V106" s="225"/>
    </row>
    <row r="107" spans="2:30" hidden="1" x14ac:dyDescent="0.25">
      <c r="B107" s="230" t="s">
        <v>237</v>
      </c>
      <c r="C107" s="226" t="s">
        <v>175</v>
      </c>
      <c r="V107" s="225"/>
    </row>
    <row r="108" spans="2:30" hidden="1" x14ac:dyDescent="0.25">
      <c r="B108" s="230" t="s">
        <v>176</v>
      </c>
      <c r="C108" s="226" t="s">
        <v>177</v>
      </c>
      <c r="V108" s="225"/>
    </row>
    <row r="109" spans="2:30" hidden="1" x14ac:dyDescent="0.25">
      <c r="B109" s="230" t="s">
        <v>178</v>
      </c>
      <c r="C109" s="226" t="s">
        <v>179</v>
      </c>
      <c r="V109" s="225"/>
    </row>
    <row r="110" spans="2:30" hidden="1" x14ac:dyDescent="0.25">
      <c r="B110" s="232"/>
      <c r="C110" s="226"/>
      <c r="V110" s="225"/>
    </row>
    <row r="111" spans="2:30" hidden="1" x14ac:dyDescent="0.25">
      <c r="B111" s="230" t="s">
        <v>180</v>
      </c>
      <c r="C111" s="226" t="s">
        <v>181</v>
      </c>
      <c r="V111" s="225"/>
    </row>
    <row r="112" spans="2:30" hidden="1" x14ac:dyDescent="0.25">
      <c r="B112" s="230" t="s">
        <v>180</v>
      </c>
      <c r="C112" s="226" t="s">
        <v>182</v>
      </c>
    </row>
    <row r="113" spans="2:3" hidden="1" x14ac:dyDescent="0.25">
      <c r="B113" s="230" t="s">
        <v>183</v>
      </c>
      <c r="C113" s="226" t="s">
        <v>184</v>
      </c>
    </row>
    <row r="114" spans="2:3" hidden="1" x14ac:dyDescent="0.25">
      <c r="B114" s="230" t="s">
        <v>185</v>
      </c>
      <c r="C114" s="226" t="s">
        <v>186</v>
      </c>
    </row>
    <row r="115" spans="2:3" hidden="1" x14ac:dyDescent="0.25">
      <c r="B115" s="230" t="s">
        <v>183</v>
      </c>
      <c r="C115" s="226" t="s">
        <v>187</v>
      </c>
    </row>
    <row r="116" spans="2:3" hidden="1" x14ac:dyDescent="0.25">
      <c r="B116" s="230" t="s">
        <v>188</v>
      </c>
      <c r="C116" s="226" t="s">
        <v>189</v>
      </c>
    </row>
    <row r="117" spans="2:3" hidden="1" x14ac:dyDescent="0.25">
      <c r="B117" s="230" t="s">
        <v>190</v>
      </c>
      <c r="C117" s="226" t="s">
        <v>191</v>
      </c>
    </row>
    <row r="118" spans="2:3" hidden="1" x14ac:dyDescent="0.25">
      <c r="B118" s="232" t="s">
        <v>192</v>
      </c>
      <c r="C118" s="226" t="s">
        <v>193</v>
      </c>
    </row>
    <row r="119" spans="2:3" hidden="1" x14ac:dyDescent="0.25">
      <c r="B119" s="232"/>
      <c r="C119" s="226"/>
    </row>
    <row r="120" spans="2:3" hidden="1" x14ac:dyDescent="0.25">
      <c r="B120" s="230" t="s">
        <v>161</v>
      </c>
      <c r="C120" s="226" t="s">
        <v>194</v>
      </c>
    </row>
    <row r="121" spans="2:3" hidden="1" x14ac:dyDescent="0.25">
      <c r="B121" s="230" t="s">
        <v>195</v>
      </c>
      <c r="C121" s="226" t="s">
        <v>196</v>
      </c>
    </row>
    <row r="122" spans="2:3" hidden="1" x14ac:dyDescent="0.25">
      <c r="B122" s="230" t="s">
        <v>197</v>
      </c>
      <c r="C122" s="226" t="s">
        <v>198</v>
      </c>
    </row>
    <row r="123" spans="2:3" hidden="1" x14ac:dyDescent="0.25">
      <c r="B123" s="230" t="s">
        <v>238</v>
      </c>
      <c r="C123" s="226" t="s">
        <v>200</v>
      </c>
    </row>
    <row r="124" spans="2:3" hidden="1" x14ac:dyDescent="0.25">
      <c r="B124" s="230" t="s">
        <v>239</v>
      </c>
      <c r="C124" s="226" t="s">
        <v>202</v>
      </c>
    </row>
    <row r="125" spans="2:3" hidden="1" x14ac:dyDescent="0.25">
      <c r="B125" s="230" t="s">
        <v>203</v>
      </c>
      <c r="C125" s="226" t="s">
        <v>204</v>
      </c>
    </row>
    <row r="126" spans="2:3" hidden="1" x14ac:dyDescent="0.25">
      <c r="B126" s="230" t="s">
        <v>203</v>
      </c>
      <c r="C126" s="226" t="s">
        <v>205</v>
      </c>
    </row>
    <row r="127" spans="2:3" hidden="1" x14ac:dyDescent="0.25">
      <c r="B127" s="230" t="s">
        <v>203</v>
      </c>
      <c r="C127" s="226" t="s">
        <v>206</v>
      </c>
    </row>
    <row r="128" spans="2:3" hidden="1" x14ac:dyDescent="0.25">
      <c r="B128" s="230" t="s">
        <v>203</v>
      </c>
      <c r="C128" s="226" t="s">
        <v>207</v>
      </c>
    </row>
    <row r="129" spans="2:3" hidden="1" x14ac:dyDescent="0.25">
      <c r="B129" s="230" t="s">
        <v>167</v>
      </c>
      <c r="C129" s="226" t="s">
        <v>208</v>
      </c>
    </row>
    <row r="130" spans="2:3" hidden="1" x14ac:dyDescent="0.25">
      <c r="B130" s="230" t="s">
        <v>209</v>
      </c>
      <c r="C130" s="226" t="s">
        <v>210</v>
      </c>
    </row>
    <row r="131" spans="2:3" hidden="1" x14ac:dyDescent="0.25">
      <c r="B131" s="230" t="s">
        <v>203</v>
      </c>
      <c r="C131" s="226" t="s">
        <v>211</v>
      </c>
    </row>
    <row r="132" spans="2:3" hidden="1" x14ac:dyDescent="0.25">
      <c r="B132" s="226"/>
      <c r="C132" s="226"/>
    </row>
    <row r="133" spans="2:3" hidden="1" x14ac:dyDescent="0.25">
      <c r="B133" s="226"/>
      <c r="C133" s="226"/>
    </row>
    <row r="134" spans="2:3" hidden="1" x14ac:dyDescent="0.25">
      <c r="B134" s="232"/>
      <c r="C134" s="232"/>
    </row>
    <row r="135" spans="2:3" hidden="1" x14ac:dyDescent="0.25">
      <c r="B135" s="232">
        <f>NvsElapsedTime</f>
        <v>1.15740767796524E-5</v>
      </c>
      <c r="C135" s="232"/>
    </row>
    <row r="136" spans="2:3" hidden="1" x14ac:dyDescent="0.25">
      <c r="B136" s="233">
        <f>NvsEndTime</f>
        <v>41754.487743055601</v>
      </c>
      <c r="C136" s="233" t="s">
        <v>212</v>
      </c>
    </row>
    <row r="137" spans="2:3" x14ac:dyDescent="0.25">
      <c r="B137" s="226"/>
      <c r="C137" s="573"/>
    </row>
    <row r="138" spans="2:3" x14ac:dyDescent="0.25">
      <c r="B138" s="226"/>
      <c r="C138" s="226"/>
    </row>
    <row r="139" spans="2:3" x14ac:dyDescent="0.25">
      <c r="B139" s="226"/>
      <c r="C139" s="226"/>
    </row>
    <row r="140" spans="2:3" x14ac:dyDescent="0.25">
      <c r="B140" s="226"/>
      <c r="C140" s="226"/>
    </row>
    <row r="141" spans="2:3" x14ac:dyDescent="0.25">
      <c r="B141" s="226"/>
      <c r="C141" s="226"/>
    </row>
    <row r="142" spans="2:3" x14ac:dyDescent="0.25">
      <c r="B142" s="226"/>
      <c r="C142" s="226"/>
    </row>
    <row r="143" spans="2:3" x14ac:dyDescent="0.25">
      <c r="B143" s="226"/>
      <c r="C143" s="226"/>
    </row>
    <row r="144" spans="2:3" x14ac:dyDescent="0.25">
      <c r="B144" s="226"/>
      <c r="C144" s="226"/>
    </row>
    <row r="145" spans="2:3" x14ac:dyDescent="0.25">
      <c r="B145" s="226"/>
      <c r="C145" s="226"/>
    </row>
    <row r="146" spans="2:3" x14ac:dyDescent="0.25">
      <c r="B146" s="226"/>
      <c r="C146" s="226"/>
    </row>
    <row r="147" spans="2:3" x14ac:dyDescent="0.25">
      <c r="B147" s="226"/>
      <c r="C147" s="226"/>
    </row>
    <row r="148" spans="2:3" x14ac:dyDescent="0.25">
      <c r="B148" s="226"/>
      <c r="C148" s="226"/>
    </row>
    <row r="149" spans="2:3" x14ac:dyDescent="0.25">
      <c r="B149" s="226"/>
      <c r="C149" s="226"/>
    </row>
    <row r="150" spans="2:3" x14ac:dyDescent="0.25">
      <c r="B150" s="226"/>
      <c r="C150" s="226"/>
    </row>
    <row r="151" spans="2:3" x14ac:dyDescent="0.25">
      <c r="B151" s="226"/>
      <c r="C151" s="226"/>
    </row>
  </sheetData>
  <mergeCells count="151">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9:W9"/>
    <mergeCell ref="X9:Y9"/>
    <mergeCell ref="Z9:AA9"/>
    <mergeCell ref="V10:W10"/>
    <mergeCell ref="X10:Y10"/>
    <mergeCell ref="Z10:AA10"/>
    <mergeCell ref="V7:W7"/>
    <mergeCell ref="X7:Y7"/>
    <mergeCell ref="Z7:AA7"/>
    <mergeCell ref="AB7:AC7"/>
    <mergeCell ref="V8:W8"/>
    <mergeCell ref="X8:Y8"/>
    <mergeCell ref="Z8:AA8"/>
    <mergeCell ref="W2:AC2"/>
    <mergeCell ref="V3:AC3"/>
    <mergeCell ref="V4:AC4"/>
    <mergeCell ref="V5:W5"/>
    <mergeCell ref="X5:Y5"/>
    <mergeCell ref="V6:AC6"/>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3"/>
  <sheetViews>
    <sheetView topLeftCell="A23" zoomScaleNormal="100" workbookViewId="0">
      <selection activeCell="B51" sqref="B51"/>
    </sheetView>
  </sheetViews>
  <sheetFormatPr defaultRowHeight="12.75" x14ac:dyDescent="0.2"/>
  <cols>
    <col min="1" max="1" width="11.42578125" style="281" customWidth="1"/>
    <col min="2" max="2" width="34.5703125" bestFit="1" customWidth="1"/>
    <col min="3" max="3" width="1.5703125" customWidth="1"/>
    <col min="4" max="4" width="10.140625" customWidth="1"/>
    <col min="5" max="5" width="34.5703125" bestFit="1" customWidth="1"/>
  </cols>
  <sheetData>
    <row r="1" spans="1:5" ht="14.25" hidden="1" customHeight="1" x14ac:dyDescent="0.2">
      <c r="A1" s="279">
        <f>SUM('0054:4041'!L92)+16395</f>
        <v>9367963.7174067032</v>
      </c>
      <c r="B1" s="280"/>
    </row>
    <row r="2" spans="1:5" ht="16.5" customHeight="1" x14ac:dyDescent="0.2"/>
    <row r="3" spans="1:5" ht="15" x14ac:dyDescent="0.25">
      <c r="A3" s="235" t="s">
        <v>342</v>
      </c>
      <c r="D3" s="235" t="s">
        <v>343</v>
      </c>
    </row>
    <row r="4" spans="1:5" ht="15.75" x14ac:dyDescent="0.25">
      <c r="A4" s="236" t="s">
        <v>344</v>
      </c>
      <c r="B4" s="236" t="s">
        <v>345</v>
      </c>
      <c r="D4" s="236" t="s">
        <v>344</v>
      </c>
      <c r="E4" s="236" t="s">
        <v>345</v>
      </c>
    </row>
    <row r="5" spans="1:5" x14ac:dyDescent="0.2">
      <c r="A5" s="237" t="s">
        <v>199</v>
      </c>
      <c r="B5" s="237" t="s">
        <v>201</v>
      </c>
      <c r="D5" s="237" t="s">
        <v>217</v>
      </c>
      <c r="E5" s="237" t="s">
        <v>218</v>
      </c>
    </row>
    <row r="6" spans="1:5" x14ac:dyDescent="0.2">
      <c r="A6" s="237" t="s">
        <v>214</v>
      </c>
      <c r="B6" s="237" t="s">
        <v>215</v>
      </c>
      <c r="D6" s="237" t="s">
        <v>293</v>
      </c>
      <c r="E6" s="237" t="s">
        <v>346</v>
      </c>
    </row>
    <row r="7" spans="1:5" x14ac:dyDescent="0.2">
      <c r="A7" s="237" t="s">
        <v>217</v>
      </c>
      <c r="B7" s="237" t="s">
        <v>218</v>
      </c>
      <c r="D7" s="238">
        <v>4010</v>
      </c>
      <c r="E7" s="237" t="s">
        <v>329</v>
      </c>
    </row>
    <row r="8" spans="1:5" x14ac:dyDescent="0.2">
      <c r="A8" s="237" t="s">
        <v>220</v>
      </c>
      <c r="B8" s="237" t="s">
        <v>221</v>
      </c>
      <c r="D8" s="237" t="s">
        <v>313</v>
      </c>
      <c r="E8" s="237" t="s">
        <v>314</v>
      </c>
    </row>
    <row r="9" spans="1:5" x14ac:dyDescent="0.2">
      <c r="A9" s="237" t="s">
        <v>223</v>
      </c>
      <c r="B9" s="237" t="s">
        <v>224</v>
      </c>
      <c r="D9" s="237" t="s">
        <v>199</v>
      </c>
      <c r="E9" s="237" t="s">
        <v>201</v>
      </c>
    </row>
    <row r="10" spans="1:5" x14ac:dyDescent="0.2">
      <c r="A10" s="237" t="s">
        <v>347</v>
      </c>
      <c r="B10" s="237" t="s">
        <v>348</v>
      </c>
      <c r="D10" s="237" t="s">
        <v>269</v>
      </c>
      <c r="E10" s="237" t="s">
        <v>270</v>
      </c>
    </row>
    <row r="11" spans="1:5" x14ac:dyDescent="0.2">
      <c r="A11" s="237" t="s">
        <v>226</v>
      </c>
      <c r="B11" s="237" t="s">
        <v>227</v>
      </c>
      <c r="D11" s="237" t="s">
        <v>278</v>
      </c>
      <c r="E11" s="237" t="s">
        <v>279</v>
      </c>
    </row>
    <row r="12" spans="1:5" x14ac:dyDescent="0.2">
      <c r="A12" s="237" t="s">
        <v>229</v>
      </c>
      <c r="B12" s="237" t="s">
        <v>230</v>
      </c>
      <c r="D12" s="237" t="s">
        <v>214</v>
      </c>
      <c r="E12" s="237" t="s">
        <v>215</v>
      </c>
    </row>
    <row r="13" spans="1:5" x14ac:dyDescent="0.2">
      <c r="A13" s="237" t="s">
        <v>232</v>
      </c>
      <c r="B13" s="237" t="s">
        <v>233</v>
      </c>
      <c r="D13" s="237" t="s">
        <v>226</v>
      </c>
      <c r="E13" s="237" t="s">
        <v>227</v>
      </c>
    </row>
    <row r="14" spans="1:5" x14ac:dyDescent="0.2">
      <c r="A14" s="237" t="s">
        <v>235</v>
      </c>
      <c r="B14" s="237" t="s">
        <v>236</v>
      </c>
      <c r="D14" s="237" t="s">
        <v>290</v>
      </c>
      <c r="E14" s="237" t="s">
        <v>291</v>
      </c>
    </row>
    <row r="15" spans="1:5" x14ac:dyDescent="0.2">
      <c r="A15" s="237" t="s">
        <v>238</v>
      </c>
      <c r="B15" s="237" t="s">
        <v>239</v>
      </c>
      <c r="D15" s="282" t="s">
        <v>395</v>
      </c>
      <c r="E15" s="237" t="s">
        <v>396</v>
      </c>
    </row>
    <row r="16" spans="1:5" x14ac:dyDescent="0.2">
      <c r="A16" s="237" t="s">
        <v>240</v>
      </c>
      <c r="B16" s="237" t="s">
        <v>241</v>
      </c>
      <c r="D16" s="238">
        <v>4020</v>
      </c>
      <c r="E16" s="237" t="s">
        <v>338</v>
      </c>
    </row>
    <row r="17" spans="1:5" x14ac:dyDescent="0.2">
      <c r="A17" s="237" t="s">
        <v>243</v>
      </c>
      <c r="B17" s="237" t="s">
        <v>244</v>
      </c>
      <c r="D17" s="237" t="s">
        <v>287</v>
      </c>
      <c r="E17" s="237" t="s">
        <v>349</v>
      </c>
    </row>
    <row r="18" spans="1:5" x14ac:dyDescent="0.2">
      <c r="A18" s="237" t="s">
        <v>246</v>
      </c>
      <c r="B18" s="237" t="s">
        <v>247</v>
      </c>
      <c r="D18" s="237" t="s">
        <v>316</v>
      </c>
      <c r="E18" s="237" t="s">
        <v>317</v>
      </c>
    </row>
    <row r="19" spans="1:5" x14ac:dyDescent="0.2">
      <c r="A19" s="237" t="s">
        <v>248</v>
      </c>
      <c r="B19" s="237" t="s">
        <v>249</v>
      </c>
      <c r="D19" s="237" t="s">
        <v>263</v>
      </c>
      <c r="E19" s="237" t="s">
        <v>264</v>
      </c>
    </row>
    <row r="20" spans="1:5" x14ac:dyDescent="0.2">
      <c r="A20" s="237" t="s">
        <v>251</v>
      </c>
      <c r="B20" s="237" t="s">
        <v>252</v>
      </c>
      <c r="D20" s="237" t="s">
        <v>254</v>
      </c>
      <c r="E20" s="237" t="s">
        <v>255</v>
      </c>
    </row>
    <row r="21" spans="1:5" x14ac:dyDescent="0.2">
      <c r="A21" s="237" t="s">
        <v>254</v>
      </c>
      <c r="B21" s="237" t="s">
        <v>255</v>
      </c>
      <c r="D21" s="237" t="s">
        <v>266</v>
      </c>
      <c r="E21" s="237" t="s">
        <v>267</v>
      </c>
    </row>
    <row r="22" spans="1:5" x14ac:dyDescent="0.2">
      <c r="A22" s="237" t="s">
        <v>257</v>
      </c>
      <c r="B22" s="237" t="s">
        <v>258</v>
      </c>
      <c r="D22" s="237" t="s">
        <v>260</v>
      </c>
      <c r="E22" s="237" t="s">
        <v>261</v>
      </c>
    </row>
    <row r="23" spans="1:5" x14ac:dyDescent="0.2">
      <c r="A23" s="237" t="s">
        <v>260</v>
      </c>
      <c r="B23" s="237" t="s">
        <v>261</v>
      </c>
      <c r="D23" s="237" t="s">
        <v>220</v>
      </c>
      <c r="E23" s="237" t="s">
        <v>221</v>
      </c>
    </row>
    <row r="24" spans="1:5" x14ac:dyDescent="0.2">
      <c r="A24" s="237" t="s">
        <v>263</v>
      </c>
      <c r="B24" s="237" t="s">
        <v>264</v>
      </c>
      <c r="D24" s="237" t="s">
        <v>284</v>
      </c>
      <c r="E24" s="237" t="s">
        <v>285</v>
      </c>
    </row>
    <row r="25" spans="1:5" x14ac:dyDescent="0.2">
      <c r="A25" s="237" t="s">
        <v>266</v>
      </c>
      <c r="B25" s="237" t="s">
        <v>267</v>
      </c>
      <c r="D25" s="237" t="s">
        <v>235</v>
      </c>
      <c r="E25" s="237" t="s">
        <v>236</v>
      </c>
    </row>
    <row r="26" spans="1:5" x14ac:dyDescent="0.2">
      <c r="A26" s="237" t="s">
        <v>269</v>
      </c>
      <c r="B26" s="237" t="s">
        <v>270</v>
      </c>
      <c r="D26" s="237" t="s">
        <v>232</v>
      </c>
      <c r="E26" s="237" t="s">
        <v>233</v>
      </c>
    </row>
    <row r="27" spans="1:5" x14ac:dyDescent="0.2">
      <c r="A27" s="237" t="s">
        <v>272</v>
      </c>
      <c r="B27" s="237" t="s">
        <v>273</v>
      </c>
      <c r="D27" s="237" t="s">
        <v>257</v>
      </c>
      <c r="E27" s="237" t="s">
        <v>258</v>
      </c>
    </row>
    <row r="28" spans="1:5" x14ac:dyDescent="0.2">
      <c r="A28" s="237" t="s">
        <v>275</v>
      </c>
      <c r="B28" s="237" t="s">
        <v>276</v>
      </c>
      <c r="D28" s="238">
        <v>4037</v>
      </c>
      <c r="E28" s="237" t="s">
        <v>341</v>
      </c>
    </row>
    <row r="29" spans="1:5" x14ac:dyDescent="0.2">
      <c r="A29" s="237" t="s">
        <v>278</v>
      </c>
      <c r="B29" s="237" t="s">
        <v>279</v>
      </c>
      <c r="D29" s="237" t="s">
        <v>319</v>
      </c>
      <c r="E29" s="237" t="s">
        <v>320</v>
      </c>
    </row>
    <row r="30" spans="1:5" x14ac:dyDescent="0.2">
      <c r="A30" s="237" t="s">
        <v>281</v>
      </c>
      <c r="B30" s="237" t="s">
        <v>282</v>
      </c>
      <c r="D30" s="237" t="s">
        <v>281</v>
      </c>
      <c r="E30" s="237" t="s">
        <v>282</v>
      </c>
    </row>
    <row r="31" spans="1:5" x14ac:dyDescent="0.2">
      <c r="A31" s="237" t="s">
        <v>284</v>
      </c>
      <c r="B31" s="237" t="s">
        <v>285</v>
      </c>
      <c r="D31" s="237" t="s">
        <v>299</v>
      </c>
      <c r="E31" s="237" t="s">
        <v>300</v>
      </c>
    </row>
    <row r="32" spans="1:5" x14ac:dyDescent="0.2">
      <c r="A32" s="237" t="s">
        <v>287</v>
      </c>
      <c r="B32" s="237" t="s">
        <v>349</v>
      </c>
      <c r="D32" s="237" t="s">
        <v>246</v>
      </c>
      <c r="E32" s="237" t="s">
        <v>247</v>
      </c>
    </row>
    <row r="33" spans="1:5" x14ac:dyDescent="0.2">
      <c r="A33" s="237" t="s">
        <v>290</v>
      </c>
      <c r="B33" s="237" t="s">
        <v>291</v>
      </c>
      <c r="D33" s="237" t="s">
        <v>240</v>
      </c>
      <c r="E33" s="237" t="s">
        <v>241</v>
      </c>
    </row>
    <row r="34" spans="1:5" x14ac:dyDescent="0.2">
      <c r="A34" s="237" t="s">
        <v>293</v>
      </c>
      <c r="B34" s="237" t="s">
        <v>346</v>
      </c>
      <c r="D34" s="237" t="s">
        <v>229</v>
      </c>
      <c r="E34" s="237" t="s">
        <v>230</v>
      </c>
    </row>
    <row r="35" spans="1:5" x14ac:dyDescent="0.2">
      <c r="A35" s="237" t="s">
        <v>296</v>
      </c>
      <c r="B35" s="237" t="s">
        <v>297</v>
      </c>
      <c r="D35" s="237" t="s">
        <v>296</v>
      </c>
      <c r="E35" s="237" t="s">
        <v>297</v>
      </c>
    </row>
    <row r="36" spans="1:5" x14ac:dyDescent="0.2">
      <c r="A36" s="237" t="s">
        <v>299</v>
      </c>
      <c r="B36" s="237" t="s">
        <v>300</v>
      </c>
      <c r="D36" s="238">
        <v>4002</v>
      </c>
      <c r="E36" s="237" t="s">
        <v>350</v>
      </c>
    </row>
    <row r="37" spans="1:5" x14ac:dyDescent="0.2">
      <c r="A37" s="237" t="s">
        <v>302</v>
      </c>
      <c r="B37" s="237" t="s">
        <v>303</v>
      </c>
      <c r="D37" s="238">
        <v>4000</v>
      </c>
      <c r="E37" s="237" t="s">
        <v>351</v>
      </c>
    </row>
    <row r="38" spans="1:5" x14ac:dyDescent="0.2">
      <c r="A38" s="237" t="s">
        <v>305</v>
      </c>
      <c r="B38" s="237" t="s">
        <v>306</v>
      </c>
      <c r="D38" s="237" t="s">
        <v>308</v>
      </c>
      <c r="E38" s="237" t="s">
        <v>352</v>
      </c>
    </row>
    <row r="39" spans="1:5" x14ac:dyDescent="0.2">
      <c r="A39" s="237" t="s">
        <v>308</v>
      </c>
      <c r="B39" s="237" t="s">
        <v>352</v>
      </c>
      <c r="D39" s="237" t="s">
        <v>248</v>
      </c>
      <c r="E39" s="237" t="s">
        <v>249</v>
      </c>
    </row>
    <row r="40" spans="1:5" x14ac:dyDescent="0.2">
      <c r="A40" s="283">
        <v>3441</v>
      </c>
      <c r="B40" s="237" t="s">
        <v>397</v>
      </c>
      <c r="D40" s="237" t="s">
        <v>238</v>
      </c>
      <c r="E40" s="237" t="s">
        <v>239</v>
      </c>
    </row>
    <row r="41" spans="1:5" x14ac:dyDescent="0.2">
      <c r="A41" s="237" t="s">
        <v>310</v>
      </c>
      <c r="B41" s="237" t="s">
        <v>353</v>
      </c>
      <c r="D41" s="237" t="s">
        <v>310</v>
      </c>
      <c r="E41" s="237" t="s">
        <v>353</v>
      </c>
    </row>
    <row r="42" spans="1:5" x14ac:dyDescent="0.2">
      <c r="A42" s="237" t="s">
        <v>313</v>
      </c>
      <c r="B42" s="237" t="s">
        <v>314</v>
      </c>
      <c r="D42" s="237" t="s">
        <v>275</v>
      </c>
      <c r="E42" s="237" t="s">
        <v>276</v>
      </c>
    </row>
    <row r="43" spans="1:5" x14ac:dyDescent="0.2">
      <c r="A43" s="237" t="s">
        <v>316</v>
      </c>
      <c r="B43" s="237" t="s">
        <v>317</v>
      </c>
      <c r="D43" s="238">
        <v>4013</v>
      </c>
      <c r="E43" s="237" t="s">
        <v>335</v>
      </c>
    </row>
    <row r="44" spans="1:5" x14ac:dyDescent="0.2">
      <c r="A44" s="237" t="s">
        <v>319</v>
      </c>
      <c r="B44" s="237" t="s">
        <v>320</v>
      </c>
      <c r="D44" s="238">
        <v>4012</v>
      </c>
      <c r="E44" s="237" t="s">
        <v>332</v>
      </c>
    </row>
    <row r="45" spans="1:5" x14ac:dyDescent="0.2">
      <c r="A45" s="238">
        <v>4000</v>
      </c>
      <c r="B45" s="237" t="s">
        <v>351</v>
      </c>
      <c r="D45" s="237" t="s">
        <v>302</v>
      </c>
      <c r="E45" s="237" t="s">
        <v>303</v>
      </c>
    </row>
    <row r="46" spans="1:5" x14ac:dyDescent="0.2">
      <c r="A46" s="238">
        <v>4002</v>
      </c>
      <c r="B46" s="237" t="s">
        <v>350</v>
      </c>
      <c r="D46" s="284">
        <v>4041</v>
      </c>
      <c r="E46" s="237" t="s">
        <v>398</v>
      </c>
    </row>
    <row r="47" spans="1:5" x14ac:dyDescent="0.2">
      <c r="A47" s="238">
        <v>4010</v>
      </c>
      <c r="B47" s="237" t="s">
        <v>329</v>
      </c>
      <c r="D47" s="237" t="s">
        <v>347</v>
      </c>
      <c r="E47" s="237" t="s">
        <v>348</v>
      </c>
    </row>
    <row r="48" spans="1:5" x14ac:dyDescent="0.2">
      <c r="A48" s="238">
        <v>4012</v>
      </c>
      <c r="B48" s="237" t="s">
        <v>332</v>
      </c>
      <c r="D48" s="237" t="s">
        <v>223</v>
      </c>
      <c r="E48" s="237" t="s">
        <v>224</v>
      </c>
    </row>
    <row r="49" spans="1:5" x14ac:dyDescent="0.2">
      <c r="A49" s="238">
        <v>4013</v>
      </c>
      <c r="B49" s="237" t="s">
        <v>335</v>
      </c>
      <c r="D49" s="283">
        <v>3441</v>
      </c>
      <c r="E49" s="237" t="s">
        <v>399</v>
      </c>
    </row>
    <row r="50" spans="1:5" x14ac:dyDescent="0.2">
      <c r="A50" s="238">
        <v>4020</v>
      </c>
      <c r="B50" s="237" t="s">
        <v>338</v>
      </c>
      <c r="D50" s="237" t="s">
        <v>251</v>
      </c>
      <c r="E50" s="237" t="s">
        <v>252</v>
      </c>
    </row>
    <row r="51" spans="1:5" x14ac:dyDescent="0.2">
      <c r="A51" s="238">
        <v>4037</v>
      </c>
      <c r="B51" s="237" t="s">
        <v>341</v>
      </c>
      <c r="D51" s="237" t="s">
        <v>272</v>
      </c>
      <c r="E51" s="237" t="s">
        <v>273</v>
      </c>
    </row>
    <row r="52" spans="1:5" x14ac:dyDescent="0.2">
      <c r="A52" s="238" t="s">
        <v>395</v>
      </c>
      <c r="B52" s="237" t="s">
        <v>396</v>
      </c>
      <c r="D52" s="237" t="s">
        <v>243</v>
      </c>
      <c r="E52" s="237" t="s">
        <v>244</v>
      </c>
    </row>
    <row r="53" spans="1:5" x14ac:dyDescent="0.2">
      <c r="A53" s="284">
        <v>4041</v>
      </c>
      <c r="B53" s="237" t="s">
        <v>398</v>
      </c>
      <c r="D53" s="237" t="s">
        <v>305</v>
      </c>
      <c r="E53" s="237" t="s">
        <v>306</v>
      </c>
    </row>
  </sheetData>
  <pageMargins left="0.7" right="0.7" top="0.75" bottom="0.75" header="0.3" footer="0.3"/>
  <pageSetup scale="88"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51"/>
  <sheetViews>
    <sheetView topLeftCell="D2" zoomScale="80" zoomScaleNormal="80" workbookViewId="0">
      <selection activeCell="K75" sqref="K75"/>
    </sheetView>
  </sheetViews>
  <sheetFormatPr defaultColWidth="8.85546875" defaultRowHeight="14.25" x14ac:dyDescent="0.2"/>
  <cols>
    <col min="1" max="1" width="11.28515625" style="338" hidden="1" customWidth="1"/>
    <col min="2" max="2" width="10.28515625" style="339" customWidth="1"/>
    <col min="3" max="3" width="29" style="338" customWidth="1"/>
    <col min="4" max="5" width="12.28515625" style="338" customWidth="1"/>
    <col min="6" max="6" width="12.28515625" style="338" hidden="1" customWidth="1"/>
    <col min="7" max="7" width="18.28515625" style="338" customWidth="1"/>
    <col min="8" max="8" width="6.7109375" style="338" customWidth="1"/>
    <col min="9" max="9" width="18.7109375" style="338" customWidth="1"/>
    <col min="10" max="10" width="14.7109375" style="338" customWidth="1"/>
    <col min="11" max="11" width="13.85546875" style="338" bestFit="1" customWidth="1"/>
    <col min="12" max="12" width="17.85546875" style="338" customWidth="1"/>
    <col min="13" max="13" width="12.5703125" style="338" customWidth="1"/>
    <col min="14" max="14" width="10.5703125" style="338" hidden="1" customWidth="1"/>
    <col min="15" max="15" width="10.5703125" style="340" hidden="1" customWidth="1"/>
    <col min="16" max="16" width="35" style="338" hidden="1" customWidth="1"/>
    <col min="17" max="17" width="7.28515625" style="338" customWidth="1"/>
    <col min="18" max="18" width="8.85546875" style="338"/>
    <col min="19" max="21" width="0" style="338" hidden="1" customWidth="1"/>
    <col min="22" max="22" width="9" style="338" bestFit="1" customWidth="1"/>
    <col min="23" max="23" width="11.85546875" style="338" bestFit="1" customWidth="1"/>
    <col min="24" max="24" width="12.7109375" style="338" customWidth="1"/>
    <col min="25" max="25" width="8.85546875" style="338"/>
    <col min="26" max="26" width="13.28515625" style="338" bestFit="1" customWidth="1"/>
    <col min="27" max="27" width="9" style="338" bestFit="1" customWidth="1"/>
    <col min="28" max="28" width="14.7109375" style="338" bestFit="1" customWidth="1"/>
    <col min="29" max="29" width="15.7109375" style="338" bestFit="1" customWidth="1"/>
    <col min="30" max="30" width="9" style="338" bestFit="1" customWidth="1"/>
    <col min="31" max="16384" width="8.85546875" style="338"/>
  </cols>
  <sheetData>
    <row r="1" spans="1:30" ht="15.6" hidden="1" customHeight="1" thickBot="1" x14ac:dyDescent="0.25">
      <c r="A1" s="338" t="s">
        <v>0</v>
      </c>
      <c r="D1" s="338" t="s">
        <v>1</v>
      </c>
      <c r="E1" s="338" t="s">
        <v>2</v>
      </c>
      <c r="F1" s="338" t="s">
        <v>3</v>
      </c>
    </row>
    <row r="2" spans="1:30" ht="15" thickBot="1" x14ac:dyDescent="0.25">
      <c r="B2" s="341">
        <v>50</v>
      </c>
      <c r="C2" s="5" t="s">
        <v>4</v>
      </c>
      <c r="D2" s="6"/>
      <c r="E2" s="6"/>
      <c r="F2" s="6"/>
      <c r="G2" s="6"/>
      <c r="H2" s="7"/>
      <c r="I2" s="7"/>
      <c r="J2" s="7"/>
      <c r="K2" s="7"/>
      <c r="L2" s="7"/>
      <c r="N2" s="340"/>
      <c r="O2" s="338"/>
      <c r="V2" s="342">
        <f>'2791 June final'!B2</f>
        <v>50</v>
      </c>
      <c r="W2" s="606" t="s">
        <v>4</v>
      </c>
      <c r="X2" s="607"/>
      <c r="Y2" s="608"/>
      <c r="Z2" s="608"/>
      <c r="AA2" s="608"/>
      <c r="AB2" s="608"/>
      <c r="AC2" s="608"/>
      <c r="AD2" s="343"/>
    </row>
    <row r="3" spans="1:30" x14ac:dyDescent="0.2">
      <c r="B3" s="344" t="str">
        <f>"Revenue Estimate Worksheet for "&amp;B124</f>
        <v>Revenue Estimate Worksheet for Renaissance Learning Center</v>
      </c>
      <c r="C3" s="345"/>
      <c r="D3" s="345"/>
      <c r="E3" s="345"/>
      <c r="F3" s="345"/>
      <c r="G3" s="345"/>
      <c r="H3" s="345"/>
      <c r="I3" s="345"/>
      <c r="J3" s="345"/>
      <c r="K3" s="345"/>
      <c r="L3" s="345"/>
      <c r="M3" s="344"/>
      <c r="N3" s="344"/>
      <c r="O3" s="344"/>
      <c r="P3" s="344"/>
      <c r="Q3" s="344"/>
      <c r="V3" s="681" t="s">
        <v>5</v>
      </c>
      <c r="W3" s="681"/>
      <c r="X3" s="681"/>
      <c r="Y3" s="681"/>
      <c r="Z3" s="681"/>
      <c r="AA3" s="681"/>
      <c r="AB3" s="681"/>
      <c r="AC3" s="681"/>
      <c r="AD3" s="346"/>
    </row>
    <row r="4" spans="1:30" x14ac:dyDescent="0.2">
      <c r="B4" s="339" t="s">
        <v>6</v>
      </c>
      <c r="C4" s="344"/>
      <c r="D4" s="344"/>
      <c r="E4" s="344"/>
      <c r="F4" s="344"/>
      <c r="G4" s="344"/>
      <c r="H4" s="344"/>
      <c r="I4" s="344"/>
      <c r="J4" s="344"/>
      <c r="K4" s="344"/>
      <c r="L4" s="344"/>
      <c r="M4" s="344"/>
      <c r="N4" s="344"/>
      <c r="O4" s="344"/>
      <c r="P4" s="344"/>
      <c r="Q4" s="344"/>
      <c r="V4" s="681" t="str">
        <f>+Based_on_the_Second_Calculation_of_the_FEFP_2010_11</f>
        <v>Based on the Fourth Calculation of the FEFP 2013-14</v>
      </c>
      <c r="W4" s="681"/>
      <c r="X4" s="681"/>
      <c r="Y4" s="681"/>
      <c r="Z4" s="681"/>
      <c r="AA4" s="681"/>
      <c r="AB4" s="681"/>
      <c r="AC4" s="681"/>
      <c r="AD4" s="346"/>
    </row>
    <row r="5" spans="1:30" ht="18.75" customHeight="1" x14ac:dyDescent="0.2">
      <c r="B5" s="347" t="s">
        <v>7</v>
      </c>
      <c r="C5" s="347"/>
      <c r="D5" s="347"/>
      <c r="E5" s="347"/>
      <c r="F5" s="347"/>
      <c r="G5" s="348" t="s">
        <v>8</v>
      </c>
      <c r="H5" s="348"/>
      <c r="I5" s="348"/>
      <c r="J5" s="348"/>
      <c r="K5" s="348"/>
      <c r="L5" s="348"/>
      <c r="M5" s="349"/>
      <c r="N5" s="349"/>
      <c r="O5" s="349"/>
      <c r="P5" s="349"/>
      <c r="Q5" s="349"/>
      <c r="V5" s="682" t="s">
        <v>7</v>
      </c>
      <c r="W5" s="682"/>
      <c r="X5" s="683" t="s">
        <v>8</v>
      </c>
      <c r="Y5" s="683"/>
      <c r="Z5" s="350"/>
      <c r="AA5" s="350"/>
      <c r="AB5" s="350"/>
      <c r="AC5" s="350"/>
      <c r="AD5" s="351"/>
    </row>
    <row r="6" spans="1:30" ht="21" customHeight="1" x14ac:dyDescent="0.2">
      <c r="B6" s="347" t="s">
        <v>9</v>
      </c>
      <c r="C6" s="347"/>
      <c r="D6" s="347"/>
      <c r="E6" s="347"/>
      <c r="F6" s="347"/>
      <c r="G6" s="347"/>
      <c r="H6" s="347"/>
      <c r="I6" s="347"/>
      <c r="J6" s="347"/>
      <c r="K6" s="347"/>
      <c r="L6" s="347"/>
      <c r="M6" s="352"/>
      <c r="N6" s="352"/>
      <c r="O6" s="349"/>
      <c r="P6" s="349"/>
      <c r="Q6" s="349"/>
      <c r="V6" s="684" t="s">
        <v>9</v>
      </c>
      <c r="W6" s="684"/>
      <c r="X6" s="684"/>
      <c r="Y6" s="684"/>
      <c r="Z6" s="684"/>
      <c r="AA6" s="684"/>
      <c r="AB6" s="684"/>
      <c r="AC6" s="684"/>
      <c r="AD6" s="353"/>
    </row>
    <row r="7" spans="1:30" ht="18" customHeight="1" x14ac:dyDescent="0.25">
      <c r="B7" s="354" t="s">
        <v>10</v>
      </c>
      <c r="C7" s="354"/>
      <c r="D7" s="354"/>
      <c r="E7" s="354"/>
      <c r="F7" s="354"/>
      <c r="G7" s="355">
        <v>3752.3</v>
      </c>
      <c r="H7" s="355"/>
      <c r="I7" s="354" t="s">
        <v>11</v>
      </c>
      <c r="J7" s="354"/>
      <c r="K7" s="356">
        <v>1.0326</v>
      </c>
      <c r="L7" s="356"/>
      <c r="O7" s="338"/>
      <c r="V7" s="691" t="s">
        <v>10</v>
      </c>
      <c r="W7" s="691"/>
      <c r="X7" s="692">
        <f>'2791 June final'!G7</f>
        <v>3752.3</v>
      </c>
      <c r="Y7" s="692"/>
      <c r="Z7" s="693" t="s">
        <v>11</v>
      </c>
      <c r="AA7" s="693"/>
      <c r="AB7" s="677">
        <f>+K7</f>
        <v>1.0326</v>
      </c>
      <c r="AC7" s="677"/>
      <c r="AD7" s="343"/>
    </row>
    <row r="8" spans="1:30" ht="51" customHeight="1" x14ac:dyDescent="0.2">
      <c r="B8" s="357" t="s">
        <v>12</v>
      </c>
      <c r="C8" s="357"/>
      <c r="D8" s="358" t="s">
        <v>13</v>
      </c>
      <c r="E8" s="358" t="s">
        <v>14</v>
      </c>
      <c r="F8" s="358"/>
      <c r="G8" s="359" t="s">
        <v>15</v>
      </c>
      <c r="H8" s="360"/>
      <c r="I8" s="361" t="s">
        <v>16</v>
      </c>
      <c r="J8" s="362"/>
      <c r="K8" s="363" t="s">
        <v>17</v>
      </c>
      <c r="L8" s="364" t="s">
        <v>18</v>
      </c>
      <c r="N8" s="338" t="s">
        <v>19</v>
      </c>
      <c r="O8" s="338" t="s">
        <v>20</v>
      </c>
      <c r="V8" s="678" t="s">
        <v>12</v>
      </c>
      <c r="W8" s="678"/>
      <c r="X8" s="679" t="s">
        <v>15</v>
      </c>
      <c r="Y8" s="679"/>
      <c r="Z8" s="680" t="s">
        <v>16</v>
      </c>
      <c r="AA8" s="680"/>
      <c r="AB8" s="365" t="s">
        <v>17</v>
      </c>
      <c r="AC8" s="366" t="s">
        <v>21</v>
      </c>
      <c r="AD8" s="343"/>
    </row>
    <row r="9" spans="1:30" ht="14.25" customHeight="1" x14ac:dyDescent="0.2">
      <c r="B9" s="367" t="s">
        <v>22</v>
      </c>
      <c r="C9" s="367"/>
      <c r="D9" s="367"/>
      <c r="E9" s="367"/>
      <c r="F9" s="367"/>
      <c r="G9" s="368" t="s">
        <v>23</v>
      </c>
      <c r="H9" s="369"/>
      <c r="I9" s="370" t="s">
        <v>24</v>
      </c>
      <c r="J9" s="371"/>
      <c r="K9" s="372" t="s">
        <v>25</v>
      </c>
      <c r="L9" s="373" t="s">
        <v>26</v>
      </c>
      <c r="O9" s="338"/>
      <c r="V9" s="685" t="s">
        <v>22</v>
      </c>
      <c r="W9" s="685"/>
      <c r="X9" s="686" t="s">
        <v>23</v>
      </c>
      <c r="Y9" s="686"/>
      <c r="Z9" s="687" t="s">
        <v>24</v>
      </c>
      <c r="AA9" s="687"/>
      <c r="AB9" s="374" t="s">
        <v>25</v>
      </c>
      <c r="AC9" s="375" t="s">
        <v>26</v>
      </c>
      <c r="AD9" s="343"/>
    </row>
    <row r="10" spans="1:30" ht="15.75" x14ac:dyDescent="0.25">
      <c r="A10" s="338" t="s">
        <v>27</v>
      </c>
      <c r="B10" s="376" t="s">
        <v>28</v>
      </c>
      <c r="C10" s="376"/>
      <c r="D10" s="376">
        <v>0</v>
      </c>
      <c r="E10" s="45">
        <v>0</v>
      </c>
      <c r="F10" s="376">
        <v>0</v>
      </c>
      <c r="G10" s="377">
        <f>D10+E10</f>
        <v>0</v>
      </c>
      <c r="H10" s="378"/>
      <c r="I10" s="379">
        <v>1.125</v>
      </c>
      <c r="J10" s="379"/>
      <c r="K10" s="380">
        <f>ROUND(G10*I10,4)</f>
        <v>0</v>
      </c>
      <c r="L10" s="381">
        <f>ROUND(ROUND(K10*$G$7,4)*($K$7),0)</f>
        <v>0</v>
      </c>
      <c r="N10" s="382">
        <v>5101</v>
      </c>
      <c r="O10" s="383">
        <v>101</v>
      </c>
      <c r="P10" s="384"/>
      <c r="Q10" s="385"/>
      <c r="V10" s="688" t="s">
        <v>28</v>
      </c>
      <c r="W10" s="688"/>
      <c r="X10" s="689">
        <f>IF('2791 June final'!K$84=1,'2791 June final'!G10,0)</f>
        <v>0</v>
      </c>
      <c r="Y10" s="689"/>
      <c r="Z10" s="690">
        <v>1</v>
      </c>
      <c r="AA10" s="690"/>
      <c r="AB10" s="386">
        <f t="shared" ref="AB10:AB25" si="0">ROUND(X10*Z10,4)</f>
        <v>0</v>
      </c>
      <c r="AC10" s="387">
        <f t="shared" ref="AC10:AC25" si="1">ROUND(ROUND(AB10*$X$7,4)*($AB$7),0)</f>
        <v>0</v>
      </c>
      <c r="AD10" s="343">
        <v>1</v>
      </c>
    </row>
    <row r="11" spans="1:30" ht="15.75" x14ac:dyDescent="0.25">
      <c r="A11" s="338" t="s">
        <v>29</v>
      </c>
      <c r="B11" s="344" t="s">
        <v>30</v>
      </c>
      <c r="C11" s="344"/>
      <c r="D11" s="344">
        <v>1</v>
      </c>
      <c r="E11" s="13">
        <v>1</v>
      </c>
      <c r="F11" s="344">
        <v>1.24</v>
      </c>
      <c r="G11" s="377">
        <f t="shared" ref="G11:G25" si="2">D11+E11</f>
        <v>2</v>
      </c>
      <c r="H11" s="378"/>
      <c r="I11" s="388">
        <f>I10</f>
        <v>1.125</v>
      </c>
      <c r="J11" s="388"/>
      <c r="K11" s="380">
        <f t="shared" ref="K11:K25" si="3">ROUND(G11*I11,4)</f>
        <v>2.25</v>
      </c>
      <c r="L11" s="381">
        <f t="shared" ref="L11:L25" si="4">ROUND(ROUND(K11*$G$7,4)*($K$7),0)</f>
        <v>8718</v>
      </c>
      <c r="M11" s="338" t="str">
        <f>IF(ROUND(G11,2)=ROUND(SUM(G28:G30),2)," ","CHECK 2. PK-3 Lines Below")</f>
        <v xml:space="preserve"> </v>
      </c>
      <c r="N11" s="382">
        <v>5101</v>
      </c>
      <c r="O11" s="389" t="s">
        <v>31</v>
      </c>
      <c r="P11" s="384"/>
      <c r="Q11" s="385"/>
      <c r="V11" s="694" t="s">
        <v>30</v>
      </c>
      <c r="W11" s="694"/>
      <c r="X11" s="689">
        <f>IF('2791 June final'!K$84=1,'2791 June final'!G11,0)</f>
        <v>2</v>
      </c>
      <c r="Y11" s="689"/>
      <c r="Z11" s="695">
        <v>1</v>
      </c>
      <c r="AA11" s="695"/>
      <c r="AB11" s="386">
        <f t="shared" si="0"/>
        <v>2</v>
      </c>
      <c r="AC11" s="387">
        <f t="shared" si="1"/>
        <v>7749</v>
      </c>
      <c r="AD11" s="343"/>
    </row>
    <row r="12" spans="1:30" ht="15.75" x14ac:dyDescent="0.25">
      <c r="A12" s="338" t="s">
        <v>32</v>
      </c>
      <c r="B12" s="344" t="s">
        <v>33</v>
      </c>
      <c r="C12" s="344"/>
      <c r="D12" s="344">
        <v>0</v>
      </c>
      <c r="E12" s="13">
        <v>0</v>
      </c>
      <c r="F12" s="344">
        <v>0</v>
      </c>
      <c r="G12" s="377">
        <f t="shared" si="2"/>
        <v>0</v>
      </c>
      <c r="H12" s="378"/>
      <c r="I12" s="388">
        <v>1</v>
      </c>
      <c r="J12" s="388"/>
      <c r="K12" s="380">
        <f t="shared" si="3"/>
        <v>0</v>
      </c>
      <c r="L12" s="381">
        <f t="shared" si="4"/>
        <v>0</v>
      </c>
      <c r="N12" s="382">
        <v>5102</v>
      </c>
      <c r="O12" s="383">
        <v>102</v>
      </c>
      <c r="P12" s="384"/>
      <c r="Q12" s="385"/>
      <c r="V12" s="694" t="s">
        <v>33</v>
      </c>
      <c r="W12" s="694"/>
      <c r="X12" s="689">
        <f>IF('2791 June final'!K$84=1,'2791 June final'!G12,0)</f>
        <v>0</v>
      </c>
      <c r="Y12" s="689"/>
      <c r="Z12" s="695">
        <v>1</v>
      </c>
      <c r="AA12" s="695"/>
      <c r="AB12" s="386">
        <f t="shared" si="0"/>
        <v>0</v>
      </c>
      <c r="AC12" s="387">
        <f t="shared" si="1"/>
        <v>0</v>
      </c>
      <c r="AD12" s="343"/>
    </row>
    <row r="13" spans="1:30" ht="15.75" x14ac:dyDescent="0.25">
      <c r="A13" s="338" t="s">
        <v>34</v>
      </c>
      <c r="B13" s="344" t="s">
        <v>35</v>
      </c>
      <c r="C13" s="344"/>
      <c r="D13" s="344">
        <v>0.96</v>
      </c>
      <c r="E13" s="13">
        <v>0.96</v>
      </c>
      <c r="F13" s="344">
        <v>1.1000000000000001</v>
      </c>
      <c r="G13" s="377">
        <f t="shared" si="2"/>
        <v>1.92</v>
      </c>
      <c r="H13" s="378"/>
      <c r="I13" s="388">
        <f>I12</f>
        <v>1</v>
      </c>
      <c r="J13" s="388"/>
      <c r="K13" s="380">
        <f t="shared" si="3"/>
        <v>1.92</v>
      </c>
      <c r="L13" s="381">
        <f t="shared" si="4"/>
        <v>7439</v>
      </c>
      <c r="M13" s="338" t="str">
        <f>IF(ROUND(G13,2)=ROUND(SUM(G31:G33),2)," ","CHECK 2. PK-3 Lines Below")</f>
        <v xml:space="preserve"> </v>
      </c>
      <c r="N13" s="382">
        <v>5102</v>
      </c>
      <c r="O13" s="389" t="s">
        <v>36</v>
      </c>
      <c r="P13" s="384"/>
      <c r="Q13" s="385"/>
      <c r="V13" s="694" t="s">
        <v>35</v>
      </c>
      <c r="W13" s="694"/>
      <c r="X13" s="689">
        <f>IF('2791 June final'!K$84=1,'2791 June final'!G13,0)</f>
        <v>1.92</v>
      </c>
      <c r="Y13" s="689"/>
      <c r="Z13" s="695">
        <v>1</v>
      </c>
      <c r="AA13" s="695"/>
      <c r="AB13" s="386">
        <f t="shared" si="0"/>
        <v>1.92</v>
      </c>
      <c r="AC13" s="387">
        <f t="shared" si="1"/>
        <v>7439</v>
      </c>
      <c r="AD13" s="343"/>
    </row>
    <row r="14" spans="1:30" ht="15.75" x14ac:dyDescent="0.25">
      <c r="A14" s="338" t="s">
        <v>37</v>
      </c>
      <c r="B14" s="344" t="s">
        <v>38</v>
      </c>
      <c r="C14" s="344"/>
      <c r="D14" s="344">
        <v>0</v>
      </c>
      <c r="E14" s="13">
        <v>0</v>
      </c>
      <c r="F14" s="344">
        <v>0</v>
      </c>
      <c r="G14" s="377">
        <f t="shared" si="2"/>
        <v>0</v>
      </c>
      <c r="H14" s="378"/>
      <c r="I14" s="388">
        <v>1.0109999999999999</v>
      </c>
      <c r="J14" s="388"/>
      <c r="K14" s="380">
        <f t="shared" si="3"/>
        <v>0</v>
      </c>
      <c r="L14" s="381">
        <f t="shared" si="4"/>
        <v>0</v>
      </c>
      <c r="N14" s="382">
        <v>5103</v>
      </c>
      <c r="O14" s="383">
        <v>103</v>
      </c>
      <c r="P14" s="384"/>
      <c r="Q14" s="385"/>
      <c r="V14" s="694" t="s">
        <v>38</v>
      </c>
      <c r="W14" s="694"/>
      <c r="X14" s="689">
        <f>IF('2791 June final'!K$84=1,'2791 June final'!G14,0)</f>
        <v>0</v>
      </c>
      <c r="Y14" s="689"/>
      <c r="Z14" s="695">
        <v>1</v>
      </c>
      <c r="AA14" s="695"/>
      <c r="AB14" s="386">
        <f t="shared" si="0"/>
        <v>0</v>
      </c>
      <c r="AC14" s="387">
        <f t="shared" si="1"/>
        <v>0</v>
      </c>
      <c r="AD14" s="343"/>
    </row>
    <row r="15" spans="1:30" ht="15.75" x14ac:dyDescent="0.25">
      <c r="A15" s="338" t="s">
        <v>39</v>
      </c>
      <c r="B15" s="344" t="s">
        <v>40</v>
      </c>
      <c r="C15" s="344"/>
      <c r="D15" s="344">
        <v>0</v>
      </c>
      <c r="E15" s="13">
        <v>0</v>
      </c>
      <c r="F15" s="344">
        <v>0</v>
      </c>
      <c r="G15" s="377">
        <f t="shared" si="2"/>
        <v>0</v>
      </c>
      <c r="H15" s="378"/>
      <c r="I15" s="388">
        <f>I14</f>
        <v>1.0109999999999999</v>
      </c>
      <c r="J15" s="388"/>
      <c r="K15" s="380">
        <f t="shared" si="3"/>
        <v>0</v>
      </c>
      <c r="L15" s="390">
        <f t="shared" si="4"/>
        <v>0</v>
      </c>
      <c r="M15" s="338" t="str">
        <f>IF(ROUND(G15,2)=ROUND(SUM(G34:G36),2)," ","CHECK 2. PK-3 Lines Below")</f>
        <v xml:space="preserve"> </v>
      </c>
      <c r="N15" s="382">
        <v>5103</v>
      </c>
      <c r="O15" s="389" t="s">
        <v>41</v>
      </c>
      <c r="P15" s="384"/>
      <c r="Q15" s="385"/>
      <c r="V15" s="694" t="s">
        <v>40</v>
      </c>
      <c r="W15" s="694"/>
      <c r="X15" s="689">
        <f>IF('2791 June final'!K$84=1,'2791 June final'!G15,0)</f>
        <v>0</v>
      </c>
      <c r="Y15" s="689"/>
      <c r="Z15" s="695">
        <v>1</v>
      </c>
      <c r="AA15" s="695"/>
      <c r="AB15" s="386">
        <f t="shared" si="0"/>
        <v>0</v>
      </c>
      <c r="AC15" s="391">
        <f t="shared" si="1"/>
        <v>0</v>
      </c>
      <c r="AD15" s="343"/>
    </row>
    <row r="16" spans="1:30" ht="15.75" x14ac:dyDescent="0.25">
      <c r="A16" s="338" t="s">
        <v>42</v>
      </c>
      <c r="B16" s="344" t="s">
        <v>435</v>
      </c>
      <c r="C16" s="344"/>
      <c r="D16" s="344">
        <v>22.26</v>
      </c>
      <c r="E16" s="13">
        <v>24.5</v>
      </c>
      <c r="F16" s="344">
        <v>41.38</v>
      </c>
      <c r="G16" s="377">
        <f t="shared" si="2"/>
        <v>46.760000000000005</v>
      </c>
      <c r="H16" s="378"/>
      <c r="I16" s="388">
        <v>3.5579999999999998</v>
      </c>
      <c r="J16" s="388"/>
      <c r="K16" s="380">
        <f t="shared" si="3"/>
        <v>166.37209999999999</v>
      </c>
      <c r="L16" s="381">
        <f t="shared" si="4"/>
        <v>644629</v>
      </c>
      <c r="N16" s="382">
        <v>5101</v>
      </c>
      <c r="O16" s="384">
        <v>254</v>
      </c>
      <c r="P16" s="384"/>
      <c r="Q16" s="385"/>
      <c r="V16" s="694" t="s">
        <v>435</v>
      </c>
      <c r="W16" s="694"/>
      <c r="X16" s="689">
        <f>IF('2791 June final'!K$84=1,'2791 June final'!G16,0)</f>
        <v>46.760000000000005</v>
      </c>
      <c r="Y16" s="689"/>
      <c r="Z16" s="695">
        <v>1</v>
      </c>
      <c r="AA16" s="695"/>
      <c r="AB16" s="386">
        <f t="shared" si="0"/>
        <v>46.76</v>
      </c>
      <c r="AC16" s="387">
        <f t="shared" si="1"/>
        <v>181177</v>
      </c>
      <c r="AD16" s="343"/>
    </row>
    <row r="17" spans="1:30" ht="15.75" x14ac:dyDescent="0.25">
      <c r="A17" s="338" t="s">
        <v>44</v>
      </c>
      <c r="B17" s="344" t="s">
        <v>436</v>
      </c>
      <c r="C17" s="344"/>
      <c r="D17" s="344">
        <v>13.74</v>
      </c>
      <c r="E17" s="13">
        <v>13.52</v>
      </c>
      <c r="F17" s="344">
        <v>41.38</v>
      </c>
      <c r="G17" s="377">
        <f t="shared" si="2"/>
        <v>27.259999999999998</v>
      </c>
      <c r="H17" s="378"/>
      <c r="I17" s="388">
        <f>I16</f>
        <v>3.5579999999999998</v>
      </c>
      <c r="J17" s="388"/>
      <c r="K17" s="380">
        <f t="shared" si="3"/>
        <v>96.991100000000003</v>
      </c>
      <c r="L17" s="381">
        <f t="shared" si="4"/>
        <v>375804</v>
      </c>
      <c r="N17" s="382">
        <v>5102</v>
      </c>
      <c r="O17" s="385">
        <v>254</v>
      </c>
      <c r="P17" s="384"/>
      <c r="Q17" s="385"/>
      <c r="V17" s="694" t="s">
        <v>436</v>
      </c>
      <c r="W17" s="694"/>
      <c r="X17" s="689">
        <f>IF('2791 June final'!K$84=1,'2791 June final'!G17,0)</f>
        <v>27.259999999999998</v>
      </c>
      <c r="Y17" s="689"/>
      <c r="Z17" s="695">
        <v>1</v>
      </c>
      <c r="AA17" s="695"/>
      <c r="AB17" s="386">
        <f t="shared" si="0"/>
        <v>27.26</v>
      </c>
      <c r="AC17" s="387">
        <f t="shared" si="1"/>
        <v>105622</v>
      </c>
      <c r="AD17" s="343"/>
    </row>
    <row r="18" spans="1:30" ht="15.75" x14ac:dyDescent="0.25">
      <c r="A18" s="338" t="s">
        <v>46</v>
      </c>
      <c r="B18" s="344" t="s">
        <v>437</v>
      </c>
      <c r="C18" s="344"/>
      <c r="D18" s="344">
        <v>0</v>
      </c>
      <c r="E18" s="13">
        <v>0</v>
      </c>
      <c r="F18" s="344">
        <v>0</v>
      </c>
      <c r="G18" s="377">
        <f t="shared" si="2"/>
        <v>0</v>
      </c>
      <c r="H18" s="378"/>
      <c r="I18" s="388">
        <f>I17</f>
        <v>3.5579999999999998</v>
      </c>
      <c r="J18" s="388"/>
      <c r="K18" s="380">
        <f t="shared" si="3"/>
        <v>0</v>
      </c>
      <c r="L18" s="381">
        <f t="shared" si="4"/>
        <v>0</v>
      </c>
      <c r="N18" s="382">
        <v>5103</v>
      </c>
      <c r="O18" s="385">
        <v>254</v>
      </c>
      <c r="P18" s="384"/>
      <c r="Q18" s="385"/>
      <c r="V18" s="694" t="s">
        <v>437</v>
      </c>
      <c r="W18" s="694"/>
      <c r="X18" s="689">
        <f>IF('2791 June final'!K$84=1,'2791 June final'!G18,0)</f>
        <v>0</v>
      </c>
      <c r="Y18" s="689"/>
      <c r="Z18" s="695">
        <v>1</v>
      </c>
      <c r="AA18" s="695"/>
      <c r="AB18" s="386">
        <f t="shared" si="0"/>
        <v>0</v>
      </c>
      <c r="AC18" s="387">
        <f t="shared" si="1"/>
        <v>0</v>
      </c>
      <c r="AD18" s="343"/>
    </row>
    <row r="19" spans="1:30" ht="15" customHeight="1" x14ac:dyDescent="0.25">
      <c r="A19" s="338" t="s">
        <v>48</v>
      </c>
      <c r="B19" s="344" t="s">
        <v>438</v>
      </c>
      <c r="C19" s="344"/>
      <c r="D19" s="344">
        <v>7.5</v>
      </c>
      <c r="E19" s="13">
        <v>7.5</v>
      </c>
      <c r="F19" s="344">
        <v>18.100000000000001</v>
      </c>
      <c r="G19" s="377">
        <f t="shared" si="2"/>
        <v>15</v>
      </c>
      <c r="H19" s="378"/>
      <c r="I19" s="388">
        <v>5.0890000000000004</v>
      </c>
      <c r="J19" s="388"/>
      <c r="K19" s="380">
        <f t="shared" si="3"/>
        <v>76.334999999999994</v>
      </c>
      <c r="L19" s="381">
        <f t="shared" si="4"/>
        <v>295769</v>
      </c>
      <c r="N19" s="382">
        <v>5101</v>
      </c>
      <c r="O19" s="384">
        <v>255</v>
      </c>
      <c r="P19" s="384"/>
      <c r="Q19" s="385"/>
      <c r="V19" s="694" t="s">
        <v>438</v>
      </c>
      <c r="W19" s="694"/>
      <c r="X19" s="689">
        <f>IF('2791 June final'!K$84=1,'2791 June final'!G19,0)</f>
        <v>15</v>
      </c>
      <c r="Y19" s="689"/>
      <c r="Z19" s="695">
        <v>1</v>
      </c>
      <c r="AA19" s="695"/>
      <c r="AB19" s="386">
        <f t="shared" si="0"/>
        <v>15</v>
      </c>
      <c r="AC19" s="387">
        <f t="shared" si="1"/>
        <v>58119</v>
      </c>
      <c r="AD19" s="343"/>
    </row>
    <row r="20" spans="1:30" ht="15" customHeight="1" x14ac:dyDescent="0.25">
      <c r="A20" s="338" t="s">
        <v>50</v>
      </c>
      <c r="B20" s="344" t="s">
        <v>439</v>
      </c>
      <c r="C20" s="344"/>
      <c r="D20" s="344">
        <v>8.5</v>
      </c>
      <c r="E20" s="13">
        <v>9.5</v>
      </c>
      <c r="F20" s="344">
        <v>18.100000000000001</v>
      </c>
      <c r="G20" s="377">
        <f t="shared" si="2"/>
        <v>18</v>
      </c>
      <c r="H20" s="378"/>
      <c r="I20" s="388">
        <f>I19</f>
        <v>5.0890000000000004</v>
      </c>
      <c r="J20" s="388"/>
      <c r="K20" s="380">
        <f t="shared" si="3"/>
        <v>91.602000000000004</v>
      </c>
      <c r="L20" s="381">
        <f t="shared" si="4"/>
        <v>354923</v>
      </c>
      <c r="N20" s="382">
        <v>5102</v>
      </c>
      <c r="O20" s="385">
        <v>255</v>
      </c>
      <c r="P20" s="384"/>
      <c r="Q20" s="385"/>
      <c r="V20" s="694" t="s">
        <v>439</v>
      </c>
      <c r="W20" s="694"/>
      <c r="X20" s="689">
        <f>IF('2791 June final'!K$84=1,'2791 June final'!G20,0)</f>
        <v>18</v>
      </c>
      <c r="Y20" s="689"/>
      <c r="Z20" s="695">
        <v>1</v>
      </c>
      <c r="AA20" s="695"/>
      <c r="AB20" s="386">
        <f t="shared" si="0"/>
        <v>18</v>
      </c>
      <c r="AC20" s="387">
        <f t="shared" si="1"/>
        <v>69743</v>
      </c>
      <c r="AD20" s="343"/>
    </row>
    <row r="21" spans="1:30" ht="15" customHeight="1" x14ac:dyDescent="0.25">
      <c r="A21" s="338" t="s">
        <v>52</v>
      </c>
      <c r="B21" s="344" t="s">
        <v>440</v>
      </c>
      <c r="C21" s="344"/>
      <c r="D21" s="344">
        <v>0</v>
      </c>
      <c r="E21" s="13">
        <v>0</v>
      </c>
      <c r="F21" s="344">
        <v>0</v>
      </c>
      <c r="G21" s="377">
        <f t="shared" si="2"/>
        <v>0</v>
      </c>
      <c r="H21" s="378"/>
      <c r="I21" s="388">
        <f>I20</f>
        <v>5.0890000000000004</v>
      </c>
      <c r="J21" s="388"/>
      <c r="K21" s="380">
        <f t="shared" si="3"/>
        <v>0</v>
      </c>
      <c r="L21" s="381">
        <f t="shared" si="4"/>
        <v>0</v>
      </c>
      <c r="N21" s="382">
        <v>5103</v>
      </c>
      <c r="O21" s="385">
        <v>255</v>
      </c>
      <c r="P21" s="384"/>
      <c r="Q21" s="385"/>
      <c r="V21" s="694" t="s">
        <v>440</v>
      </c>
      <c r="W21" s="694"/>
      <c r="X21" s="689">
        <f>IF('2791 June final'!K$84=1,'2791 June final'!G21,0)</f>
        <v>0</v>
      </c>
      <c r="Y21" s="689"/>
      <c r="Z21" s="695">
        <v>1</v>
      </c>
      <c r="AA21" s="695"/>
      <c r="AB21" s="386">
        <f t="shared" si="0"/>
        <v>0</v>
      </c>
      <c r="AC21" s="387">
        <f t="shared" si="1"/>
        <v>0</v>
      </c>
      <c r="AD21" s="343"/>
    </row>
    <row r="22" spans="1:30" ht="15.75" x14ac:dyDescent="0.25">
      <c r="A22" s="338" t="s">
        <v>54</v>
      </c>
      <c r="B22" s="344" t="s">
        <v>441</v>
      </c>
      <c r="C22" s="344"/>
      <c r="D22" s="344">
        <v>0</v>
      </c>
      <c r="E22" s="13">
        <v>0</v>
      </c>
      <c r="F22" s="344">
        <v>0</v>
      </c>
      <c r="G22" s="377">
        <f t="shared" si="2"/>
        <v>0</v>
      </c>
      <c r="H22" s="378"/>
      <c r="I22" s="388">
        <v>1.145</v>
      </c>
      <c r="J22" s="388"/>
      <c r="K22" s="380">
        <f t="shared" si="3"/>
        <v>0</v>
      </c>
      <c r="L22" s="381">
        <f t="shared" si="4"/>
        <v>0</v>
      </c>
      <c r="N22" s="382">
        <v>5101</v>
      </c>
      <c r="O22" s="383">
        <v>130</v>
      </c>
      <c r="P22" s="384"/>
      <c r="Q22" s="385"/>
      <c r="V22" s="694" t="s">
        <v>441</v>
      </c>
      <c r="W22" s="694"/>
      <c r="X22" s="689">
        <f>IF('2791 June final'!K$84=1,'2791 June final'!G22,0)</f>
        <v>0</v>
      </c>
      <c r="Y22" s="689"/>
      <c r="Z22" s="695">
        <v>1</v>
      </c>
      <c r="AA22" s="695"/>
      <c r="AB22" s="386">
        <f t="shared" si="0"/>
        <v>0</v>
      </c>
      <c r="AC22" s="387">
        <f t="shared" si="1"/>
        <v>0</v>
      </c>
      <c r="AD22" s="343"/>
    </row>
    <row r="23" spans="1:30" ht="15.75" x14ac:dyDescent="0.25">
      <c r="A23" s="338" t="s">
        <v>56</v>
      </c>
      <c r="B23" s="344" t="s">
        <v>442</v>
      </c>
      <c r="C23" s="344"/>
      <c r="D23" s="344">
        <v>0</v>
      </c>
      <c r="E23" s="13">
        <v>0</v>
      </c>
      <c r="F23" s="344">
        <v>0</v>
      </c>
      <c r="G23" s="377">
        <f t="shared" si="2"/>
        <v>0</v>
      </c>
      <c r="H23" s="378"/>
      <c r="I23" s="388">
        <f>I22</f>
        <v>1.145</v>
      </c>
      <c r="J23" s="388"/>
      <c r="K23" s="380">
        <f t="shared" si="3"/>
        <v>0</v>
      </c>
      <c r="L23" s="381">
        <f t="shared" si="4"/>
        <v>0</v>
      </c>
      <c r="N23" s="382">
        <v>5102</v>
      </c>
      <c r="O23" s="383">
        <v>130</v>
      </c>
      <c r="P23" s="384"/>
      <c r="Q23" s="385"/>
      <c r="V23" s="694" t="s">
        <v>442</v>
      </c>
      <c r="W23" s="694"/>
      <c r="X23" s="689">
        <f>IF('2791 June final'!K$84=1,'2791 June final'!G23,0)</f>
        <v>0</v>
      </c>
      <c r="Y23" s="689"/>
      <c r="Z23" s="695">
        <v>1</v>
      </c>
      <c r="AA23" s="695"/>
      <c r="AB23" s="386">
        <f t="shared" si="0"/>
        <v>0</v>
      </c>
      <c r="AC23" s="387">
        <f t="shared" si="1"/>
        <v>0</v>
      </c>
      <c r="AD23" s="343"/>
    </row>
    <row r="24" spans="1:30" ht="15" x14ac:dyDescent="0.25">
      <c r="A24" s="338" t="s">
        <v>58</v>
      </c>
      <c r="B24" s="344" t="s">
        <v>443</v>
      </c>
      <c r="C24" s="344"/>
      <c r="D24" s="344">
        <v>0</v>
      </c>
      <c r="E24" s="344">
        <v>0</v>
      </c>
      <c r="F24" s="344">
        <v>0</v>
      </c>
      <c r="G24" s="377">
        <f t="shared" si="2"/>
        <v>0</v>
      </c>
      <c r="H24" s="378"/>
      <c r="I24" s="388">
        <f>I23</f>
        <v>1.145</v>
      </c>
      <c r="J24" s="388"/>
      <c r="K24" s="380">
        <f t="shared" si="3"/>
        <v>0</v>
      </c>
      <c r="L24" s="381">
        <f t="shared" si="4"/>
        <v>0</v>
      </c>
      <c r="N24" s="382">
        <v>5103</v>
      </c>
      <c r="O24" s="383">
        <v>130</v>
      </c>
      <c r="P24" s="384"/>
      <c r="Q24" s="385"/>
      <c r="V24" s="694" t="s">
        <v>443</v>
      </c>
      <c r="W24" s="694"/>
      <c r="X24" s="689">
        <f>IF('2791 June final'!K$84=1,'2791 June final'!G24,0)</f>
        <v>0</v>
      </c>
      <c r="Y24" s="689"/>
      <c r="Z24" s="695">
        <v>1</v>
      </c>
      <c r="AA24" s="695"/>
      <c r="AB24" s="386">
        <f t="shared" si="0"/>
        <v>0</v>
      </c>
      <c r="AC24" s="387">
        <f t="shared" si="1"/>
        <v>0</v>
      </c>
      <c r="AD24" s="343"/>
    </row>
    <row r="25" spans="1:30" ht="15.75" thickBot="1" x14ac:dyDescent="0.3">
      <c r="A25" s="338" t="s">
        <v>60</v>
      </c>
      <c r="B25" s="344" t="s">
        <v>444</v>
      </c>
      <c r="C25" s="344"/>
      <c r="D25" s="344">
        <v>0</v>
      </c>
      <c r="E25" s="344">
        <v>0</v>
      </c>
      <c r="F25" s="344">
        <v>0</v>
      </c>
      <c r="G25" s="377">
        <f t="shared" si="2"/>
        <v>0</v>
      </c>
      <c r="H25" s="378"/>
      <c r="I25" s="388">
        <v>1.0109999999999999</v>
      </c>
      <c r="J25" s="388"/>
      <c r="K25" s="380">
        <f t="shared" si="3"/>
        <v>0</v>
      </c>
      <c r="L25" s="381">
        <f t="shared" si="4"/>
        <v>0</v>
      </c>
      <c r="N25" s="382">
        <v>5310</v>
      </c>
      <c r="O25" s="383">
        <v>300</v>
      </c>
      <c r="P25" s="384"/>
      <c r="Q25" s="385"/>
      <c r="V25" s="694" t="s">
        <v>444</v>
      </c>
      <c r="W25" s="694"/>
      <c r="X25" s="689">
        <f>IF('2791 June final'!K$84=1,'2791 June final'!G25,0)</f>
        <v>0</v>
      </c>
      <c r="Y25" s="689"/>
      <c r="Z25" s="695">
        <v>1</v>
      </c>
      <c r="AA25" s="695"/>
      <c r="AB25" s="386">
        <f t="shared" si="0"/>
        <v>0</v>
      </c>
      <c r="AC25" s="387">
        <f t="shared" si="1"/>
        <v>0</v>
      </c>
      <c r="AD25" s="343"/>
    </row>
    <row r="26" spans="1:30" ht="20.25" customHeight="1" thickBot="1" x14ac:dyDescent="0.25">
      <c r="B26" s="392" t="s">
        <v>62</v>
      </c>
      <c r="C26" s="392"/>
      <c r="D26" s="393">
        <f t="shared" ref="D26:E26" si="5">SUM(D10:D25)</f>
        <v>53.96</v>
      </c>
      <c r="E26" s="393">
        <f t="shared" si="5"/>
        <v>56.980000000000004</v>
      </c>
      <c r="F26" s="393"/>
      <c r="G26" s="393">
        <f>SUM(G10:G25)</f>
        <v>110.94</v>
      </c>
      <c r="H26" s="394"/>
      <c r="I26" s="394"/>
      <c r="J26" s="395"/>
      <c r="K26" s="396">
        <f>SUM(K10:K25)</f>
        <v>435.47019999999998</v>
      </c>
      <c r="L26" s="397">
        <f>SUM(L10:L25)</f>
        <v>1687282</v>
      </c>
      <c r="N26" s="385"/>
      <c r="O26" s="398"/>
      <c r="P26" s="385"/>
      <c r="Q26" s="385"/>
      <c r="V26" s="696" t="s">
        <v>62</v>
      </c>
      <c r="W26" s="696"/>
      <c r="X26" s="697">
        <f>SUM(X10:X25)</f>
        <v>110.94</v>
      </c>
      <c r="Y26" s="697"/>
      <c r="Z26" s="698"/>
      <c r="AA26" s="699"/>
      <c r="AB26" s="399">
        <f>SUM(AB10:AB25)</f>
        <v>110.94</v>
      </c>
      <c r="AC26" s="400">
        <f>SUM(AC10:AC25)</f>
        <v>429849</v>
      </c>
      <c r="AD26" s="343"/>
    </row>
    <row r="27" spans="1:30" ht="51.75" customHeight="1" x14ac:dyDescent="0.2">
      <c r="B27" s="392" t="s">
        <v>63</v>
      </c>
      <c r="C27" s="392"/>
      <c r="D27" s="401" t="s">
        <v>13</v>
      </c>
      <c r="E27" s="401" t="s">
        <v>14</v>
      </c>
      <c r="F27" s="358"/>
      <c r="G27" s="402" t="s">
        <v>64</v>
      </c>
      <c r="H27" s="403"/>
      <c r="I27" s="404" t="s">
        <v>65</v>
      </c>
      <c r="J27" s="404" t="s">
        <v>66</v>
      </c>
      <c r="K27" s="405" t="s">
        <v>67</v>
      </c>
      <c r="N27" s="385"/>
      <c r="O27" s="398"/>
      <c r="P27" s="385"/>
      <c r="Q27" s="385"/>
      <c r="V27" s="700" t="s">
        <v>63</v>
      </c>
      <c r="W27" s="700"/>
      <c r="X27" s="701" t="s">
        <v>64</v>
      </c>
      <c r="Y27" s="701"/>
      <c r="Z27" s="406" t="s">
        <v>65</v>
      </c>
      <c r="AA27" s="407" t="s">
        <v>66</v>
      </c>
      <c r="AB27" s="408" t="s">
        <v>67</v>
      </c>
      <c r="AC27" s="343"/>
      <c r="AD27" s="343"/>
    </row>
    <row r="28" spans="1:30" ht="15.75" customHeight="1" x14ac:dyDescent="0.25">
      <c r="A28" s="338" t="s">
        <v>68</v>
      </c>
      <c r="B28" s="702" t="s">
        <v>69</v>
      </c>
      <c r="C28" s="703"/>
      <c r="D28" s="344">
        <v>0</v>
      </c>
      <c r="E28" s="344">
        <v>1</v>
      </c>
      <c r="F28" s="409">
        <v>0</v>
      </c>
      <c r="G28" s="377">
        <f t="shared" ref="G28:G36" si="6">D28+E28</f>
        <v>1</v>
      </c>
      <c r="H28" s="410"/>
      <c r="I28" s="411" t="s">
        <v>70</v>
      </c>
      <c r="J28" s="345">
        <v>251</v>
      </c>
      <c r="K28" s="412">
        <v>1047</v>
      </c>
      <c r="L28" s="413">
        <f>ROUND(G28*K28,0)</f>
        <v>1047</v>
      </c>
      <c r="N28" s="414">
        <v>5101</v>
      </c>
      <c r="O28" s="385">
        <v>251</v>
      </c>
      <c r="P28" s="415"/>
      <c r="Q28" s="416"/>
      <c r="V28" s="708" t="s">
        <v>69</v>
      </c>
      <c r="W28" s="708"/>
      <c r="X28" s="709"/>
      <c r="Y28" s="709"/>
      <c r="Z28" s="417" t="s">
        <v>70</v>
      </c>
      <c r="AA28" s="418">
        <v>251</v>
      </c>
      <c r="AB28" s="419">
        <f>+K28</f>
        <v>1047</v>
      </c>
      <c r="AC28" s="420">
        <f t="shared" ref="AC28:AC36" si="7">ROUND(X28*AB28,0)</f>
        <v>0</v>
      </c>
      <c r="AD28" s="343"/>
    </row>
    <row r="29" spans="1:30" ht="15" x14ac:dyDescent="0.25">
      <c r="A29" s="338" t="s">
        <v>71</v>
      </c>
      <c r="B29" s="704"/>
      <c r="C29" s="705"/>
      <c r="D29" s="344">
        <v>0</v>
      </c>
      <c r="E29" s="344">
        <v>0</v>
      </c>
      <c r="F29" s="421">
        <v>0</v>
      </c>
      <c r="G29" s="377">
        <f t="shared" si="6"/>
        <v>0</v>
      </c>
      <c r="H29" s="410"/>
      <c r="I29" s="345" t="s">
        <v>70</v>
      </c>
      <c r="J29" s="345">
        <v>252</v>
      </c>
      <c r="K29" s="412">
        <v>3380</v>
      </c>
      <c r="L29" s="413">
        <f t="shared" ref="L29:L36" si="8">ROUND(G29*K29,0)</f>
        <v>0</v>
      </c>
      <c r="N29" s="414">
        <v>5101</v>
      </c>
      <c r="O29" s="385">
        <v>252</v>
      </c>
      <c r="P29" s="415"/>
      <c r="Q29" s="416"/>
      <c r="V29" s="708"/>
      <c r="W29" s="708"/>
      <c r="X29" s="709"/>
      <c r="Y29" s="709"/>
      <c r="Z29" s="418" t="s">
        <v>70</v>
      </c>
      <c r="AA29" s="418">
        <v>252</v>
      </c>
      <c r="AB29" s="419">
        <f t="shared" ref="AB29:AB36" si="9">+K29</f>
        <v>3380</v>
      </c>
      <c r="AC29" s="420">
        <f t="shared" si="7"/>
        <v>0</v>
      </c>
      <c r="AD29" s="343"/>
    </row>
    <row r="30" spans="1:30" ht="15" x14ac:dyDescent="0.2">
      <c r="A30" s="338" t="s">
        <v>72</v>
      </c>
      <c r="B30" s="704"/>
      <c r="C30" s="705"/>
      <c r="D30" s="344">
        <v>1</v>
      </c>
      <c r="E30" s="344">
        <v>0</v>
      </c>
      <c r="F30" s="421">
        <v>0.5</v>
      </c>
      <c r="G30" s="377">
        <f t="shared" si="6"/>
        <v>1</v>
      </c>
      <c r="H30" s="410"/>
      <c r="I30" s="345" t="s">
        <v>70</v>
      </c>
      <c r="J30" s="345">
        <v>253</v>
      </c>
      <c r="K30" s="412">
        <v>6896</v>
      </c>
      <c r="L30" s="413">
        <f t="shared" si="8"/>
        <v>6896</v>
      </c>
      <c r="N30" s="414">
        <v>5101</v>
      </c>
      <c r="O30" s="385">
        <v>253</v>
      </c>
      <c r="P30" s="415"/>
      <c r="Q30" s="398"/>
      <c r="V30" s="708"/>
      <c r="W30" s="708"/>
      <c r="X30" s="709"/>
      <c r="Y30" s="709"/>
      <c r="Z30" s="418" t="s">
        <v>70</v>
      </c>
      <c r="AA30" s="418">
        <v>253</v>
      </c>
      <c r="AB30" s="419">
        <f t="shared" si="9"/>
        <v>6896</v>
      </c>
      <c r="AC30" s="420">
        <f t="shared" si="7"/>
        <v>0</v>
      </c>
      <c r="AD30" s="343"/>
    </row>
    <row r="31" spans="1:30" ht="15" x14ac:dyDescent="0.2">
      <c r="A31" s="338" t="s">
        <v>73</v>
      </c>
      <c r="B31" s="704"/>
      <c r="C31" s="705"/>
      <c r="D31" s="344">
        <v>0</v>
      </c>
      <c r="E31" s="344">
        <v>0</v>
      </c>
      <c r="F31" s="421">
        <v>0</v>
      </c>
      <c r="G31" s="377">
        <f t="shared" si="6"/>
        <v>0</v>
      </c>
      <c r="H31" s="410"/>
      <c r="I31" s="422" t="s">
        <v>74</v>
      </c>
      <c r="J31" s="345">
        <v>251</v>
      </c>
      <c r="K31" s="412">
        <v>1173</v>
      </c>
      <c r="L31" s="413">
        <f t="shared" si="8"/>
        <v>0</v>
      </c>
      <c r="N31" s="414">
        <v>5102</v>
      </c>
      <c r="O31" s="385">
        <v>251</v>
      </c>
      <c r="P31" s="415"/>
      <c r="Q31" s="398"/>
      <c r="V31" s="708"/>
      <c r="W31" s="708"/>
      <c r="X31" s="709"/>
      <c r="Y31" s="709"/>
      <c r="Z31" s="423" t="s">
        <v>74</v>
      </c>
      <c r="AA31" s="418">
        <v>251</v>
      </c>
      <c r="AB31" s="419">
        <f t="shared" si="9"/>
        <v>1173</v>
      </c>
      <c r="AC31" s="420">
        <f t="shared" si="7"/>
        <v>0</v>
      </c>
      <c r="AD31" s="343"/>
    </row>
    <row r="32" spans="1:30" ht="15" x14ac:dyDescent="0.2">
      <c r="A32" s="338" t="s">
        <v>75</v>
      </c>
      <c r="B32" s="704"/>
      <c r="C32" s="705"/>
      <c r="D32" s="344">
        <v>0.46</v>
      </c>
      <c r="E32" s="344">
        <v>0.46</v>
      </c>
      <c r="F32" s="421">
        <v>0.5</v>
      </c>
      <c r="G32" s="377">
        <f t="shared" si="6"/>
        <v>0.92</v>
      </c>
      <c r="H32" s="410"/>
      <c r="I32" s="422" t="s">
        <v>74</v>
      </c>
      <c r="J32" s="345">
        <v>252</v>
      </c>
      <c r="K32" s="412">
        <v>3506</v>
      </c>
      <c r="L32" s="413">
        <f t="shared" si="8"/>
        <v>3226</v>
      </c>
      <c r="N32" s="414">
        <v>5102</v>
      </c>
      <c r="O32" s="385">
        <v>252</v>
      </c>
      <c r="P32" s="415"/>
      <c r="Q32" s="385"/>
      <c r="V32" s="708"/>
      <c r="W32" s="708"/>
      <c r="X32" s="709"/>
      <c r="Y32" s="709"/>
      <c r="Z32" s="423" t="s">
        <v>74</v>
      </c>
      <c r="AA32" s="418">
        <v>252</v>
      </c>
      <c r="AB32" s="419">
        <f t="shared" si="9"/>
        <v>3506</v>
      </c>
      <c r="AC32" s="420">
        <f t="shared" si="7"/>
        <v>0</v>
      </c>
      <c r="AD32" s="343"/>
    </row>
    <row r="33" spans="1:30" ht="15" x14ac:dyDescent="0.25">
      <c r="A33" s="338" t="s">
        <v>76</v>
      </c>
      <c r="B33" s="704"/>
      <c r="C33" s="705"/>
      <c r="D33" s="344">
        <v>0.5</v>
      </c>
      <c r="E33" s="344">
        <v>0.5</v>
      </c>
      <c r="F33" s="421">
        <v>1.5</v>
      </c>
      <c r="G33" s="377">
        <f t="shared" si="6"/>
        <v>1</v>
      </c>
      <c r="H33" s="410"/>
      <c r="I33" s="422" t="s">
        <v>74</v>
      </c>
      <c r="J33" s="345">
        <v>253</v>
      </c>
      <c r="K33" s="412">
        <v>7023</v>
      </c>
      <c r="L33" s="413">
        <f t="shared" si="8"/>
        <v>7023</v>
      </c>
      <c r="N33" s="414">
        <v>5102</v>
      </c>
      <c r="O33" s="385">
        <v>253</v>
      </c>
      <c r="P33" s="415"/>
      <c r="Q33" s="416"/>
      <c r="V33" s="708"/>
      <c r="W33" s="708"/>
      <c r="X33" s="709"/>
      <c r="Y33" s="709"/>
      <c r="Z33" s="423" t="s">
        <v>74</v>
      </c>
      <c r="AA33" s="418">
        <v>253</v>
      </c>
      <c r="AB33" s="419">
        <f t="shared" si="9"/>
        <v>7023</v>
      </c>
      <c r="AC33" s="420">
        <f t="shared" si="7"/>
        <v>0</v>
      </c>
      <c r="AD33" s="343"/>
    </row>
    <row r="34" spans="1:30" ht="15" x14ac:dyDescent="0.25">
      <c r="A34" s="338" t="s">
        <v>77</v>
      </c>
      <c r="B34" s="704"/>
      <c r="C34" s="705"/>
      <c r="D34" s="344">
        <v>0</v>
      </c>
      <c r="E34" s="344">
        <v>0</v>
      </c>
      <c r="F34" s="421">
        <v>0</v>
      </c>
      <c r="G34" s="377">
        <f t="shared" si="6"/>
        <v>0</v>
      </c>
      <c r="H34" s="410"/>
      <c r="I34" s="422" t="s">
        <v>78</v>
      </c>
      <c r="J34" s="345">
        <v>251</v>
      </c>
      <c r="K34" s="412">
        <v>835</v>
      </c>
      <c r="L34" s="413">
        <f t="shared" si="8"/>
        <v>0</v>
      </c>
      <c r="N34" s="414">
        <v>5103</v>
      </c>
      <c r="O34" s="385">
        <v>251</v>
      </c>
      <c r="P34" s="415"/>
      <c r="Q34" s="416"/>
      <c r="V34" s="708"/>
      <c r="W34" s="708"/>
      <c r="X34" s="709"/>
      <c r="Y34" s="709"/>
      <c r="Z34" s="423" t="s">
        <v>78</v>
      </c>
      <c r="AA34" s="418">
        <v>251</v>
      </c>
      <c r="AB34" s="419">
        <f t="shared" si="9"/>
        <v>835</v>
      </c>
      <c r="AC34" s="420">
        <f t="shared" si="7"/>
        <v>0</v>
      </c>
      <c r="AD34" s="343"/>
    </row>
    <row r="35" spans="1:30" ht="15" x14ac:dyDescent="0.25">
      <c r="A35" s="338" t="s">
        <v>79</v>
      </c>
      <c r="B35" s="704"/>
      <c r="C35" s="705"/>
      <c r="D35" s="344">
        <v>0</v>
      </c>
      <c r="E35" s="344">
        <v>0</v>
      </c>
      <c r="F35" s="421">
        <v>0</v>
      </c>
      <c r="G35" s="377">
        <f t="shared" si="6"/>
        <v>0</v>
      </c>
      <c r="H35" s="410"/>
      <c r="I35" s="422" t="s">
        <v>78</v>
      </c>
      <c r="J35" s="345">
        <v>252</v>
      </c>
      <c r="K35" s="412">
        <v>3168</v>
      </c>
      <c r="L35" s="413">
        <f t="shared" si="8"/>
        <v>0</v>
      </c>
      <c r="N35" s="414">
        <v>5103</v>
      </c>
      <c r="O35" s="385">
        <v>252</v>
      </c>
      <c r="P35" s="415"/>
      <c r="Q35" s="424"/>
      <c r="V35" s="708"/>
      <c r="W35" s="708"/>
      <c r="X35" s="709"/>
      <c r="Y35" s="709"/>
      <c r="Z35" s="423" t="s">
        <v>78</v>
      </c>
      <c r="AA35" s="418">
        <v>252</v>
      </c>
      <c r="AB35" s="419">
        <f t="shared" si="9"/>
        <v>3168</v>
      </c>
      <c r="AC35" s="420">
        <f t="shared" si="7"/>
        <v>0</v>
      </c>
      <c r="AD35" s="343"/>
    </row>
    <row r="36" spans="1:30" ht="15.75" thickBot="1" x14ac:dyDescent="0.3">
      <c r="A36" s="338" t="s">
        <v>80</v>
      </c>
      <c r="B36" s="706"/>
      <c r="C36" s="707"/>
      <c r="D36" s="344">
        <v>0</v>
      </c>
      <c r="E36" s="344">
        <v>0</v>
      </c>
      <c r="F36" s="421">
        <v>0</v>
      </c>
      <c r="G36" s="377">
        <f t="shared" si="6"/>
        <v>0</v>
      </c>
      <c r="H36" s="410"/>
      <c r="I36" s="422" t="s">
        <v>78</v>
      </c>
      <c r="J36" s="345">
        <v>253</v>
      </c>
      <c r="K36" s="412">
        <v>6685</v>
      </c>
      <c r="L36" s="425">
        <f t="shared" si="8"/>
        <v>0</v>
      </c>
      <c r="N36" s="414">
        <v>5103</v>
      </c>
      <c r="O36" s="385">
        <v>253</v>
      </c>
      <c r="P36" s="415"/>
      <c r="Q36" s="426"/>
      <c r="V36" s="708"/>
      <c r="W36" s="708"/>
      <c r="X36" s="715"/>
      <c r="Y36" s="715"/>
      <c r="Z36" s="423" t="s">
        <v>78</v>
      </c>
      <c r="AA36" s="418">
        <v>253</v>
      </c>
      <c r="AB36" s="419">
        <f t="shared" si="9"/>
        <v>6685</v>
      </c>
      <c r="AC36" s="427">
        <f t="shared" si="7"/>
        <v>0</v>
      </c>
      <c r="AD36" s="343"/>
    </row>
    <row r="37" spans="1:30" ht="18.75" customHeight="1" x14ac:dyDescent="0.2">
      <c r="B37" s="344" t="s">
        <v>81</v>
      </c>
      <c r="C37" s="344"/>
      <c r="D37" s="393">
        <f t="shared" ref="D37:E37" si="10">SUM(D28:D36)</f>
        <v>1.96</v>
      </c>
      <c r="E37" s="393">
        <f t="shared" si="10"/>
        <v>1.96</v>
      </c>
      <c r="F37" s="393"/>
      <c r="G37" s="393">
        <f>SUM(G28:G36)</f>
        <v>3.92</v>
      </c>
      <c r="H37" s="394"/>
      <c r="I37" s="344" t="s">
        <v>82</v>
      </c>
      <c r="J37" s="344"/>
      <c r="K37" s="344"/>
      <c r="L37" s="381">
        <f>SUM(L28:L36)</f>
        <v>18192</v>
      </c>
      <c r="N37" s="385"/>
      <c r="O37" s="398"/>
      <c r="P37" s="385"/>
      <c r="Q37" s="385"/>
      <c r="V37" s="716" t="s">
        <v>81</v>
      </c>
      <c r="W37" s="716"/>
      <c r="X37" s="697">
        <f>SUM(X28:X36)</f>
        <v>0</v>
      </c>
      <c r="Y37" s="697"/>
      <c r="Z37" s="716" t="s">
        <v>82</v>
      </c>
      <c r="AA37" s="716"/>
      <c r="AB37" s="716"/>
      <c r="AC37" s="387">
        <f>SUM(AC28:AC36)</f>
        <v>0</v>
      </c>
      <c r="AD37" s="343"/>
    </row>
    <row r="38" spans="1:30" ht="30.75" customHeight="1" x14ac:dyDescent="0.25">
      <c r="B38" s="428" t="s">
        <v>83</v>
      </c>
      <c r="C38" s="428"/>
      <c r="D38" s="428"/>
      <c r="E38" s="428"/>
      <c r="F38" s="428"/>
      <c r="G38" s="428"/>
      <c r="H38" s="429"/>
      <c r="I38" s="428"/>
      <c r="J38" s="428"/>
      <c r="K38" s="428"/>
      <c r="L38" s="428"/>
      <c r="M38" s="430"/>
      <c r="N38" s="385"/>
      <c r="O38" s="398"/>
      <c r="P38" s="385"/>
      <c r="Q38" s="385"/>
      <c r="V38" s="710" t="s">
        <v>83</v>
      </c>
      <c r="W38" s="710"/>
      <c r="X38" s="710"/>
      <c r="Y38" s="710"/>
      <c r="Z38" s="710"/>
      <c r="AA38" s="710"/>
      <c r="AB38" s="710"/>
      <c r="AC38" s="710"/>
      <c r="AD38" s="431"/>
    </row>
    <row r="39" spans="1:30" ht="15.75" customHeight="1" x14ac:dyDescent="0.2">
      <c r="B39" s="111" t="s">
        <v>84</v>
      </c>
      <c r="C39" s="111"/>
      <c r="D39" s="111"/>
      <c r="E39" s="111"/>
      <c r="F39" s="111"/>
      <c r="G39" s="432">
        <v>34389540</v>
      </c>
      <c r="H39" s="432"/>
      <c r="I39" s="344" t="s">
        <v>85</v>
      </c>
      <c r="J39" s="344"/>
      <c r="K39" s="344"/>
      <c r="L39" s="344"/>
      <c r="O39" s="338"/>
      <c r="V39" s="711" t="s">
        <v>84</v>
      </c>
      <c r="W39" s="711"/>
      <c r="X39" s="712">
        <f>+G39</f>
        <v>34389540</v>
      </c>
      <c r="Y39" s="712"/>
      <c r="Z39" s="713" t="s">
        <v>85</v>
      </c>
      <c r="AA39" s="713"/>
      <c r="AB39" s="713"/>
      <c r="AC39" s="713"/>
      <c r="AD39" s="343"/>
    </row>
    <row r="40" spans="1:30" ht="15.75" customHeight="1" x14ac:dyDescent="0.2">
      <c r="B40" s="105" t="s">
        <v>86</v>
      </c>
      <c r="C40" s="105"/>
      <c r="D40" s="105"/>
      <c r="E40" s="105"/>
      <c r="F40" s="105"/>
      <c r="G40" s="433">
        <v>180284.81</v>
      </c>
      <c r="H40" s="433"/>
      <c r="I40" s="433"/>
      <c r="J40" s="433"/>
      <c r="K40" s="381">
        <f>ROUND(G39/G40,0)</f>
        <v>191</v>
      </c>
      <c r="L40" s="381">
        <f>ROUND(K40*$G$26,0)</f>
        <v>21190</v>
      </c>
      <c r="N40" s="434"/>
      <c r="O40" s="434"/>
      <c r="P40" s="434"/>
      <c r="Q40" s="434"/>
      <c r="V40" s="643" t="s">
        <v>86</v>
      </c>
      <c r="W40" s="643"/>
      <c r="X40" s="714">
        <f>+G40</f>
        <v>180284.81</v>
      </c>
      <c r="Y40" s="714"/>
      <c r="Z40" s="714"/>
      <c r="AA40" s="714"/>
      <c r="AB40" s="387">
        <f>ROUND(X39/X40,0)</f>
        <v>191</v>
      </c>
      <c r="AC40" s="387">
        <f>ROUND(AB40*$X$26,0)</f>
        <v>21190</v>
      </c>
      <c r="AD40" s="343"/>
    </row>
    <row r="41" spans="1:30" ht="15.75" customHeight="1" x14ac:dyDescent="0.2">
      <c r="B41" s="435" t="s">
        <v>87</v>
      </c>
      <c r="C41" s="435"/>
      <c r="D41" s="435"/>
      <c r="E41" s="435"/>
      <c r="F41" s="435"/>
      <c r="G41" s="435"/>
      <c r="H41" s="435"/>
      <c r="I41" s="435"/>
      <c r="J41" s="435"/>
      <c r="K41" s="435"/>
      <c r="L41" s="435"/>
      <c r="N41" s="430"/>
      <c r="O41" s="436"/>
      <c r="P41" s="430"/>
      <c r="Q41" s="430"/>
      <c r="V41" s="721" t="s">
        <v>87</v>
      </c>
      <c r="W41" s="721"/>
      <c r="X41" s="721"/>
      <c r="Y41" s="721"/>
      <c r="Z41" s="721"/>
      <c r="AA41" s="721"/>
      <c r="AB41" s="721"/>
      <c r="AC41" s="721"/>
      <c r="AD41" s="343"/>
    </row>
    <row r="42" spans="1:30" ht="28.5" customHeight="1" x14ac:dyDescent="0.25">
      <c r="B42" s="428" t="s">
        <v>88</v>
      </c>
      <c r="C42" s="428"/>
      <c r="D42" s="428"/>
      <c r="E42" s="428"/>
      <c r="F42" s="428"/>
      <c r="G42" s="428"/>
      <c r="H42" s="428"/>
      <c r="I42" s="428"/>
      <c r="J42" s="428"/>
      <c r="K42" s="428"/>
      <c r="L42" s="428"/>
      <c r="M42" s="434"/>
      <c r="O42" s="338"/>
      <c r="V42" s="710" t="s">
        <v>88</v>
      </c>
      <c r="W42" s="710"/>
      <c r="X42" s="710"/>
      <c r="Y42" s="710"/>
      <c r="Z42" s="710"/>
      <c r="AA42" s="710"/>
      <c r="AB42" s="710"/>
      <c r="AC42" s="710"/>
      <c r="AD42" s="437"/>
    </row>
    <row r="43" spans="1:30" x14ac:dyDescent="0.2">
      <c r="B43" s="111" t="s">
        <v>89</v>
      </c>
      <c r="C43" s="111"/>
      <c r="D43" s="111"/>
      <c r="E43" s="111"/>
      <c r="F43" s="111"/>
      <c r="G43" s="111"/>
      <c r="H43" s="111"/>
      <c r="I43" s="111"/>
      <c r="J43" s="111"/>
      <c r="K43" s="111"/>
      <c r="L43" s="111"/>
      <c r="M43" s="438"/>
      <c r="N43" s="430"/>
      <c r="O43" s="430"/>
      <c r="P43" s="430"/>
      <c r="Q43" s="430"/>
      <c r="V43" s="653" t="s">
        <v>89</v>
      </c>
      <c r="W43" s="653"/>
      <c r="X43" s="653"/>
      <c r="Y43" s="653"/>
      <c r="Z43" s="653"/>
      <c r="AA43" s="653"/>
      <c r="AB43" s="653"/>
      <c r="AC43" s="653"/>
      <c r="AD43" s="439"/>
    </row>
    <row r="44" spans="1:30" ht="24" customHeight="1" x14ac:dyDescent="0.2">
      <c r="B44" s="392" t="s">
        <v>90</v>
      </c>
      <c r="C44" s="392"/>
      <c r="D44" s="392"/>
      <c r="E44" s="392"/>
      <c r="F44" s="392"/>
      <c r="G44" s="392"/>
      <c r="H44" s="392"/>
      <c r="I44" s="392"/>
      <c r="J44" s="392"/>
      <c r="K44" s="392"/>
      <c r="L44" s="440">
        <f>SUM(L26,L37,L40)</f>
        <v>1726664</v>
      </c>
      <c r="O44" s="338"/>
      <c r="V44" s="722" t="s">
        <v>90</v>
      </c>
      <c r="W44" s="722"/>
      <c r="X44" s="722"/>
      <c r="Y44" s="722"/>
      <c r="Z44" s="722"/>
      <c r="AA44" s="722"/>
      <c r="AB44" s="722"/>
      <c r="AC44" s="441">
        <f>SUM(AC26,AC37,AC40)</f>
        <v>451039</v>
      </c>
      <c r="AD44" s="343"/>
    </row>
    <row r="45" spans="1:30" ht="30.75" customHeight="1" x14ac:dyDescent="0.25">
      <c r="B45" s="428" t="s">
        <v>91</v>
      </c>
      <c r="C45" s="428"/>
      <c r="D45" s="428"/>
      <c r="E45" s="428"/>
      <c r="F45" s="428"/>
      <c r="G45" s="428"/>
      <c r="H45" s="428"/>
      <c r="I45" s="428"/>
      <c r="J45" s="428"/>
      <c r="K45" s="428"/>
      <c r="L45" s="428"/>
      <c r="M45" s="442"/>
      <c r="O45" s="338"/>
      <c r="V45" s="710" t="s">
        <v>91</v>
      </c>
      <c r="W45" s="710"/>
      <c r="X45" s="710"/>
      <c r="Y45" s="710"/>
      <c r="Z45" s="710"/>
      <c r="AA45" s="710"/>
      <c r="AB45" s="710"/>
      <c r="AC45" s="710"/>
      <c r="AD45" s="443"/>
    </row>
    <row r="46" spans="1:30" ht="18.75" customHeight="1" x14ac:dyDescent="0.2">
      <c r="B46" s="338"/>
      <c r="C46" s="444" t="s">
        <v>92</v>
      </c>
      <c r="D46" s="444"/>
      <c r="E46" s="444"/>
      <c r="F46" s="444"/>
      <c r="G46" s="444" t="s">
        <v>445</v>
      </c>
      <c r="H46" s="445"/>
      <c r="I46" s="446" t="s">
        <v>94</v>
      </c>
      <c r="J46" s="447"/>
      <c r="K46" s="447"/>
      <c r="L46" s="447"/>
      <c r="M46" s="448"/>
      <c r="O46" s="338"/>
      <c r="V46" s="343"/>
      <c r="W46" s="449" t="s">
        <v>92</v>
      </c>
      <c r="X46" s="723" t="s">
        <v>446</v>
      </c>
      <c r="Y46" s="723"/>
      <c r="Z46" s="724" t="s">
        <v>94</v>
      </c>
      <c r="AA46" s="724"/>
      <c r="AB46" s="724"/>
      <c r="AC46" s="724"/>
      <c r="AD46" s="450"/>
    </row>
    <row r="47" spans="1:30" ht="18.75" customHeight="1" x14ac:dyDescent="0.2">
      <c r="B47" s="434" t="s">
        <v>96</v>
      </c>
      <c r="C47" s="451">
        <f>K10+K11+K16+K19+K22</f>
        <v>244.95709999999997</v>
      </c>
      <c r="D47" s="451"/>
      <c r="E47" s="451"/>
      <c r="F47" s="451"/>
      <c r="G47" s="126">
        <f>K7</f>
        <v>1.0326</v>
      </c>
      <c r="H47" s="126"/>
      <c r="I47" s="452">
        <v>1316.85</v>
      </c>
      <c r="J47" s="453" t="s">
        <v>97</v>
      </c>
      <c r="K47" s="454">
        <f>ROUND(C47*G47*I47,0)</f>
        <v>333088</v>
      </c>
      <c r="L47" s="455"/>
      <c r="O47" s="338"/>
      <c r="V47" s="437" t="s">
        <v>96</v>
      </c>
      <c r="W47" s="329">
        <f>AB10+AB11+AB16+AB19+AB22</f>
        <v>63.76</v>
      </c>
      <c r="X47" s="647">
        <f>AB7</f>
        <v>1.0326</v>
      </c>
      <c r="Y47" s="647"/>
      <c r="Z47" s="456">
        <f>+I47</f>
        <v>1316.85</v>
      </c>
      <c r="AA47" s="457" t="s">
        <v>97</v>
      </c>
      <c r="AB47" s="458">
        <f>ROUND(W47*X47*Z47,0)</f>
        <v>86700</v>
      </c>
      <c r="AC47" s="459"/>
      <c r="AD47" s="343"/>
    </row>
    <row r="48" spans="1:30" ht="18" customHeight="1" x14ac:dyDescent="0.2">
      <c r="B48" s="460" t="s">
        <v>74</v>
      </c>
      <c r="C48" s="451">
        <f>K12+K13+K17+K20+K23</f>
        <v>190.51310000000001</v>
      </c>
      <c r="D48" s="451"/>
      <c r="E48" s="451"/>
      <c r="F48" s="451"/>
      <c r="G48" s="126">
        <f>K7</f>
        <v>1.0326</v>
      </c>
      <c r="H48" s="126"/>
      <c r="I48" s="452">
        <v>898.23</v>
      </c>
      <c r="J48" s="453" t="s">
        <v>97</v>
      </c>
      <c r="K48" s="454">
        <f>ROUND(C48*G48*I48,0)</f>
        <v>176703</v>
      </c>
      <c r="L48" s="392"/>
      <c r="O48" s="338"/>
      <c r="V48" s="461" t="s">
        <v>74</v>
      </c>
      <c r="W48" s="329">
        <f>AB12+AB13+AB17+AB20+AB23</f>
        <v>47.18</v>
      </c>
      <c r="X48" s="647">
        <f>AB7</f>
        <v>1.0326</v>
      </c>
      <c r="Y48" s="647"/>
      <c r="Z48" s="456">
        <f>+I48</f>
        <v>898.23</v>
      </c>
      <c r="AA48" s="457" t="s">
        <v>97</v>
      </c>
      <c r="AB48" s="458">
        <f>ROUND(W48*X48*Z48,0)</f>
        <v>43760</v>
      </c>
      <c r="AC48" s="462"/>
      <c r="AD48" s="343"/>
    </row>
    <row r="49" spans="2:30" ht="19.5" customHeight="1" thickBot="1" x14ac:dyDescent="0.3">
      <c r="B49" s="463" t="s">
        <v>78</v>
      </c>
      <c r="C49" s="464">
        <f>K14+K15+K18+K21+K24+K25</f>
        <v>0</v>
      </c>
      <c r="D49" s="451"/>
      <c r="E49" s="451"/>
      <c r="F49" s="451"/>
      <c r="G49" s="126">
        <f>K7</f>
        <v>1.0326</v>
      </c>
      <c r="H49" s="126"/>
      <c r="I49" s="452">
        <v>900.39</v>
      </c>
      <c r="J49" s="453" t="s">
        <v>97</v>
      </c>
      <c r="K49" s="454">
        <f>ROUND(C49*G49*I49,0)</f>
        <v>0</v>
      </c>
      <c r="L49" s="392"/>
      <c r="M49" s="438"/>
      <c r="N49" s="465"/>
      <c r="O49" s="466"/>
      <c r="P49" s="430"/>
      <c r="Q49" s="467"/>
      <c r="V49" s="468" t="s">
        <v>78</v>
      </c>
      <c r="W49" s="469">
        <f>AB14+AB15+AB18+AB21+AB24+AB25</f>
        <v>0</v>
      </c>
      <c r="X49" s="647">
        <f>AB7</f>
        <v>1.0326</v>
      </c>
      <c r="Y49" s="647"/>
      <c r="Z49" s="456">
        <f>+I49</f>
        <v>900.39</v>
      </c>
      <c r="AA49" s="457" t="s">
        <v>97</v>
      </c>
      <c r="AB49" s="458">
        <f>ROUND(W49*X49*Z49,0)</f>
        <v>0</v>
      </c>
      <c r="AC49" s="462"/>
      <c r="AD49" s="439"/>
    </row>
    <row r="50" spans="2:30" ht="24" customHeight="1" thickBot="1" x14ac:dyDescent="0.25">
      <c r="B50" s="470" t="s">
        <v>447</v>
      </c>
      <c r="C50" s="471">
        <f>SUM(C47:C49)</f>
        <v>435.47019999999998</v>
      </c>
      <c r="D50" s="472"/>
      <c r="E50" s="473"/>
      <c r="F50" s="473"/>
      <c r="G50" s="474" t="s">
        <v>99</v>
      </c>
      <c r="H50" s="474"/>
      <c r="I50" s="474"/>
      <c r="J50" s="474"/>
      <c r="K50" s="474"/>
      <c r="L50" s="381">
        <f>IF(B2=75,0,K49+K48+K47)</f>
        <v>509791</v>
      </c>
      <c r="N50" s="340"/>
      <c r="O50" s="338"/>
      <c r="V50" s="475" t="s">
        <v>447</v>
      </c>
      <c r="W50" s="476">
        <f>SUM(W47:W49)</f>
        <v>110.94</v>
      </c>
      <c r="X50" s="717" t="s">
        <v>99</v>
      </c>
      <c r="Y50" s="718"/>
      <c r="Z50" s="718"/>
      <c r="AA50" s="718"/>
      <c r="AB50" s="718"/>
      <c r="AC50" s="387">
        <f>IF(V2=75,0,AB49+AB48+AB47)</f>
        <v>130460</v>
      </c>
      <c r="AD50" s="343"/>
    </row>
    <row r="51" spans="2:30" ht="19.5" customHeight="1" x14ac:dyDescent="0.25">
      <c r="B51" s="477" t="s">
        <v>100</v>
      </c>
      <c r="C51" s="477"/>
      <c r="D51" s="477"/>
      <c r="E51" s="477"/>
      <c r="F51" s="477"/>
      <c r="G51" s="477"/>
      <c r="H51" s="477"/>
      <c r="I51" s="477"/>
      <c r="J51" s="477"/>
      <c r="K51" s="477"/>
      <c r="L51" s="477"/>
      <c r="M51" s="465"/>
      <c r="N51" s="430"/>
      <c r="O51" s="338"/>
      <c r="V51" s="719" t="s">
        <v>100</v>
      </c>
      <c r="W51" s="719"/>
      <c r="X51" s="719"/>
      <c r="Y51" s="719"/>
      <c r="Z51" s="719"/>
      <c r="AA51" s="719"/>
      <c r="AB51" s="719"/>
      <c r="AC51" s="719"/>
      <c r="AD51" s="478"/>
    </row>
    <row r="52" spans="2:30" ht="27.75" customHeight="1" x14ac:dyDescent="0.2">
      <c r="B52" s="344" t="s">
        <v>101</v>
      </c>
      <c r="C52" s="344"/>
      <c r="D52" s="344"/>
      <c r="E52" s="344"/>
      <c r="F52" s="344"/>
      <c r="G52" s="344"/>
      <c r="H52" s="344"/>
      <c r="I52" s="344"/>
      <c r="J52" s="344"/>
      <c r="K52" s="344"/>
      <c r="L52" s="344"/>
      <c r="O52" s="338"/>
      <c r="V52" s="720" t="s">
        <v>101</v>
      </c>
      <c r="W52" s="720"/>
      <c r="X52" s="720"/>
      <c r="Y52" s="720"/>
      <c r="Z52" s="720"/>
      <c r="AA52" s="720"/>
      <c r="AB52" s="720"/>
      <c r="AC52" s="720"/>
      <c r="AD52" s="343"/>
    </row>
    <row r="53" spans="2:30" ht="15" x14ac:dyDescent="0.25">
      <c r="B53" s="344" t="s">
        <v>102</v>
      </c>
      <c r="C53" s="344"/>
      <c r="D53" s="344"/>
      <c r="E53" s="344"/>
      <c r="F53" s="344"/>
      <c r="G53" s="479">
        <f>K26</f>
        <v>435.47019999999998</v>
      </c>
      <c r="H53" s="388" t="s">
        <v>103</v>
      </c>
      <c r="I53" s="388"/>
      <c r="J53" s="480">
        <v>197823.77</v>
      </c>
      <c r="K53" s="480"/>
      <c r="L53" s="480"/>
      <c r="N53" s="340"/>
      <c r="O53" s="338"/>
      <c r="V53" s="725" t="s">
        <v>102</v>
      </c>
      <c r="W53" s="725"/>
      <c r="X53" s="481">
        <f>AB26</f>
        <v>110.94</v>
      </c>
      <c r="Y53" s="726" t="s">
        <v>103</v>
      </c>
      <c r="Z53" s="726"/>
      <c r="AA53" s="727">
        <f>+J53</f>
        <v>197823.77</v>
      </c>
      <c r="AB53" s="727"/>
      <c r="AC53" s="727"/>
      <c r="AD53" s="343"/>
    </row>
    <row r="54" spans="2:30" x14ac:dyDescent="0.2">
      <c r="B54" s="344" t="s">
        <v>104</v>
      </c>
      <c r="C54" s="344"/>
      <c r="D54" s="344"/>
      <c r="E54" s="344"/>
      <c r="F54" s="344"/>
      <c r="G54" s="344"/>
      <c r="H54" s="344"/>
      <c r="I54" s="344"/>
      <c r="J54" s="344"/>
      <c r="K54" s="482">
        <f>ROUND(G53/J53,6)</f>
        <v>2.2009999999999998E-3</v>
      </c>
      <c r="L54" s="482"/>
      <c r="N54" s="430"/>
      <c r="O54" s="338"/>
      <c r="V54" s="725" t="s">
        <v>104</v>
      </c>
      <c r="W54" s="725"/>
      <c r="X54" s="725"/>
      <c r="Y54" s="725"/>
      <c r="Z54" s="725"/>
      <c r="AA54" s="725"/>
      <c r="AB54" s="728">
        <f>ROUND(X53/AA53,6)</f>
        <v>5.6099999999999998E-4</v>
      </c>
      <c r="AC54" s="728"/>
      <c r="AD54" s="343"/>
    </row>
    <row r="55" spans="2:30" ht="24" customHeight="1" x14ac:dyDescent="0.2">
      <c r="B55" s="344" t="s">
        <v>105</v>
      </c>
      <c r="C55" s="344"/>
      <c r="D55" s="344"/>
      <c r="E55" s="344"/>
      <c r="F55" s="344"/>
      <c r="G55" s="344"/>
      <c r="H55" s="344"/>
      <c r="I55" s="344"/>
      <c r="J55" s="344"/>
      <c r="K55" s="344"/>
      <c r="L55" s="344"/>
      <c r="O55" s="338"/>
      <c r="V55" s="720" t="s">
        <v>105</v>
      </c>
      <c r="W55" s="720"/>
      <c r="X55" s="720"/>
      <c r="Y55" s="720"/>
      <c r="Z55" s="720"/>
      <c r="AA55" s="720"/>
      <c r="AB55" s="720"/>
      <c r="AC55" s="720"/>
      <c r="AD55" s="343"/>
    </row>
    <row r="56" spans="2:30" ht="15" x14ac:dyDescent="0.25">
      <c r="B56" s="344" t="s">
        <v>106</v>
      </c>
      <c r="C56" s="344"/>
      <c r="D56" s="344"/>
      <c r="E56" s="344"/>
      <c r="F56" s="344"/>
      <c r="G56" s="483">
        <f>G26</f>
        <v>110.94</v>
      </c>
      <c r="H56" s="388" t="s">
        <v>107</v>
      </c>
      <c r="I56" s="388"/>
      <c r="J56" s="480">
        <f>+G40</f>
        <v>180284.81</v>
      </c>
      <c r="K56" s="480"/>
      <c r="L56" s="480"/>
      <c r="O56" s="338"/>
      <c r="V56" s="725" t="s">
        <v>106</v>
      </c>
      <c r="W56" s="725"/>
      <c r="X56" s="484">
        <f>X26</f>
        <v>110.94</v>
      </c>
      <c r="Y56" s="726" t="s">
        <v>107</v>
      </c>
      <c r="Z56" s="726"/>
      <c r="AA56" s="727">
        <f>+J56</f>
        <v>180284.81</v>
      </c>
      <c r="AB56" s="727"/>
      <c r="AC56" s="727"/>
      <c r="AD56" s="343"/>
    </row>
    <row r="57" spans="2:30" x14ac:dyDescent="0.2">
      <c r="B57" s="344" t="s">
        <v>108</v>
      </c>
      <c r="C57" s="344"/>
      <c r="D57" s="344"/>
      <c r="E57" s="344"/>
      <c r="F57" s="344"/>
      <c r="G57" s="344"/>
      <c r="H57" s="344"/>
      <c r="I57" s="344"/>
      <c r="J57" s="344"/>
      <c r="K57" s="482">
        <f>ROUND(G56/J56,6)</f>
        <v>6.1499999999999999E-4</v>
      </c>
      <c r="L57" s="482"/>
      <c r="O57" s="338"/>
      <c r="V57" s="725" t="s">
        <v>108</v>
      </c>
      <c r="W57" s="725"/>
      <c r="X57" s="725"/>
      <c r="Y57" s="725"/>
      <c r="Z57" s="725"/>
      <c r="AA57" s="725"/>
      <c r="AB57" s="728">
        <f>ROUND(X56/AA56,6)</f>
        <v>6.1499999999999999E-4</v>
      </c>
      <c r="AC57" s="728"/>
      <c r="AD57" s="343"/>
    </row>
    <row r="58" spans="2:30" ht="20.25" customHeight="1" x14ac:dyDescent="0.2">
      <c r="B58" s="485" t="s">
        <v>109</v>
      </c>
      <c r="C58" s="485"/>
      <c r="D58" s="485"/>
      <c r="E58" s="485"/>
      <c r="F58" s="485"/>
      <c r="G58" s="485"/>
      <c r="H58" s="485"/>
      <c r="I58" s="485"/>
      <c r="J58" s="485"/>
      <c r="K58" s="485"/>
      <c r="L58" s="485"/>
      <c r="N58" s="349"/>
      <c r="O58" s="349"/>
      <c r="V58" s="700" t="s">
        <v>110</v>
      </c>
      <c r="W58" s="700"/>
      <c r="X58" s="700"/>
      <c r="Y58" s="729">
        <f>X65+X64+X62+X61+X60</f>
        <v>4123852</v>
      </c>
      <c r="Z58" s="729"/>
      <c r="AA58" s="486" t="s">
        <v>111</v>
      </c>
      <c r="AB58" s="487">
        <f>AB54</f>
        <v>5.6099999999999998E-4</v>
      </c>
      <c r="AC58" s="387">
        <f>ROUND(Y58*AB58,0)</f>
        <v>2313</v>
      </c>
      <c r="AD58" s="343"/>
    </row>
    <row r="59" spans="2:30" x14ac:dyDescent="0.2">
      <c r="B59" s="392" t="s">
        <v>110</v>
      </c>
      <c r="C59" s="392"/>
      <c r="D59" s="392"/>
      <c r="E59" s="392"/>
      <c r="F59" s="392"/>
      <c r="G59" s="392"/>
      <c r="H59" s="488" t="s">
        <v>22</v>
      </c>
      <c r="I59" s="454">
        <v>4123852</v>
      </c>
      <c r="J59" s="489" t="s">
        <v>111</v>
      </c>
      <c r="K59" s="490">
        <f>K54</f>
        <v>2.2009999999999998E-3</v>
      </c>
      <c r="L59" s="381">
        <f>ROUND(I59*K59,0)</f>
        <v>9077</v>
      </c>
      <c r="O59" s="338"/>
      <c r="P59" s="489"/>
      <c r="Q59" s="489"/>
      <c r="V59" s="730" t="s">
        <v>112</v>
      </c>
      <c r="W59" s="730"/>
      <c r="X59" s="730"/>
      <c r="Y59" s="730"/>
      <c r="Z59" s="730"/>
      <c r="AA59" s="730"/>
      <c r="AB59" s="730"/>
      <c r="AC59" s="730"/>
      <c r="AD59" s="343"/>
    </row>
    <row r="60" spans="2:30" x14ac:dyDescent="0.2">
      <c r="B60" s="392" t="s">
        <v>112</v>
      </c>
      <c r="C60" s="392"/>
      <c r="D60" s="392"/>
      <c r="E60" s="392"/>
      <c r="F60" s="392"/>
      <c r="G60" s="392"/>
      <c r="H60" s="392"/>
      <c r="I60" s="392"/>
      <c r="J60" s="392"/>
      <c r="K60" s="392"/>
      <c r="L60" s="392"/>
      <c r="O60" s="338"/>
      <c r="P60" s="489"/>
      <c r="Q60" s="489"/>
      <c r="V60" s="731" t="s">
        <v>113</v>
      </c>
      <c r="W60" s="731"/>
      <c r="X60" s="732">
        <f>+G61</f>
        <v>0</v>
      </c>
      <c r="Y60" s="732"/>
      <c r="Z60" s="732"/>
      <c r="AA60" s="732"/>
      <c r="AB60" s="732"/>
      <c r="AC60" s="732"/>
      <c r="AD60" s="343"/>
    </row>
    <row r="61" spans="2:30" ht="15" customHeight="1" x14ac:dyDescent="0.2">
      <c r="B61" s="491" t="s">
        <v>113</v>
      </c>
      <c r="C61" s="392"/>
      <c r="D61" s="392"/>
      <c r="E61" s="392"/>
      <c r="F61" s="392"/>
      <c r="G61" s="492">
        <v>0</v>
      </c>
      <c r="H61" s="492"/>
      <c r="I61" s="492"/>
      <c r="J61" s="492"/>
      <c r="K61" s="492"/>
      <c r="L61" s="492"/>
      <c r="O61" s="338"/>
      <c r="P61" s="489"/>
      <c r="Q61" s="489"/>
      <c r="V61" s="731" t="s">
        <v>114</v>
      </c>
      <c r="W61" s="731"/>
      <c r="X61" s="732">
        <f>+G62</f>
        <v>0</v>
      </c>
      <c r="Y61" s="732"/>
      <c r="Z61" s="732"/>
      <c r="AA61" s="732"/>
      <c r="AB61" s="732"/>
      <c r="AC61" s="732"/>
      <c r="AD61" s="343"/>
    </row>
    <row r="62" spans="2:30" ht="13.5" customHeight="1" x14ac:dyDescent="0.2">
      <c r="B62" s="491" t="s">
        <v>114</v>
      </c>
      <c r="C62" s="392"/>
      <c r="D62" s="392"/>
      <c r="E62" s="392"/>
      <c r="F62" s="392"/>
      <c r="G62" s="492">
        <v>0</v>
      </c>
      <c r="H62" s="492"/>
      <c r="I62" s="492"/>
      <c r="J62" s="492"/>
      <c r="K62" s="492"/>
      <c r="L62" s="492"/>
      <c r="N62" s="489"/>
      <c r="O62" s="489"/>
      <c r="P62" s="489"/>
      <c r="Q62" s="489"/>
      <c r="V62" s="731" t="s">
        <v>115</v>
      </c>
      <c r="W62" s="731"/>
      <c r="X62" s="732">
        <v>0</v>
      </c>
      <c r="Y62" s="732"/>
      <c r="Z62" s="732"/>
      <c r="AA62" s="732"/>
      <c r="AB62" s="732"/>
      <c r="AC62" s="732"/>
      <c r="AD62" s="343"/>
    </row>
    <row r="63" spans="2:30" ht="13.5" hidden="1" customHeight="1" x14ac:dyDescent="0.2">
      <c r="B63" s="392" t="s">
        <v>115</v>
      </c>
      <c r="C63" s="392"/>
      <c r="D63" s="392"/>
      <c r="E63" s="392"/>
      <c r="F63" s="392"/>
      <c r="G63" s="492">
        <v>0</v>
      </c>
      <c r="H63" s="492"/>
      <c r="I63" s="492"/>
      <c r="J63" s="492"/>
      <c r="K63" s="492"/>
      <c r="L63" s="492"/>
      <c r="O63" s="338"/>
      <c r="P63" s="489"/>
      <c r="Q63" s="489"/>
      <c r="V63" s="730" t="s">
        <v>116</v>
      </c>
      <c r="W63" s="730"/>
      <c r="X63" s="730"/>
      <c r="Y63" s="730"/>
      <c r="Z63" s="730"/>
      <c r="AA63" s="730"/>
      <c r="AB63" s="730"/>
      <c r="AC63" s="730"/>
      <c r="AD63" s="443"/>
    </row>
    <row r="64" spans="2:30" ht="13.5" customHeight="1" x14ac:dyDescent="0.2">
      <c r="B64" s="392" t="s">
        <v>116</v>
      </c>
      <c r="C64" s="392"/>
      <c r="D64" s="392"/>
      <c r="E64" s="392"/>
      <c r="F64" s="392"/>
      <c r="G64" s="392"/>
      <c r="H64" s="392"/>
      <c r="I64" s="392"/>
      <c r="J64" s="392"/>
      <c r="K64" s="392"/>
      <c r="L64" s="392"/>
      <c r="M64" s="442"/>
      <c r="N64" s="349"/>
      <c r="O64" s="338"/>
      <c r="V64" s="731" t="s">
        <v>117</v>
      </c>
      <c r="W64" s="731"/>
      <c r="X64" s="732">
        <f>+G65</f>
        <v>4123852</v>
      </c>
      <c r="Y64" s="732"/>
      <c r="Z64" s="732"/>
      <c r="AA64" s="732"/>
      <c r="AB64" s="732"/>
      <c r="AC64" s="732"/>
      <c r="AD64" s="343"/>
    </row>
    <row r="65" spans="1:30" ht="12.75" customHeight="1" x14ac:dyDescent="0.2">
      <c r="B65" s="491" t="s">
        <v>117</v>
      </c>
      <c r="C65" s="392"/>
      <c r="D65" s="392"/>
      <c r="E65" s="392"/>
      <c r="F65" s="392"/>
      <c r="G65" s="492">
        <f>+I59</f>
        <v>4123852</v>
      </c>
      <c r="H65" s="492"/>
      <c r="I65" s="492"/>
      <c r="J65" s="492"/>
      <c r="K65" s="492"/>
      <c r="L65" s="492"/>
      <c r="O65" s="338"/>
      <c r="V65" s="731" t="s">
        <v>118</v>
      </c>
      <c r="W65" s="731"/>
      <c r="X65" s="732">
        <f>+G66</f>
        <v>0</v>
      </c>
      <c r="Y65" s="732"/>
      <c r="Z65" s="732"/>
      <c r="AA65" s="732"/>
      <c r="AB65" s="732"/>
      <c r="AC65" s="732"/>
      <c r="AD65" s="351"/>
    </row>
    <row r="66" spans="1:30" ht="15" customHeight="1" x14ac:dyDescent="0.25">
      <c r="B66" s="491" t="s">
        <v>118</v>
      </c>
      <c r="C66" s="392"/>
      <c r="D66" s="392"/>
      <c r="E66" s="392"/>
      <c r="F66" s="392"/>
      <c r="G66" s="492">
        <v>0</v>
      </c>
      <c r="H66" s="492"/>
      <c r="I66" s="492"/>
      <c r="J66" s="492"/>
      <c r="K66" s="492"/>
      <c r="L66" s="492"/>
      <c r="M66" s="349"/>
      <c r="N66" s="340"/>
      <c r="O66" s="493"/>
      <c r="P66" s="493"/>
      <c r="Q66" s="493"/>
      <c r="V66" s="720" t="s">
        <v>119</v>
      </c>
      <c r="W66" s="720"/>
      <c r="X66" s="720"/>
      <c r="Y66" s="729">
        <f>+I67</f>
        <v>96774526</v>
      </c>
      <c r="Z66" s="729"/>
      <c r="AA66" s="486" t="s">
        <v>111</v>
      </c>
      <c r="AB66" s="487">
        <f>AB54</f>
        <v>5.6099999999999998E-4</v>
      </c>
      <c r="AC66" s="387">
        <f>ROUND(Y66*AB66,0)</f>
        <v>54291</v>
      </c>
      <c r="AD66" s="343"/>
    </row>
    <row r="67" spans="1:30" ht="20.25" customHeight="1" x14ac:dyDescent="0.2">
      <c r="B67" s="344" t="s">
        <v>119</v>
      </c>
      <c r="C67" s="344"/>
      <c r="D67" s="344"/>
      <c r="E67" s="344"/>
      <c r="F67" s="344"/>
      <c r="H67" s="488" t="s">
        <v>25</v>
      </c>
      <c r="I67" s="454">
        <v>96774526</v>
      </c>
      <c r="J67" s="489" t="s">
        <v>111</v>
      </c>
      <c r="K67" s="490">
        <f>K54</f>
        <v>2.2009999999999998E-3</v>
      </c>
      <c r="L67" s="381">
        <f>ROUND(I67*K67,0)</f>
        <v>213001</v>
      </c>
      <c r="O67" s="338"/>
      <c r="V67" s="720" t="s">
        <v>120</v>
      </c>
      <c r="W67" s="720"/>
      <c r="X67" s="720"/>
      <c r="Y67" s="720"/>
      <c r="Z67" s="720"/>
      <c r="AA67" s="720"/>
      <c r="AB67" s="720"/>
      <c r="AC67" s="720"/>
      <c r="AD67" s="343"/>
    </row>
    <row r="68" spans="1:30" ht="20.25" customHeight="1" x14ac:dyDescent="0.2">
      <c r="B68" s="344" t="s">
        <v>120</v>
      </c>
      <c r="C68" s="344"/>
      <c r="D68" s="344"/>
      <c r="E68" s="344"/>
      <c r="F68" s="344"/>
      <c r="H68" s="344"/>
      <c r="I68" s="344"/>
      <c r="J68" s="345"/>
      <c r="K68" s="344"/>
      <c r="L68" s="344"/>
      <c r="O68" s="338"/>
      <c r="V68" s="735" t="s">
        <v>121</v>
      </c>
      <c r="W68" s="735"/>
      <c r="X68" s="735"/>
      <c r="Y68" s="729">
        <f>+I69</f>
        <v>0</v>
      </c>
      <c r="Z68" s="729"/>
      <c r="AA68" s="486" t="s">
        <v>111</v>
      </c>
      <c r="AB68" s="487">
        <f>AB57</f>
        <v>6.1499999999999999E-4</v>
      </c>
      <c r="AC68" s="387">
        <f>ROUND(Y68*AB68,0)</f>
        <v>0</v>
      </c>
      <c r="AD68" s="343"/>
    </row>
    <row r="69" spans="1:30" ht="15" customHeight="1" x14ac:dyDescent="0.2">
      <c r="B69" s="494" t="s">
        <v>121</v>
      </c>
      <c r="C69" s="344"/>
      <c r="D69" s="344"/>
      <c r="E69" s="344"/>
      <c r="F69" s="344"/>
      <c r="H69" s="488" t="s">
        <v>23</v>
      </c>
      <c r="I69" s="454">
        <v>0</v>
      </c>
      <c r="J69" s="489" t="s">
        <v>111</v>
      </c>
      <c r="K69" s="490">
        <f>K57</f>
        <v>6.1499999999999999E-4</v>
      </c>
      <c r="L69" s="381">
        <f>ROUND(I69*K69,0)</f>
        <v>0</v>
      </c>
      <c r="O69" s="338"/>
      <c r="V69" s="720" t="s">
        <v>122</v>
      </c>
      <c r="W69" s="720"/>
      <c r="X69" s="720"/>
      <c r="Y69" s="736">
        <f>+I70</f>
        <v>-3460775</v>
      </c>
      <c r="Z69" s="736"/>
      <c r="AA69" s="486" t="s">
        <v>111</v>
      </c>
      <c r="AB69" s="487">
        <f>AB54</f>
        <v>5.6099999999999998E-4</v>
      </c>
      <c r="AC69" s="387">
        <f>ROUND(Y69*AB69,0)</f>
        <v>-1941</v>
      </c>
      <c r="AD69" s="343"/>
    </row>
    <row r="70" spans="1:30" ht="20.25" customHeight="1" x14ac:dyDescent="0.2">
      <c r="B70" s="344" t="s">
        <v>122</v>
      </c>
      <c r="C70" s="344"/>
      <c r="D70" s="344"/>
      <c r="E70" s="344"/>
      <c r="F70" s="344"/>
      <c r="H70" s="488" t="s">
        <v>22</v>
      </c>
      <c r="I70" s="454">
        <v>-3460775</v>
      </c>
      <c r="J70" s="489" t="s">
        <v>111</v>
      </c>
      <c r="K70" s="490">
        <f>K54</f>
        <v>2.2009999999999998E-3</v>
      </c>
      <c r="L70" s="381">
        <f>ROUND(I70*K70,0)</f>
        <v>-7617</v>
      </c>
      <c r="O70" s="338"/>
      <c r="V70" s="720" t="s">
        <v>123</v>
      </c>
      <c r="W70" s="720"/>
      <c r="X70" s="720"/>
      <c r="Y70" s="733">
        <f>+I71</f>
        <v>1874788</v>
      </c>
      <c r="Z70" s="733"/>
      <c r="AA70" s="486" t="s">
        <v>111</v>
      </c>
      <c r="AB70" s="487">
        <f>AB54</f>
        <v>5.6099999999999998E-4</v>
      </c>
      <c r="AC70" s="387">
        <f>ROUND(Y70*AB70,0)</f>
        <v>1052</v>
      </c>
      <c r="AD70" s="343"/>
    </row>
    <row r="71" spans="1:30" ht="20.25" customHeight="1" x14ac:dyDescent="0.2">
      <c r="B71" s="344" t="s">
        <v>123</v>
      </c>
      <c r="C71" s="344"/>
      <c r="D71" s="344"/>
      <c r="E71" s="344"/>
      <c r="F71" s="344"/>
      <c r="H71" s="488" t="s">
        <v>22</v>
      </c>
      <c r="I71" s="454">
        <v>1874788</v>
      </c>
      <c r="J71" s="489" t="s">
        <v>111</v>
      </c>
      <c r="K71" s="490">
        <f>K54</f>
        <v>2.2009999999999998E-3</v>
      </c>
      <c r="L71" s="381">
        <f>ROUND(I71*K71,0)</f>
        <v>4126</v>
      </c>
      <c r="O71" s="338"/>
      <c r="V71" s="720" t="s">
        <v>124</v>
      </c>
      <c r="W71" s="720"/>
      <c r="X71" s="720"/>
      <c r="Y71" s="733">
        <f>+I72</f>
        <v>14223298</v>
      </c>
      <c r="Z71" s="733"/>
      <c r="AA71" s="486" t="s">
        <v>111</v>
      </c>
      <c r="AB71" s="487">
        <f>AB57</f>
        <v>6.1499999999999999E-4</v>
      </c>
      <c r="AC71" s="387">
        <f>ROUND(Y71*AB71,0)</f>
        <v>8747</v>
      </c>
      <c r="AD71" s="343"/>
    </row>
    <row r="72" spans="1:30" ht="21" customHeight="1" x14ac:dyDescent="0.25">
      <c r="B72" s="344" t="s">
        <v>124</v>
      </c>
      <c r="C72" s="344"/>
      <c r="D72" s="344"/>
      <c r="E72" s="344"/>
      <c r="F72" s="344"/>
      <c r="H72" s="488" t="s">
        <v>23</v>
      </c>
      <c r="I72" s="495">
        <v>14223298</v>
      </c>
      <c r="J72" s="489" t="s">
        <v>111</v>
      </c>
      <c r="K72" s="490">
        <f>K57</f>
        <v>6.1499999999999999E-4</v>
      </c>
      <c r="L72" s="381">
        <f>ROUND(I72*K72,0)</f>
        <v>8747</v>
      </c>
      <c r="O72" s="338"/>
      <c r="V72" s="694" t="s">
        <v>448</v>
      </c>
      <c r="W72" s="694"/>
      <c r="X72" s="694"/>
      <c r="Y72" s="694"/>
      <c r="Z72" s="694"/>
      <c r="AA72" s="694"/>
      <c r="AB72" s="694"/>
      <c r="AC72" s="391"/>
      <c r="AD72" s="343"/>
    </row>
    <row r="73" spans="1:30" ht="17.25" customHeight="1" x14ac:dyDescent="0.25">
      <c r="B73" s="344" t="s">
        <v>448</v>
      </c>
      <c r="C73" s="344"/>
      <c r="D73" s="344"/>
      <c r="E73" s="344"/>
      <c r="F73" s="344"/>
      <c r="H73" s="344"/>
      <c r="I73" s="344"/>
      <c r="J73" s="345"/>
      <c r="K73" s="344"/>
      <c r="L73" s="390"/>
      <c r="O73" s="338"/>
      <c r="V73" s="720" t="s">
        <v>126</v>
      </c>
      <c r="W73" s="720"/>
      <c r="X73" s="720"/>
      <c r="Y73" s="720"/>
      <c r="Z73" s="720"/>
      <c r="AA73" s="720"/>
      <c r="AB73" s="720"/>
      <c r="AC73" s="720"/>
      <c r="AD73" s="343"/>
    </row>
    <row r="74" spans="1:30" ht="28.5" x14ac:dyDescent="0.2">
      <c r="B74" s="344" t="s">
        <v>126</v>
      </c>
      <c r="C74" s="344"/>
      <c r="D74" s="358" t="s">
        <v>13</v>
      </c>
      <c r="E74" s="358" t="s">
        <v>14</v>
      </c>
      <c r="F74" s="358"/>
      <c r="H74" s="488" t="s">
        <v>26</v>
      </c>
      <c r="I74" s="496"/>
      <c r="J74" s="488"/>
      <c r="K74" s="496"/>
      <c r="L74" s="438"/>
      <c r="O74" s="338"/>
      <c r="V74" s="734" t="s">
        <v>127</v>
      </c>
      <c r="W74" s="734"/>
      <c r="X74" s="497" t="s">
        <v>128</v>
      </c>
      <c r="Y74" s="498"/>
      <c r="Z74" s="499">
        <f>+I75</f>
        <v>109.5</v>
      </c>
      <c r="AA74" s="500" t="s">
        <v>129</v>
      </c>
      <c r="AB74" s="501">
        <f>+K75</f>
        <v>361</v>
      </c>
      <c r="AC74" s="387">
        <f>ROUND(AB74*Z74,0)</f>
        <v>39530</v>
      </c>
      <c r="AD74" s="343"/>
    </row>
    <row r="75" spans="1:30" ht="19.5" customHeight="1" x14ac:dyDescent="0.2">
      <c r="A75" s="338" t="s">
        <v>130</v>
      </c>
      <c r="B75" s="502" t="s">
        <v>127</v>
      </c>
      <c r="C75" s="503" t="s">
        <v>128</v>
      </c>
      <c r="D75" s="502">
        <v>107</v>
      </c>
      <c r="E75" s="502">
        <v>112</v>
      </c>
      <c r="F75" s="502">
        <v>0</v>
      </c>
      <c r="G75" s="504">
        <f>IF(E75=0,D75,E75)</f>
        <v>112</v>
      </c>
      <c r="H75" s="505"/>
      <c r="I75" s="506">
        <f>AVERAGE(G75,D75)</f>
        <v>109.5</v>
      </c>
      <c r="J75" s="507" t="s">
        <v>129</v>
      </c>
      <c r="K75" s="508">
        <v>361</v>
      </c>
      <c r="L75" s="381">
        <f>ROUND(K75*I75,0)</f>
        <v>39530</v>
      </c>
      <c r="N75" s="338">
        <v>7802</v>
      </c>
      <c r="O75" s="338">
        <v>0</v>
      </c>
      <c r="V75" s="734" t="s">
        <v>127</v>
      </c>
      <c r="W75" s="734"/>
      <c r="X75" s="497" t="s">
        <v>131</v>
      </c>
      <c r="Y75" s="509"/>
      <c r="Z75" s="510"/>
      <c r="AA75" s="500" t="s">
        <v>129</v>
      </c>
      <c r="AB75" s="511">
        <f>+K76</f>
        <v>1358</v>
      </c>
      <c r="AC75" s="387">
        <f>ROUND(AB75*Z75,0)</f>
        <v>0</v>
      </c>
      <c r="AD75" s="343"/>
    </row>
    <row r="76" spans="1:30" ht="19.5" customHeight="1" x14ac:dyDescent="0.2">
      <c r="A76" s="338" t="s">
        <v>132</v>
      </c>
      <c r="B76" s="502" t="s">
        <v>127</v>
      </c>
      <c r="C76" s="503" t="s">
        <v>131</v>
      </c>
      <c r="D76" s="502">
        <v>0</v>
      </c>
      <c r="E76" s="502">
        <v>0</v>
      </c>
      <c r="F76" s="502">
        <v>0</v>
      </c>
      <c r="G76" s="504">
        <f>IF(E76=0,D76,E76)</f>
        <v>0</v>
      </c>
      <c r="H76" s="505"/>
      <c r="I76" s="506">
        <f>AVERAGE(G76,D76)</f>
        <v>0</v>
      </c>
      <c r="J76" s="507" t="s">
        <v>129</v>
      </c>
      <c r="K76" s="512">
        <v>1358</v>
      </c>
      <c r="L76" s="381">
        <f>ROUND(K76*I76,0)</f>
        <v>0</v>
      </c>
      <c r="N76" s="338">
        <v>7802</v>
      </c>
      <c r="O76" s="338">
        <v>110</v>
      </c>
      <c r="V76" s="720" t="s">
        <v>133</v>
      </c>
      <c r="W76" s="720"/>
      <c r="X76" s="720"/>
      <c r="Y76" s="729">
        <f>+I77</f>
        <v>33305823</v>
      </c>
      <c r="Z76" s="729"/>
      <c r="AA76" s="500" t="s">
        <v>129</v>
      </c>
      <c r="AB76" s="487">
        <f>AB54</f>
        <v>5.6099999999999998E-4</v>
      </c>
      <c r="AC76" s="387">
        <f>ROUND(Y76*AB76,0)</f>
        <v>18685</v>
      </c>
      <c r="AD76" s="343"/>
    </row>
    <row r="77" spans="1:30" ht="26.25" customHeight="1" x14ac:dyDescent="0.2">
      <c r="B77" s="344" t="s">
        <v>133</v>
      </c>
      <c r="C77" s="344"/>
      <c r="D77" s="344"/>
      <c r="E77" s="344"/>
      <c r="F77" s="344"/>
      <c r="H77" s="488" t="s">
        <v>134</v>
      </c>
      <c r="I77" s="513">
        <v>33305823</v>
      </c>
      <c r="J77" s="489" t="s">
        <v>111</v>
      </c>
      <c r="K77" s="490">
        <f>K54</f>
        <v>2.2009999999999998E-3</v>
      </c>
      <c r="L77" s="381">
        <f>ROUND(I77*K77,0)</f>
        <v>73306</v>
      </c>
      <c r="O77" s="338"/>
      <c r="V77" s="720" t="str">
        <f>+B78</f>
        <v>15.  Additional Allocation (WFTE share)</v>
      </c>
      <c r="W77" s="720"/>
      <c r="X77" s="720"/>
      <c r="Y77" s="729">
        <f>+I78</f>
        <v>680688</v>
      </c>
      <c r="Z77" s="729"/>
      <c r="AA77" s="500" t="s">
        <v>129</v>
      </c>
      <c r="AB77" s="487">
        <f>AB54</f>
        <v>5.6099999999999998E-4</v>
      </c>
      <c r="AC77" s="387">
        <f>ROUND(Y77*AB77,0)</f>
        <v>382</v>
      </c>
      <c r="AD77" s="343"/>
    </row>
    <row r="78" spans="1:30" ht="26.25" customHeight="1" x14ac:dyDescent="0.2">
      <c r="B78" s="737" t="s">
        <v>135</v>
      </c>
      <c r="C78" s="737"/>
      <c r="D78" s="737"/>
      <c r="E78" s="344"/>
      <c r="F78" s="344"/>
      <c r="H78" s="488" t="s">
        <v>136</v>
      </c>
      <c r="I78" s="514">
        <v>680688</v>
      </c>
      <c r="J78" s="489" t="s">
        <v>111</v>
      </c>
      <c r="K78" s="490">
        <f>K54</f>
        <v>2.2009999999999998E-3</v>
      </c>
      <c r="L78" s="381">
        <f>ROUND(I78*K78,0)</f>
        <v>1498</v>
      </c>
      <c r="O78" s="338"/>
      <c r="V78" s="720" t="str">
        <f t="shared" ref="V78:V79" si="11">+B79</f>
        <v>16.  Florida Teachers Lead Program Stipend</v>
      </c>
      <c r="W78" s="720"/>
      <c r="X78" s="720"/>
      <c r="Y78" s="346"/>
      <c r="Z78" s="346"/>
      <c r="AA78" s="346"/>
      <c r="AB78" s="346"/>
      <c r="AC78" s="458"/>
      <c r="AD78" s="343"/>
    </row>
    <row r="79" spans="1:30" ht="21" customHeight="1" x14ac:dyDescent="0.2">
      <c r="B79" s="737" t="s">
        <v>137</v>
      </c>
      <c r="C79" s="737"/>
      <c r="D79" s="737"/>
      <c r="E79" s="344"/>
      <c r="F79" s="344"/>
      <c r="H79" s="488"/>
      <c r="I79" s="496"/>
      <c r="J79" s="496"/>
      <c r="K79" s="496"/>
      <c r="L79" s="454"/>
      <c r="N79" s="515"/>
      <c r="O79" s="338"/>
      <c r="Q79" s="488"/>
      <c r="V79" s="720" t="str">
        <f t="shared" si="11"/>
        <v>17.  Food Service Allocation</v>
      </c>
      <c r="W79" s="720"/>
      <c r="X79" s="720"/>
      <c r="Y79" s="346"/>
      <c r="Z79" s="346"/>
      <c r="AA79" s="346"/>
      <c r="AB79" s="346"/>
      <c r="AC79" s="516"/>
      <c r="AD79" s="343"/>
    </row>
    <row r="80" spans="1:30" ht="21" customHeight="1" x14ac:dyDescent="0.2">
      <c r="B80" s="737" t="s">
        <v>138</v>
      </c>
      <c r="C80" s="737"/>
      <c r="D80" s="737"/>
      <c r="E80" s="344"/>
      <c r="F80" s="344"/>
      <c r="H80" s="517" t="s">
        <v>139</v>
      </c>
      <c r="I80" s="518"/>
      <c r="J80" s="518"/>
      <c r="K80" s="518"/>
      <c r="L80" s="519"/>
      <c r="N80" s="520"/>
      <c r="O80" s="338"/>
      <c r="Q80" s="488"/>
      <c r="V80" s="346"/>
      <c r="W80" s="346"/>
      <c r="X80" s="346"/>
      <c r="Y80" s="346"/>
      <c r="Z80" s="346"/>
      <c r="AA80" s="346"/>
      <c r="AB80" s="346"/>
      <c r="AC80" s="516"/>
      <c r="AD80" s="343"/>
    </row>
    <row r="81" spans="1:30" ht="21" customHeight="1" thickBot="1" x14ac:dyDescent="0.25">
      <c r="B81" s="344"/>
      <c r="C81" s="344"/>
      <c r="D81" s="344"/>
      <c r="E81" s="344"/>
      <c r="F81" s="344"/>
      <c r="G81" s="344"/>
      <c r="H81" s="344"/>
      <c r="I81" s="344"/>
      <c r="J81" s="344"/>
      <c r="K81" s="344"/>
      <c r="L81" s="519"/>
      <c r="M81" s="521"/>
      <c r="N81" s="520"/>
      <c r="O81" s="338"/>
      <c r="Q81" s="488"/>
      <c r="V81" s="346" t="s">
        <v>140</v>
      </c>
      <c r="W81" s="346"/>
      <c r="X81" s="346"/>
      <c r="Y81" s="346"/>
      <c r="Z81" s="346"/>
      <c r="AA81" s="346"/>
      <c r="AB81" s="346"/>
      <c r="AC81" s="522">
        <f>SUM(AC44:AC80)</f>
        <v>704558</v>
      </c>
      <c r="AD81" s="523"/>
    </row>
    <row r="82" spans="1:30" ht="22.5" customHeight="1" thickTop="1" thickBot="1" x14ac:dyDescent="0.25">
      <c r="B82" s="344" t="s">
        <v>141</v>
      </c>
      <c r="C82" s="344"/>
      <c r="D82" s="344"/>
      <c r="E82" s="344"/>
      <c r="F82" s="344"/>
      <c r="G82" s="344"/>
      <c r="H82" s="344"/>
      <c r="I82" s="344"/>
      <c r="J82" s="344"/>
      <c r="K82" s="344"/>
      <c r="L82" s="524">
        <f>SUM(L44:L81)</f>
        <v>2578123</v>
      </c>
      <c r="M82" s="525"/>
      <c r="N82" s="526"/>
      <c r="O82" s="338"/>
      <c r="Q82" s="488"/>
      <c r="V82" s="346"/>
      <c r="W82" s="346"/>
      <c r="X82" s="346"/>
      <c r="Y82" s="346"/>
      <c r="Z82" s="346"/>
      <c r="AA82" s="346"/>
      <c r="AB82" s="346"/>
      <c r="AC82" s="527"/>
      <c r="AD82" s="523"/>
    </row>
    <row r="83" spans="1:30" ht="27.75" customHeight="1" thickTop="1" x14ac:dyDescent="0.2">
      <c r="B83" s="344" t="s">
        <v>142</v>
      </c>
      <c r="C83" s="344"/>
      <c r="D83" s="344"/>
      <c r="E83" s="344"/>
      <c r="F83" s="344"/>
      <c r="G83" s="344"/>
      <c r="H83" s="344"/>
      <c r="I83" s="344"/>
      <c r="J83" s="344"/>
      <c r="K83" s="345" t="s">
        <v>143</v>
      </c>
      <c r="L83" s="528" t="s">
        <v>144</v>
      </c>
      <c r="M83" s="525"/>
      <c r="N83" s="526"/>
      <c r="O83" s="338"/>
      <c r="Q83" s="488"/>
      <c r="V83" s="343" t="s">
        <v>145</v>
      </c>
      <c r="W83" s="343"/>
      <c r="X83" s="343"/>
      <c r="Y83" s="343"/>
      <c r="Z83" s="343"/>
      <c r="AA83" s="343"/>
      <c r="AB83" s="343"/>
      <c r="AC83" s="343"/>
      <c r="AD83" s="343"/>
    </row>
    <row r="84" spans="1:30" ht="18.75" customHeight="1" thickBot="1" x14ac:dyDescent="0.25">
      <c r="B84" s="344" t="s">
        <v>146</v>
      </c>
      <c r="C84" s="344"/>
      <c r="D84" s="344"/>
      <c r="E84" s="344"/>
      <c r="F84" s="344"/>
      <c r="G84" s="344"/>
      <c r="H84" s="344"/>
      <c r="I84" s="344"/>
      <c r="J84" s="344"/>
      <c r="K84" s="529">
        <f>IF(G26=0,"",IF((G11+G13+SUM(G15:G21))/G26&gt;0.75,1,""))</f>
        <v>1</v>
      </c>
      <c r="L84" s="524">
        <f>'2791 June final'!AC81</f>
        <v>704558</v>
      </c>
      <c r="M84" s="525"/>
      <c r="N84" s="526"/>
      <c r="O84" s="338"/>
      <c r="Q84" s="488"/>
      <c r="V84" s="346" t="s">
        <v>147</v>
      </c>
      <c r="W84" s="346"/>
      <c r="X84" s="346"/>
      <c r="Y84" s="346"/>
      <c r="Z84" s="346"/>
      <c r="AA84" s="346"/>
      <c r="AB84" s="346"/>
      <c r="AC84" s="346"/>
      <c r="AD84" s="343"/>
    </row>
    <row r="85" spans="1:30" ht="18.75" customHeight="1" thickTop="1" x14ac:dyDescent="0.2">
      <c r="B85" s="344"/>
      <c r="C85" s="344"/>
      <c r="D85" s="344"/>
      <c r="E85" s="344"/>
      <c r="F85" s="344"/>
      <c r="G85" s="344"/>
      <c r="H85" s="344"/>
      <c r="I85" s="344"/>
      <c r="J85" s="344"/>
      <c r="M85" s="525"/>
      <c r="N85" s="526"/>
      <c r="O85" s="338"/>
      <c r="Q85" s="488"/>
      <c r="V85" s="346" t="s">
        <v>148</v>
      </c>
      <c r="W85" s="346"/>
      <c r="X85" s="346"/>
      <c r="Y85" s="346"/>
      <c r="Z85" s="346"/>
      <c r="AA85" s="346"/>
      <c r="AB85" s="346"/>
      <c r="AC85" s="346"/>
      <c r="AD85" s="343"/>
    </row>
    <row r="86" spans="1:30" ht="18.75" customHeight="1" x14ac:dyDescent="0.2">
      <c r="B86" s="339" t="s">
        <v>149</v>
      </c>
      <c r="C86" s="344"/>
      <c r="D86" s="344"/>
      <c r="E86" s="344"/>
      <c r="F86" s="344"/>
      <c r="G86" s="344"/>
      <c r="H86" s="344"/>
      <c r="I86" s="344"/>
      <c r="J86" s="530" t="s">
        <v>150</v>
      </c>
      <c r="K86" s="531">
        <f>IF(K84=1,L84,L82)</f>
        <v>704558</v>
      </c>
      <c r="L86" s="532">
        <f>IF(G26=0,0,IF(G26&gt;250,-(((250/G26)*K86)*IF(M86="H",0.02,0.05)),IF(M86="H",-0.02*K86,-0.05*K86)))</f>
        <v>-35227.9</v>
      </c>
      <c r="M86" s="533" t="str">
        <f>IF(B123="2801","H",IF(B123="2911","H",IF(B123="3382","H"," ")))</f>
        <v xml:space="preserve"> </v>
      </c>
      <c r="N86" s="526"/>
      <c r="O86" s="338"/>
      <c r="Q86" s="488"/>
      <c r="V86" s="346" t="s">
        <v>151</v>
      </c>
      <c r="W86" s="346"/>
      <c r="X86" s="346"/>
      <c r="Y86" s="346"/>
      <c r="Z86" s="346"/>
      <c r="AA86" s="346"/>
      <c r="AB86" s="346"/>
      <c r="AC86" s="346"/>
      <c r="AD86" s="343"/>
    </row>
    <row r="87" spans="1:30" ht="18.75" customHeight="1" x14ac:dyDescent="0.2">
      <c r="B87" s="339" t="s">
        <v>152</v>
      </c>
      <c r="C87" s="344"/>
      <c r="D87" s="344"/>
      <c r="E87" s="344"/>
      <c r="F87" s="344"/>
      <c r="G87" s="344"/>
      <c r="H87" s="344"/>
      <c r="I87" s="344"/>
      <c r="J87" s="344"/>
      <c r="K87" s="534"/>
      <c r="L87" s="528">
        <f>L82+L86</f>
        <v>2542895.1</v>
      </c>
      <c r="M87" s="525"/>
      <c r="N87" s="526"/>
      <c r="O87" s="338"/>
      <c r="Q87" s="488"/>
      <c r="V87" s="521"/>
      <c r="W87" s="521"/>
      <c r="X87" s="521"/>
      <c r="Y87" s="521"/>
      <c r="Z87" s="521"/>
      <c r="AA87" s="521"/>
      <c r="AB87" s="521"/>
      <c r="AC87" s="521"/>
      <c r="AD87" s="521"/>
    </row>
    <row r="88" spans="1:30" x14ac:dyDescent="0.2">
      <c r="V88" s="521"/>
      <c r="W88" s="521"/>
      <c r="X88" s="521"/>
      <c r="Y88" s="521"/>
      <c r="Z88" s="521"/>
      <c r="AA88" s="521"/>
      <c r="AB88" s="521"/>
      <c r="AC88" s="521"/>
      <c r="AD88" s="535"/>
    </row>
    <row r="89" spans="1:30" ht="18.75" customHeight="1" x14ac:dyDescent="0.2">
      <c r="A89" s="338" t="s">
        <v>153</v>
      </c>
      <c r="B89" s="344" t="s">
        <v>154</v>
      </c>
      <c r="C89" s="344"/>
      <c r="D89" s="344">
        <v>1270725</v>
      </c>
      <c r="E89" s="344">
        <v>206732</v>
      </c>
      <c r="F89" s="344">
        <v>2095738</v>
      </c>
      <c r="G89" s="344"/>
      <c r="H89" s="344"/>
      <c r="I89" s="344"/>
      <c r="J89" s="344"/>
      <c r="K89" s="534"/>
      <c r="L89" s="413">
        <v>-2623441.7999999998</v>
      </c>
      <c r="M89" s="525"/>
      <c r="N89" s="526"/>
      <c r="O89" s="338"/>
      <c r="Q89" s="488"/>
      <c r="V89" s="521">
        <v>2801</v>
      </c>
      <c r="W89" s="521"/>
      <c r="X89" s="521"/>
      <c r="Y89" s="521"/>
      <c r="Z89" s="521"/>
      <c r="AA89" s="521"/>
      <c r="AB89" s="521"/>
      <c r="AC89" s="521"/>
      <c r="AD89" s="521"/>
    </row>
    <row r="90" spans="1:30" ht="18.75" customHeight="1" x14ac:dyDescent="0.2">
      <c r="B90" s="344" t="s">
        <v>155</v>
      </c>
      <c r="C90" s="344"/>
      <c r="D90" s="344"/>
      <c r="E90" s="344"/>
      <c r="F90" s="344"/>
      <c r="G90" s="344"/>
      <c r="H90" s="344"/>
      <c r="I90" s="344"/>
      <c r="J90" s="344"/>
      <c r="K90" s="534"/>
      <c r="L90" s="528">
        <f>L87+L89</f>
        <v>-80546.699999999721</v>
      </c>
      <c r="M90" s="525"/>
      <c r="N90" s="526"/>
      <c r="O90" s="338"/>
      <c r="Q90" s="488"/>
      <c r="V90" s="521">
        <v>2911</v>
      </c>
      <c r="W90" s="536"/>
      <c r="X90" s="536"/>
      <c r="Y90" s="536"/>
      <c r="Z90" s="536"/>
      <c r="AA90" s="536"/>
      <c r="AB90" s="536"/>
      <c r="AC90" s="536"/>
      <c r="AD90" s="521"/>
    </row>
    <row r="91" spans="1:30" ht="18.75" customHeight="1" x14ac:dyDescent="0.2">
      <c r="B91" s="344" t="s">
        <v>156</v>
      </c>
      <c r="C91" s="344"/>
      <c r="D91" s="344"/>
      <c r="E91" s="344"/>
      <c r="F91" s="344"/>
      <c r="G91" s="344"/>
      <c r="H91" s="344"/>
      <c r="I91" s="344"/>
      <c r="J91" s="344"/>
      <c r="K91" s="534"/>
      <c r="L91" s="528">
        <v>1</v>
      </c>
      <c r="M91" s="525"/>
      <c r="N91" s="526"/>
      <c r="O91" s="338"/>
      <c r="Q91" s="488"/>
      <c r="V91" s="521">
        <v>3382</v>
      </c>
      <c r="W91" s="536"/>
      <c r="X91" s="536"/>
      <c r="Y91" s="536"/>
      <c r="Z91" s="536"/>
      <c r="AA91" s="536"/>
      <c r="AB91" s="536"/>
      <c r="AC91" s="536"/>
      <c r="AD91" s="521"/>
    </row>
    <row r="92" spans="1:30" ht="18.75" customHeight="1" thickBot="1" x14ac:dyDescent="0.25">
      <c r="B92" s="344" t="s">
        <v>434</v>
      </c>
      <c r="C92" s="344"/>
      <c r="D92" s="344"/>
      <c r="E92" s="344"/>
      <c r="F92" s="344"/>
      <c r="G92" s="344"/>
      <c r="H92" s="344"/>
      <c r="I92" s="344"/>
      <c r="J92" s="344"/>
      <c r="K92" s="534"/>
      <c r="L92" s="537">
        <f>L90/L91</f>
        <v>-80546.699999999721</v>
      </c>
      <c r="M92" s="525"/>
      <c r="N92" s="526"/>
      <c r="O92" s="338"/>
      <c r="Q92" s="488"/>
      <c r="V92" s="538"/>
      <c r="W92" s="538"/>
      <c r="X92" s="538"/>
      <c r="Y92" s="538"/>
      <c r="Z92" s="538"/>
      <c r="AA92" s="538"/>
      <c r="AB92" s="538"/>
      <c r="AC92" s="538"/>
    </row>
    <row r="93" spans="1:30" ht="18.75" customHeight="1" thickTop="1" x14ac:dyDescent="0.2">
      <c r="V93" s="538"/>
      <c r="W93" s="538"/>
      <c r="X93" s="538"/>
      <c r="Y93" s="538"/>
      <c r="Z93" s="538"/>
      <c r="AA93" s="538"/>
      <c r="AB93" s="538"/>
      <c r="AC93" s="538"/>
      <c r="AD93" s="521"/>
    </row>
    <row r="94" spans="1:30" ht="18.75" customHeight="1" thickBot="1" x14ac:dyDescent="0.25">
      <c r="B94" s="539" t="s">
        <v>158</v>
      </c>
      <c r="C94" s="344"/>
      <c r="D94" s="344"/>
      <c r="E94" s="344"/>
      <c r="G94" s="344"/>
      <c r="H94" s="344"/>
      <c r="I94" s="344"/>
      <c r="J94" s="344"/>
      <c r="L94" s="540">
        <f>IF(M86="H",(K86*0.02)+L86,(K86*0.05)+L86)</f>
        <v>0</v>
      </c>
      <c r="M94" s="525"/>
      <c r="V94" s="541"/>
      <c r="W94" s="541"/>
      <c r="X94" s="541"/>
      <c r="Y94" s="541"/>
      <c r="Z94" s="541"/>
      <c r="AA94" s="541"/>
      <c r="AB94" s="541"/>
      <c r="AC94" s="541"/>
      <c r="AD94" s="521"/>
    </row>
    <row r="95" spans="1:30" ht="21.75" customHeight="1" thickTop="1" x14ac:dyDescent="0.2">
      <c r="B95" s="344" t="s">
        <v>159</v>
      </c>
      <c r="C95" s="344"/>
      <c r="D95" s="344"/>
      <c r="E95" s="344"/>
      <c r="F95" s="344"/>
      <c r="G95" s="344"/>
      <c r="H95" s="344"/>
      <c r="I95" s="344"/>
      <c r="J95" s="344"/>
      <c r="K95" s="344"/>
      <c r="L95" s="344"/>
      <c r="V95" s="541"/>
      <c r="W95" s="541"/>
      <c r="X95" s="541"/>
      <c r="Y95" s="541"/>
      <c r="Z95" s="541"/>
      <c r="AA95" s="541"/>
      <c r="AB95" s="541"/>
      <c r="AC95" s="541"/>
      <c r="AD95" s="521"/>
    </row>
    <row r="96" spans="1:30" ht="15" x14ac:dyDescent="0.2">
      <c r="B96" s="542"/>
      <c r="V96" s="541"/>
      <c r="W96" s="541"/>
      <c r="X96" s="541"/>
      <c r="Y96" s="541"/>
      <c r="Z96" s="541"/>
      <c r="AA96" s="541"/>
      <c r="AB96" s="541"/>
      <c r="AC96" s="541"/>
    </row>
    <row r="97" spans="2:30" ht="15" x14ac:dyDescent="0.2">
      <c r="B97" s="542"/>
      <c r="V97" s="541"/>
      <c r="W97" s="541"/>
      <c r="X97" s="541"/>
      <c r="Y97" s="541"/>
      <c r="Z97" s="541"/>
      <c r="AA97" s="541"/>
      <c r="AB97" s="541"/>
      <c r="AC97" s="541"/>
    </row>
    <row r="98" spans="2:30" ht="15" hidden="1" x14ac:dyDescent="0.25">
      <c r="B98" s="543" t="s">
        <v>160</v>
      </c>
      <c r="C98" s="544"/>
      <c r="V98" s="545"/>
      <c r="W98" s="545"/>
      <c r="X98" s="545"/>
      <c r="Y98" s="545"/>
      <c r="Z98" s="545"/>
      <c r="AA98" s="545"/>
      <c r="AB98" s="545"/>
      <c r="AC98" s="545"/>
    </row>
    <row r="99" spans="2:30" ht="15" hidden="1" x14ac:dyDescent="0.25">
      <c r="B99" s="546"/>
      <c r="C99" s="544"/>
      <c r="V99" s="542"/>
      <c r="W99" s="344"/>
      <c r="X99" s="344"/>
      <c r="Y99" s="344"/>
      <c r="Z99" s="344"/>
      <c r="AA99" s="344"/>
      <c r="AB99" s="344"/>
      <c r="AC99" s="344"/>
    </row>
    <row r="100" spans="2:30" ht="15" hidden="1" x14ac:dyDescent="0.25">
      <c r="B100" s="547" t="s">
        <v>161</v>
      </c>
      <c r="C100" s="543" t="s">
        <v>162</v>
      </c>
      <c r="V100" s="542"/>
    </row>
    <row r="101" spans="2:30" ht="15" hidden="1" x14ac:dyDescent="0.25">
      <c r="B101" s="547" t="s">
        <v>163</v>
      </c>
      <c r="C101" s="543" t="s">
        <v>164</v>
      </c>
      <c r="V101" s="542"/>
    </row>
    <row r="102" spans="2:30" ht="15" hidden="1" x14ac:dyDescent="0.25">
      <c r="B102" s="547" t="s">
        <v>165</v>
      </c>
      <c r="C102" s="543" t="s">
        <v>166</v>
      </c>
      <c r="V102" s="542"/>
      <c r="W102" s="548"/>
      <c r="X102" s="548"/>
      <c r="Y102" s="548"/>
      <c r="Z102" s="548"/>
      <c r="AA102" s="548"/>
      <c r="AB102" s="548"/>
      <c r="AC102" s="548"/>
      <c r="AD102" s="548"/>
    </row>
    <row r="103" spans="2:30" ht="15" hidden="1" x14ac:dyDescent="0.25">
      <c r="B103" s="547" t="s">
        <v>167</v>
      </c>
      <c r="C103" s="543" t="s">
        <v>168</v>
      </c>
      <c r="V103" s="542"/>
    </row>
    <row r="104" spans="2:30" ht="15" hidden="1" x14ac:dyDescent="0.25">
      <c r="B104" s="549"/>
      <c r="C104" s="543" t="s">
        <v>169</v>
      </c>
      <c r="V104" s="542"/>
    </row>
    <row r="105" spans="2:30" ht="15" hidden="1" x14ac:dyDescent="0.25">
      <c r="B105" s="547" t="s">
        <v>170</v>
      </c>
      <c r="C105" s="543" t="s">
        <v>171</v>
      </c>
      <c r="V105" s="542"/>
    </row>
    <row r="106" spans="2:30" ht="15" hidden="1" x14ac:dyDescent="0.25">
      <c r="B106" s="547" t="s">
        <v>172</v>
      </c>
      <c r="C106" s="543" t="s">
        <v>173</v>
      </c>
      <c r="V106" s="542"/>
    </row>
    <row r="107" spans="2:30" ht="15" hidden="1" x14ac:dyDescent="0.25">
      <c r="B107" s="547" t="s">
        <v>237</v>
      </c>
      <c r="C107" s="543" t="s">
        <v>175</v>
      </c>
      <c r="V107" s="542"/>
    </row>
    <row r="108" spans="2:30" ht="15" hidden="1" x14ac:dyDescent="0.25">
      <c r="B108" s="547" t="s">
        <v>176</v>
      </c>
      <c r="C108" s="543" t="s">
        <v>177</v>
      </c>
      <c r="V108" s="542"/>
    </row>
    <row r="109" spans="2:30" ht="15" hidden="1" x14ac:dyDescent="0.25">
      <c r="B109" s="547" t="s">
        <v>178</v>
      </c>
      <c r="C109" s="543" t="s">
        <v>179</v>
      </c>
      <c r="V109" s="542"/>
    </row>
    <row r="110" spans="2:30" ht="15" hidden="1" x14ac:dyDescent="0.25">
      <c r="B110" s="549"/>
      <c r="C110" s="543"/>
      <c r="V110" s="542"/>
    </row>
    <row r="111" spans="2:30" ht="15" hidden="1" x14ac:dyDescent="0.25">
      <c r="B111" s="547" t="s">
        <v>180</v>
      </c>
      <c r="C111" s="543" t="s">
        <v>181</v>
      </c>
      <c r="V111" s="542"/>
    </row>
    <row r="112" spans="2:30" ht="15" hidden="1" x14ac:dyDescent="0.25">
      <c r="B112" s="547" t="s">
        <v>180</v>
      </c>
      <c r="C112" s="543" t="s">
        <v>182</v>
      </c>
    </row>
    <row r="113" spans="2:3" ht="15" hidden="1" x14ac:dyDescent="0.25">
      <c r="B113" s="547" t="s">
        <v>183</v>
      </c>
      <c r="C113" s="543" t="s">
        <v>184</v>
      </c>
    </row>
    <row r="114" spans="2:3" ht="15" hidden="1" x14ac:dyDescent="0.25">
      <c r="B114" s="547" t="s">
        <v>185</v>
      </c>
      <c r="C114" s="543" t="s">
        <v>186</v>
      </c>
    </row>
    <row r="115" spans="2:3" ht="15" hidden="1" x14ac:dyDescent="0.25">
      <c r="B115" s="547" t="s">
        <v>183</v>
      </c>
      <c r="C115" s="543" t="s">
        <v>187</v>
      </c>
    </row>
    <row r="116" spans="2:3" ht="15" hidden="1" x14ac:dyDescent="0.25">
      <c r="B116" s="547" t="s">
        <v>188</v>
      </c>
      <c r="C116" s="543" t="s">
        <v>189</v>
      </c>
    </row>
    <row r="117" spans="2:3" ht="15" hidden="1" x14ac:dyDescent="0.25">
      <c r="B117" s="547" t="s">
        <v>190</v>
      </c>
      <c r="C117" s="543" t="s">
        <v>191</v>
      </c>
    </row>
    <row r="118" spans="2:3" ht="15" hidden="1" x14ac:dyDescent="0.25">
      <c r="B118" s="549" t="s">
        <v>192</v>
      </c>
      <c r="C118" s="543" t="s">
        <v>193</v>
      </c>
    </row>
    <row r="119" spans="2:3" ht="15" hidden="1" x14ac:dyDescent="0.25">
      <c r="B119" s="549"/>
      <c r="C119" s="543"/>
    </row>
    <row r="120" spans="2:3" ht="15" hidden="1" x14ac:dyDescent="0.25">
      <c r="B120" s="547" t="s">
        <v>161</v>
      </c>
      <c r="C120" s="543" t="s">
        <v>194</v>
      </c>
    </row>
    <row r="121" spans="2:3" ht="15" hidden="1" x14ac:dyDescent="0.25">
      <c r="B121" s="547" t="s">
        <v>195</v>
      </c>
      <c r="C121" s="543" t="s">
        <v>196</v>
      </c>
    </row>
    <row r="122" spans="2:3" ht="15" hidden="1" x14ac:dyDescent="0.25">
      <c r="B122" s="547" t="s">
        <v>197</v>
      </c>
      <c r="C122" s="543" t="s">
        <v>198</v>
      </c>
    </row>
    <row r="123" spans="2:3" ht="15" hidden="1" x14ac:dyDescent="0.25">
      <c r="B123" s="547" t="s">
        <v>238</v>
      </c>
      <c r="C123" s="543" t="s">
        <v>200</v>
      </c>
    </row>
    <row r="124" spans="2:3" ht="15" hidden="1" x14ac:dyDescent="0.25">
      <c r="B124" s="547" t="s">
        <v>239</v>
      </c>
      <c r="C124" s="543" t="s">
        <v>202</v>
      </c>
    </row>
    <row r="125" spans="2:3" ht="15" hidden="1" x14ac:dyDescent="0.25">
      <c r="B125" s="547" t="s">
        <v>203</v>
      </c>
      <c r="C125" s="543" t="s">
        <v>204</v>
      </c>
    </row>
    <row r="126" spans="2:3" ht="15" hidden="1" x14ac:dyDescent="0.25">
      <c r="B126" s="547" t="s">
        <v>203</v>
      </c>
      <c r="C126" s="543" t="s">
        <v>205</v>
      </c>
    </row>
    <row r="127" spans="2:3" ht="15" hidden="1" x14ac:dyDescent="0.25">
      <c r="B127" s="547" t="s">
        <v>203</v>
      </c>
      <c r="C127" s="543" t="s">
        <v>206</v>
      </c>
    </row>
    <row r="128" spans="2:3" ht="15" hidden="1" x14ac:dyDescent="0.25">
      <c r="B128" s="547" t="s">
        <v>203</v>
      </c>
      <c r="C128" s="543" t="s">
        <v>207</v>
      </c>
    </row>
    <row r="129" spans="2:3" ht="15" hidden="1" x14ac:dyDescent="0.25">
      <c r="B129" s="547" t="s">
        <v>167</v>
      </c>
      <c r="C129" s="543" t="s">
        <v>208</v>
      </c>
    </row>
    <row r="130" spans="2:3" ht="15" hidden="1" x14ac:dyDescent="0.25">
      <c r="B130" s="547" t="s">
        <v>209</v>
      </c>
      <c r="C130" s="543" t="s">
        <v>210</v>
      </c>
    </row>
    <row r="131" spans="2:3" ht="15" hidden="1" x14ac:dyDescent="0.25">
      <c r="B131" s="547" t="s">
        <v>203</v>
      </c>
      <c r="C131" s="543" t="s">
        <v>211</v>
      </c>
    </row>
    <row r="132" spans="2:3" ht="15" hidden="1" x14ac:dyDescent="0.25">
      <c r="B132" s="543"/>
      <c r="C132" s="543"/>
    </row>
    <row r="133" spans="2:3" ht="15" hidden="1" x14ac:dyDescent="0.25">
      <c r="B133" s="543"/>
      <c r="C133" s="543"/>
    </row>
    <row r="134" spans="2:3" ht="15" hidden="1" x14ac:dyDescent="0.25">
      <c r="B134" s="549"/>
      <c r="C134" s="549"/>
    </row>
    <row r="135" spans="2:3" ht="15" hidden="1" x14ac:dyDescent="0.25">
      <c r="B135" s="549">
        <f>NvsElapsedTime</f>
        <v>1.15740767796524E-5</v>
      </c>
      <c r="C135" s="549"/>
    </row>
    <row r="136" spans="2:3" ht="15" hidden="1" x14ac:dyDescent="0.25">
      <c r="B136" s="550">
        <f>NvsEndTime</f>
        <v>41754.487743055601</v>
      </c>
      <c r="C136" s="550" t="s">
        <v>212</v>
      </c>
    </row>
    <row r="137" spans="2:3" ht="15" x14ac:dyDescent="0.25">
      <c r="B137" s="543"/>
      <c r="C137" s="551"/>
    </row>
    <row r="138" spans="2:3" ht="15" x14ac:dyDescent="0.25">
      <c r="B138" s="543"/>
      <c r="C138" s="543"/>
    </row>
    <row r="139" spans="2:3" ht="15" x14ac:dyDescent="0.25">
      <c r="B139" s="543"/>
      <c r="C139" s="543"/>
    </row>
    <row r="140" spans="2:3" ht="15" x14ac:dyDescent="0.25">
      <c r="B140" s="543"/>
      <c r="C140" s="543"/>
    </row>
    <row r="141" spans="2:3" ht="15" x14ac:dyDescent="0.25">
      <c r="B141" s="543"/>
      <c r="C141" s="543"/>
    </row>
    <row r="142" spans="2:3" ht="15" x14ac:dyDescent="0.25">
      <c r="B142" s="543"/>
      <c r="C142" s="543"/>
    </row>
    <row r="143" spans="2:3" ht="15" x14ac:dyDescent="0.25">
      <c r="B143" s="543"/>
      <c r="C143" s="543"/>
    </row>
    <row r="144" spans="2:3" ht="15" x14ac:dyDescent="0.25">
      <c r="B144" s="543"/>
      <c r="C144" s="543"/>
    </row>
    <row r="145" spans="2:3" ht="15" x14ac:dyDescent="0.25">
      <c r="B145" s="543"/>
      <c r="C145" s="543"/>
    </row>
    <row r="146" spans="2:3" ht="15" x14ac:dyDescent="0.25">
      <c r="B146" s="543"/>
      <c r="C146" s="543"/>
    </row>
    <row r="147" spans="2:3" ht="15" x14ac:dyDescent="0.25">
      <c r="B147" s="543"/>
      <c r="C147" s="543"/>
    </row>
    <row r="148" spans="2:3" ht="15" x14ac:dyDescent="0.25">
      <c r="B148" s="543"/>
      <c r="C148" s="543"/>
    </row>
    <row r="149" spans="2:3" ht="15" x14ac:dyDescent="0.25">
      <c r="B149" s="543"/>
      <c r="C149" s="543"/>
    </row>
    <row r="150" spans="2:3" ht="15" x14ac:dyDescent="0.25">
      <c r="B150" s="543"/>
      <c r="C150" s="543"/>
    </row>
    <row r="151" spans="2:3" ht="15" x14ac:dyDescent="0.25">
      <c r="B151" s="543"/>
      <c r="C151" s="543"/>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AD151"/>
  <sheetViews>
    <sheetView topLeftCell="B2" zoomScale="70" zoomScaleNormal="70" workbookViewId="0">
      <selection activeCell="B2" sqref="B2"/>
    </sheetView>
  </sheetViews>
  <sheetFormatPr defaultColWidth="8.85546875" defaultRowHeight="15.75" x14ac:dyDescent="0.25"/>
  <cols>
    <col min="1" max="1" width="11.28515625" style="1" hidden="1" customWidth="1"/>
    <col min="2" max="2" width="10.28515625" style="2" customWidth="1"/>
    <col min="3" max="3" width="29" style="1" customWidth="1"/>
    <col min="4" max="5" width="12.28515625" style="1" customWidth="1"/>
    <col min="6" max="6" width="12.28515625" style="1" hidden="1" customWidth="1"/>
    <col min="7" max="7" width="15.28515625" style="1" customWidth="1"/>
    <col min="8" max="8" width="6.7109375" style="1" customWidth="1"/>
    <col min="9" max="9" width="12.5703125" style="1" customWidth="1"/>
    <col min="10" max="10" width="12.85546875" style="1" customWidth="1"/>
    <col min="11" max="11" width="15.5703125" style="1" bestFit="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28515625" style="1" customWidth="1"/>
    <col min="18" max="18" width="8.85546875" style="1"/>
    <col min="19" max="21" width="0" style="1" hidden="1" customWidth="1"/>
    <col min="22" max="23" width="8.85546875" style="1"/>
    <col min="24" max="24" width="12.7109375" style="1" customWidth="1"/>
    <col min="25" max="27" width="8.85546875" style="1"/>
    <col min="28" max="28" width="13.140625" style="1" bestFit="1" customWidth="1"/>
    <col min="29" max="16384" width="8.85546875" style="1"/>
  </cols>
  <sheetData>
    <row r="1" spans="1:30" ht="15.6"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7"/>
      <c r="N2" s="3"/>
      <c r="O2" s="1"/>
      <c r="V2" s="8">
        <f>'2801'!B2</f>
        <v>50</v>
      </c>
      <c r="W2" s="606" t="s">
        <v>4</v>
      </c>
      <c r="X2" s="607"/>
      <c r="Y2" s="608"/>
      <c r="Z2" s="608"/>
      <c r="AA2" s="608"/>
      <c r="AB2" s="608"/>
      <c r="AC2" s="608"/>
      <c r="AD2" s="9"/>
    </row>
    <row r="3" spans="1:30" ht="20.25" x14ac:dyDescent="0.3">
      <c r="B3" s="10" t="str">
        <f>"Revenue Estimate Worksheet for "&amp;B124</f>
        <v>Revenue Estimate Worksheet for PB Maritime Academy Charter</v>
      </c>
      <c r="C3" s="11"/>
      <c r="D3" s="11"/>
      <c r="E3" s="11"/>
      <c r="F3" s="11"/>
      <c r="G3" s="11"/>
      <c r="H3" s="11"/>
      <c r="I3" s="11"/>
      <c r="J3" s="11"/>
      <c r="K3" s="11"/>
      <c r="L3" s="11"/>
      <c r="M3" s="10"/>
      <c r="N3" s="10"/>
      <c r="O3" s="10"/>
      <c r="P3" s="10"/>
      <c r="Q3" s="10"/>
      <c r="V3" s="609" t="s">
        <v>5</v>
      </c>
      <c r="W3" s="609"/>
      <c r="X3" s="609"/>
      <c r="Y3" s="609"/>
      <c r="Z3" s="609"/>
      <c r="AA3" s="609"/>
      <c r="AB3" s="609"/>
      <c r="AC3" s="609"/>
      <c r="AD3" s="12"/>
    </row>
    <row r="4" spans="1:30" ht="18.75" x14ac:dyDescent="0.3">
      <c r="B4" s="2" t="s">
        <v>6</v>
      </c>
      <c r="C4" s="13"/>
      <c r="D4" s="13"/>
      <c r="E4" s="13"/>
      <c r="F4" s="13"/>
      <c r="G4" s="13"/>
      <c r="H4" s="13"/>
      <c r="I4" s="13"/>
      <c r="J4" s="13"/>
      <c r="K4" s="13"/>
      <c r="L4" s="13"/>
      <c r="M4" s="14"/>
      <c r="N4" s="14"/>
      <c r="O4" s="14"/>
      <c r="P4" s="14"/>
      <c r="Q4" s="14"/>
      <c r="V4" s="610" t="str">
        <f>+Based_on_the_Second_Calculation_of_the_FEFP_2010_11</f>
        <v>Based on the Fourth Calculation of the FEFP 2013-14</v>
      </c>
      <c r="W4" s="610"/>
      <c r="X4" s="610"/>
      <c r="Y4" s="610"/>
      <c r="Z4" s="610"/>
      <c r="AA4" s="610"/>
      <c r="AB4" s="610"/>
      <c r="AC4" s="610"/>
      <c r="AD4" s="15"/>
    </row>
    <row r="5" spans="1:30" ht="18.75" customHeight="1" x14ac:dyDescent="0.25">
      <c r="B5" s="16" t="s">
        <v>7</v>
      </c>
      <c r="C5" s="16"/>
      <c r="D5" s="16"/>
      <c r="E5" s="16"/>
      <c r="F5" s="16"/>
      <c r="G5" s="17" t="s">
        <v>8</v>
      </c>
      <c r="H5" s="17"/>
      <c r="I5" s="17"/>
      <c r="J5" s="17"/>
      <c r="K5" s="17"/>
      <c r="L5" s="17"/>
      <c r="M5" s="18"/>
      <c r="N5" s="18"/>
      <c r="O5" s="18"/>
      <c r="P5" s="18"/>
      <c r="Q5" s="18"/>
      <c r="V5" s="611" t="s">
        <v>7</v>
      </c>
      <c r="W5" s="611"/>
      <c r="X5" s="612" t="s">
        <v>8</v>
      </c>
      <c r="Y5" s="612"/>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613" t="s">
        <v>9</v>
      </c>
      <c r="W6" s="613"/>
      <c r="X6" s="613"/>
      <c r="Y6" s="613"/>
      <c r="Z6" s="613"/>
      <c r="AA6" s="613"/>
      <c r="AB6" s="613"/>
      <c r="AC6" s="613"/>
      <c r="AD6" s="22"/>
    </row>
    <row r="7" spans="1:30" ht="18" customHeight="1" x14ac:dyDescent="0.25">
      <c r="B7" s="23" t="s">
        <v>10</v>
      </c>
      <c r="C7" s="23"/>
      <c r="D7" s="23"/>
      <c r="E7" s="23"/>
      <c r="F7" s="23"/>
      <c r="G7" s="24">
        <v>3752.3</v>
      </c>
      <c r="H7" s="24"/>
      <c r="I7" s="23" t="s">
        <v>11</v>
      </c>
      <c r="J7" s="23"/>
      <c r="K7" s="25">
        <v>1.0326</v>
      </c>
      <c r="L7" s="25"/>
      <c r="O7" s="1"/>
      <c r="V7" s="620" t="s">
        <v>10</v>
      </c>
      <c r="W7" s="620"/>
      <c r="X7" s="621">
        <f>'2801'!G7</f>
        <v>3752.3</v>
      </c>
      <c r="Y7" s="621"/>
      <c r="Z7" s="622" t="s">
        <v>11</v>
      </c>
      <c r="AA7" s="622"/>
      <c r="AB7" s="602">
        <f>+K7</f>
        <v>1.0326</v>
      </c>
      <c r="AC7" s="602"/>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603" t="s">
        <v>12</v>
      </c>
      <c r="W8" s="603"/>
      <c r="X8" s="604" t="s">
        <v>15</v>
      </c>
      <c r="Y8" s="604"/>
      <c r="Z8" s="605" t="s">
        <v>16</v>
      </c>
      <c r="AA8" s="605"/>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614" t="s">
        <v>22</v>
      </c>
      <c r="W9" s="614"/>
      <c r="X9" s="615" t="s">
        <v>23</v>
      </c>
      <c r="Y9" s="615"/>
      <c r="Z9" s="616" t="s">
        <v>24</v>
      </c>
      <c r="AA9" s="616"/>
      <c r="AB9" s="43" t="s">
        <v>25</v>
      </c>
      <c r="AC9" s="44" t="s">
        <v>26</v>
      </c>
      <c r="AD9" s="9"/>
    </row>
    <row r="10" spans="1:30" x14ac:dyDescent="0.25">
      <c r="A10" s="1" t="s">
        <v>27</v>
      </c>
      <c r="B10" s="45" t="s">
        <v>28</v>
      </c>
      <c r="C10" s="45"/>
      <c r="D10" s="45">
        <v>179.55</v>
      </c>
      <c r="E10" s="45">
        <v>172.8</v>
      </c>
      <c r="F10" s="45">
        <v>201.06</v>
      </c>
      <c r="G10" s="46">
        <f>D10+E10</f>
        <v>352.35</v>
      </c>
      <c r="H10" s="47"/>
      <c r="I10" s="48">
        <v>1.125</v>
      </c>
      <c r="J10" s="48"/>
      <c r="K10" s="49">
        <f>ROUND(G10*I10,4)</f>
        <v>396.3938</v>
      </c>
      <c r="L10" s="50">
        <f>ROUND(ROUND(K10*$G$7,4)*($K$7),0)</f>
        <v>1535877</v>
      </c>
      <c r="N10" s="51">
        <v>5101</v>
      </c>
      <c r="O10" s="52">
        <v>101</v>
      </c>
      <c r="P10" s="53"/>
      <c r="Q10" s="54"/>
      <c r="V10" s="617" t="s">
        <v>28</v>
      </c>
      <c r="W10" s="617"/>
      <c r="X10" s="618">
        <f>IF('2801'!K$84=1,'2801'!G10,0)</f>
        <v>0</v>
      </c>
      <c r="Y10" s="618"/>
      <c r="Z10" s="619">
        <v>1</v>
      </c>
      <c r="AA10" s="619"/>
      <c r="AB10" s="55">
        <f t="shared" ref="AB10:AB25" si="0">ROUND(X10*Z10,4)</f>
        <v>0</v>
      </c>
      <c r="AC10" s="56">
        <f t="shared" ref="AC10:AC25" si="1">ROUND(ROUND(AB10*$X$7,4)*($AB$7),0)</f>
        <v>0</v>
      </c>
      <c r="AD10" s="9">
        <v>1</v>
      </c>
    </row>
    <row r="11" spans="1:30" x14ac:dyDescent="0.25">
      <c r="A11" s="1" t="s">
        <v>29</v>
      </c>
      <c r="B11" s="13" t="s">
        <v>30</v>
      </c>
      <c r="C11" s="13"/>
      <c r="D11" s="13">
        <v>18.72</v>
      </c>
      <c r="E11" s="13">
        <v>20.45</v>
      </c>
      <c r="F11" s="13">
        <v>21.95</v>
      </c>
      <c r="G11" s="46">
        <f t="shared" ref="G11:G25" si="2">D11+E11</f>
        <v>39.17</v>
      </c>
      <c r="H11" s="47"/>
      <c r="I11" s="57">
        <f>I10</f>
        <v>1.125</v>
      </c>
      <c r="J11" s="57"/>
      <c r="K11" s="49">
        <f t="shared" ref="K11:K25" si="3">ROUND(G11*I11,4)</f>
        <v>44.066299999999998</v>
      </c>
      <c r="L11" s="50">
        <f t="shared" ref="L11:L25" si="4">ROUND(ROUND(K11*$G$7,4)*($K$7),0)</f>
        <v>170740</v>
      </c>
      <c r="M11" s="1" t="str">
        <f>IF(ROUND(G11,2)=ROUND(SUM(G28:G30),2)," ","CHECK 2. PK-3 Lines Below")</f>
        <v xml:space="preserve"> </v>
      </c>
      <c r="N11" s="51">
        <v>5101</v>
      </c>
      <c r="O11" s="58" t="s">
        <v>31</v>
      </c>
      <c r="P11" s="53"/>
      <c r="Q11" s="54"/>
      <c r="V11" s="623" t="s">
        <v>30</v>
      </c>
      <c r="W11" s="623"/>
      <c r="X11" s="618">
        <f>IF('2801'!K$84=1,'2801'!G11,0)</f>
        <v>0</v>
      </c>
      <c r="Y11" s="618"/>
      <c r="Z11" s="624">
        <v>1</v>
      </c>
      <c r="AA11" s="624"/>
      <c r="AB11" s="55">
        <f t="shared" si="0"/>
        <v>0</v>
      </c>
      <c r="AC11" s="56">
        <f t="shared" si="1"/>
        <v>0</v>
      </c>
      <c r="AD11" s="9"/>
    </row>
    <row r="12" spans="1:30" x14ac:dyDescent="0.25">
      <c r="A12" s="1" t="s">
        <v>32</v>
      </c>
      <c r="B12" s="13" t="s">
        <v>33</v>
      </c>
      <c r="C12" s="13"/>
      <c r="D12" s="13">
        <v>241.08</v>
      </c>
      <c r="E12" s="13">
        <v>239.25</v>
      </c>
      <c r="F12" s="13">
        <v>277.86</v>
      </c>
      <c r="G12" s="46">
        <f t="shared" si="2"/>
        <v>480.33000000000004</v>
      </c>
      <c r="H12" s="47"/>
      <c r="I12" s="57">
        <v>1</v>
      </c>
      <c r="J12" s="57"/>
      <c r="K12" s="49">
        <f t="shared" si="3"/>
        <v>480.33</v>
      </c>
      <c r="L12" s="50">
        <f t="shared" si="4"/>
        <v>1861099</v>
      </c>
      <c r="N12" s="51">
        <v>5102</v>
      </c>
      <c r="O12" s="52">
        <v>102</v>
      </c>
      <c r="P12" s="53"/>
      <c r="Q12" s="54"/>
      <c r="V12" s="623" t="s">
        <v>33</v>
      </c>
      <c r="W12" s="623"/>
      <c r="X12" s="618">
        <f>IF('2801'!K$84=1,'2801'!G12,0)</f>
        <v>0</v>
      </c>
      <c r="Y12" s="618"/>
      <c r="Z12" s="624">
        <v>1</v>
      </c>
      <c r="AA12" s="624"/>
      <c r="AB12" s="55">
        <f t="shared" si="0"/>
        <v>0</v>
      </c>
      <c r="AC12" s="56">
        <f t="shared" si="1"/>
        <v>0</v>
      </c>
      <c r="AD12" s="9"/>
    </row>
    <row r="13" spans="1:30" x14ac:dyDescent="0.25">
      <c r="A13" s="1" t="s">
        <v>34</v>
      </c>
      <c r="B13" s="13" t="s">
        <v>35</v>
      </c>
      <c r="C13" s="13"/>
      <c r="D13" s="13">
        <v>24.44</v>
      </c>
      <c r="E13" s="13">
        <v>25.41</v>
      </c>
      <c r="F13" s="13">
        <v>29.2</v>
      </c>
      <c r="G13" s="46">
        <f t="shared" si="2"/>
        <v>49.85</v>
      </c>
      <c r="H13" s="47"/>
      <c r="I13" s="57">
        <f>I12</f>
        <v>1</v>
      </c>
      <c r="J13" s="57"/>
      <c r="K13" s="49">
        <f t="shared" si="3"/>
        <v>49.85</v>
      </c>
      <c r="L13" s="50">
        <f t="shared" si="4"/>
        <v>193150</v>
      </c>
      <c r="M13" s="1" t="str">
        <f>IF(ROUND(G13,2)=ROUND(SUM(G31:G33),2)," ","CHECK 2. PK-3 Lines Below")</f>
        <v xml:space="preserve"> </v>
      </c>
      <c r="N13" s="51">
        <v>5102</v>
      </c>
      <c r="O13" s="58" t="s">
        <v>36</v>
      </c>
      <c r="P13" s="53"/>
      <c r="Q13" s="54"/>
      <c r="V13" s="623" t="s">
        <v>35</v>
      </c>
      <c r="W13" s="623"/>
      <c r="X13" s="618">
        <f>IF('2801'!K$84=1,'2801'!G13,0)</f>
        <v>0</v>
      </c>
      <c r="Y13" s="618"/>
      <c r="Z13" s="624">
        <v>1</v>
      </c>
      <c r="AA13" s="624"/>
      <c r="AB13" s="55">
        <f t="shared" si="0"/>
        <v>0</v>
      </c>
      <c r="AC13" s="56">
        <f t="shared" si="1"/>
        <v>0</v>
      </c>
      <c r="AD13" s="9"/>
    </row>
    <row r="14" spans="1:30" x14ac:dyDescent="0.25">
      <c r="A14" s="1" t="s">
        <v>37</v>
      </c>
      <c r="B14" s="13" t="s">
        <v>38</v>
      </c>
      <c r="C14" s="13"/>
      <c r="D14" s="13">
        <v>7.92</v>
      </c>
      <c r="E14" s="13">
        <v>8.41</v>
      </c>
      <c r="F14" s="13">
        <v>0</v>
      </c>
      <c r="G14" s="46">
        <f t="shared" si="2"/>
        <v>16.329999999999998</v>
      </c>
      <c r="H14" s="47"/>
      <c r="I14" s="57">
        <v>1.0109999999999999</v>
      </c>
      <c r="J14" s="57"/>
      <c r="K14" s="49">
        <f t="shared" si="3"/>
        <v>16.509599999999999</v>
      </c>
      <c r="L14" s="50">
        <f t="shared" si="4"/>
        <v>63969</v>
      </c>
      <c r="N14" s="51">
        <v>5103</v>
      </c>
      <c r="O14" s="52">
        <v>103</v>
      </c>
      <c r="P14" s="53"/>
      <c r="Q14" s="54"/>
      <c r="V14" s="623" t="s">
        <v>38</v>
      </c>
      <c r="W14" s="623"/>
      <c r="X14" s="618">
        <f>IF('2801'!K$84=1,'2801'!G14,0)</f>
        <v>0</v>
      </c>
      <c r="Y14" s="618"/>
      <c r="Z14" s="624">
        <v>1</v>
      </c>
      <c r="AA14" s="624"/>
      <c r="AB14" s="55">
        <f t="shared" si="0"/>
        <v>0</v>
      </c>
      <c r="AC14" s="56">
        <f t="shared" si="1"/>
        <v>0</v>
      </c>
      <c r="AD14" s="9"/>
    </row>
    <row r="15" spans="1:30" x14ac:dyDescent="0.25">
      <c r="A15" s="1" t="s">
        <v>39</v>
      </c>
      <c r="B15" s="13" t="s">
        <v>40</v>
      </c>
      <c r="C15" s="13"/>
      <c r="D15" s="13">
        <v>2.0299999999999998</v>
      </c>
      <c r="E15" s="13">
        <v>1.52</v>
      </c>
      <c r="F15" s="13">
        <v>0</v>
      </c>
      <c r="G15" s="46">
        <f t="shared" si="2"/>
        <v>3.55</v>
      </c>
      <c r="H15" s="47"/>
      <c r="I15" s="57">
        <f>I14</f>
        <v>1.0109999999999999</v>
      </c>
      <c r="J15" s="57"/>
      <c r="K15" s="49">
        <f t="shared" si="3"/>
        <v>3.5891000000000002</v>
      </c>
      <c r="L15" s="59">
        <f t="shared" si="4"/>
        <v>13906</v>
      </c>
      <c r="M15" s="1" t="str">
        <f>IF(ROUND(G15,2)=ROUND(SUM(G34:G36),2)," ","CHECK 2. PK-3 Lines Below")</f>
        <v xml:space="preserve"> </v>
      </c>
      <c r="N15" s="51">
        <v>5103</v>
      </c>
      <c r="O15" s="58" t="s">
        <v>41</v>
      </c>
      <c r="P15" s="53"/>
      <c r="Q15" s="54"/>
      <c r="V15" s="623" t="s">
        <v>40</v>
      </c>
      <c r="W15" s="623"/>
      <c r="X15" s="618">
        <f>IF('2801'!K$84=1,'2801'!G15,0)</f>
        <v>0</v>
      </c>
      <c r="Y15" s="618"/>
      <c r="Z15" s="624">
        <v>1</v>
      </c>
      <c r="AA15" s="624"/>
      <c r="AB15" s="55">
        <f t="shared" si="0"/>
        <v>0</v>
      </c>
      <c r="AC15" s="60">
        <f t="shared" si="1"/>
        <v>0</v>
      </c>
      <c r="AD15" s="9"/>
    </row>
    <row r="16" spans="1:30" x14ac:dyDescent="0.25">
      <c r="A16" s="1" t="s">
        <v>42</v>
      </c>
      <c r="B16" s="13" t="s">
        <v>43</v>
      </c>
      <c r="C16" s="13"/>
      <c r="D16" s="13">
        <v>0</v>
      </c>
      <c r="E16" s="13">
        <v>0</v>
      </c>
      <c r="F16" s="13">
        <v>0</v>
      </c>
      <c r="G16" s="46">
        <f t="shared" si="2"/>
        <v>0</v>
      </c>
      <c r="H16" s="47"/>
      <c r="I16" s="57">
        <v>3.5579999999999998</v>
      </c>
      <c r="J16" s="57"/>
      <c r="K16" s="49">
        <f t="shared" si="3"/>
        <v>0</v>
      </c>
      <c r="L16" s="50">
        <f t="shared" si="4"/>
        <v>0</v>
      </c>
      <c r="N16" s="51">
        <v>5101</v>
      </c>
      <c r="O16" s="53">
        <v>254</v>
      </c>
      <c r="P16" s="53"/>
      <c r="Q16" s="54"/>
      <c r="V16" s="623" t="s">
        <v>43</v>
      </c>
      <c r="W16" s="623"/>
      <c r="X16" s="618">
        <f>IF('2801'!K$84=1,'2801'!G16,0)</f>
        <v>0</v>
      </c>
      <c r="Y16" s="618"/>
      <c r="Z16" s="624">
        <v>1</v>
      </c>
      <c r="AA16" s="624"/>
      <c r="AB16" s="55">
        <f t="shared" si="0"/>
        <v>0</v>
      </c>
      <c r="AC16" s="56">
        <f t="shared" si="1"/>
        <v>0</v>
      </c>
      <c r="AD16" s="9"/>
    </row>
    <row r="17" spans="1:30" x14ac:dyDescent="0.25">
      <c r="A17" s="1" t="s">
        <v>44</v>
      </c>
      <c r="B17" s="13" t="s">
        <v>45</v>
      </c>
      <c r="C17" s="13"/>
      <c r="D17" s="13">
        <v>0</v>
      </c>
      <c r="E17" s="13">
        <v>0</v>
      </c>
      <c r="F17" s="13">
        <v>0</v>
      </c>
      <c r="G17" s="46">
        <f t="shared" si="2"/>
        <v>0</v>
      </c>
      <c r="H17" s="47"/>
      <c r="I17" s="57">
        <f>I16</f>
        <v>3.5579999999999998</v>
      </c>
      <c r="J17" s="57"/>
      <c r="K17" s="49">
        <f t="shared" si="3"/>
        <v>0</v>
      </c>
      <c r="L17" s="50">
        <f t="shared" si="4"/>
        <v>0</v>
      </c>
      <c r="N17" s="51">
        <v>5102</v>
      </c>
      <c r="O17" s="54">
        <v>254</v>
      </c>
      <c r="P17" s="53"/>
      <c r="Q17" s="54"/>
      <c r="V17" s="623" t="s">
        <v>45</v>
      </c>
      <c r="W17" s="623"/>
      <c r="X17" s="618">
        <f>IF('2801'!K$84=1,'2801'!G17,0)</f>
        <v>0</v>
      </c>
      <c r="Y17" s="618"/>
      <c r="Z17" s="624">
        <v>1</v>
      </c>
      <c r="AA17" s="624"/>
      <c r="AB17" s="55">
        <f t="shared" si="0"/>
        <v>0</v>
      </c>
      <c r="AC17" s="56">
        <f t="shared" si="1"/>
        <v>0</v>
      </c>
      <c r="AD17" s="9"/>
    </row>
    <row r="18" spans="1:30" x14ac:dyDescent="0.25">
      <c r="A18" s="1" t="s">
        <v>46</v>
      </c>
      <c r="B18" s="13" t="s">
        <v>47</v>
      </c>
      <c r="C18" s="13"/>
      <c r="D18" s="13">
        <v>0</v>
      </c>
      <c r="E18" s="13">
        <v>0</v>
      </c>
      <c r="F18" s="13">
        <v>0</v>
      </c>
      <c r="G18" s="46">
        <f t="shared" si="2"/>
        <v>0</v>
      </c>
      <c r="H18" s="47"/>
      <c r="I18" s="57">
        <f>I17</f>
        <v>3.5579999999999998</v>
      </c>
      <c r="J18" s="57"/>
      <c r="K18" s="49">
        <f t="shared" si="3"/>
        <v>0</v>
      </c>
      <c r="L18" s="50">
        <f t="shared" si="4"/>
        <v>0</v>
      </c>
      <c r="N18" s="51">
        <v>5103</v>
      </c>
      <c r="O18" s="54">
        <v>254</v>
      </c>
      <c r="P18" s="53"/>
      <c r="Q18" s="54"/>
      <c r="V18" s="623" t="s">
        <v>47</v>
      </c>
      <c r="W18" s="623"/>
      <c r="X18" s="618">
        <f>IF('2801'!K$84=1,'2801'!G18,0)</f>
        <v>0</v>
      </c>
      <c r="Y18" s="618"/>
      <c r="Z18" s="624">
        <v>1</v>
      </c>
      <c r="AA18" s="624"/>
      <c r="AB18" s="55">
        <f t="shared" si="0"/>
        <v>0</v>
      </c>
      <c r="AC18" s="56">
        <f t="shared" si="1"/>
        <v>0</v>
      </c>
      <c r="AD18" s="9"/>
    </row>
    <row r="19" spans="1:30" ht="15" customHeight="1" x14ac:dyDescent="0.25">
      <c r="A19" s="1" t="s">
        <v>48</v>
      </c>
      <c r="B19" s="13" t="s">
        <v>49</v>
      </c>
      <c r="C19" s="13"/>
      <c r="D19" s="13">
        <v>0</v>
      </c>
      <c r="E19" s="13">
        <v>0</v>
      </c>
      <c r="F19" s="13">
        <v>0</v>
      </c>
      <c r="G19" s="46">
        <f t="shared" si="2"/>
        <v>0</v>
      </c>
      <c r="H19" s="47"/>
      <c r="I19" s="57">
        <v>5.0890000000000004</v>
      </c>
      <c r="J19" s="57"/>
      <c r="K19" s="49">
        <f t="shared" si="3"/>
        <v>0</v>
      </c>
      <c r="L19" s="50">
        <f t="shared" si="4"/>
        <v>0</v>
      </c>
      <c r="N19" s="51">
        <v>5101</v>
      </c>
      <c r="O19" s="53">
        <v>255</v>
      </c>
      <c r="P19" s="53"/>
      <c r="Q19" s="54"/>
      <c r="V19" s="623" t="s">
        <v>49</v>
      </c>
      <c r="W19" s="623"/>
      <c r="X19" s="618">
        <f>IF('2801'!K$84=1,'2801'!G19,0)</f>
        <v>0</v>
      </c>
      <c r="Y19" s="618"/>
      <c r="Z19" s="624">
        <v>1</v>
      </c>
      <c r="AA19" s="624"/>
      <c r="AB19" s="55">
        <f t="shared" si="0"/>
        <v>0</v>
      </c>
      <c r="AC19" s="56">
        <f t="shared" si="1"/>
        <v>0</v>
      </c>
      <c r="AD19" s="9"/>
    </row>
    <row r="20" spans="1:30" ht="15" customHeight="1" x14ac:dyDescent="0.25">
      <c r="A20" s="1" t="s">
        <v>50</v>
      </c>
      <c r="B20" s="13" t="s">
        <v>51</v>
      </c>
      <c r="C20" s="13"/>
      <c r="D20" s="13">
        <v>0</v>
      </c>
      <c r="E20" s="13">
        <v>0</v>
      </c>
      <c r="F20" s="13">
        <v>0</v>
      </c>
      <c r="G20" s="46">
        <f t="shared" si="2"/>
        <v>0</v>
      </c>
      <c r="H20" s="47"/>
      <c r="I20" s="57">
        <f>I19</f>
        <v>5.0890000000000004</v>
      </c>
      <c r="J20" s="57"/>
      <c r="K20" s="49">
        <f t="shared" si="3"/>
        <v>0</v>
      </c>
      <c r="L20" s="50">
        <f t="shared" si="4"/>
        <v>0</v>
      </c>
      <c r="N20" s="51">
        <v>5102</v>
      </c>
      <c r="O20" s="54">
        <v>255</v>
      </c>
      <c r="P20" s="53"/>
      <c r="Q20" s="54"/>
      <c r="V20" s="623" t="s">
        <v>51</v>
      </c>
      <c r="W20" s="623"/>
      <c r="X20" s="618">
        <f>IF('2801'!K$84=1,'2801'!G20,0)</f>
        <v>0</v>
      </c>
      <c r="Y20" s="618"/>
      <c r="Z20" s="624">
        <v>1</v>
      </c>
      <c r="AA20" s="624"/>
      <c r="AB20" s="55">
        <f t="shared" si="0"/>
        <v>0</v>
      </c>
      <c r="AC20" s="56">
        <f t="shared" si="1"/>
        <v>0</v>
      </c>
      <c r="AD20" s="9"/>
    </row>
    <row r="21" spans="1:30" ht="15" customHeight="1" x14ac:dyDescent="0.25">
      <c r="A21" s="1" t="s">
        <v>52</v>
      </c>
      <c r="B21" s="13" t="s">
        <v>53</v>
      </c>
      <c r="C21" s="13"/>
      <c r="D21" s="13">
        <v>0</v>
      </c>
      <c r="E21" s="13">
        <v>0</v>
      </c>
      <c r="F21" s="13">
        <v>0</v>
      </c>
      <c r="G21" s="46">
        <f t="shared" si="2"/>
        <v>0</v>
      </c>
      <c r="H21" s="47"/>
      <c r="I21" s="57">
        <f>I20</f>
        <v>5.0890000000000004</v>
      </c>
      <c r="J21" s="57"/>
      <c r="K21" s="49">
        <f t="shared" si="3"/>
        <v>0</v>
      </c>
      <c r="L21" s="50">
        <f t="shared" si="4"/>
        <v>0</v>
      </c>
      <c r="N21" s="51">
        <v>5103</v>
      </c>
      <c r="O21" s="54">
        <v>255</v>
      </c>
      <c r="P21" s="53"/>
      <c r="Q21" s="54"/>
      <c r="V21" s="623" t="s">
        <v>53</v>
      </c>
      <c r="W21" s="623"/>
      <c r="X21" s="618">
        <f>IF('2801'!K$84=1,'2801'!G21,0)</f>
        <v>0</v>
      </c>
      <c r="Y21" s="618"/>
      <c r="Z21" s="624">
        <v>1</v>
      </c>
      <c r="AA21" s="624"/>
      <c r="AB21" s="55">
        <f t="shared" si="0"/>
        <v>0</v>
      </c>
      <c r="AC21" s="56">
        <f t="shared" si="1"/>
        <v>0</v>
      </c>
      <c r="AD21" s="9"/>
    </row>
    <row r="22" spans="1:30" x14ac:dyDescent="0.25">
      <c r="A22" s="1" t="s">
        <v>54</v>
      </c>
      <c r="B22" s="13" t="s">
        <v>55</v>
      </c>
      <c r="C22" s="13"/>
      <c r="D22" s="13">
        <v>48.6</v>
      </c>
      <c r="E22" s="13">
        <v>45.67</v>
      </c>
      <c r="F22" s="13">
        <v>53.96</v>
      </c>
      <c r="G22" s="46">
        <f t="shared" si="2"/>
        <v>94.27000000000001</v>
      </c>
      <c r="H22" s="47"/>
      <c r="I22" s="57">
        <v>1.145</v>
      </c>
      <c r="J22" s="57"/>
      <c r="K22" s="49">
        <f t="shared" si="3"/>
        <v>107.9392</v>
      </c>
      <c r="L22" s="50">
        <f t="shared" si="4"/>
        <v>418224</v>
      </c>
      <c r="N22" s="51">
        <v>5101</v>
      </c>
      <c r="O22" s="52">
        <v>130</v>
      </c>
      <c r="P22" s="53"/>
      <c r="Q22" s="54"/>
      <c r="V22" s="623" t="s">
        <v>55</v>
      </c>
      <c r="W22" s="623"/>
      <c r="X22" s="618">
        <f>IF('2801'!K$84=1,'2801'!G22,0)</f>
        <v>0</v>
      </c>
      <c r="Y22" s="618"/>
      <c r="Z22" s="624">
        <v>1</v>
      </c>
      <c r="AA22" s="624"/>
      <c r="AB22" s="55">
        <f t="shared" si="0"/>
        <v>0</v>
      </c>
      <c r="AC22" s="56">
        <f t="shared" si="1"/>
        <v>0</v>
      </c>
      <c r="AD22" s="9"/>
    </row>
    <row r="23" spans="1:30" x14ac:dyDescent="0.25">
      <c r="A23" s="1" t="s">
        <v>56</v>
      </c>
      <c r="B23" s="13" t="s">
        <v>57</v>
      </c>
      <c r="C23" s="13"/>
      <c r="D23" s="13">
        <v>0</v>
      </c>
      <c r="E23" s="13">
        <v>0</v>
      </c>
      <c r="F23" s="13">
        <v>0</v>
      </c>
      <c r="G23" s="46">
        <f t="shared" si="2"/>
        <v>0</v>
      </c>
      <c r="H23" s="47"/>
      <c r="I23" s="57">
        <f>I22</f>
        <v>1.145</v>
      </c>
      <c r="J23" s="57"/>
      <c r="K23" s="49">
        <f t="shared" si="3"/>
        <v>0</v>
      </c>
      <c r="L23" s="50">
        <f t="shared" si="4"/>
        <v>0</v>
      </c>
      <c r="N23" s="51">
        <v>5102</v>
      </c>
      <c r="O23" s="52">
        <v>130</v>
      </c>
      <c r="P23" s="53"/>
      <c r="Q23" s="54"/>
      <c r="V23" s="623" t="s">
        <v>57</v>
      </c>
      <c r="W23" s="623"/>
      <c r="X23" s="618">
        <f>IF('2801'!K$84=1,'2801'!G23,0)</f>
        <v>0</v>
      </c>
      <c r="Y23" s="618"/>
      <c r="Z23" s="624">
        <v>1</v>
      </c>
      <c r="AA23" s="624"/>
      <c r="AB23" s="55">
        <f t="shared" si="0"/>
        <v>0</v>
      </c>
      <c r="AC23" s="56">
        <f t="shared" si="1"/>
        <v>0</v>
      </c>
      <c r="AD23" s="9"/>
    </row>
    <row r="24" spans="1:30" x14ac:dyDescent="0.25">
      <c r="A24" s="1" t="s">
        <v>58</v>
      </c>
      <c r="B24" s="13" t="s">
        <v>59</v>
      </c>
      <c r="C24" s="13"/>
      <c r="D24" s="13">
        <v>0</v>
      </c>
      <c r="E24" s="13">
        <v>0</v>
      </c>
      <c r="F24" s="13">
        <v>0</v>
      </c>
      <c r="G24" s="46">
        <f t="shared" si="2"/>
        <v>0</v>
      </c>
      <c r="H24" s="47"/>
      <c r="I24" s="57">
        <f>I23</f>
        <v>1.145</v>
      </c>
      <c r="J24" s="57"/>
      <c r="K24" s="49">
        <f t="shared" si="3"/>
        <v>0</v>
      </c>
      <c r="L24" s="50">
        <f t="shared" si="4"/>
        <v>0</v>
      </c>
      <c r="N24" s="51">
        <v>5103</v>
      </c>
      <c r="O24" s="52">
        <v>130</v>
      </c>
      <c r="P24" s="53"/>
      <c r="Q24" s="54"/>
      <c r="V24" s="623" t="s">
        <v>59</v>
      </c>
      <c r="W24" s="623"/>
      <c r="X24" s="618">
        <f>IF('2801'!K$84=1,'2801'!G24,0)</f>
        <v>0</v>
      </c>
      <c r="Y24" s="618"/>
      <c r="Z24" s="624">
        <v>1</v>
      </c>
      <c r="AA24" s="624"/>
      <c r="AB24" s="55">
        <f t="shared" si="0"/>
        <v>0</v>
      </c>
      <c r="AC24" s="56">
        <f t="shared" si="1"/>
        <v>0</v>
      </c>
      <c r="AD24" s="9"/>
    </row>
    <row r="25" spans="1:30" ht="16.5" thickBot="1" x14ac:dyDescent="0.3">
      <c r="A25" s="1" t="s">
        <v>60</v>
      </c>
      <c r="B25" s="13" t="s">
        <v>61</v>
      </c>
      <c r="C25" s="13"/>
      <c r="D25" s="13">
        <v>0</v>
      </c>
      <c r="E25" s="13">
        <v>0</v>
      </c>
      <c r="F25" s="13">
        <v>0</v>
      </c>
      <c r="G25" s="46">
        <f t="shared" si="2"/>
        <v>0</v>
      </c>
      <c r="H25" s="47"/>
      <c r="I25" s="57">
        <v>1.0109999999999999</v>
      </c>
      <c r="J25" s="57"/>
      <c r="K25" s="49">
        <f t="shared" si="3"/>
        <v>0</v>
      </c>
      <c r="L25" s="50">
        <f t="shared" si="4"/>
        <v>0</v>
      </c>
      <c r="N25" s="51">
        <v>5310</v>
      </c>
      <c r="O25" s="52">
        <v>300</v>
      </c>
      <c r="P25" s="53"/>
      <c r="Q25" s="54"/>
      <c r="V25" s="623" t="s">
        <v>61</v>
      </c>
      <c r="W25" s="623"/>
      <c r="X25" s="618">
        <f>IF('2801'!K$84=1,'2801'!G25,0)</f>
        <v>0</v>
      </c>
      <c r="Y25" s="618"/>
      <c r="Z25" s="624">
        <v>1</v>
      </c>
      <c r="AA25" s="624"/>
      <c r="AB25" s="55">
        <f t="shared" si="0"/>
        <v>0</v>
      </c>
      <c r="AC25" s="56">
        <f t="shared" si="1"/>
        <v>0</v>
      </c>
      <c r="AD25" s="9"/>
    </row>
    <row r="26" spans="1:30" ht="20.25" customHeight="1" thickBot="1" x14ac:dyDescent="0.3">
      <c r="B26" s="62" t="s">
        <v>62</v>
      </c>
      <c r="C26" s="62"/>
      <c r="D26" s="63">
        <f t="shared" ref="D26:E26" si="5">SUM(D10:D25)</f>
        <v>522.34</v>
      </c>
      <c r="E26" s="63">
        <f t="shared" si="5"/>
        <v>513.51</v>
      </c>
      <c r="F26" s="63"/>
      <c r="G26" s="63">
        <f>SUM(G10:G25)</f>
        <v>1035.8500000000001</v>
      </c>
      <c r="H26" s="64"/>
      <c r="I26" s="64"/>
      <c r="J26" s="65"/>
      <c r="K26" s="66">
        <f>SUM(K10:K25)</f>
        <v>1098.6779999999999</v>
      </c>
      <c r="L26" s="67">
        <f>SUM(L10:L25)</f>
        <v>4256965</v>
      </c>
      <c r="N26" s="54"/>
      <c r="O26" s="68"/>
      <c r="P26" s="54"/>
      <c r="Q26" s="54"/>
      <c r="V26" s="625" t="s">
        <v>62</v>
      </c>
      <c r="W26" s="625"/>
      <c r="X26" s="626">
        <f>SUM(X10:X25)</f>
        <v>0</v>
      </c>
      <c r="Y26" s="626"/>
      <c r="Z26" s="627"/>
      <c r="AA26" s="628"/>
      <c r="AB26" s="69">
        <f>SUM(AB10:AB25)</f>
        <v>0</v>
      </c>
      <c r="AC26" s="70">
        <f>SUM(AC10:AC25)</f>
        <v>0</v>
      </c>
      <c r="AD26" s="9"/>
    </row>
    <row r="27" spans="1:30" ht="51.75" customHeight="1" x14ac:dyDescent="0.25">
      <c r="B27" s="62" t="s">
        <v>63</v>
      </c>
      <c r="C27" s="62"/>
      <c r="D27" s="71" t="s">
        <v>13</v>
      </c>
      <c r="E27" s="71" t="s">
        <v>14</v>
      </c>
      <c r="F27" s="27"/>
      <c r="G27" s="72" t="s">
        <v>64</v>
      </c>
      <c r="H27" s="73"/>
      <c r="I27" s="74" t="s">
        <v>65</v>
      </c>
      <c r="J27" s="74" t="s">
        <v>66</v>
      </c>
      <c r="K27" s="75" t="s">
        <v>67</v>
      </c>
      <c r="N27" s="54"/>
      <c r="O27" s="68"/>
      <c r="P27" s="54"/>
      <c r="Q27" s="54"/>
      <c r="V27" s="629" t="s">
        <v>63</v>
      </c>
      <c r="W27" s="629"/>
      <c r="X27" s="630" t="s">
        <v>64</v>
      </c>
      <c r="Y27" s="630"/>
      <c r="Z27" s="76" t="s">
        <v>65</v>
      </c>
      <c r="AA27" s="77" t="s">
        <v>66</v>
      </c>
      <c r="AB27" s="78" t="s">
        <v>67</v>
      </c>
      <c r="AC27" s="9"/>
      <c r="AD27" s="9"/>
    </row>
    <row r="28" spans="1:30" ht="15.75" customHeight="1" x14ac:dyDescent="0.25">
      <c r="A28" s="1" t="s">
        <v>68</v>
      </c>
      <c r="B28" s="631" t="s">
        <v>69</v>
      </c>
      <c r="C28" s="632"/>
      <c r="D28" s="13">
        <v>18.72</v>
      </c>
      <c r="E28" s="13">
        <v>19.95</v>
      </c>
      <c r="F28" s="79">
        <v>12.5</v>
      </c>
      <c r="G28" s="46">
        <f t="shared" ref="G28:G36" si="6">D28+E28</f>
        <v>38.67</v>
      </c>
      <c r="H28" s="80"/>
      <c r="I28" s="81" t="s">
        <v>70</v>
      </c>
      <c r="J28" s="82">
        <v>251</v>
      </c>
      <c r="K28" s="83">
        <v>1047</v>
      </c>
      <c r="L28" s="84">
        <f>ROUND(G28*K28,0)</f>
        <v>40487</v>
      </c>
      <c r="N28" s="85">
        <v>5101</v>
      </c>
      <c r="O28" s="54">
        <v>251</v>
      </c>
      <c r="P28" s="86"/>
      <c r="Q28" s="87"/>
      <c r="V28" s="637" t="s">
        <v>69</v>
      </c>
      <c r="W28" s="637"/>
      <c r="X28" s="638"/>
      <c r="Y28" s="638"/>
      <c r="Z28" s="88" t="s">
        <v>70</v>
      </c>
      <c r="AA28" s="89">
        <v>251</v>
      </c>
      <c r="AB28" s="90">
        <f>+K28</f>
        <v>1047</v>
      </c>
      <c r="AC28" s="91">
        <f t="shared" ref="AC28:AC36" si="7">ROUND(X28*AB28,0)</f>
        <v>0</v>
      </c>
      <c r="AD28" s="9"/>
    </row>
    <row r="29" spans="1:30" x14ac:dyDescent="0.25">
      <c r="A29" s="1" t="s">
        <v>71</v>
      </c>
      <c r="B29" s="633"/>
      <c r="C29" s="634"/>
      <c r="D29" s="13">
        <v>0</v>
      </c>
      <c r="E29" s="13">
        <v>0.5</v>
      </c>
      <c r="F29" s="92">
        <v>0</v>
      </c>
      <c r="G29" s="46">
        <f t="shared" si="6"/>
        <v>0.5</v>
      </c>
      <c r="H29" s="80"/>
      <c r="I29" s="82" t="s">
        <v>70</v>
      </c>
      <c r="J29" s="82">
        <v>252</v>
      </c>
      <c r="K29" s="83">
        <v>3380</v>
      </c>
      <c r="L29" s="84">
        <f t="shared" ref="L29:L36" si="8">ROUND(G29*K29,0)</f>
        <v>1690</v>
      </c>
      <c r="N29" s="85">
        <v>5101</v>
      </c>
      <c r="O29" s="54">
        <v>252</v>
      </c>
      <c r="P29" s="86"/>
      <c r="Q29" s="87"/>
      <c r="V29" s="637"/>
      <c r="W29" s="637"/>
      <c r="X29" s="638"/>
      <c r="Y29" s="638"/>
      <c r="Z29" s="89" t="s">
        <v>70</v>
      </c>
      <c r="AA29" s="89">
        <v>252</v>
      </c>
      <c r="AB29" s="90">
        <f t="shared" ref="AB29:AB36" si="9">+K29</f>
        <v>3380</v>
      </c>
      <c r="AC29" s="91">
        <f t="shared" si="7"/>
        <v>0</v>
      </c>
      <c r="AD29" s="9"/>
    </row>
    <row r="30" spans="1:30" x14ac:dyDescent="0.25">
      <c r="A30" s="1" t="s">
        <v>72</v>
      </c>
      <c r="B30" s="633"/>
      <c r="C30" s="634"/>
      <c r="D30" s="13">
        <v>0</v>
      </c>
      <c r="E30" s="13">
        <v>0</v>
      </c>
      <c r="F30" s="92">
        <v>0</v>
      </c>
      <c r="G30" s="46">
        <f t="shared" si="6"/>
        <v>0</v>
      </c>
      <c r="H30" s="80"/>
      <c r="I30" s="82" t="s">
        <v>70</v>
      </c>
      <c r="J30" s="82">
        <v>253</v>
      </c>
      <c r="K30" s="83">
        <v>6896</v>
      </c>
      <c r="L30" s="84">
        <f t="shared" si="8"/>
        <v>0</v>
      </c>
      <c r="N30" s="85">
        <v>5101</v>
      </c>
      <c r="O30" s="54">
        <v>253</v>
      </c>
      <c r="P30" s="86"/>
      <c r="Q30" s="68"/>
      <c r="V30" s="637"/>
      <c r="W30" s="637"/>
      <c r="X30" s="638"/>
      <c r="Y30" s="638"/>
      <c r="Z30" s="89" t="s">
        <v>70</v>
      </c>
      <c r="AA30" s="89">
        <v>253</v>
      </c>
      <c r="AB30" s="90">
        <f t="shared" si="9"/>
        <v>6896</v>
      </c>
      <c r="AC30" s="91">
        <f t="shared" si="7"/>
        <v>0</v>
      </c>
      <c r="AD30" s="9"/>
    </row>
    <row r="31" spans="1:30" x14ac:dyDescent="0.25">
      <c r="A31" s="1" t="s">
        <v>73</v>
      </c>
      <c r="B31" s="633"/>
      <c r="C31" s="634"/>
      <c r="D31" s="13">
        <v>23.96</v>
      </c>
      <c r="E31" s="13">
        <v>24.88</v>
      </c>
      <c r="F31" s="92">
        <v>16</v>
      </c>
      <c r="G31" s="46">
        <f t="shared" si="6"/>
        <v>48.84</v>
      </c>
      <c r="H31" s="80"/>
      <c r="I31" s="93" t="s">
        <v>74</v>
      </c>
      <c r="J31" s="82">
        <v>251</v>
      </c>
      <c r="K31" s="83">
        <v>1173</v>
      </c>
      <c r="L31" s="84">
        <f t="shared" si="8"/>
        <v>57289</v>
      </c>
      <c r="N31" s="85">
        <v>5102</v>
      </c>
      <c r="O31" s="54">
        <v>251</v>
      </c>
      <c r="P31" s="86"/>
      <c r="Q31" s="68"/>
      <c r="V31" s="637"/>
      <c r="W31" s="637"/>
      <c r="X31" s="638"/>
      <c r="Y31" s="638"/>
      <c r="Z31" s="94" t="s">
        <v>74</v>
      </c>
      <c r="AA31" s="89">
        <v>251</v>
      </c>
      <c r="AB31" s="90">
        <f t="shared" si="9"/>
        <v>1173</v>
      </c>
      <c r="AC31" s="91">
        <f t="shared" si="7"/>
        <v>0</v>
      </c>
      <c r="AD31" s="9"/>
    </row>
    <row r="32" spans="1:30" x14ac:dyDescent="0.25">
      <c r="A32" s="1" t="s">
        <v>75</v>
      </c>
      <c r="B32" s="633"/>
      <c r="C32" s="634"/>
      <c r="D32" s="13">
        <v>0</v>
      </c>
      <c r="E32" s="13">
        <v>0</v>
      </c>
      <c r="F32" s="92">
        <v>0</v>
      </c>
      <c r="G32" s="46">
        <f t="shared" si="6"/>
        <v>0</v>
      </c>
      <c r="H32" s="80"/>
      <c r="I32" s="93" t="s">
        <v>74</v>
      </c>
      <c r="J32" s="82">
        <v>252</v>
      </c>
      <c r="K32" s="83">
        <v>3506</v>
      </c>
      <c r="L32" s="84">
        <f t="shared" si="8"/>
        <v>0</v>
      </c>
      <c r="N32" s="85">
        <v>5102</v>
      </c>
      <c r="O32" s="54">
        <v>252</v>
      </c>
      <c r="P32" s="86"/>
      <c r="Q32" s="54"/>
      <c r="V32" s="637"/>
      <c r="W32" s="637"/>
      <c r="X32" s="638"/>
      <c r="Y32" s="638"/>
      <c r="Z32" s="94" t="s">
        <v>74</v>
      </c>
      <c r="AA32" s="89">
        <v>252</v>
      </c>
      <c r="AB32" s="90">
        <f t="shared" si="9"/>
        <v>3506</v>
      </c>
      <c r="AC32" s="91">
        <f t="shared" si="7"/>
        <v>0</v>
      </c>
      <c r="AD32" s="9"/>
    </row>
    <row r="33" spans="1:30" x14ac:dyDescent="0.25">
      <c r="A33" s="1" t="s">
        <v>76</v>
      </c>
      <c r="B33" s="633"/>
      <c r="C33" s="634"/>
      <c r="D33" s="13">
        <v>0.48</v>
      </c>
      <c r="E33" s="13">
        <v>0.53</v>
      </c>
      <c r="F33" s="92">
        <v>0</v>
      </c>
      <c r="G33" s="46">
        <f t="shared" si="6"/>
        <v>1.01</v>
      </c>
      <c r="H33" s="80"/>
      <c r="I33" s="93" t="s">
        <v>74</v>
      </c>
      <c r="J33" s="82">
        <v>253</v>
      </c>
      <c r="K33" s="83">
        <v>7023</v>
      </c>
      <c r="L33" s="84">
        <f t="shared" si="8"/>
        <v>7093</v>
      </c>
      <c r="N33" s="85">
        <v>5102</v>
      </c>
      <c r="O33" s="54">
        <v>253</v>
      </c>
      <c r="P33" s="86"/>
      <c r="Q33" s="87"/>
      <c r="V33" s="637"/>
      <c r="W33" s="637"/>
      <c r="X33" s="638"/>
      <c r="Y33" s="638"/>
      <c r="Z33" s="94" t="s">
        <v>74</v>
      </c>
      <c r="AA33" s="89">
        <v>253</v>
      </c>
      <c r="AB33" s="90">
        <f t="shared" si="9"/>
        <v>7023</v>
      </c>
      <c r="AC33" s="91">
        <f t="shared" si="7"/>
        <v>0</v>
      </c>
      <c r="AD33" s="9"/>
    </row>
    <row r="34" spans="1:30" x14ac:dyDescent="0.25">
      <c r="A34" s="1" t="s">
        <v>77</v>
      </c>
      <c r="B34" s="633"/>
      <c r="C34" s="634"/>
      <c r="D34" s="13">
        <v>2.0299999999999998</v>
      </c>
      <c r="E34" s="13">
        <v>1.52</v>
      </c>
      <c r="F34" s="92">
        <v>0</v>
      </c>
      <c r="G34" s="46">
        <f t="shared" si="6"/>
        <v>3.55</v>
      </c>
      <c r="H34" s="80"/>
      <c r="I34" s="93" t="s">
        <v>78</v>
      </c>
      <c r="J34" s="82">
        <v>251</v>
      </c>
      <c r="K34" s="83">
        <v>835</v>
      </c>
      <c r="L34" s="84">
        <f t="shared" si="8"/>
        <v>2964</v>
      </c>
      <c r="N34" s="85">
        <v>5103</v>
      </c>
      <c r="O34" s="54">
        <v>251</v>
      </c>
      <c r="P34" s="86"/>
      <c r="Q34" s="87"/>
      <c r="V34" s="637"/>
      <c r="W34" s="637"/>
      <c r="X34" s="638"/>
      <c r="Y34" s="638"/>
      <c r="Z34" s="94" t="s">
        <v>78</v>
      </c>
      <c r="AA34" s="89">
        <v>251</v>
      </c>
      <c r="AB34" s="90">
        <f t="shared" si="9"/>
        <v>835</v>
      </c>
      <c r="AC34" s="91">
        <f t="shared" si="7"/>
        <v>0</v>
      </c>
      <c r="AD34" s="9"/>
    </row>
    <row r="35" spans="1:30" x14ac:dyDescent="0.25">
      <c r="A35" s="1" t="s">
        <v>79</v>
      </c>
      <c r="B35" s="633"/>
      <c r="C35" s="634"/>
      <c r="D35" s="13">
        <v>0</v>
      </c>
      <c r="E35" s="13">
        <v>0</v>
      </c>
      <c r="F35" s="92">
        <v>0</v>
      </c>
      <c r="G35" s="46">
        <f t="shared" si="6"/>
        <v>0</v>
      </c>
      <c r="H35" s="80"/>
      <c r="I35" s="93" t="s">
        <v>78</v>
      </c>
      <c r="J35" s="82">
        <v>252</v>
      </c>
      <c r="K35" s="83">
        <v>3168</v>
      </c>
      <c r="L35" s="84">
        <f t="shared" si="8"/>
        <v>0</v>
      </c>
      <c r="N35" s="85">
        <v>5103</v>
      </c>
      <c r="O35" s="54">
        <v>252</v>
      </c>
      <c r="P35" s="86"/>
      <c r="Q35" s="95"/>
      <c r="V35" s="637"/>
      <c r="W35" s="637"/>
      <c r="X35" s="638"/>
      <c r="Y35" s="638"/>
      <c r="Z35" s="94" t="s">
        <v>78</v>
      </c>
      <c r="AA35" s="89">
        <v>252</v>
      </c>
      <c r="AB35" s="90">
        <f t="shared" si="9"/>
        <v>3168</v>
      </c>
      <c r="AC35" s="91">
        <f t="shared" si="7"/>
        <v>0</v>
      </c>
      <c r="AD35" s="9"/>
    </row>
    <row r="36" spans="1:30" ht="16.5" thickBot="1" x14ac:dyDescent="0.3">
      <c r="A36" s="1" t="s">
        <v>80</v>
      </c>
      <c r="B36" s="635"/>
      <c r="C36" s="636"/>
      <c r="D36" s="13">
        <v>0</v>
      </c>
      <c r="E36" s="13">
        <v>0</v>
      </c>
      <c r="F36" s="92">
        <v>0</v>
      </c>
      <c r="G36" s="46">
        <f t="shared" si="6"/>
        <v>0</v>
      </c>
      <c r="H36" s="80"/>
      <c r="I36" s="93" t="s">
        <v>78</v>
      </c>
      <c r="J36" s="82">
        <v>253</v>
      </c>
      <c r="K36" s="83">
        <v>6685</v>
      </c>
      <c r="L36" s="96">
        <f t="shared" si="8"/>
        <v>0</v>
      </c>
      <c r="N36" s="85">
        <v>5103</v>
      </c>
      <c r="O36" s="54">
        <v>253</v>
      </c>
      <c r="P36" s="86"/>
      <c r="Q36" s="97"/>
      <c r="V36" s="637"/>
      <c r="W36" s="637"/>
      <c r="X36" s="645"/>
      <c r="Y36" s="645"/>
      <c r="Z36" s="94" t="s">
        <v>78</v>
      </c>
      <c r="AA36" s="89">
        <v>253</v>
      </c>
      <c r="AB36" s="90">
        <f t="shared" si="9"/>
        <v>6685</v>
      </c>
      <c r="AC36" s="98">
        <f t="shared" si="7"/>
        <v>0</v>
      </c>
      <c r="AD36" s="9"/>
    </row>
    <row r="37" spans="1:30" ht="18.75" customHeight="1" x14ac:dyDescent="0.25">
      <c r="B37" s="13" t="s">
        <v>81</v>
      </c>
      <c r="C37" s="13"/>
      <c r="D37" s="63">
        <f t="shared" ref="D37:E37" si="10">SUM(D28:D36)</f>
        <v>45.19</v>
      </c>
      <c r="E37" s="63">
        <f t="shared" si="10"/>
        <v>47.38</v>
      </c>
      <c r="F37" s="63"/>
      <c r="G37" s="63">
        <f>SUM(G28:G36)</f>
        <v>92.570000000000007</v>
      </c>
      <c r="H37" s="64"/>
      <c r="I37" s="13" t="s">
        <v>82</v>
      </c>
      <c r="J37" s="13"/>
      <c r="K37" s="13"/>
      <c r="L37" s="50">
        <f>SUM(L28:L36)</f>
        <v>109523</v>
      </c>
      <c r="N37" s="54"/>
      <c r="O37" s="68"/>
      <c r="P37" s="54"/>
      <c r="Q37" s="54"/>
      <c r="V37" s="646" t="s">
        <v>81</v>
      </c>
      <c r="W37" s="646"/>
      <c r="X37" s="626">
        <f>SUM(X28:X36)</f>
        <v>0</v>
      </c>
      <c r="Y37" s="626"/>
      <c r="Z37" s="646" t="s">
        <v>82</v>
      </c>
      <c r="AA37" s="646"/>
      <c r="AB37" s="646"/>
      <c r="AC37" s="56">
        <f>SUM(AC28:AC36)</f>
        <v>0</v>
      </c>
      <c r="AD37" s="9"/>
    </row>
    <row r="38" spans="1:30" ht="30.75" customHeight="1" x14ac:dyDescent="0.25">
      <c r="B38" s="99" t="s">
        <v>83</v>
      </c>
      <c r="C38" s="99"/>
      <c r="D38" s="99"/>
      <c r="E38" s="99"/>
      <c r="F38" s="99"/>
      <c r="G38" s="99"/>
      <c r="H38" s="100"/>
      <c r="I38" s="99"/>
      <c r="J38" s="99"/>
      <c r="K38" s="99"/>
      <c r="L38" s="99"/>
      <c r="M38" s="101"/>
      <c r="N38" s="54"/>
      <c r="O38" s="68"/>
      <c r="P38" s="54"/>
      <c r="Q38" s="54"/>
      <c r="V38" s="639" t="s">
        <v>83</v>
      </c>
      <c r="W38" s="639"/>
      <c r="X38" s="639"/>
      <c r="Y38" s="639"/>
      <c r="Z38" s="639"/>
      <c r="AA38" s="639"/>
      <c r="AB38" s="639"/>
      <c r="AC38" s="639"/>
      <c r="AD38" s="102"/>
    </row>
    <row r="39" spans="1:30" ht="15.75" customHeight="1" x14ac:dyDescent="0.25">
      <c r="B39" s="103" t="s">
        <v>84</v>
      </c>
      <c r="C39" s="103"/>
      <c r="D39" s="103"/>
      <c r="E39" s="103"/>
      <c r="F39" s="103"/>
      <c r="G39" s="104">
        <v>34389540</v>
      </c>
      <c r="H39" s="104"/>
      <c r="I39" s="13" t="s">
        <v>85</v>
      </c>
      <c r="J39" s="13"/>
      <c r="K39" s="13"/>
      <c r="L39" s="13"/>
      <c r="O39" s="1"/>
      <c r="V39" s="640" t="s">
        <v>84</v>
      </c>
      <c r="W39" s="640"/>
      <c r="X39" s="641">
        <f>+G39</f>
        <v>34389540</v>
      </c>
      <c r="Y39" s="641"/>
      <c r="Z39" s="642" t="s">
        <v>85</v>
      </c>
      <c r="AA39" s="642"/>
      <c r="AB39" s="642"/>
      <c r="AC39" s="642"/>
      <c r="AD39" s="9"/>
    </row>
    <row r="40" spans="1:30" ht="15.75" customHeight="1" x14ac:dyDescent="0.25">
      <c r="B40" s="105" t="s">
        <v>86</v>
      </c>
      <c r="C40" s="105"/>
      <c r="D40" s="105"/>
      <c r="E40" s="105"/>
      <c r="F40" s="105"/>
      <c r="G40" s="106">
        <v>180284.81</v>
      </c>
      <c r="H40" s="106"/>
      <c r="I40" s="106"/>
      <c r="J40" s="106"/>
      <c r="K40" s="50">
        <f>ROUND(G39/G40,0)</f>
        <v>191</v>
      </c>
      <c r="L40" s="50">
        <f>ROUND(K40*$G$26,0)</f>
        <v>197847</v>
      </c>
      <c r="N40" s="107"/>
      <c r="O40" s="107"/>
      <c r="P40" s="107"/>
      <c r="Q40" s="107"/>
      <c r="V40" s="643" t="s">
        <v>86</v>
      </c>
      <c r="W40" s="643"/>
      <c r="X40" s="644">
        <f>+G40</f>
        <v>180284.81</v>
      </c>
      <c r="Y40" s="644"/>
      <c r="Z40" s="644"/>
      <c r="AA40" s="644"/>
      <c r="AB40" s="56">
        <f>ROUND(X39/X40,0)</f>
        <v>191</v>
      </c>
      <c r="AC40" s="56">
        <f>ROUND(AB40*$X$26,0)</f>
        <v>0</v>
      </c>
      <c r="AD40" s="9"/>
    </row>
    <row r="41" spans="1:30" ht="15.75" customHeight="1" x14ac:dyDescent="0.25">
      <c r="B41" s="108" t="s">
        <v>87</v>
      </c>
      <c r="C41" s="108"/>
      <c r="D41" s="108"/>
      <c r="E41" s="108"/>
      <c r="F41" s="108"/>
      <c r="G41" s="108"/>
      <c r="H41" s="108"/>
      <c r="I41" s="108"/>
      <c r="J41" s="108"/>
      <c r="K41" s="108"/>
      <c r="L41" s="108"/>
      <c r="N41" s="101"/>
      <c r="O41" s="109"/>
      <c r="P41" s="101"/>
      <c r="Q41" s="101"/>
      <c r="V41" s="652" t="s">
        <v>87</v>
      </c>
      <c r="W41" s="652"/>
      <c r="X41" s="652"/>
      <c r="Y41" s="652"/>
      <c r="Z41" s="652"/>
      <c r="AA41" s="652"/>
      <c r="AB41" s="652"/>
      <c r="AC41" s="652"/>
      <c r="AD41" s="9"/>
    </row>
    <row r="42" spans="1:30" ht="28.5" customHeight="1" x14ac:dyDescent="0.25">
      <c r="B42" s="99" t="s">
        <v>88</v>
      </c>
      <c r="C42" s="99"/>
      <c r="D42" s="99"/>
      <c r="E42" s="99"/>
      <c r="F42" s="99"/>
      <c r="G42" s="99"/>
      <c r="H42" s="99"/>
      <c r="I42" s="99"/>
      <c r="J42" s="99"/>
      <c r="K42" s="99"/>
      <c r="L42" s="99"/>
      <c r="M42" s="107"/>
      <c r="O42" s="1"/>
      <c r="V42" s="639" t="s">
        <v>88</v>
      </c>
      <c r="W42" s="639"/>
      <c r="X42" s="639"/>
      <c r="Y42" s="639"/>
      <c r="Z42" s="639"/>
      <c r="AA42" s="639"/>
      <c r="AB42" s="639"/>
      <c r="AC42" s="639"/>
      <c r="AD42" s="110"/>
    </row>
    <row r="43" spans="1:30" x14ac:dyDescent="0.25">
      <c r="B43" s="111" t="s">
        <v>89</v>
      </c>
      <c r="C43" s="111"/>
      <c r="D43" s="111"/>
      <c r="E43" s="111"/>
      <c r="F43" s="111"/>
      <c r="G43" s="111"/>
      <c r="H43" s="111"/>
      <c r="I43" s="111"/>
      <c r="J43" s="111"/>
      <c r="K43" s="111"/>
      <c r="L43" s="111"/>
      <c r="M43" s="112"/>
      <c r="N43" s="101"/>
      <c r="O43" s="101"/>
      <c r="P43" s="101"/>
      <c r="Q43" s="101"/>
      <c r="V43" s="653" t="s">
        <v>89</v>
      </c>
      <c r="W43" s="653"/>
      <c r="X43" s="653"/>
      <c r="Y43" s="653"/>
      <c r="Z43" s="653"/>
      <c r="AA43" s="653"/>
      <c r="AB43" s="653"/>
      <c r="AC43" s="653"/>
      <c r="AD43" s="113"/>
    </row>
    <row r="44" spans="1:30" ht="24" customHeight="1" x14ac:dyDescent="0.25">
      <c r="B44" s="62" t="s">
        <v>90</v>
      </c>
      <c r="C44" s="62"/>
      <c r="D44" s="62"/>
      <c r="E44" s="62"/>
      <c r="F44" s="62"/>
      <c r="G44" s="62"/>
      <c r="H44" s="62"/>
      <c r="I44" s="62"/>
      <c r="J44" s="62"/>
      <c r="K44" s="62"/>
      <c r="L44" s="114">
        <f>SUM(L26,L37,L40)</f>
        <v>4564335</v>
      </c>
      <c r="O44" s="1"/>
      <c r="V44" s="654" t="s">
        <v>90</v>
      </c>
      <c r="W44" s="654"/>
      <c r="X44" s="654"/>
      <c r="Y44" s="654"/>
      <c r="Z44" s="654"/>
      <c r="AA44" s="654"/>
      <c r="AB44" s="654"/>
      <c r="AC44" s="115">
        <f>SUM(AC26,AC37,AC40)</f>
        <v>0</v>
      </c>
      <c r="AD44" s="9"/>
    </row>
    <row r="45" spans="1:30" ht="30.75" customHeight="1" x14ac:dyDescent="0.25">
      <c r="B45" s="99" t="s">
        <v>91</v>
      </c>
      <c r="C45" s="99"/>
      <c r="D45" s="99"/>
      <c r="E45" s="99"/>
      <c r="F45" s="99"/>
      <c r="G45" s="99"/>
      <c r="H45" s="99"/>
      <c r="I45" s="99"/>
      <c r="J45" s="99"/>
      <c r="K45" s="99"/>
      <c r="L45" s="99"/>
      <c r="M45" s="116"/>
      <c r="O45" s="1"/>
      <c r="V45" s="639" t="s">
        <v>91</v>
      </c>
      <c r="W45" s="639"/>
      <c r="X45" s="639"/>
      <c r="Y45" s="639"/>
      <c r="Z45" s="639"/>
      <c r="AA45" s="639"/>
      <c r="AB45" s="639"/>
      <c r="AC45" s="639"/>
      <c r="AD45" s="117"/>
    </row>
    <row r="46" spans="1:30" ht="18.75" customHeight="1" x14ac:dyDescent="0.25">
      <c r="B46" s="1"/>
      <c r="C46" s="118" t="s">
        <v>92</v>
      </c>
      <c r="D46" s="118"/>
      <c r="E46" s="118"/>
      <c r="F46" s="118"/>
      <c r="G46" s="118" t="s">
        <v>93</v>
      </c>
      <c r="H46" s="119"/>
      <c r="I46" s="120" t="s">
        <v>94</v>
      </c>
      <c r="J46" s="121"/>
      <c r="K46" s="121"/>
      <c r="L46" s="121"/>
      <c r="M46" s="122"/>
      <c r="O46" s="1"/>
      <c r="V46" s="9"/>
      <c r="W46" s="123" t="s">
        <v>92</v>
      </c>
      <c r="X46" s="655" t="s">
        <v>95</v>
      </c>
      <c r="Y46" s="655"/>
      <c r="Z46" s="656" t="s">
        <v>94</v>
      </c>
      <c r="AA46" s="656"/>
      <c r="AB46" s="656"/>
      <c r="AC46" s="656"/>
      <c r="AD46" s="124"/>
    </row>
    <row r="47" spans="1:30" ht="18.75" customHeight="1" x14ac:dyDescent="0.25">
      <c r="B47" s="107" t="s">
        <v>96</v>
      </c>
      <c r="C47" s="125">
        <f>K10+K11+K16+K19+K22</f>
        <v>548.39930000000004</v>
      </c>
      <c r="D47" s="125"/>
      <c r="E47" s="125"/>
      <c r="F47" s="125"/>
      <c r="G47" s="126">
        <f>K7</f>
        <v>1.0326</v>
      </c>
      <c r="H47" s="126"/>
      <c r="I47" s="127">
        <v>1316.85</v>
      </c>
      <c r="J47" s="128" t="s">
        <v>97</v>
      </c>
      <c r="K47" s="129">
        <f>ROUND(C47*G47*I47,0)</f>
        <v>745702</v>
      </c>
      <c r="L47" s="130"/>
      <c r="O47" s="1"/>
      <c r="V47" s="110" t="s">
        <v>96</v>
      </c>
      <c r="W47" s="131">
        <f>AB10+AB11+AB16+AB19+AB22</f>
        <v>0</v>
      </c>
      <c r="X47" s="647">
        <f>AB7</f>
        <v>1.0326</v>
      </c>
      <c r="Y47" s="647"/>
      <c r="Z47" s="132">
        <f>+I47</f>
        <v>1316.85</v>
      </c>
      <c r="AA47" s="133" t="s">
        <v>97</v>
      </c>
      <c r="AB47" s="134">
        <f>ROUND(W47*X47*Z47,0)</f>
        <v>0</v>
      </c>
      <c r="AC47" s="135"/>
      <c r="AD47" s="9"/>
    </row>
    <row r="48" spans="1:30" ht="18" customHeight="1" x14ac:dyDescent="0.25">
      <c r="B48" s="136" t="s">
        <v>74</v>
      </c>
      <c r="C48" s="125">
        <f>K12+K13+K17+K20+K23</f>
        <v>530.17999999999995</v>
      </c>
      <c r="D48" s="125"/>
      <c r="E48" s="125"/>
      <c r="F48" s="125"/>
      <c r="G48" s="126">
        <f>K7</f>
        <v>1.0326</v>
      </c>
      <c r="H48" s="126"/>
      <c r="I48" s="127">
        <v>898.23</v>
      </c>
      <c r="J48" s="128" t="s">
        <v>97</v>
      </c>
      <c r="K48" s="129">
        <f>ROUND(C48*G48*I48,0)</f>
        <v>491748</v>
      </c>
      <c r="L48" s="62"/>
      <c r="O48" s="1"/>
      <c r="V48" s="137" t="s">
        <v>74</v>
      </c>
      <c r="W48" s="131">
        <f>AB12+AB13+AB17+AB20+AB23</f>
        <v>0</v>
      </c>
      <c r="X48" s="647">
        <f>AB7</f>
        <v>1.0326</v>
      </c>
      <c r="Y48" s="647"/>
      <c r="Z48" s="132">
        <f>+I48</f>
        <v>898.23</v>
      </c>
      <c r="AA48" s="133" t="s">
        <v>97</v>
      </c>
      <c r="AB48" s="134">
        <f>ROUND(W48*X48*Z48,0)</f>
        <v>0</v>
      </c>
      <c r="AC48" s="138"/>
      <c r="AD48" s="9"/>
    </row>
    <row r="49" spans="2:30" ht="19.5" customHeight="1" thickBot="1" x14ac:dyDescent="0.3">
      <c r="B49" s="139" t="s">
        <v>78</v>
      </c>
      <c r="C49" s="140">
        <f>K14+K15+K18+K21+K24+K25</f>
        <v>20.098700000000001</v>
      </c>
      <c r="D49" s="125"/>
      <c r="E49" s="125"/>
      <c r="F49" s="125"/>
      <c r="G49" s="126">
        <f>K7</f>
        <v>1.0326</v>
      </c>
      <c r="H49" s="126"/>
      <c r="I49" s="127">
        <v>900.39</v>
      </c>
      <c r="J49" s="128" t="s">
        <v>97</v>
      </c>
      <c r="K49" s="129">
        <f>ROUND(C49*G49*I49,0)</f>
        <v>18687</v>
      </c>
      <c r="L49" s="62"/>
      <c r="M49" s="112"/>
      <c r="N49" s="141"/>
      <c r="O49" s="142"/>
      <c r="P49" s="101"/>
      <c r="Q49" s="143"/>
      <c r="V49" s="144" t="s">
        <v>78</v>
      </c>
      <c r="W49" s="145">
        <f>AB14+AB15+AB18+AB21+AB24+AB25</f>
        <v>0</v>
      </c>
      <c r="X49" s="647">
        <f>AB7</f>
        <v>1.0326</v>
      </c>
      <c r="Y49" s="647"/>
      <c r="Z49" s="132">
        <f>+I49</f>
        <v>900.39</v>
      </c>
      <c r="AA49" s="133" t="s">
        <v>97</v>
      </c>
      <c r="AB49" s="134">
        <f>ROUND(W49*X49*Z49,0)</f>
        <v>0</v>
      </c>
      <c r="AC49" s="138"/>
      <c r="AD49" s="113"/>
    </row>
    <row r="50" spans="2:30" ht="24" customHeight="1" thickBot="1" x14ac:dyDescent="0.3">
      <c r="B50" s="146" t="s">
        <v>98</v>
      </c>
      <c r="C50" s="147">
        <f>SUM(C47:C49)</f>
        <v>1098.6779999999999</v>
      </c>
      <c r="D50" s="148"/>
      <c r="E50" s="149"/>
      <c r="F50" s="149"/>
      <c r="G50" s="150" t="s">
        <v>99</v>
      </c>
      <c r="H50" s="150"/>
      <c r="I50" s="150"/>
      <c r="J50" s="150"/>
      <c r="K50" s="150"/>
      <c r="L50" s="50">
        <f>IF(B2=75,0,K49+K48+K47)</f>
        <v>1256137</v>
      </c>
      <c r="N50" s="3"/>
      <c r="O50" s="1"/>
      <c r="V50" s="151" t="s">
        <v>98</v>
      </c>
      <c r="W50" s="152">
        <f>SUM(W47:W49)</f>
        <v>0</v>
      </c>
      <c r="X50" s="648" t="s">
        <v>99</v>
      </c>
      <c r="Y50" s="649"/>
      <c r="Z50" s="649"/>
      <c r="AA50" s="649"/>
      <c r="AB50" s="649"/>
      <c r="AC50" s="56">
        <f>IF(V2=75,0,AB49+AB48+AB47)</f>
        <v>0</v>
      </c>
      <c r="AD50" s="9"/>
    </row>
    <row r="51" spans="2:30" ht="19.5" customHeight="1" x14ac:dyDescent="0.25">
      <c r="B51" s="153" t="s">
        <v>100</v>
      </c>
      <c r="C51" s="153"/>
      <c r="D51" s="153"/>
      <c r="E51" s="153"/>
      <c r="F51" s="153"/>
      <c r="G51" s="153"/>
      <c r="H51" s="153"/>
      <c r="I51" s="153"/>
      <c r="J51" s="153"/>
      <c r="K51" s="153"/>
      <c r="L51" s="153"/>
      <c r="M51" s="141"/>
      <c r="N51" s="101"/>
      <c r="O51" s="1"/>
      <c r="V51" s="650" t="s">
        <v>100</v>
      </c>
      <c r="W51" s="650"/>
      <c r="X51" s="650"/>
      <c r="Y51" s="650"/>
      <c r="Z51" s="650"/>
      <c r="AA51" s="650"/>
      <c r="AB51" s="650"/>
      <c r="AC51" s="650"/>
      <c r="AD51" s="154"/>
    </row>
    <row r="52" spans="2:30" ht="27.75" customHeight="1" x14ac:dyDescent="0.25">
      <c r="B52" s="13" t="s">
        <v>101</v>
      </c>
      <c r="C52" s="13"/>
      <c r="D52" s="13"/>
      <c r="E52" s="13"/>
      <c r="F52" s="13"/>
      <c r="G52" s="13"/>
      <c r="H52" s="13"/>
      <c r="I52" s="13"/>
      <c r="J52" s="13"/>
      <c r="K52" s="13"/>
      <c r="L52" s="13"/>
      <c r="O52" s="1"/>
      <c r="V52" s="651" t="s">
        <v>101</v>
      </c>
      <c r="W52" s="651"/>
      <c r="X52" s="651"/>
      <c r="Y52" s="651"/>
      <c r="Z52" s="651"/>
      <c r="AA52" s="651"/>
      <c r="AB52" s="651"/>
      <c r="AC52" s="651"/>
      <c r="AD52" s="9"/>
    </row>
    <row r="53" spans="2:30" x14ac:dyDescent="0.25">
      <c r="B53" s="13" t="s">
        <v>102</v>
      </c>
      <c r="C53" s="13"/>
      <c r="D53" s="13"/>
      <c r="E53" s="13"/>
      <c r="F53" s="13"/>
      <c r="G53" s="155">
        <f>K26</f>
        <v>1098.6779999999999</v>
      </c>
      <c r="H53" s="57" t="s">
        <v>103</v>
      </c>
      <c r="I53" s="57"/>
      <c r="J53" s="156">
        <v>197823.77</v>
      </c>
      <c r="K53" s="156"/>
      <c r="L53" s="156"/>
      <c r="N53" s="3"/>
      <c r="O53" s="1"/>
      <c r="V53" s="657" t="s">
        <v>102</v>
      </c>
      <c r="W53" s="657"/>
      <c r="X53" s="157">
        <f>AB26</f>
        <v>0</v>
      </c>
      <c r="Y53" s="658" t="s">
        <v>103</v>
      </c>
      <c r="Z53" s="658"/>
      <c r="AA53" s="659">
        <f>+J53</f>
        <v>197823.77</v>
      </c>
      <c r="AB53" s="659"/>
      <c r="AC53" s="659"/>
      <c r="AD53" s="9"/>
    </row>
    <row r="54" spans="2:30" x14ac:dyDescent="0.25">
      <c r="B54" s="13" t="s">
        <v>104</v>
      </c>
      <c r="C54" s="13"/>
      <c r="D54" s="13"/>
      <c r="E54" s="13"/>
      <c r="F54" s="13"/>
      <c r="G54" s="13"/>
      <c r="H54" s="13"/>
      <c r="I54" s="13"/>
      <c r="J54" s="13"/>
      <c r="K54" s="158">
        <f>ROUND(G53/J53,6)</f>
        <v>5.5539999999999999E-3</v>
      </c>
      <c r="L54" s="158"/>
      <c r="N54" s="101"/>
      <c r="O54" s="1"/>
      <c r="V54" s="657" t="s">
        <v>104</v>
      </c>
      <c r="W54" s="657"/>
      <c r="X54" s="657"/>
      <c r="Y54" s="657"/>
      <c r="Z54" s="657"/>
      <c r="AA54" s="657"/>
      <c r="AB54" s="660">
        <f>ROUND(X53/AA53,6)</f>
        <v>0</v>
      </c>
      <c r="AC54" s="660"/>
      <c r="AD54" s="9"/>
    </row>
    <row r="55" spans="2:30" ht="24" customHeight="1" x14ac:dyDescent="0.25">
      <c r="B55" s="13" t="s">
        <v>105</v>
      </c>
      <c r="C55" s="13"/>
      <c r="D55" s="13"/>
      <c r="E55" s="13"/>
      <c r="F55" s="13"/>
      <c r="G55" s="13"/>
      <c r="H55" s="13"/>
      <c r="I55" s="13"/>
      <c r="J55" s="13"/>
      <c r="K55" s="13"/>
      <c r="L55" s="13"/>
      <c r="O55" s="1"/>
      <c r="V55" s="651" t="s">
        <v>105</v>
      </c>
      <c r="W55" s="651"/>
      <c r="X55" s="651"/>
      <c r="Y55" s="651"/>
      <c r="Z55" s="651"/>
      <c r="AA55" s="651"/>
      <c r="AB55" s="651"/>
      <c r="AC55" s="651"/>
      <c r="AD55" s="9"/>
    </row>
    <row r="56" spans="2:30" x14ac:dyDescent="0.25">
      <c r="B56" s="13" t="s">
        <v>106</v>
      </c>
      <c r="C56" s="13"/>
      <c r="D56" s="13"/>
      <c r="E56" s="13"/>
      <c r="F56" s="13"/>
      <c r="G56" s="159">
        <f>G26</f>
        <v>1035.8500000000001</v>
      </c>
      <c r="H56" s="57" t="s">
        <v>107</v>
      </c>
      <c r="I56" s="57"/>
      <c r="J56" s="156">
        <f>+G40</f>
        <v>180284.81</v>
      </c>
      <c r="K56" s="156"/>
      <c r="L56" s="156"/>
      <c r="O56" s="1"/>
      <c r="V56" s="657" t="s">
        <v>106</v>
      </c>
      <c r="W56" s="657"/>
      <c r="X56" s="160">
        <f>X26</f>
        <v>0</v>
      </c>
      <c r="Y56" s="658" t="s">
        <v>107</v>
      </c>
      <c r="Z56" s="658"/>
      <c r="AA56" s="659">
        <f>+J56</f>
        <v>180284.81</v>
      </c>
      <c r="AB56" s="659"/>
      <c r="AC56" s="659"/>
      <c r="AD56" s="9"/>
    </row>
    <row r="57" spans="2:30" x14ac:dyDescent="0.25">
      <c r="B57" s="13" t="s">
        <v>108</v>
      </c>
      <c r="C57" s="13"/>
      <c r="D57" s="13"/>
      <c r="E57" s="13"/>
      <c r="F57" s="13"/>
      <c r="G57" s="13"/>
      <c r="H57" s="13"/>
      <c r="I57" s="13"/>
      <c r="J57" s="13"/>
      <c r="K57" s="158">
        <f>ROUND(G56/J56,6)</f>
        <v>5.7460000000000002E-3</v>
      </c>
      <c r="L57" s="158"/>
      <c r="O57" s="1"/>
      <c r="V57" s="657" t="s">
        <v>108</v>
      </c>
      <c r="W57" s="657"/>
      <c r="X57" s="657"/>
      <c r="Y57" s="657"/>
      <c r="Z57" s="657"/>
      <c r="AA57" s="657"/>
      <c r="AB57" s="660">
        <f>ROUND(X56/AA56,6)</f>
        <v>0</v>
      </c>
      <c r="AC57" s="660"/>
      <c r="AD57" s="9"/>
    </row>
    <row r="58" spans="2:30" ht="20.25" customHeight="1" x14ac:dyDescent="0.25">
      <c r="B58" s="161" t="s">
        <v>109</v>
      </c>
      <c r="C58" s="161"/>
      <c r="D58" s="161"/>
      <c r="E58" s="161"/>
      <c r="F58" s="161"/>
      <c r="G58" s="161"/>
      <c r="H58" s="161"/>
      <c r="I58" s="161"/>
      <c r="J58" s="161"/>
      <c r="K58" s="161"/>
      <c r="L58" s="161"/>
      <c r="N58" s="18"/>
      <c r="O58" s="18"/>
      <c r="V58" s="629" t="s">
        <v>110</v>
      </c>
      <c r="W58" s="629"/>
      <c r="X58" s="629"/>
      <c r="Y58" s="661">
        <f>X65+X64+X62+X61+X60</f>
        <v>4123852</v>
      </c>
      <c r="Z58" s="661"/>
      <c r="AA58" s="162" t="s">
        <v>111</v>
      </c>
      <c r="AB58" s="163">
        <f>AB54</f>
        <v>0</v>
      </c>
      <c r="AC58" s="56">
        <f>ROUND(Y58*AB58,0)</f>
        <v>0</v>
      </c>
      <c r="AD58" s="9"/>
    </row>
    <row r="59" spans="2:30" x14ac:dyDescent="0.25">
      <c r="B59" s="62" t="s">
        <v>110</v>
      </c>
      <c r="C59" s="62"/>
      <c r="D59" s="62"/>
      <c r="E59" s="62"/>
      <c r="F59" s="62"/>
      <c r="G59" s="62"/>
      <c r="H59" s="164" t="s">
        <v>22</v>
      </c>
      <c r="I59" s="129">
        <v>4123852</v>
      </c>
      <c r="J59" s="165" t="s">
        <v>111</v>
      </c>
      <c r="K59" s="166">
        <f>K54</f>
        <v>5.5539999999999999E-3</v>
      </c>
      <c r="L59" s="50">
        <f>ROUND(I59*K59,0)</f>
        <v>22904</v>
      </c>
      <c r="O59" s="1"/>
      <c r="P59" s="165"/>
      <c r="Q59" s="165"/>
      <c r="V59" s="662" t="s">
        <v>112</v>
      </c>
      <c r="W59" s="662"/>
      <c r="X59" s="662"/>
      <c r="Y59" s="662"/>
      <c r="Z59" s="662"/>
      <c r="AA59" s="662"/>
      <c r="AB59" s="662"/>
      <c r="AC59" s="662"/>
      <c r="AD59" s="9"/>
    </row>
    <row r="60" spans="2:30" x14ac:dyDescent="0.25">
      <c r="B60" s="62" t="s">
        <v>112</v>
      </c>
      <c r="C60" s="62"/>
      <c r="D60" s="62"/>
      <c r="E60" s="62"/>
      <c r="F60" s="62"/>
      <c r="G60" s="62"/>
      <c r="H60" s="62"/>
      <c r="I60" s="62"/>
      <c r="J60" s="62"/>
      <c r="K60" s="62"/>
      <c r="L60" s="62"/>
      <c r="O60" s="1"/>
      <c r="P60" s="165"/>
      <c r="Q60" s="165"/>
      <c r="V60" s="663" t="s">
        <v>113</v>
      </c>
      <c r="W60" s="663"/>
      <c r="X60" s="664">
        <f>+G61</f>
        <v>0</v>
      </c>
      <c r="Y60" s="664"/>
      <c r="Z60" s="664"/>
      <c r="AA60" s="664"/>
      <c r="AB60" s="664"/>
      <c r="AC60" s="664"/>
      <c r="AD60" s="9"/>
    </row>
    <row r="61" spans="2:30" ht="15" customHeight="1" x14ac:dyDescent="0.25">
      <c r="B61" s="167" t="s">
        <v>113</v>
      </c>
      <c r="C61" s="62"/>
      <c r="D61" s="62"/>
      <c r="E61" s="62"/>
      <c r="F61" s="62"/>
      <c r="G61" s="168">
        <v>0</v>
      </c>
      <c r="H61" s="168"/>
      <c r="I61" s="168"/>
      <c r="J61" s="168"/>
      <c r="K61" s="168"/>
      <c r="L61" s="168"/>
      <c r="O61" s="1"/>
      <c r="P61" s="165"/>
      <c r="Q61" s="165"/>
      <c r="V61" s="663" t="s">
        <v>114</v>
      </c>
      <c r="W61" s="663"/>
      <c r="X61" s="664">
        <f>+G62</f>
        <v>0</v>
      </c>
      <c r="Y61" s="664"/>
      <c r="Z61" s="664"/>
      <c r="AA61" s="664"/>
      <c r="AB61" s="664"/>
      <c r="AC61" s="664"/>
      <c r="AD61" s="9"/>
    </row>
    <row r="62" spans="2:30" ht="13.5" customHeight="1" x14ac:dyDescent="0.25">
      <c r="B62" s="167" t="s">
        <v>114</v>
      </c>
      <c r="C62" s="62"/>
      <c r="D62" s="62"/>
      <c r="E62" s="62"/>
      <c r="F62" s="62"/>
      <c r="G62" s="168">
        <v>0</v>
      </c>
      <c r="H62" s="168"/>
      <c r="I62" s="168"/>
      <c r="J62" s="168"/>
      <c r="K62" s="168"/>
      <c r="L62" s="168"/>
      <c r="N62" s="165"/>
      <c r="O62" s="165"/>
      <c r="P62" s="165"/>
      <c r="Q62" s="165"/>
      <c r="V62" s="663" t="s">
        <v>115</v>
      </c>
      <c r="W62" s="663"/>
      <c r="X62" s="664">
        <v>0</v>
      </c>
      <c r="Y62" s="664"/>
      <c r="Z62" s="664"/>
      <c r="AA62" s="664"/>
      <c r="AB62" s="664"/>
      <c r="AC62" s="664"/>
      <c r="AD62" s="9"/>
    </row>
    <row r="63" spans="2:30" ht="13.5" hidden="1" customHeight="1" x14ac:dyDescent="0.25">
      <c r="B63" s="62" t="s">
        <v>115</v>
      </c>
      <c r="C63" s="62"/>
      <c r="D63" s="62"/>
      <c r="E63" s="62"/>
      <c r="F63" s="62"/>
      <c r="G63" s="168">
        <v>0</v>
      </c>
      <c r="H63" s="168"/>
      <c r="I63" s="168"/>
      <c r="J63" s="168"/>
      <c r="K63" s="168"/>
      <c r="L63" s="168"/>
      <c r="O63" s="1"/>
      <c r="P63" s="165"/>
      <c r="Q63" s="165"/>
      <c r="V63" s="662" t="s">
        <v>116</v>
      </c>
      <c r="W63" s="662"/>
      <c r="X63" s="662"/>
      <c r="Y63" s="662"/>
      <c r="Z63" s="662"/>
      <c r="AA63" s="662"/>
      <c r="AB63" s="662"/>
      <c r="AC63" s="662"/>
      <c r="AD63" s="117"/>
    </row>
    <row r="64" spans="2:30" ht="13.5" customHeight="1" x14ac:dyDescent="0.25">
      <c r="B64" s="62" t="s">
        <v>116</v>
      </c>
      <c r="C64" s="62"/>
      <c r="D64" s="62"/>
      <c r="E64" s="62"/>
      <c r="F64" s="62"/>
      <c r="G64" s="62"/>
      <c r="H64" s="62"/>
      <c r="I64" s="62"/>
      <c r="J64" s="62"/>
      <c r="K64" s="62"/>
      <c r="L64" s="62"/>
      <c r="M64" s="116"/>
      <c r="N64" s="18"/>
      <c r="O64" s="1"/>
      <c r="V64" s="663" t="s">
        <v>117</v>
      </c>
      <c r="W64" s="663"/>
      <c r="X64" s="664">
        <f>+G65</f>
        <v>4123852</v>
      </c>
      <c r="Y64" s="664"/>
      <c r="Z64" s="664"/>
      <c r="AA64" s="664"/>
      <c r="AB64" s="664"/>
      <c r="AC64" s="664"/>
      <c r="AD64" s="9"/>
    </row>
    <row r="65" spans="1:30" ht="12.75" customHeight="1" x14ac:dyDescent="0.25">
      <c r="B65" s="167" t="s">
        <v>117</v>
      </c>
      <c r="C65" s="62"/>
      <c r="D65" s="62"/>
      <c r="E65" s="62"/>
      <c r="F65" s="62"/>
      <c r="G65" s="168">
        <f>+I59</f>
        <v>4123852</v>
      </c>
      <c r="H65" s="168"/>
      <c r="I65" s="168"/>
      <c r="J65" s="168"/>
      <c r="K65" s="168"/>
      <c r="L65" s="168"/>
      <c r="O65" s="1"/>
      <c r="V65" s="663" t="s">
        <v>118</v>
      </c>
      <c r="W65" s="663"/>
      <c r="X65" s="664">
        <f>+G66</f>
        <v>0</v>
      </c>
      <c r="Y65" s="664"/>
      <c r="Z65" s="664"/>
      <c r="AA65" s="664"/>
      <c r="AB65" s="664"/>
      <c r="AC65" s="664"/>
      <c r="AD65" s="20"/>
    </row>
    <row r="66" spans="1:30" ht="15" customHeight="1" x14ac:dyDescent="0.25">
      <c r="B66" s="167" t="s">
        <v>118</v>
      </c>
      <c r="C66" s="62"/>
      <c r="D66" s="62"/>
      <c r="E66" s="62"/>
      <c r="F66" s="62"/>
      <c r="G66" s="168">
        <v>0</v>
      </c>
      <c r="H66" s="168"/>
      <c r="I66" s="168"/>
      <c r="J66" s="168"/>
      <c r="K66" s="168"/>
      <c r="L66" s="168"/>
      <c r="M66" s="18"/>
      <c r="N66" s="3"/>
      <c r="O66" s="169"/>
      <c r="P66" s="169"/>
      <c r="Q66" s="169"/>
      <c r="V66" s="651" t="s">
        <v>119</v>
      </c>
      <c r="W66" s="651"/>
      <c r="X66" s="651"/>
      <c r="Y66" s="661">
        <f>+I67</f>
        <v>96774526</v>
      </c>
      <c r="Z66" s="661"/>
      <c r="AA66" s="162" t="s">
        <v>111</v>
      </c>
      <c r="AB66" s="163">
        <f>AB54</f>
        <v>0</v>
      </c>
      <c r="AC66" s="56">
        <f>ROUND(Y66*AB66,0)</f>
        <v>0</v>
      </c>
      <c r="AD66" s="9"/>
    </row>
    <row r="67" spans="1:30" ht="20.25" customHeight="1" x14ac:dyDescent="0.25">
      <c r="B67" s="13" t="s">
        <v>119</v>
      </c>
      <c r="C67" s="13"/>
      <c r="D67" s="13"/>
      <c r="E67" s="13"/>
      <c r="F67" s="13"/>
      <c r="H67" s="164" t="s">
        <v>25</v>
      </c>
      <c r="I67" s="129">
        <v>96774526</v>
      </c>
      <c r="J67" s="165" t="s">
        <v>111</v>
      </c>
      <c r="K67" s="166">
        <f>K54</f>
        <v>5.5539999999999999E-3</v>
      </c>
      <c r="L67" s="50">
        <f>ROUND(I67*K67,0)</f>
        <v>537486</v>
      </c>
      <c r="O67" s="1"/>
      <c r="V67" s="651" t="s">
        <v>120</v>
      </c>
      <c r="W67" s="651"/>
      <c r="X67" s="651"/>
      <c r="Y67" s="651"/>
      <c r="Z67" s="651"/>
      <c r="AA67" s="651"/>
      <c r="AB67" s="651"/>
      <c r="AC67" s="651"/>
      <c r="AD67" s="9"/>
    </row>
    <row r="68" spans="1:30" ht="20.25" customHeight="1" x14ac:dyDescent="0.25">
      <c r="B68" s="13" t="s">
        <v>120</v>
      </c>
      <c r="C68" s="13"/>
      <c r="D68" s="13"/>
      <c r="E68" s="13"/>
      <c r="F68" s="13"/>
      <c r="H68" s="13"/>
      <c r="I68" s="13"/>
      <c r="J68" s="82"/>
      <c r="K68" s="13"/>
      <c r="L68" s="13"/>
      <c r="O68" s="1"/>
      <c r="V68" s="667" t="s">
        <v>121</v>
      </c>
      <c r="W68" s="667"/>
      <c r="X68" s="667"/>
      <c r="Y68" s="661">
        <f>+I69</f>
        <v>0</v>
      </c>
      <c r="Z68" s="661"/>
      <c r="AA68" s="162" t="s">
        <v>111</v>
      </c>
      <c r="AB68" s="163">
        <f>AB57</f>
        <v>0</v>
      </c>
      <c r="AC68" s="56">
        <f>ROUND(Y68*AB68,0)</f>
        <v>0</v>
      </c>
      <c r="AD68" s="9"/>
    </row>
    <row r="69" spans="1:30" ht="15" customHeight="1" x14ac:dyDescent="0.25">
      <c r="B69" s="170" t="s">
        <v>121</v>
      </c>
      <c r="C69" s="13"/>
      <c r="D69" s="13"/>
      <c r="E69" s="13"/>
      <c r="F69" s="13"/>
      <c r="H69" s="164" t="s">
        <v>23</v>
      </c>
      <c r="I69" s="129">
        <v>0</v>
      </c>
      <c r="J69" s="165" t="s">
        <v>111</v>
      </c>
      <c r="K69" s="166">
        <f>K57</f>
        <v>5.7460000000000002E-3</v>
      </c>
      <c r="L69" s="50">
        <f>ROUND(I69*K69,0)</f>
        <v>0</v>
      </c>
      <c r="O69" s="1"/>
      <c r="V69" s="651" t="s">
        <v>122</v>
      </c>
      <c r="W69" s="651"/>
      <c r="X69" s="651"/>
      <c r="Y69" s="668">
        <f>+I70</f>
        <v>-3460775</v>
      </c>
      <c r="Z69" s="668"/>
      <c r="AA69" s="162" t="s">
        <v>111</v>
      </c>
      <c r="AB69" s="163">
        <f>AB54</f>
        <v>0</v>
      </c>
      <c r="AC69" s="56">
        <f>ROUND(Y69*AB69,0)</f>
        <v>0</v>
      </c>
      <c r="AD69" s="9"/>
    </row>
    <row r="70" spans="1:30" ht="20.25" customHeight="1" x14ac:dyDescent="0.25">
      <c r="B70" s="13" t="s">
        <v>122</v>
      </c>
      <c r="C70" s="13"/>
      <c r="D70" s="13"/>
      <c r="E70" s="13"/>
      <c r="F70" s="13"/>
      <c r="H70" s="164" t="s">
        <v>22</v>
      </c>
      <c r="I70" s="129">
        <v>-3460775</v>
      </c>
      <c r="J70" s="165" t="s">
        <v>111</v>
      </c>
      <c r="K70" s="166">
        <f>K54</f>
        <v>5.5539999999999999E-3</v>
      </c>
      <c r="L70" s="50">
        <f>ROUND(I70*K70,0)</f>
        <v>-19221</v>
      </c>
      <c r="O70" s="1"/>
      <c r="V70" s="651" t="s">
        <v>123</v>
      </c>
      <c r="W70" s="651"/>
      <c r="X70" s="651"/>
      <c r="Y70" s="665">
        <f>+I71</f>
        <v>1874788</v>
      </c>
      <c r="Z70" s="665"/>
      <c r="AA70" s="162" t="s">
        <v>111</v>
      </c>
      <c r="AB70" s="163">
        <f>AB54</f>
        <v>0</v>
      </c>
      <c r="AC70" s="56">
        <f>ROUND(Y70*AB70,0)</f>
        <v>0</v>
      </c>
      <c r="AD70" s="9"/>
    </row>
    <row r="71" spans="1:30" ht="20.25" customHeight="1" x14ac:dyDescent="0.25">
      <c r="B71" s="13" t="s">
        <v>123</v>
      </c>
      <c r="C71" s="13"/>
      <c r="D71" s="13"/>
      <c r="E71" s="13"/>
      <c r="F71" s="13"/>
      <c r="H71" s="164" t="s">
        <v>22</v>
      </c>
      <c r="I71" s="129">
        <v>1874788</v>
      </c>
      <c r="J71" s="165" t="s">
        <v>111</v>
      </c>
      <c r="K71" s="166">
        <f>K54</f>
        <v>5.5539999999999999E-3</v>
      </c>
      <c r="L71" s="50">
        <f>ROUND(I71*K71,0)</f>
        <v>10413</v>
      </c>
      <c r="O71" s="1"/>
      <c r="V71" s="651" t="s">
        <v>124</v>
      </c>
      <c r="W71" s="651"/>
      <c r="X71" s="651"/>
      <c r="Y71" s="665">
        <f>+I72</f>
        <v>14223298</v>
      </c>
      <c r="Z71" s="665"/>
      <c r="AA71" s="162" t="s">
        <v>111</v>
      </c>
      <c r="AB71" s="163">
        <f>AB57</f>
        <v>0</v>
      </c>
      <c r="AC71" s="56">
        <f>ROUND(Y71*AB71,0)</f>
        <v>0</v>
      </c>
      <c r="AD71" s="9"/>
    </row>
    <row r="72" spans="1:30" ht="21" customHeight="1" x14ac:dyDescent="0.25">
      <c r="B72" s="13" t="s">
        <v>124</v>
      </c>
      <c r="C72" s="13"/>
      <c r="D72" s="13"/>
      <c r="E72" s="13"/>
      <c r="F72" s="13"/>
      <c r="H72" s="164" t="s">
        <v>23</v>
      </c>
      <c r="I72" s="171">
        <v>14223298</v>
      </c>
      <c r="J72" s="165" t="s">
        <v>111</v>
      </c>
      <c r="K72" s="166">
        <f>K57</f>
        <v>5.7460000000000002E-3</v>
      </c>
      <c r="L72" s="50">
        <f>ROUND(I72*K72,0)</f>
        <v>81727</v>
      </c>
      <c r="O72" s="1"/>
      <c r="V72" s="623" t="s">
        <v>125</v>
      </c>
      <c r="W72" s="623"/>
      <c r="X72" s="623"/>
      <c r="Y72" s="623"/>
      <c r="Z72" s="623"/>
      <c r="AA72" s="623"/>
      <c r="AB72" s="623"/>
      <c r="AC72" s="60"/>
      <c r="AD72" s="9"/>
    </row>
    <row r="73" spans="1:30" ht="17.25" customHeight="1" x14ac:dyDescent="0.25">
      <c r="B73" s="13" t="s">
        <v>125</v>
      </c>
      <c r="C73" s="13"/>
      <c r="D73" s="13"/>
      <c r="E73" s="13"/>
      <c r="F73" s="13"/>
      <c r="H73" s="13"/>
      <c r="I73" s="13"/>
      <c r="J73" s="82"/>
      <c r="K73" s="13"/>
      <c r="L73" s="59"/>
      <c r="O73" s="1"/>
      <c r="V73" s="651" t="s">
        <v>126</v>
      </c>
      <c r="W73" s="651"/>
      <c r="X73" s="651"/>
      <c r="Y73" s="651"/>
      <c r="Z73" s="651"/>
      <c r="AA73" s="651"/>
      <c r="AB73" s="651"/>
      <c r="AC73" s="651"/>
      <c r="AD73" s="9"/>
    </row>
    <row r="74" spans="1:30" ht="31.5" x14ac:dyDescent="0.25">
      <c r="B74" s="13" t="s">
        <v>126</v>
      </c>
      <c r="C74" s="13"/>
      <c r="D74" s="27" t="s">
        <v>13</v>
      </c>
      <c r="E74" s="27" t="s">
        <v>14</v>
      </c>
      <c r="F74" s="27"/>
      <c r="H74" s="164" t="s">
        <v>26</v>
      </c>
      <c r="I74" s="172"/>
      <c r="J74" s="164"/>
      <c r="K74" s="172"/>
      <c r="L74" s="112"/>
      <c r="O74" s="1"/>
      <c r="V74" s="666" t="s">
        <v>127</v>
      </c>
      <c r="W74" s="666"/>
      <c r="X74" s="173" t="s">
        <v>128</v>
      </c>
      <c r="Y74" s="174"/>
      <c r="Z74" s="175">
        <f>+I75</f>
        <v>432.5</v>
      </c>
      <c r="AA74" s="176" t="s">
        <v>129</v>
      </c>
      <c r="AB74" s="177">
        <f>+K75</f>
        <v>361</v>
      </c>
      <c r="AC74" s="56">
        <f>ROUND(AB74*Z74,0)</f>
        <v>156133</v>
      </c>
      <c r="AD74" s="9"/>
    </row>
    <row r="75" spans="1:30" ht="19.5" customHeight="1" x14ac:dyDescent="0.25">
      <c r="A75" s="1" t="s">
        <v>130</v>
      </c>
      <c r="B75" s="178" t="s">
        <v>127</v>
      </c>
      <c r="C75" s="179" t="s">
        <v>128</v>
      </c>
      <c r="D75" s="178">
        <v>419</v>
      </c>
      <c r="E75" s="178">
        <v>446</v>
      </c>
      <c r="F75" s="178">
        <v>0</v>
      </c>
      <c r="G75" s="180">
        <f>IF(E75=0,D75,E75)</f>
        <v>446</v>
      </c>
      <c r="H75" s="181"/>
      <c r="I75" s="182">
        <f>AVERAGE(G75,D75)</f>
        <v>432.5</v>
      </c>
      <c r="J75" s="183" t="s">
        <v>129</v>
      </c>
      <c r="K75" s="184">
        <v>361</v>
      </c>
      <c r="L75" s="50">
        <f>ROUND(K75*I75,0)</f>
        <v>156133</v>
      </c>
      <c r="N75" s="1">
        <v>7802</v>
      </c>
      <c r="O75" s="1">
        <v>0</v>
      </c>
      <c r="V75" s="666" t="s">
        <v>127</v>
      </c>
      <c r="W75" s="666"/>
      <c r="X75" s="173" t="s">
        <v>131</v>
      </c>
      <c r="Y75" s="185"/>
      <c r="Z75" s="186">
        <f>+I76</f>
        <v>0</v>
      </c>
      <c r="AA75" s="176" t="s">
        <v>129</v>
      </c>
      <c r="AB75" s="187">
        <f>+K76</f>
        <v>1358</v>
      </c>
      <c r="AC75" s="56">
        <f>ROUND(AB75*Z75,0)</f>
        <v>0</v>
      </c>
      <c r="AD75" s="9"/>
    </row>
    <row r="76" spans="1:30" ht="19.5" customHeight="1" x14ac:dyDescent="0.25">
      <c r="A76" s="1" t="s">
        <v>132</v>
      </c>
      <c r="B76" s="178" t="s">
        <v>127</v>
      </c>
      <c r="C76" s="179" t="s">
        <v>131</v>
      </c>
      <c r="D76" s="178">
        <v>0</v>
      </c>
      <c r="E76" s="178">
        <v>0</v>
      </c>
      <c r="F76" s="178">
        <v>0</v>
      </c>
      <c r="G76" s="180">
        <f>IF(E76=0,D76,E76)</f>
        <v>0</v>
      </c>
      <c r="H76" s="181"/>
      <c r="I76" s="182">
        <f>AVERAGE(G76,D76)</f>
        <v>0</v>
      </c>
      <c r="J76" s="183" t="s">
        <v>129</v>
      </c>
      <c r="K76" s="188">
        <v>1358</v>
      </c>
      <c r="L76" s="50">
        <f>ROUND(K76*I76,0)</f>
        <v>0</v>
      </c>
      <c r="N76" s="1">
        <v>7802</v>
      </c>
      <c r="O76" s="1">
        <v>110</v>
      </c>
      <c r="V76" s="651" t="s">
        <v>133</v>
      </c>
      <c r="W76" s="651"/>
      <c r="X76" s="651"/>
      <c r="Y76" s="661">
        <f>+I77</f>
        <v>33305823</v>
      </c>
      <c r="Z76" s="661"/>
      <c r="AA76" s="176" t="s">
        <v>129</v>
      </c>
      <c r="AB76" s="163">
        <f>AB54</f>
        <v>0</v>
      </c>
      <c r="AC76" s="56">
        <f>ROUND(Y76*AB76,0)</f>
        <v>0</v>
      </c>
      <c r="AD76" s="9"/>
    </row>
    <row r="77" spans="1:30" ht="26.25" customHeight="1" x14ac:dyDescent="0.25">
      <c r="B77" s="13" t="s">
        <v>133</v>
      </c>
      <c r="C77" s="13"/>
      <c r="D77" s="13"/>
      <c r="E77" s="13"/>
      <c r="F77" s="13"/>
      <c r="H77" s="164" t="s">
        <v>134</v>
      </c>
      <c r="I77" s="189">
        <v>33305823</v>
      </c>
      <c r="J77" s="165" t="s">
        <v>111</v>
      </c>
      <c r="K77" s="166">
        <f>K54</f>
        <v>5.5539999999999999E-3</v>
      </c>
      <c r="L77" s="50">
        <f>ROUND(I77*K77,0)</f>
        <v>184981</v>
      </c>
      <c r="O77" s="1"/>
      <c r="V77" s="651" t="str">
        <f>+B78</f>
        <v>15.  Additional Allocation (WFTE share)</v>
      </c>
      <c r="W77" s="651"/>
      <c r="X77" s="651"/>
      <c r="Y77" s="661">
        <f>+I78</f>
        <v>680688</v>
      </c>
      <c r="Z77" s="661"/>
      <c r="AA77" s="176" t="s">
        <v>129</v>
      </c>
      <c r="AB77" s="163">
        <f>AB54</f>
        <v>0</v>
      </c>
      <c r="AC77" s="56">
        <f>ROUND(Y77*AB77,0)</f>
        <v>0</v>
      </c>
      <c r="AD77" s="9"/>
    </row>
    <row r="78" spans="1:30" ht="26.25" customHeight="1" x14ac:dyDescent="0.25">
      <c r="B78" s="669" t="s">
        <v>135</v>
      </c>
      <c r="C78" s="669"/>
      <c r="D78" s="669"/>
      <c r="E78" s="13"/>
      <c r="F78" s="13"/>
      <c r="H78" s="164" t="s">
        <v>136</v>
      </c>
      <c r="I78" s="190">
        <v>680688</v>
      </c>
      <c r="J78" s="165" t="s">
        <v>111</v>
      </c>
      <c r="K78" s="166">
        <f>K54</f>
        <v>5.5539999999999999E-3</v>
      </c>
      <c r="L78" s="50">
        <f>ROUND(I78*K78,0)</f>
        <v>3781</v>
      </c>
      <c r="O78" s="1"/>
      <c r="V78" s="651" t="str">
        <f t="shared" ref="V78:V79" si="11">+B79</f>
        <v>16.  Florida Teachers Lead Program Stipend</v>
      </c>
      <c r="W78" s="651"/>
      <c r="X78" s="651"/>
      <c r="Y78" s="191"/>
      <c r="Z78" s="191"/>
      <c r="AA78" s="191"/>
      <c r="AB78" s="191"/>
      <c r="AC78" s="134"/>
      <c r="AD78" s="9"/>
    </row>
    <row r="79" spans="1:30" ht="21" customHeight="1" x14ac:dyDescent="0.25">
      <c r="B79" s="669" t="s">
        <v>137</v>
      </c>
      <c r="C79" s="669"/>
      <c r="D79" s="669"/>
      <c r="E79" s="13"/>
      <c r="F79" s="13"/>
      <c r="H79" s="164"/>
      <c r="I79" s="172"/>
      <c r="J79" s="172"/>
      <c r="K79" s="172"/>
      <c r="L79" s="129"/>
      <c r="N79" s="192"/>
      <c r="O79" s="1"/>
      <c r="Q79" s="164"/>
      <c r="V79" s="651" t="str">
        <f t="shared" si="11"/>
        <v>17.  Food Service Allocation</v>
      </c>
      <c r="W79" s="651"/>
      <c r="X79" s="651"/>
      <c r="Y79" s="191"/>
      <c r="Z79" s="191"/>
      <c r="AA79" s="191"/>
      <c r="AB79" s="191"/>
      <c r="AC79" s="193"/>
      <c r="AD79" s="9"/>
    </row>
    <row r="80" spans="1:30" ht="21" customHeight="1" x14ac:dyDescent="0.25">
      <c r="B80" s="669" t="s">
        <v>138</v>
      </c>
      <c r="C80" s="669"/>
      <c r="D80" s="669"/>
      <c r="E80" s="13"/>
      <c r="F80" s="13"/>
      <c r="H80" s="194" t="s">
        <v>139</v>
      </c>
      <c r="I80" s="195"/>
      <c r="J80" s="195"/>
      <c r="K80" s="195"/>
      <c r="L80" s="196"/>
      <c r="N80" s="197"/>
      <c r="O80" s="1"/>
      <c r="Q80" s="164"/>
      <c r="V80" s="191"/>
      <c r="W80" s="191"/>
      <c r="X80" s="191"/>
      <c r="Y80" s="191"/>
      <c r="Z80" s="191"/>
      <c r="AA80" s="191"/>
      <c r="AB80" s="191"/>
      <c r="AC80" s="193"/>
      <c r="AD80" s="9"/>
    </row>
    <row r="81" spans="1:30" ht="21" customHeight="1" thickBot="1" x14ac:dyDescent="0.3">
      <c r="B81" s="13"/>
      <c r="C81" s="13"/>
      <c r="D81" s="13"/>
      <c r="E81" s="13"/>
      <c r="F81" s="13"/>
      <c r="G81" s="13"/>
      <c r="H81" s="13"/>
      <c r="I81" s="13"/>
      <c r="J81" s="13"/>
      <c r="K81" s="13"/>
      <c r="L81" s="196"/>
      <c r="M81" s="198"/>
      <c r="N81" s="197"/>
      <c r="O81" s="1"/>
      <c r="Q81" s="164"/>
      <c r="V81" s="191" t="s">
        <v>140</v>
      </c>
      <c r="W81" s="191"/>
      <c r="X81" s="191"/>
      <c r="Y81" s="191"/>
      <c r="Z81" s="191"/>
      <c r="AA81" s="191"/>
      <c r="AB81" s="191"/>
      <c r="AC81" s="199">
        <f>SUM(AC44:AC80)</f>
        <v>156133</v>
      </c>
      <c r="AD81" s="200"/>
    </row>
    <row r="82" spans="1:30" ht="22.5" customHeight="1" thickTop="1" thickBot="1" x14ac:dyDescent="0.3">
      <c r="B82" s="13" t="s">
        <v>141</v>
      </c>
      <c r="C82" s="13"/>
      <c r="D82" s="13"/>
      <c r="E82" s="13"/>
      <c r="F82" s="13"/>
      <c r="G82" s="13"/>
      <c r="H82" s="13"/>
      <c r="I82" s="13"/>
      <c r="J82" s="13"/>
      <c r="K82" s="13"/>
      <c r="L82" s="201">
        <f>SUM(L44:L81)</f>
        <v>6798676</v>
      </c>
      <c r="M82" s="202"/>
      <c r="N82" s="203"/>
      <c r="O82" s="1"/>
      <c r="Q82" s="164"/>
      <c r="V82" s="191"/>
      <c r="W82" s="191"/>
      <c r="X82" s="191"/>
      <c r="Y82" s="191"/>
      <c r="Z82" s="191"/>
      <c r="AA82" s="191"/>
      <c r="AB82" s="191"/>
      <c r="AC82" s="204"/>
      <c r="AD82" s="200"/>
    </row>
    <row r="83" spans="1:30" ht="27.75" customHeight="1" thickTop="1" x14ac:dyDescent="0.25">
      <c r="B83" s="13" t="s">
        <v>142</v>
      </c>
      <c r="C83" s="13"/>
      <c r="D83" s="13"/>
      <c r="E83" s="13"/>
      <c r="F83" s="13"/>
      <c r="G83" s="13"/>
      <c r="H83" s="13"/>
      <c r="I83" s="13"/>
      <c r="J83" s="13"/>
      <c r="K83" s="82" t="s">
        <v>143</v>
      </c>
      <c r="L83" s="205" t="s">
        <v>144</v>
      </c>
      <c r="M83" s="202"/>
      <c r="N83" s="203"/>
      <c r="O83" s="1"/>
      <c r="Q83" s="164"/>
      <c r="V83" s="9" t="s">
        <v>145</v>
      </c>
      <c r="W83" s="9"/>
      <c r="X83" s="9"/>
      <c r="Y83" s="9"/>
      <c r="Z83" s="9"/>
      <c r="AA83" s="9"/>
      <c r="AB83" s="9"/>
      <c r="AC83" s="9"/>
      <c r="AD83" s="206"/>
    </row>
    <row r="84" spans="1:30" ht="18.75" customHeight="1" thickBot="1" x14ac:dyDescent="0.3">
      <c r="B84" s="13" t="s">
        <v>146</v>
      </c>
      <c r="C84" s="13"/>
      <c r="D84" s="13"/>
      <c r="E84" s="13"/>
      <c r="F84" s="13"/>
      <c r="G84" s="13"/>
      <c r="H84" s="13"/>
      <c r="I84" s="13"/>
      <c r="J84" s="13"/>
      <c r="K84" s="207" t="str">
        <f>IF(G26=0,"",IF((G11+G13+SUM(G15:G21))/G26&gt;0.75,1,""))</f>
        <v/>
      </c>
      <c r="L84" s="201">
        <f>'2801'!AC81</f>
        <v>156133</v>
      </c>
      <c r="M84" s="202"/>
      <c r="N84" s="203"/>
      <c r="O84" s="1"/>
      <c r="Q84" s="164"/>
      <c r="V84" s="208" t="s">
        <v>147</v>
      </c>
      <c r="W84" s="208"/>
      <c r="X84" s="208"/>
      <c r="Y84" s="208"/>
      <c r="Z84" s="208"/>
      <c r="AA84" s="208"/>
      <c r="AB84" s="208"/>
      <c r="AC84" s="208"/>
      <c r="AD84" s="9"/>
    </row>
    <row r="85" spans="1:30" ht="18.75" customHeight="1" thickTop="1" x14ac:dyDescent="0.25">
      <c r="B85" s="13"/>
      <c r="C85" s="13"/>
      <c r="D85" s="13"/>
      <c r="E85" s="13"/>
      <c r="F85" s="13"/>
      <c r="G85" s="13"/>
      <c r="H85" s="13"/>
      <c r="I85" s="13"/>
      <c r="J85" s="13"/>
      <c r="M85" s="202"/>
      <c r="N85" s="203"/>
      <c r="O85" s="1"/>
      <c r="Q85" s="164"/>
      <c r="V85" s="208" t="s">
        <v>148</v>
      </c>
      <c r="W85" s="208"/>
      <c r="X85" s="208"/>
      <c r="Y85" s="208"/>
      <c r="Z85" s="208"/>
      <c r="AA85" s="208"/>
      <c r="AB85" s="208"/>
      <c r="AC85" s="208"/>
      <c r="AD85" s="206"/>
    </row>
    <row r="86" spans="1:30" ht="18.75" customHeight="1" x14ac:dyDescent="0.25">
      <c r="B86" s="2" t="s">
        <v>421</v>
      </c>
      <c r="C86" s="13"/>
      <c r="D86" s="13"/>
      <c r="E86" s="13"/>
      <c r="F86" s="13"/>
      <c r="G86" s="13"/>
      <c r="H86" s="13"/>
      <c r="I86" s="13"/>
      <c r="J86" s="209" t="s">
        <v>150</v>
      </c>
      <c r="K86" s="210">
        <f>IF(K84=1,L84,L82)</f>
        <v>6798676</v>
      </c>
      <c r="L86" s="211">
        <f>IF(G26=0,0,IF(G26&gt;250,-(((250/G26)*K86)*IF(M86="H",0.02,0.05)),IF(M86="H",-0.02*K86,-0.05*K86)))</f>
        <v>-32816.894337983293</v>
      </c>
      <c r="M86" s="212" t="str">
        <f>IF(B123="2801","H",IF(B123="2911","H",IF(B123="3382","H"," ")))</f>
        <v>H</v>
      </c>
      <c r="N86" s="203"/>
      <c r="O86" s="1"/>
      <c r="Q86" s="164"/>
      <c r="V86" s="208" t="s">
        <v>151</v>
      </c>
      <c r="W86" s="208"/>
      <c r="X86" s="208"/>
      <c r="Y86" s="208"/>
      <c r="Z86" s="208"/>
      <c r="AA86" s="208"/>
      <c r="AB86" s="208"/>
      <c r="AC86" s="208"/>
      <c r="AD86" s="206"/>
    </row>
    <row r="87" spans="1:30" ht="18.75" customHeight="1" x14ac:dyDescent="0.25">
      <c r="B87" s="2" t="s">
        <v>152</v>
      </c>
      <c r="C87" s="13"/>
      <c r="D87" s="13"/>
      <c r="E87" s="13"/>
      <c r="F87" s="13"/>
      <c r="G87" s="13"/>
      <c r="H87" s="13"/>
      <c r="I87" s="13"/>
      <c r="J87" s="13"/>
      <c r="K87" s="213"/>
      <c r="L87" s="205">
        <f>L82+L86</f>
        <v>6765859.1056620171</v>
      </c>
      <c r="M87" s="202"/>
      <c r="N87" s="203"/>
      <c r="O87" s="1"/>
      <c r="Q87" s="164"/>
      <c r="V87" s="198"/>
      <c r="W87" s="198"/>
      <c r="X87" s="198"/>
      <c r="Y87" s="198"/>
      <c r="Z87" s="198"/>
      <c r="AA87" s="198"/>
      <c r="AB87" s="198"/>
      <c r="AC87" s="198"/>
      <c r="AD87" s="214"/>
    </row>
    <row r="88" spans="1:30" x14ac:dyDescent="0.25">
      <c r="V88" s="198"/>
      <c r="W88" s="198"/>
      <c r="X88" s="198"/>
      <c r="Y88" s="198"/>
      <c r="Z88" s="198"/>
      <c r="AA88" s="198"/>
      <c r="AB88" s="198"/>
      <c r="AC88" s="198"/>
      <c r="AD88" s="215"/>
    </row>
    <row r="89" spans="1:30" ht="18.75" customHeight="1" x14ac:dyDescent="0.25">
      <c r="A89" s="1" t="s">
        <v>153</v>
      </c>
      <c r="B89" s="13" t="s">
        <v>154</v>
      </c>
      <c r="C89" s="13"/>
      <c r="D89" s="13">
        <v>3689372</v>
      </c>
      <c r="E89" s="13">
        <v>518950</v>
      </c>
      <c r="F89" s="13">
        <v>5765101</v>
      </c>
      <c r="G89" s="13"/>
      <c r="H89" s="13"/>
      <c r="I89" s="13"/>
      <c r="J89" s="13"/>
      <c r="K89" s="213"/>
      <c r="L89" s="84">
        <f>-F89-501504</f>
        <v>-6266605</v>
      </c>
      <c r="M89" s="202"/>
      <c r="N89" s="203"/>
      <c r="O89" s="1"/>
      <c r="Q89" s="164"/>
      <c r="V89" s="198">
        <v>2801</v>
      </c>
      <c r="W89" s="198"/>
      <c r="X89" s="198"/>
      <c r="Y89" s="198"/>
      <c r="Z89" s="198"/>
      <c r="AA89" s="198"/>
      <c r="AB89" s="198"/>
      <c r="AC89" s="198"/>
      <c r="AD89" s="214"/>
    </row>
    <row r="90" spans="1:30" ht="18.75" customHeight="1" x14ac:dyDescent="0.25">
      <c r="B90" s="13" t="s">
        <v>155</v>
      </c>
      <c r="C90" s="13"/>
      <c r="D90" s="13"/>
      <c r="E90" s="13"/>
      <c r="F90" s="13"/>
      <c r="G90" s="13"/>
      <c r="H90" s="13"/>
      <c r="I90" s="13"/>
      <c r="J90" s="13"/>
      <c r="K90" s="213"/>
      <c r="L90" s="205">
        <f>L87+L89</f>
        <v>499254.10566201713</v>
      </c>
      <c r="M90" s="202"/>
      <c r="N90" s="203"/>
      <c r="O90" s="1"/>
      <c r="Q90" s="164"/>
      <c r="V90" s="198">
        <v>2911</v>
      </c>
      <c r="W90" s="216"/>
      <c r="X90" s="216"/>
      <c r="Y90" s="216"/>
      <c r="Z90" s="216"/>
      <c r="AA90" s="216"/>
      <c r="AB90" s="216"/>
      <c r="AC90" s="216"/>
      <c r="AD90" s="214"/>
    </row>
    <row r="91" spans="1:30" ht="18.75" customHeight="1" x14ac:dyDescent="0.25">
      <c r="B91" s="13" t="s">
        <v>156</v>
      </c>
      <c r="C91" s="13"/>
      <c r="D91" s="13"/>
      <c r="E91" s="13"/>
      <c r="F91" s="13"/>
      <c r="G91" s="13"/>
      <c r="H91" s="13"/>
      <c r="I91" s="13"/>
      <c r="J91" s="13"/>
      <c r="K91" s="213"/>
      <c r="L91" s="205">
        <v>1</v>
      </c>
      <c r="M91" s="202"/>
      <c r="N91" s="203"/>
      <c r="O91" s="1"/>
      <c r="Q91" s="164"/>
      <c r="V91" s="198">
        <v>3382</v>
      </c>
      <c r="W91" s="216"/>
      <c r="X91" s="216"/>
      <c r="Y91" s="216"/>
      <c r="Z91" s="216"/>
      <c r="AA91" s="216"/>
      <c r="AB91" s="216"/>
      <c r="AC91" s="216"/>
      <c r="AD91" s="214"/>
    </row>
    <row r="92" spans="1:30" ht="18.75" customHeight="1" thickBot="1" x14ac:dyDescent="0.3">
      <c r="B92" s="13" t="s">
        <v>157</v>
      </c>
      <c r="C92" s="13"/>
      <c r="D92" s="13"/>
      <c r="E92" s="13"/>
      <c r="F92" s="13"/>
      <c r="G92" s="13"/>
      <c r="H92" s="13"/>
      <c r="I92" s="13"/>
      <c r="J92" s="13"/>
      <c r="K92" s="213"/>
      <c r="L92" s="217">
        <f>L90/L91</f>
        <v>499254.10566201713</v>
      </c>
      <c r="M92" s="202"/>
      <c r="N92" s="203"/>
      <c r="O92" s="1"/>
      <c r="Q92" s="164"/>
      <c r="V92" s="218"/>
      <c r="W92" s="218"/>
      <c r="X92" s="218"/>
      <c r="Y92" s="218"/>
      <c r="Z92" s="218"/>
      <c r="AA92" s="218"/>
      <c r="AB92" s="218"/>
      <c r="AC92" s="218"/>
      <c r="AD92" s="219"/>
    </row>
    <row r="93" spans="1:30" ht="18.75" customHeight="1" thickTop="1" x14ac:dyDescent="0.25">
      <c r="N93" s="219"/>
      <c r="O93" s="220"/>
      <c r="P93" s="219"/>
      <c r="Q93" s="219"/>
      <c r="V93" s="218"/>
      <c r="W93" s="218"/>
      <c r="X93" s="218"/>
      <c r="Y93" s="218"/>
      <c r="Z93" s="218"/>
      <c r="AA93" s="218"/>
      <c r="AB93" s="218"/>
      <c r="AC93" s="218"/>
      <c r="AD93" s="214"/>
    </row>
    <row r="94" spans="1:30" ht="18.75" customHeight="1" thickBot="1" x14ac:dyDescent="0.3">
      <c r="B94" s="221" t="s">
        <v>158</v>
      </c>
      <c r="C94" s="13"/>
      <c r="D94" s="13"/>
      <c r="E94" s="13"/>
      <c r="G94" s="13"/>
      <c r="H94" s="13"/>
      <c r="I94" s="13"/>
      <c r="J94" s="13"/>
      <c r="L94" s="222">
        <f>IF(M86="H",(K86*0.02)+L86,(K86*0.05)+L86)</f>
        <v>103156.6256620167</v>
      </c>
      <c r="M94" s="202"/>
      <c r="V94" s="223"/>
      <c r="W94" s="223"/>
      <c r="X94" s="223"/>
      <c r="Y94" s="223"/>
      <c r="Z94" s="223"/>
      <c r="AA94" s="223"/>
      <c r="AB94" s="223"/>
      <c r="AC94" s="223"/>
      <c r="AD94" s="214"/>
    </row>
    <row r="95" spans="1:30" ht="21.75" customHeight="1" thickTop="1" x14ac:dyDescent="0.25">
      <c r="B95" s="224" t="s">
        <v>159</v>
      </c>
      <c r="C95" s="224"/>
      <c r="D95" s="224"/>
      <c r="E95" s="224"/>
      <c r="F95" s="224"/>
      <c r="G95" s="224"/>
      <c r="H95" s="224"/>
      <c r="I95" s="224"/>
      <c r="J95" s="224"/>
      <c r="K95" s="224"/>
      <c r="L95" s="224"/>
      <c r="M95" s="219"/>
      <c r="V95" s="223"/>
      <c r="W95" s="223"/>
      <c r="X95" s="223"/>
      <c r="Y95" s="223"/>
      <c r="Z95" s="223"/>
      <c r="AA95" s="223"/>
      <c r="AB95" s="223"/>
      <c r="AC95" s="223"/>
      <c r="AD95" s="214"/>
    </row>
    <row r="96" spans="1:30" x14ac:dyDescent="0.25">
      <c r="B96" s="225"/>
      <c r="V96" s="223"/>
      <c r="W96" s="223"/>
      <c r="X96" s="223"/>
      <c r="Y96" s="223"/>
      <c r="Z96" s="223"/>
      <c r="AA96" s="223"/>
      <c r="AB96" s="223"/>
      <c r="AC96" s="223"/>
      <c r="AD96" s="219"/>
    </row>
    <row r="97" spans="2:30" x14ac:dyDescent="0.25">
      <c r="B97" s="225"/>
      <c r="V97" s="223"/>
      <c r="W97" s="223"/>
      <c r="X97" s="223"/>
      <c r="Y97" s="223"/>
      <c r="Z97" s="223"/>
      <c r="AA97" s="223"/>
      <c r="AB97" s="223"/>
      <c r="AC97" s="223"/>
      <c r="AD97" s="219"/>
    </row>
    <row r="98" spans="2:30" hidden="1" x14ac:dyDescent="0.25">
      <c r="B98" s="226" t="s">
        <v>160</v>
      </c>
      <c r="C98" s="227"/>
      <c r="V98" s="228"/>
      <c r="W98" s="228"/>
      <c r="X98" s="228"/>
      <c r="Y98" s="228"/>
      <c r="Z98" s="228"/>
      <c r="AA98" s="228"/>
      <c r="AB98" s="228"/>
      <c r="AC98" s="228"/>
    </row>
    <row r="99" spans="2:30" hidden="1" x14ac:dyDescent="0.25">
      <c r="B99" s="229"/>
      <c r="C99" s="227"/>
      <c r="V99" s="225"/>
      <c r="W99" s="13"/>
      <c r="X99" s="13"/>
      <c r="Y99" s="13"/>
      <c r="Z99" s="13"/>
      <c r="AA99" s="13"/>
      <c r="AB99" s="13"/>
      <c r="AC99" s="13"/>
    </row>
    <row r="100" spans="2:30" hidden="1" x14ac:dyDescent="0.25">
      <c r="B100" s="230" t="s">
        <v>161</v>
      </c>
      <c r="C100" s="226" t="s">
        <v>162</v>
      </c>
      <c r="V100" s="225"/>
    </row>
    <row r="101" spans="2:30" hidden="1" x14ac:dyDescent="0.25">
      <c r="B101" s="230" t="s">
        <v>163</v>
      </c>
      <c r="C101" s="226" t="s">
        <v>164</v>
      </c>
      <c r="V101" s="225"/>
    </row>
    <row r="102" spans="2:30" hidden="1" x14ac:dyDescent="0.25">
      <c r="B102" s="230" t="s">
        <v>165</v>
      </c>
      <c r="C102" s="226" t="s">
        <v>166</v>
      </c>
      <c r="V102" s="225"/>
      <c r="W102" s="231"/>
      <c r="X102" s="231"/>
      <c r="Y102" s="231"/>
      <c r="Z102" s="231"/>
      <c r="AA102" s="231"/>
      <c r="AB102" s="231"/>
      <c r="AC102" s="231"/>
      <c r="AD102" s="231"/>
    </row>
    <row r="103" spans="2:30" hidden="1" x14ac:dyDescent="0.25">
      <c r="B103" s="230" t="s">
        <v>167</v>
      </c>
      <c r="C103" s="226" t="s">
        <v>168</v>
      </c>
      <c r="V103" s="225"/>
    </row>
    <row r="104" spans="2:30" hidden="1" x14ac:dyDescent="0.25">
      <c r="B104" s="232"/>
      <c r="C104" s="226" t="s">
        <v>169</v>
      </c>
      <c r="V104" s="225"/>
    </row>
    <row r="105" spans="2:30" hidden="1" x14ac:dyDescent="0.25">
      <c r="B105" s="230" t="s">
        <v>170</v>
      </c>
      <c r="C105" s="226" t="s">
        <v>171</v>
      </c>
      <c r="V105" s="225"/>
    </row>
    <row r="106" spans="2:30" hidden="1" x14ac:dyDescent="0.25">
      <c r="B106" s="230" t="s">
        <v>172</v>
      </c>
      <c r="C106" s="226" t="s">
        <v>173</v>
      </c>
      <c r="V106" s="225"/>
    </row>
    <row r="107" spans="2:30" hidden="1" x14ac:dyDescent="0.25">
      <c r="B107" s="230" t="s">
        <v>183</v>
      </c>
      <c r="C107" s="226" t="s">
        <v>175</v>
      </c>
      <c r="V107" s="225"/>
    </row>
    <row r="108" spans="2:30" hidden="1" x14ac:dyDescent="0.25">
      <c r="B108" s="230" t="s">
        <v>176</v>
      </c>
      <c r="C108" s="226" t="s">
        <v>177</v>
      </c>
      <c r="V108" s="225"/>
    </row>
    <row r="109" spans="2:30" hidden="1" x14ac:dyDescent="0.25">
      <c r="B109" s="230" t="s">
        <v>178</v>
      </c>
      <c r="C109" s="226" t="s">
        <v>179</v>
      </c>
      <c r="V109" s="225"/>
    </row>
    <row r="110" spans="2:30" hidden="1" x14ac:dyDescent="0.25">
      <c r="B110" s="232"/>
      <c r="C110" s="226"/>
      <c r="V110" s="225"/>
    </row>
    <row r="111" spans="2:30" hidden="1" x14ac:dyDescent="0.25">
      <c r="B111" s="230" t="s">
        <v>180</v>
      </c>
      <c r="C111" s="226" t="s">
        <v>181</v>
      </c>
      <c r="V111" s="225"/>
    </row>
    <row r="112" spans="2:30" hidden="1" x14ac:dyDescent="0.25">
      <c r="B112" s="230" t="s">
        <v>180</v>
      </c>
      <c r="C112" s="226" t="s">
        <v>182</v>
      </c>
    </row>
    <row r="113" spans="2:3" hidden="1" x14ac:dyDescent="0.25">
      <c r="B113" s="230" t="s">
        <v>183</v>
      </c>
      <c r="C113" s="226" t="s">
        <v>184</v>
      </c>
    </row>
    <row r="114" spans="2:3" hidden="1" x14ac:dyDescent="0.25">
      <c r="B114" s="230" t="s">
        <v>185</v>
      </c>
      <c r="C114" s="226" t="s">
        <v>186</v>
      </c>
    </row>
    <row r="115" spans="2:3" hidden="1" x14ac:dyDescent="0.25">
      <c r="B115" s="230" t="s">
        <v>183</v>
      </c>
      <c r="C115" s="226" t="s">
        <v>187</v>
      </c>
    </row>
    <row r="116" spans="2:3" hidden="1" x14ac:dyDescent="0.25">
      <c r="B116" s="230" t="s">
        <v>188</v>
      </c>
      <c r="C116" s="226" t="s">
        <v>189</v>
      </c>
    </row>
    <row r="117" spans="2:3" hidden="1" x14ac:dyDescent="0.25">
      <c r="B117" s="230" t="s">
        <v>190</v>
      </c>
      <c r="C117" s="226" t="s">
        <v>191</v>
      </c>
    </row>
    <row r="118" spans="2:3" hidden="1" x14ac:dyDescent="0.25">
      <c r="B118" s="232" t="s">
        <v>192</v>
      </c>
      <c r="C118" s="226" t="s">
        <v>193</v>
      </c>
    </row>
    <row r="119" spans="2:3" hidden="1" x14ac:dyDescent="0.25">
      <c r="B119" s="232"/>
      <c r="C119" s="226"/>
    </row>
    <row r="120" spans="2:3" hidden="1" x14ac:dyDescent="0.25">
      <c r="B120" s="230" t="s">
        <v>161</v>
      </c>
      <c r="C120" s="226" t="s">
        <v>194</v>
      </c>
    </row>
    <row r="121" spans="2:3" hidden="1" x14ac:dyDescent="0.25">
      <c r="B121" s="230" t="s">
        <v>195</v>
      </c>
      <c r="C121" s="226" t="s">
        <v>196</v>
      </c>
    </row>
    <row r="122" spans="2:3" hidden="1" x14ac:dyDescent="0.25">
      <c r="B122" s="230" t="s">
        <v>197</v>
      </c>
      <c r="C122" s="226" t="s">
        <v>198</v>
      </c>
    </row>
    <row r="123" spans="2:3" hidden="1" x14ac:dyDescent="0.25">
      <c r="B123" s="230" t="s">
        <v>240</v>
      </c>
      <c r="C123" s="226" t="s">
        <v>200</v>
      </c>
    </row>
    <row r="124" spans="2:3" hidden="1" x14ac:dyDescent="0.25">
      <c r="B124" s="230" t="s">
        <v>241</v>
      </c>
      <c r="C124" s="226" t="s">
        <v>202</v>
      </c>
    </row>
    <row r="125" spans="2:3" hidden="1" x14ac:dyDescent="0.25">
      <c r="B125" s="230" t="s">
        <v>203</v>
      </c>
      <c r="C125" s="226" t="s">
        <v>204</v>
      </c>
    </row>
    <row r="126" spans="2:3" hidden="1" x14ac:dyDescent="0.25">
      <c r="B126" s="230" t="s">
        <v>203</v>
      </c>
      <c r="C126" s="226" t="s">
        <v>205</v>
      </c>
    </row>
    <row r="127" spans="2:3" hidden="1" x14ac:dyDescent="0.25">
      <c r="B127" s="230" t="s">
        <v>203</v>
      </c>
      <c r="C127" s="226" t="s">
        <v>206</v>
      </c>
    </row>
    <row r="128" spans="2:3" hidden="1" x14ac:dyDescent="0.25">
      <c r="B128" s="230" t="s">
        <v>203</v>
      </c>
      <c r="C128" s="226" t="s">
        <v>207</v>
      </c>
    </row>
    <row r="129" spans="2:3" hidden="1" x14ac:dyDescent="0.25">
      <c r="B129" s="230" t="s">
        <v>167</v>
      </c>
      <c r="C129" s="226" t="s">
        <v>208</v>
      </c>
    </row>
    <row r="130" spans="2:3" hidden="1" x14ac:dyDescent="0.25">
      <c r="B130" s="230" t="s">
        <v>209</v>
      </c>
      <c r="C130" s="226" t="s">
        <v>210</v>
      </c>
    </row>
    <row r="131" spans="2:3" hidden="1" x14ac:dyDescent="0.25">
      <c r="B131" s="230" t="s">
        <v>203</v>
      </c>
      <c r="C131" s="226" t="s">
        <v>211</v>
      </c>
    </row>
    <row r="132" spans="2:3" hidden="1" x14ac:dyDescent="0.25">
      <c r="B132" s="226"/>
      <c r="C132" s="226"/>
    </row>
    <row r="133" spans="2:3" hidden="1" x14ac:dyDescent="0.25">
      <c r="B133" s="226"/>
      <c r="C133" s="226"/>
    </row>
    <row r="134" spans="2:3" hidden="1" x14ac:dyDescent="0.25">
      <c r="B134" s="232"/>
      <c r="C134" s="232"/>
    </row>
    <row r="135" spans="2:3" hidden="1" x14ac:dyDescent="0.25">
      <c r="B135" s="232">
        <f>NvsElapsedTime</f>
        <v>1.15740695036948E-5</v>
      </c>
      <c r="C135" s="232"/>
    </row>
    <row r="136" spans="2:3" hidden="1" x14ac:dyDescent="0.25">
      <c r="B136" s="233">
        <f>NvsEndTime</f>
        <v>41754.487754629597</v>
      </c>
      <c r="C136" s="233" t="s">
        <v>212</v>
      </c>
    </row>
    <row r="137" spans="2:3" x14ac:dyDescent="0.25">
      <c r="B137" s="226"/>
      <c r="C137" s="234"/>
    </row>
    <row r="138" spans="2:3" x14ac:dyDescent="0.25">
      <c r="B138" s="226"/>
      <c r="C138" s="226"/>
    </row>
    <row r="139" spans="2:3" x14ac:dyDescent="0.25">
      <c r="B139" s="226"/>
      <c r="C139" s="226"/>
    </row>
    <row r="140" spans="2:3" x14ac:dyDescent="0.25">
      <c r="B140" s="226"/>
      <c r="C140" s="226"/>
    </row>
    <row r="141" spans="2:3" x14ac:dyDescent="0.25">
      <c r="B141" s="226"/>
      <c r="C141" s="226"/>
    </row>
    <row r="142" spans="2:3" x14ac:dyDescent="0.25">
      <c r="B142" s="226"/>
      <c r="C142" s="226"/>
    </row>
    <row r="143" spans="2:3" x14ac:dyDescent="0.25">
      <c r="B143" s="226"/>
      <c r="C143" s="226"/>
    </row>
    <row r="144" spans="2:3" x14ac:dyDescent="0.25">
      <c r="B144" s="226"/>
      <c r="C144" s="226"/>
    </row>
    <row r="145" spans="2:3" x14ac:dyDescent="0.25">
      <c r="B145" s="226"/>
      <c r="C145" s="226"/>
    </row>
    <row r="146" spans="2:3" x14ac:dyDescent="0.25">
      <c r="B146" s="226"/>
      <c r="C146" s="226"/>
    </row>
    <row r="147" spans="2:3" x14ac:dyDescent="0.25">
      <c r="B147" s="226"/>
      <c r="C147" s="226"/>
    </row>
    <row r="148" spans="2:3" x14ac:dyDescent="0.25">
      <c r="B148" s="226"/>
      <c r="C148" s="226"/>
    </row>
    <row r="149" spans="2:3" x14ac:dyDescent="0.25">
      <c r="B149" s="226"/>
      <c r="C149" s="226"/>
    </row>
    <row r="150" spans="2:3" x14ac:dyDescent="0.25">
      <c r="B150" s="226"/>
      <c r="C150" s="226"/>
    </row>
    <row r="151" spans="2:3" x14ac:dyDescent="0.25">
      <c r="B151" s="226"/>
      <c r="C151" s="226"/>
    </row>
  </sheetData>
  <mergeCells count="151">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9:W9"/>
    <mergeCell ref="X9:Y9"/>
    <mergeCell ref="Z9:AA9"/>
    <mergeCell ref="V10:W10"/>
    <mergeCell ref="X10:Y10"/>
    <mergeCell ref="Z10:AA10"/>
    <mergeCell ref="V7:W7"/>
    <mergeCell ref="X7:Y7"/>
    <mergeCell ref="Z7:AA7"/>
    <mergeCell ref="AB7:AC7"/>
    <mergeCell ref="V8:W8"/>
    <mergeCell ref="X8:Y8"/>
    <mergeCell ref="Z8:AA8"/>
    <mergeCell ref="W2:AC2"/>
    <mergeCell ref="V3:AC3"/>
    <mergeCell ref="V4:AC4"/>
    <mergeCell ref="V5:W5"/>
    <mergeCell ref="X5:Y5"/>
    <mergeCell ref="V6:AC6"/>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51"/>
  <sheetViews>
    <sheetView topLeftCell="B2" zoomScale="70" zoomScaleNormal="70" workbookViewId="0">
      <selection activeCell="B2" sqref="B2"/>
    </sheetView>
  </sheetViews>
  <sheetFormatPr defaultColWidth="8.85546875" defaultRowHeight="15.75" x14ac:dyDescent="0.25"/>
  <cols>
    <col min="1" max="1" width="11.28515625" style="1" hidden="1" customWidth="1"/>
    <col min="2" max="2" width="10.28515625" style="2" customWidth="1"/>
    <col min="3" max="3" width="29" style="1" customWidth="1"/>
    <col min="4" max="5" width="12.28515625" style="1" customWidth="1"/>
    <col min="6" max="6" width="12.28515625" style="1" hidden="1" customWidth="1"/>
    <col min="7" max="7" width="15.28515625" style="1" customWidth="1"/>
    <col min="8" max="8" width="6.7109375" style="1" customWidth="1"/>
    <col min="9" max="9" width="12.5703125" style="1" customWidth="1"/>
    <col min="10" max="10" width="12.85546875" style="1" customWidth="1"/>
    <col min="11" max="11" width="15.5703125" style="1" bestFit="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28515625" style="1" customWidth="1"/>
    <col min="18" max="18" width="8.85546875" style="1"/>
    <col min="19" max="21" width="0" style="1" hidden="1" customWidth="1"/>
    <col min="22" max="23" width="8.85546875" style="1"/>
    <col min="24" max="24" width="12.7109375" style="1" customWidth="1"/>
    <col min="25" max="27" width="8.85546875" style="1"/>
    <col min="28" max="28" width="13.140625" style="1" bestFit="1" customWidth="1"/>
    <col min="29" max="16384" width="8.85546875" style="1"/>
  </cols>
  <sheetData>
    <row r="1" spans="1:30" ht="15.6"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7"/>
      <c r="N2" s="3"/>
      <c r="O2" s="1"/>
      <c r="V2" s="8">
        <f>'2801 June Final'!B2</f>
        <v>50</v>
      </c>
      <c r="W2" s="606" t="s">
        <v>4</v>
      </c>
      <c r="X2" s="607"/>
      <c r="Y2" s="608"/>
      <c r="Z2" s="608"/>
      <c r="AA2" s="608"/>
      <c r="AB2" s="608"/>
      <c r="AC2" s="608"/>
      <c r="AD2" s="9"/>
    </row>
    <row r="3" spans="1:30" ht="20.25" x14ac:dyDescent="0.3">
      <c r="B3" s="10" t="str">
        <f>"Revenue Estimate Worksheet for "&amp;B124</f>
        <v>Revenue Estimate Worksheet for PB Maritime Academy Charter</v>
      </c>
      <c r="C3" s="11"/>
      <c r="D3" s="11"/>
      <c r="E3" s="11"/>
      <c r="F3" s="11"/>
      <c r="G3" s="11"/>
      <c r="H3" s="11"/>
      <c r="I3" s="11"/>
      <c r="J3" s="11"/>
      <c r="K3" s="11"/>
      <c r="L3" s="11"/>
      <c r="M3" s="10"/>
      <c r="N3" s="10"/>
      <c r="O3" s="10"/>
      <c r="P3" s="10"/>
      <c r="Q3" s="10"/>
      <c r="V3" s="609" t="s">
        <v>5</v>
      </c>
      <c r="W3" s="609"/>
      <c r="X3" s="609"/>
      <c r="Y3" s="609"/>
      <c r="Z3" s="609"/>
      <c r="AA3" s="609"/>
      <c r="AB3" s="609"/>
      <c r="AC3" s="609"/>
      <c r="AD3" s="12"/>
    </row>
    <row r="4" spans="1:30" ht="18.75" x14ac:dyDescent="0.3">
      <c r="B4" s="2" t="s">
        <v>6</v>
      </c>
      <c r="C4" s="13"/>
      <c r="D4" s="13"/>
      <c r="E4" s="13"/>
      <c r="F4" s="13"/>
      <c r="G4" s="13"/>
      <c r="H4" s="13"/>
      <c r="I4" s="13"/>
      <c r="J4" s="13"/>
      <c r="K4" s="13"/>
      <c r="L4" s="13"/>
      <c r="M4" s="14"/>
      <c r="N4" s="14"/>
      <c r="O4" s="14"/>
      <c r="P4" s="14"/>
      <c r="Q4" s="14"/>
      <c r="V4" s="610" t="str">
        <f>+Based_on_the_Second_Calculation_of_the_FEFP_2010_11</f>
        <v>Based on the Fourth Calculation of the FEFP 2013-14</v>
      </c>
      <c r="W4" s="610"/>
      <c r="X4" s="610"/>
      <c r="Y4" s="610"/>
      <c r="Z4" s="610"/>
      <c r="AA4" s="610"/>
      <c r="AB4" s="610"/>
      <c r="AC4" s="610"/>
      <c r="AD4" s="15"/>
    </row>
    <row r="5" spans="1:30" ht="18.75" customHeight="1" x14ac:dyDescent="0.25">
      <c r="B5" s="16" t="s">
        <v>7</v>
      </c>
      <c r="C5" s="16"/>
      <c r="D5" s="16"/>
      <c r="E5" s="16"/>
      <c r="F5" s="16"/>
      <c r="G5" s="17" t="s">
        <v>8</v>
      </c>
      <c r="H5" s="17"/>
      <c r="I5" s="17"/>
      <c r="J5" s="17"/>
      <c r="K5" s="17"/>
      <c r="L5" s="17"/>
      <c r="M5" s="18"/>
      <c r="N5" s="18"/>
      <c r="O5" s="18"/>
      <c r="P5" s="18"/>
      <c r="Q5" s="18"/>
      <c r="V5" s="611" t="s">
        <v>7</v>
      </c>
      <c r="W5" s="611"/>
      <c r="X5" s="612" t="s">
        <v>8</v>
      </c>
      <c r="Y5" s="612"/>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613" t="s">
        <v>9</v>
      </c>
      <c r="W6" s="613"/>
      <c r="X6" s="613"/>
      <c r="Y6" s="613"/>
      <c r="Z6" s="613"/>
      <c r="AA6" s="613"/>
      <c r="AB6" s="613"/>
      <c r="AC6" s="613"/>
      <c r="AD6" s="22"/>
    </row>
    <row r="7" spans="1:30" ht="18" customHeight="1" x14ac:dyDescent="0.25">
      <c r="B7" s="23" t="s">
        <v>10</v>
      </c>
      <c r="C7" s="23"/>
      <c r="D7" s="23"/>
      <c r="E7" s="23"/>
      <c r="F7" s="23"/>
      <c r="G7" s="24">
        <v>3752.3</v>
      </c>
      <c r="H7" s="24"/>
      <c r="I7" s="23" t="s">
        <v>11</v>
      </c>
      <c r="J7" s="23"/>
      <c r="K7" s="25">
        <v>1.0326</v>
      </c>
      <c r="L7" s="25"/>
      <c r="O7" s="1"/>
      <c r="V7" s="620" t="s">
        <v>10</v>
      </c>
      <c r="W7" s="620"/>
      <c r="X7" s="621">
        <f>'2801 June Final'!G7</f>
        <v>3752.3</v>
      </c>
      <c r="Y7" s="621"/>
      <c r="Z7" s="622" t="s">
        <v>11</v>
      </c>
      <c r="AA7" s="622"/>
      <c r="AB7" s="602">
        <f>+K7</f>
        <v>1.0326</v>
      </c>
      <c r="AC7" s="602"/>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603" t="s">
        <v>12</v>
      </c>
      <c r="W8" s="603"/>
      <c r="X8" s="604" t="s">
        <v>15</v>
      </c>
      <c r="Y8" s="604"/>
      <c r="Z8" s="605" t="s">
        <v>16</v>
      </c>
      <c r="AA8" s="605"/>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614" t="s">
        <v>22</v>
      </c>
      <c r="W9" s="614"/>
      <c r="X9" s="615" t="s">
        <v>23</v>
      </c>
      <c r="Y9" s="615"/>
      <c r="Z9" s="616" t="s">
        <v>24</v>
      </c>
      <c r="AA9" s="616"/>
      <c r="AB9" s="43" t="s">
        <v>25</v>
      </c>
      <c r="AC9" s="44" t="s">
        <v>26</v>
      </c>
      <c r="AD9" s="9"/>
    </row>
    <row r="10" spans="1:30" x14ac:dyDescent="0.25">
      <c r="A10" s="1" t="s">
        <v>27</v>
      </c>
      <c r="B10" s="45" t="s">
        <v>28</v>
      </c>
      <c r="C10" s="45"/>
      <c r="D10" s="45">
        <v>179.54</v>
      </c>
      <c r="E10" s="45">
        <v>172.8</v>
      </c>
      <c r="F10" s="45">
        <v>201.06</v>
      </c>
      <c r="G10" s="46">
        <f t="shared" ref="G10:G25" si="0">D10+E10</f>
        <v>352.34000000000003</v>
      </c>
      <c r="H10" s="47"/>
      <c r="I10" s="48">
        <v>1.125</v>
      </c>
      <c r="J10" s="48"/>
      <c r="K10" s="49">
        <f t="shared" ref="K10:K25" si="1">ROUND(G10*I10,4)</f>
        <v>396.38249999999999</v>
      </c>
      <c r="L10" s="50">
        <f t="shared" ref="L10:L25" si="2">ROUND(ROUND(K10*$G$7,4)*($K$7),0)</f>
        <v>1535834</v>
      </c>
      <c r="N10" s="51">
        <v>5101</v>
      </c>
      <c r="O10" s="52">
        <v>101</v>
      </c>
      <c r="P10" s="53"/>
      <c r="Q10" s="54"/>
      <c r="V10" s="617" t="s">
        <v>28</v>
      </c>
      <c r="W10" s="617"/>
      <c r="X10" s="618">
        <f>IF('2801 June Final'!K$84=1,'2801 June Final'!G10,0)</f>
        <v>0</v>
      </c>
      <c r="Y10" s="618"/>
      <c r="Z10" s="619">
        <v>1</v>
      </c>
      <c r="AA10" s="619"/>
      <c r="AB10" s="55">
        <f t="shared" ref="AB10:AB25" si="3">ROUND(X10*Z10,4)</f>
        <v>0</v>
      </c>
      <c r="AC10" s="56">
        <f t="shared" ref="AC10:AC25" si="4">ROUND(ROUND(AB10*$X$7,4)*($AB$7),0)</f>
        <v>0</v>
      </c>
      <c r="AD10" s="9">
        <v>1</v>
      </c>
    </row>
    <row r="11" spans="1:30" x14ac:dyDescent="0.25">
      <c r="A11" s="1" t="s">
        <v>29</v>
      </c>
      <c r="B11" s="13" t="s">
        <v>30</v>
      </c>
      <c r="C11" s="13"/>
      <c r="D11" s="13">
        <v>18.72</v>
      </c>
      <c r="E11" s="13">
        <v>20.45</v>
      </c>
      <c r="F11" s="13">
        <v>21.95</v>
      </c>
      <c r="G11" s="46">
        <f t="shared" si="0"/>
        <v>39.17</v>
      </c>
      <c r="H11" s="47"/>
      <c r="I11" s="57">
        <f>I10</f>
        <v>1.125</v>
      </c>
      <c r="J11" s="57"/>
      <c r="K11" s="49">
        <f t="shared" si="1"/>
        <v>44.066299999999998</v>
      </c>
      <c r="L11" s="50">
        <f t="shared" si="2"/>
        <v>170740</v>
      </c>
      <c r="M11" s="1" t="str">
        <f>IF(ROUND(G11,2)=ROUND(SUM(G28:G30),2)," ","CHECK 2. PK-3 Lines Below")</f>
        <v xml:space="preserve"> </v>
      </c>
      <c r="N11" s="51">
        <v>5101</v>
      </c>
      <c r="O11" s="58" t="s">
        <v>31</v>
      </c>
      <c r="P11" s="53"/>
      <c r="Q11" s="54"/>
      <c r="V11" s="623" t="s">
        <v>30</v>
      </c>
      <c r="W11" s="623"/>
      <c r="X11" s="618">
        <f>IF('2801 June Final'!K$84=1,'2801 June Final'!G11,0)</f>
        <v>0</v>
      </c>
      <c r="Y11" s="618"/>
      <c r="Z11" s="624">
        <v>1</v>
      </c>
      <c r="AA11" s="624"/>
      <c r="AB11" s="55">
        <f t="shared" si="3"/>
        <v>0</v>
      </c>
      <c r="AC11" s="56">
        <f t="shared" si="4"/>
        <v>0</v>
      </c>
      <c r="AD11" s="9"/>
    </row>
    <row r="12" spans="1:30" x14ac:dyDescent="0.25">
      <c r="A12" s="1" t="s">
        <v>32</v>
      </c>
      <c r="B12" s="13" t="s">
        <v>33</v>
      </c>
      <c r="C12" s="13"/>
      <c r="D12" s="13">
        <v>241.08</v>
      </c>
      <c r="E12" s="13">
        <v>239.26</v>
      </c>
      <c r="F12" s="13">
        <v>277.86</v>
      </c>
      <c r="G12" s="46">
        <f t="shared" si="0"/>
        <v>480.34000000000003</v>
      </c>
      <c r="H12" s="47"/>
      <c r="I12" s="57">
        <v>1</v>
      </c>
      <c r="J12" s="57"/>
      <c r="K12" s="49">
        <f t="shared" si="1"/>
        <v>480.34</v>
      </c>
      <c r="L12" s="50">
        <f t="shared" si="2"/>
        <v>1861137</v>
      </c>
      <c r="N12" s="51">
        <v>5102</v>
      </c>
      <c r="O12" s="52">
        <v>102</v>
      </c>
      <c r="P12" s="53"/>
      <c r="Q12" s="54"/>
      <c r="V12" s="623" t="s">
        <v>33</v>
      </c>
      <c r="W12" s="623"/>
      <c r="X12" s="618">
        <f>IF('2801 June Final'!K$84=1,'2801 June Final'!G12,0)</f>
        <v>0</v>
      </c>
      <c r="Y12" s="618"/>
      <c r="Z12" s="624">
        <v>1</v>
      </c>
      <c r="AA12" s="624"/>
      <c r="AB12" s="55">
        <f t="shared" si="3"/>
        <v>0</v>
      </c>
      <c r="AC12" s="56">
        <f t="shared" si="4"/>
        <v>0</v>
      </c>
      <c r="AD12" s="9"/>
    </row>
    <row r="13" spans="1:30" x14ac:dyDescent="0.25">
      <c r="A13" s="1" t="s">
        <v>34</v>
      </c>
      <c r="B13" s="13" t="s">
        <v>35</v>
      </c>
      <c r="C13" s="13"/>
      <c r="D13" s="13">
        <v>24.44</v>
      </c>
      <c r="E13" s="13">
        <v>25.41</v>
      </c>
      <c r="F13" s="13">
        <v>29.2</v>
      </c>
      <c r="G13" s="46">
        <f t="shared" si="0"/>
        <v>49.85</v>
      </c>
      <c r="H13" s="47"/>
      <c r="I13" s="57">
        <f>I12</f>
        <v>1</v>
      </c>
      <c r="J13" s="57"/>
      <c r="K13" s="49">
        <f t="shared" si="1"/>
        <v>49.85</v>
      </c>
      <c r="L13" s="50">
        <f t="shared" si="2"/>
        <v>193150</v>
      </c>
      <c r="M13" s="1" t="str">
        <f>IF(ROUND(G13,2)=ROUND(SUM(G31:G33),2)," ","CHECK 2. PK-3 Lines Below")</f>
        <v xml:space="preserve"> </v>
      </c>
      <c r="N13" s="51">
        <v>5102</v>
      </c>
      <c r="O13" s="58" t="s">
        <v>36</v>
      </c>
      <c r="P13" s="53"/>
      <c r="Q13" s="54"/>
      <c r="V13" s="623" t="s">
        <v>35</v>
      </c>
      <c r="W13" s="623"/>
      <c r="X13" s="618">
        <f>IF('2801 June Final'!K$84=1,'2801 June Final'!G13,0)</f>
        <v>0</v>
      </c>
      <c r="Y13" s="618"/>
      <c r="Z13" s="624">
        <v>1</v>
      </c>
      <c r="AA13" s="624"/>
      <c r="AB13" s="55">
        <f t="shared" si="3"/>
        <v>0</v>
      </c>
      <c r="AC13" s="56">
        <f t="shared" si="4"/>
        <v>0</v>
      </c>
      <c r="AD13" s="9"/>
    </row>
    <row r="14" spans="1:30" x14ac:dyDescent="0.25">
      <c r="A14" s="1" t="s">
        <v>37</v>
      </c>
      <c r="B14" s="13" t="s">
        <v>38</v>
      </c>
      <c r="C14" s="13"/>
      <c r="D14" s="13">
        <v>7.92</v>
      </c>
      <c r="E14" s="13">
        <v>8.41</v>
      </c>
      <c r="F14" s="13">
        <v>0</v>
      </c>
      <c r="G14" s="46">
        <f t="shared" si="0"/>
        <v>16.329999999999998</v>
      </c>
      <c r="H14" s="47"/>
      <c r="I14" s="57">
        <v>1.0109999999999999</v>
      </c>
      <c r="J14" s="57"/>
      <c r="K14" s="49">
        <f t="shared" si="1"/>
        <v>16.509599999999999</v>
      </c>
      <c r="L14" s="50">
        <f t="shared" si="2"/>
        <v>63969</v>
      </c>
      <c r="N14" s="51">
        <v>5103</v>
      </c>
      <c r="O14" s="52">
        <v>103</v>
      </c>
      <c r="P14" s="53"/>
      <c r="Q14" s="54"/>
      <c r="V14" s="623" t="s">
        <v>38</v>
      </c>
      <c r="W14" s="623"/>
      <c r="X14" s="618">
        <f>IF('2801 June Final'!K$84=1,'2801 June Final'!G14,0)</f>
        <v>0</v>
      </c>
      <c r="Y14" s="618"/>
      <c r="Z14" s="624">
        <v>1</v>
      </c>
      <c r="AA14" s="624"/>
      <c r="AB14" s="55">
        <f t="shared" si="3"/>
        <v>0</v>
      </c>
      <c r="AC14" s="56">
        <f t="shared" si="4"/>
        <v>0</v>
      </c>
      <c r="AD14" s="9"/>
    </row>
    <row r="15" spans="1:30" x14ac:dyDescent="0.25">
      <c r="A15" s="1" t="s">
        <v>39</v>
      </c>
      <c r="B15" s="13" t="s">
        <v>40</v>
      </c>
      <c r="C15" s="13"/>
      <c r="D15" s="13">
        <v>2.0299999999999998</v>
      </c>
      <c r="E15" s="13">
        <v>1.52</v>
      </c>
      <c r="F15" s="13">
        <v>0</v>
      </c>
      <c r="G15" s="46">
        <f t="shared" si="0"/>
        <v>3.55</v>
      </c>
      <c r="H15" s="47"/>
      <c r="I15" s="57">
        <f>I14</f>
        <v>1.0109999999999999</v>
      </c>
      <c r="J15" s="57"/>
      <c r="K15" s="49">
        <f t="shared" si="1"/>
        <v>3.5891000000000002</v>
      </c>
      <c r="L15" s="59">
        <f t="shared" si="2"/>
        <v>13906</v>
      </c>
      <c r="M15" s="1" t="str">
        <f>IF(ROUND(G15,2)=ROUND(SUM(G34:G36),2)," ","CHECK 2. PK-3 Lines Below")</f>
        <v xml:space="preserve"> </v>
      </c>
      <c r="N15" s="51">
        <v>5103</v>
      </c>
      <c r="O15" s="58" t="s">
        <v>41</v>
      </c>
      <c r="P15" s="53"/>
      <c r="Q15" s="54"/>
      <c r="V15" s="623" t="s">
        <v>40</v>
      </c>
      <c r="W15" s="623"/>
      <c r="X15" s="618">
        <f>IF('2801 June Final'!K$84=1,'2801 June Final'!G15,0)</f>
        <v>0</v>
      </c>
      <c r="Y15" s="618"/>
      <c r="Z15" s="624">
        <v>1</v>
      </c>
      <c r="AA15" s="624"/>
      <c r="AB15" s="55">
        <f t="shared" si="3"/>
        <v>0</v>
      </c>
      <c r="AC15" s="60">
        <f t="shared" si="4"/>
        <v>0</v>
      </c>
      <c r="AD15" s="9"/>
    </row>
    <row r="16" spans="1:30" x14ac:dyDescent="0.25">
      <c r="A16" s="1" t="s">
        <v>42</v>
      </c>
      <c r="B16" s="13" t="s">
        <v>43</v>
      </c>
      <c r="C16" s="13"/>
      <c r="D16" s="13">
        <v>0</v>
      </c>
      <c r="E16" s="13">
        <v>0</v>
      </c>
      <c r="F16" s="13">
        <v>0</v>
      </c>
      <c r="G16" s="46">
        <f t="shared" si="0"/>
        <v>0</v>
      </c>
      <c r="H16" s="47"/>
      <c r="I16" s="57">
        <v>3.5579999999999998</v>
      </c>
      <c r="J16" s="57"/>
      <c r="K16" s="49">
        <f t="shared" si="1"/>
        <v>0</v>
      </c>
      <c r="L16" s="50">
        <f t="shared" si="2"/>
        <v>0</v>
      </c>
      <c r="N16" s="51">
        <v>5101</v>
      </c>
      <c r="O16" s="53">
        <v>254</v>
      </c>
      <c r="P16" s="53"/>
      <c r="Q16" s="54"/>
      <c r="V16" s="623" t="s">
        <v>43</v>
      </c>
      <c r="W16" s="623"/>
      <c r="X16" s="618">
        <f>IF('2801 June Final'!K$84=1,'2801 June Final'!G16,0)</f>
        <v>0</v>
      </c>
      <c r="Y16" s="618"/>
      <c r="Z16" s="624">
        <v>1</v>
      </c>
      <c r="AA16" s="624"/>
      <c r="AB16" s="55">
        <f t="shared" si="3"/>
        <v>0</v>
      </c>
      <c r="AC16" s="56">
        <f t="shared" si="4"/>
        <v>0</v>
      </c>
      <c r="AD16" s="9"/>
    </row>
    <row r="17" spans="1:30" x14ac:dyDescent="0.25">
      <c r="A17" s="1" t="s">
        <v>44</v>
      </c>
      <c r="B17" s="13" t="s">
        <v>45</v>
      </c>
      <c r="C17" s="13"/>
      <c r="D17" s="13">
        <v>0</v>
      </c>
      <c r="E17" s="13">
        <v>0</v>
      </c>
      <c r="F17" s="13">
        <v>0</v>
      </c>
      <c r="G17" s="46">
        <f t="shared" si="0"/>
        <v>0</v>
      </c>
      <c r="H17" s="47"/>
      <c r="I17" s="57">
        <f>I16</f>
        <v>3.5579999999999998</v>
      </c>
      <c r="J17" s="57"/>
      <c r="K17" s="49">
        <f t="shared" si="1"/>
        <v>0</v>
      </c>
      <c r="L17" s="50">
        <f t="shared" si="2"/>
        <v>0</v>
      </c>
      <c r="N17" s="51">
        <v>5102</v>
      </c>
      <c r="O17" s="54">
        <v>254</v>
      </c>
      <c r="P17" s="53"/>
      <c r="Q17" s="54"/>
      <c r="V17" s="623" t="s">
        <v>45</v>
      </c>
      <c r="W17" s="623"/>
      <c r="X17" s="618">
        <f>IF('2801 June Final'!K$84=1,'2801 June Final'!G17,0)</f>
        <v>0</v>
      </c>
      <c r="Y17" s="618"/>
      <c r="Z17" s="624">
        <v>1</v>
      </c>
      <c r="AA17" s="624"/>
      <c r="AB17" s="55">
        <f t="shared" si="3"/>
        <v>0</v>
      </c>
      <c r="AC17" s="56">
        <f t="shared" si="4"/>
        <v>0</v>
      </c>
      <c r="AD17" s="9"/>
    </row>
    <row r="18" spans="1:30" x14ac:dyDescent="0.25">
      <c r="A18" s="1" t="s">
        <v>46</v>
      </c>
      <c r="B18" s="13" t="s">
        <v>47</v>
      </c>
      <c r="C18" s="13"/>
      <c r="D18" s="13">
        <v>0</v>
      </c>
      <c r="E18" s="13">
        <v>0</v>
      </c>
      <c r="F18" s="13">
        <v>0</v>
      </c>
      <c r="G18" s="46">
        <f t="shared" si="0"/>
        <v>0</v>
      </c>
      <c r="H18" s="47"/>
      <c r="I18" s="57">
        <f>I17</f>
        <v>3.5579999999999998</v>
      </c>
      <c r="J18" s="57"/>
      <c r="K18" s="49">
        <f t="shared" si="1"/>
        <v>0</v>
      </c>
      <c r="L18" s="50">
        <f t="shared" si="2"/>
        <v>0</v>
      </c>
      <c r="N18" s="51">
        <v>5103</v>
      </c>
      <c r="O18" s="54">
        <v>254</v>
      </c>
      <c r="P18" s="53"/>
      <c r="Q18" s="54"/>
      <c r="V18" s="623" t="s">
        <v>47</v>
      </c>
      <c r="W18" s="623"/>
      <c r="X18" s="618">
        <f>IF('2801 June Final'!K$84=1,'2801 June Final'!G18,0)</f>
        <v>0</v>
      </c>
      <c r="Y18" s="618"/>
      <c r="Z18" s="624">
        <v>1</v>
      </c>
      <c r="AA18" s="624"/>
      <c r="AB18" s="55">
        <f t="shared" si="3"/>
        <v>0</v>
      </c>
      <c r="AC18" s="56">
        <f t="shared" si="4"/>
        <v>0</v>
      </c>
      <c r="AD18" s="9"/>
    </row>
    <row r="19" spans="1:30" ht="15" customHeight="1" x14ac:dyDescent="0.25">
      <c r="A19" s="1" t="s">
        <v>48</v>
      </c>
      <c r="B19" s="13" t="s">
        <v>49</v>
      </c>
      <c r="C19" s="13"/>
      <c r="D19" s="13">
        <v>0</v>
      </c>
      <c r="E19" s="13">
        <v>0</v>
      </c>
      <c r="F19" s="13">
        <v>0</v>
      </c>
      <c r="G19" s="46">
        <f t="shared" si="0"/>
        <v>0</v>
      </c>
      <c r="H19" s="47"/>
      <c r="I19" s="57">
        <v>5.0890000000000004</v>
      </c>
      <c r="J19" s="57"/>
      <c r="K19" s="49">
        <f t="shared" si="1"/>
        <v>0</v>
      </c>
      <c r="L19" s="50">
        <f t="shared" si="2"/>
        <v>0</v>
      </c>
      <c r="N19" s="51">
        <v>5101</v>
      </c>
      <c r="O19" s="53">
        <v>255</v>
      </c>
      <c r="P19" s="53"/>
      <c r="Q19" s="54"/>
      <c r="V19" s="623" t="s">
        <v>49</v>
      </c>
      <c r="W19" s="623"/>
      <c r="X19" s="618">
        <f>IF('2801 June Final'!K$84=1,'2801 June Final'!G19,0)</f>
        <v>0</v>
      </c>
      <c r="Y19" s="618"/>
      <c r="Z19" s="624">
        <v>1</v>
      </c>
      <c r="AA19" s="624"/>
      <c r="AB19" s="55">
        <f t="shared" si="3"/>
        <v>0</v>
      </c>
      <c r="AC19" s="56">
        <f t="shared" si="4"/>
        <v>0</v>
      </c>
      <c r="AD19" s="9"/>
    </row>
    <row r="20" spans="1:30" ht="15" customHeight="1" x14ac:dyDescent="0.25">
      <c r="A20" s="1" t="s">
        <v>50</v>
      </c>
      <c r="B20" s="13" t="s">
        <v>51</v>
      </c>
      <c r="C20" s="13"/>
      <c r="D20" s="13">
        <v>0</v>
      </c>
      <c r="E20" s="13">
        <v>0</v>
      </c>
      <c r="F20" s="13">
        <v>0</v>
      </c>
      <c r="G20" s="46">
        <f t="shared" si="0"/>
        <v>0</v>
      </c>
      <c r="H20" s="47"/>
      <c r="I20" s="57">
        <f>I19</f>
        <v>5.0890000000000004</v>
      </c>
      <c r="J20" s="57"/>
      <c r="K20" s="49">
        <f t="shared" si="1"/>
        <v>0</v>
      </c>
      <c r="L20" s="50">
        <f t="shared" si="2"/>
        <v>0</v>
      </c>
      <c r="N20" s="51">
        <v>5102</v>
      </c>
      <c r="O20" s="54">
        <v>255</v>
      </c>
      <c r="P20" s="53"/>
      <c r="Q20" s="54"/>
      <c r="V20" s="623" t="s">
        <v>51</v>
      </c>
      <c r="W20" s="623"/>
      <c r="X20" s="618">
        <f>IF('2801 June Final'!K$84=1,'2801 June Final'!G20,0)</f>
        <v>0</v>
      </c>
      <c r="Y20" s="618"/>
      <c r="Z20" s="624">
        <v>1</v>
      </c>
      <c r="AA20" s="624"/>
      <c r="AB20" s="55">
        <f t="shared" si="3"/>
        <v>0</v>
      </c>
      <c r="AC20" s="56">
        <f t="shared" si="4"/>
        <v>0</v>
      </c>
      <c r="AD20" s="9"/>
    </row>
    <row r="21" spans="1:30" ht="15" customHeight="1" x14ac:dyDescent="0.25">
      <c r="A21" s="1" t="s">
        <v>52</v>
      </c>
      <c r="B21" s="13" t="s">
        <v>53</v>
      </c>
      <c r="C21" s="13"/>
      <c r="D21" s="13">
        <v>0</v>
      </c>
      <c r="E21" s="13">
        <v>0</v>
      </c>
      <c r="F21" s="13">
        <v>0</v>
      </c>
      <c r="G21" s="46">
        <f t="shared" si="0"/>
        <v>0</v>
      </c>
      <c r="H21" s="47"/>
      <c r="I21" s="57">
        <f>I20</f>
        <v>5.0890000000000004</v>
      </c>
      <c r="J21" s="57"/>
      <c r="K21" s="49">
        <f t="shared" si="1"/>
        <v>0</v>
      </c>
      <c r="L21" s="50">
        <f t="shared" si="2"/>
        <v>0</v>
      </c>
      <c r="N21" s="51">
        <v>5103</v>
      </c>
      <c r="O21" s="54">
        <v>255</v>
      </c>
      <c r="P21" s="53"/>
      <c r="Q21" s="54"/>
      <c r="V21" s="623" t="s">
        <v>53</v>
      </c>
      <c r="W21" s="623"/>
      <c r="X21" s="618">
        <f>IF('2801 June Final'!K$84=1,'2801 June Final'!G21,0)</f>
        <v>0</v>
      </c>
      <c r="Y21" s="618"/>
      <c r="Z21" s="624">
        <v>1</v>
      </c>
      <c r="AA21" s="624"/>
      <c r="AB21" s="55">
        <f t="shared" si="3"/>
        <v>0</v>
      </c>
      <c r="AC21" s="56">
        <f t="shared" si="4"/>
        <v>0</v>
      </c>
      <c r="AD21" s="9"/>
    </row>
    <row r="22" spans="1:30" x14ac:dyDescent="0.25">
      <c r="A22" s="1" t="s">
        <v>54</v>
      </c>
      <c r="B22" s="13" t="s">
        <v>55</v>
      </c>
      <c r="C22" s="13"/>
      <c r="D22" s="13">
        <v>35.29</v>
      </c>
      <c r="E22" s="13">
        <v>34.9</v>
      </c>
      <c r="F22" s="13">
        <v>53.96</v>
      </c>
      <c r="G22" s="46">
        <f t="shared" si="0"/>
        <v>70.19</v>
      </c>
      <c r="H22" s="47"/>
      <c r="I22" s="57">
        <v>1.145</v>
      </c>
      <c r="J22" s="57"/>
      <c r="K22" s="49">
        <f t="shared" si="1"/>
        <v>80.367599999999996</v>
      </c>
      <c r="L22" s="50">
        <f t="shared" si="2"/>
        <v>311394</v>
      </c>
      <c r="N22" s="51">
        <v>5101</v>
      </c>
      <c r="O22" s="52">
        <v>130</v>
      </c>
      <c r="P22" s="53"/>
      <c r="Q22" s="54"/>
      <c r="V22" s="623" t="s">
        <v>55</v>
      </c>
      <c r="W22" s="623"/>
      <c r="X22" s="618">
        <f>IF('2801 June Final'!K$84=1,'2801 June Final'!G22,0)</f>
        <v>0</v>
      </c>
      <c r="Y22" s="618"/>
      <c r="Z22" s="624">
        <v>1</v>
      </c>
      <c r="AA22" s="624"/>
      <c r="AB22" s="55">
        <f t="shared" si="3"/>
        <v>0</v>
      </c>
      <c r="AC22" s="56">
        <f t="shared" si="4"/>
        <v>0</v>
      </c>
      <c r="AD22" s="9"/>
    </row>
    <row r="23" spans="1:30" x14ac:dyDescent="0.25">
      <c r="A23" s="1" t="s">
        <v>56</v>
      </c>
      <c r="B23" s="13" t="s">
        <v>57</v>
      </c>
      <c r="C23" s="13"/>
      <c r="D23" s="13">
        <v>13.32</v>
      </c>
      <c r="E23" s="13">
        <v>10.77</v>
      </c>
      <c r="F23" s="13">
        <v>0</v>
      </c>
      <c r="G23" s="46">
        <f t="shared" si="0"/>
        <v>24.09</v>
      </c>
      <c r="H23" s="47"/>
      <c r="I23" s="57">
        <f>I22</f>
        <v>1.145</v>
      </c>
      <c r="J23" s="57"/>
      <c r="K23" s="49">
        <f t="shared" si="1"/>
        <v>27.583100000000002</v>
      </c>
      <c r="L23" s="50">
        <f t="shared" si="2"/>
        <v>106874</v>
      </c>
      <c r="N23" s="51">
        <v>5102</v>
      </c>
      <c r="O23" s="52">
        <v>130</v>
      </c>
      <c r="P23" s="53"/>
      <c r="Q23" s="54"/>
      <c r="V23" s="623" t="s">
        <v>57</v>
      </c>
      <c r="W23" s="623"/>
      <c r="X23" s="618">
        <f>IF('2801 June Final'!K$84=1,'2801 June Final'!G23,0)</f>
        <v>0</v>
      </c>
      <c r="Y23" s="618"/>
      <c r="Z23" s="624">
        <v>1</v>
      </c>
      <c r="AA23" s="624"/>
      <c r="AB23" s="55">
        <f t="shared" si="3"/>
        <v>0</v>
      </c>
      <c r="AC23" s="56">
        <f t="shared" si="4"/>
        <v>0</v>
      </c>
      <c r="AD23" s="9"/>
    </row>
    <row r="24" spans="1:30" x14ac:dyDescent="0.25">
      <c r="A24" s="1" t="s">
        <v>58</v>
      </c>
      <c r="B24" s="13" t="s">
        <v>59</v>
      </c>
      <c r="C24" s="13"/>
      <c r="D24" s="13">
        <v>0</v>
      </c>
      <c r="E24" s="13">
        <v>0</v>
      </c>
      <c r="F24" s="13">
        <v>0</v>
      </c>
      <c r="G24" s="46">
        <f t="shared" si="0"/>
        <v>0</v>
      </c>
      <c r="H24" s="47"/>
      <c r="I24" s="57">
        <f>I23</f>
        <v>1.145</v>
      </c>
      <c r="J24" s="57"/>
      <c r="K24" s="49">
        <f t="shared" si="1"/>
        <v>0</v>
      </c>
      <c r="L24" s="50">
        <f t="shared" si="2"/>
        <v>0</v>
      </c>
      <c r="N24" s="51">
        <v>5103</v>
      </c>
      <c r="O24" s="52">
        <v>130</v>
      </c>
      <c r="P24" s="53"/>
      <c r="Q24" s="54"/>
      <c r="V24" s="623" t="s">
        <v>59</v>
      </c>
      <c r="W24" s="623"/>
      <c r="X24" s="618">
        <f>IF('2801 June Final'!K$84=1,'2801 June Final'!G24,0)</f>
        <v>0</v>
      </c>
      <c r="Y24" s="618"/>
      <c r="Z24" s="624">
        <v>1</v>
      </c>
      <c r="AA24" s="624"/>
      <c r="AB24" s="55">
        <f t="shared" si="3"/>
        <v>0</v>
      </c>
      <c r="AC24" s="56">
        <f t="shared" si="4"/>
        <v>0</v>
      </c>
      <c r="AD24" s="9"/>
    </row>
    <row r="25" spans="1:30" ht="16.5" thickBot="1" x14ac:dyDescent="0.3">
      <c r="A25" s="1" t="s">
        <v>60</v>
      </c>
      <c r="B25" s="13" t="s">
        <v>61</v>
      </c>
      <c r="C25" s="13"/>
      <c r="D25" s="13">
        <v>0</v>
      </c>
      <c r="E25" s="13">
        <v>0</v>
      </c>
      <c r="F25" s="13">
        <v>0</v>
      </c>
      <c r="G25" s="46">
        <f t="shared" si="0"/>
        <v>0</v>
      </c>
      <c r="H25" s="47"/>
      <c r="I25" s="57">
        <v>1.0109999999999999</v>
      </c>
      <c r="J25" s="57"/>
      <c r="K25" s="49">
        <f t="shared" si="1"/>
        <v>0</v>
      </c>
      <c r="L25" s="50">
        <f t="shared" si="2"/>
        <v>0</v>
      </c>
      <c r="N25" s="51">
        <v>5310</v>
      </c>
      <c r="O25" s="52">
        <v>300</v>
      </c>
      <c r="P25" s="53"/>
      <c r="Q25" s="54"/>
      <c r="V25" s="623" t="s">
        <v>61</v>
      </c>
      <c r="W25" s="623"/>
      <c r="X25" s="618">
        <f>IF('2801 June Final'!K$84=1,'2801 June Final'!G25,0)</f>
        <v>0</v>
      </c>
      <c r="Y25" s="618"/>
      <c r="Z25" s="624">
        <v>1</v>
      </c>
      <c r="AA25" s="624"/>
      <c r="AB25" s="55">
        <f t="shared" si="3"/>
        <v>0</v>
      </c>
      <c r="AC25" s="56">
        <f t="shared" si="4"/>
        <v>0</v>
      </c>
      <c r="AD25" s="9"/>
    </row>
    <row r="26" spans="1:30" ht="20.25" customHeight="1" thickBot="1" x14ac:dyDescent="0.3">
      <c r="B26" s="62" t="s">
        <v>62</v>
      </c>
      <c r="C26" s="62"/>
      <c r="D26" s="63">
        <f>SUM(D10:D25)</f>
        <v>522.34</v>
      </c>
      <c r="E26" s="63">
        <f>SUM(E10:E25)</f>
        <v>513.52</v>
      </c>
      <c r="F26" s="63"/>
      <c r="G26" s="63">
        <f>SUM(G10:G25)</f>
        <v>1035.8600000000001</v>
      </c>
      <c r="H26" s="64"/>
      <c r="I26" s="64"/>
      <c r="J26" s="65"/>
      <c r="K26" s="66">
        <f>SUM(K10:K25)</f>
        <v>1098.6882000000001</v>
      </c>
      <c r="L26" s="67">
        <f>SUM(L10:L25)</f>
        <v>4257004</v>
      </c>
      <c r="N26" s="54"/>
      <c r="O26" s="68"/>
      <c r="P26" s="54"/>
      <c r="Q26" s="54"/>
      <c r="V26" s="625" t="s">
        <v>62</v>
      </c>
      <c r="W26" s="625"/>
      <c r="X26" s="626">
        <f>SUM(X10:X25)</f>
        <v>0</v>
      </c>
      <c r="Y26" s="626"/>
      <c r="Z26" s="627"/>
      <c r="AA26" s="628"/>
      <c r="AB26" s="69">
        <f>SUM(AB10:AB25)</f>
        <v>0</v>
      </c>
      <c r="AC26" s="70">
        <f>SUM(AC10:AC25)</f>
        <v>0</v>
      </c>
      <c r="AD26" s="9"/>
    </row>
    <row r="27" spans="1:30" ht="51.75" customHeight="1" x14ac:dyDescent="0.25">
      <c r="B27" s="62" t="s">
        <v>63</v>
      </c>
      <c r="C27" s="62"/>
      <c r="D27" s="71" t="s">
        <v>13</v>
      </c>
      <c r="E27" s="71" t="s">
        <v>14</v>
      </c>
      <c r="F27" s="27"/>
      <c r="G27" s="72" t="s">
        <v>64</v>
      </c>
      <c r="H27" s="73"/>
      <c r="I27" s="74" t="s">
        <v>65</v>
      </c>
      <c r="J27" s="74" t="s">
        <v>66</v>
      </c>
      <c r="K27" s="75" t="s">
        <v>67</v>
      </c>
      <c r="N27" s="54"/>
      <c r="O27" s="68"/>
      <c r="P27" s="54"/>
      <c r="Q27" s="54"/>
      <c r="V27" s="629" t="s">
        <v>63</v>
      </c>
      <c r="W27" s="629"/>
      <c r="X27" s="630" t="s">
        <v>64</v>
      </c>
      <c r="Y27" s="630"/>
      <c r="Z27" s="76" t="s">
        <v>65</v>
      </c>
      <c r="AA27" s="77" t="s">
        <v>66</v>
      </c>
      <c r="AB27" s="78" t="s">
        <v>67</v>
      </c>
      <c r="AC27" s="9"/>
      <c r="AD27" s="9"/>
    </row>
    <row r="28" spans="1:30" ht="15.75" customHeight="1" x14ac:dyDescent="0.25">
      <c r="A28" s="1" t="s">
        <v>68</v>
      </c>
      <c r="B28" s="631" t="s">
        <v>69</v>
      </c>
      <c r="C28" s="632"/>
      <c r="D28" s="13">
        <v>18.72</v>
      </c>
      <c r="E28" s="13">
        <v>19.95</v>
      </c>
      <c r="F28" s="79">
        <v>12.5</v>
      </c>
      <c r="G28" s="46">
        <f t="shared" ref="G28:G36" si="5">D28+E28</f>
        <v>38.67</v>
      </c>
      <c r="H28" s="80"/>
      <c r="I28" s="81" t="s">
        <v>70</v>
      </c>
      <c r="J28" s="82">
        <v>251</v>
      </c>
      <c r="K28" s="83">
        <v>1047</v>
      </c>
      <c r="L28" s="84">
        <f t="shared" ref="L28:L36" si="6">ROUND(G28*K28,0)</f>
        <v>40487</v>
      </c>
      <c r="N28" s="337">
        <v>5101</v>
      </c>
      <c r="O28" s="54">
        <v>251</v>
      </c>
      <c r="P28" s="86"/>
      <c r="Q28" s="87"/>
      <c r="V28" s="637" t="s">
        <v>69</v>
      </c>
      <c r="W28" s="637"/>
      <c r="X28" s="638"/>
      <c r="Y28" s="638"/>
      <c r="Z28" s="88" t="s">
        <v>70</v>
      </c>
      <c r="AA28" s="330">
        <v>251</v>
      </c>
      <c r="AB28" s="90">
        <f t="shared" ref="AB28:AB36" si="7">+K28</f>
        <v>1047</v>
      </c>
      <c r="AC28" s="91">
        <f t="shared" ref="AC28:AC36" si="8">ROUND(X28*AB28,0)</f>
        <v>0</v>
      </c>
      <c r="AD28" s="9"/>
    </row>
    <row r="29" spans="1:30" x14ac:dyDescent="0.25">
      <c r="A29" s="1" t="s">
        <v>71</v>
      </c>
      <c r="B29" s="633"/>
      <c r="C29" s="634"/>
      <c r="D29" s="13">
        <v>0</v>
      </c>
      <c r="E29" s="13">
        <v>0.5</v>
      </c>
      <c r="F29" s="92">
        <v>0</v>
      </c>
      <c r="G29" s="46">
        <f t="shared" si="5"/>
        <v>0.5</v>
      </c>
      <c r="H29" s="80"/>
      <c r="I29" s="82" t="s">
        <v>70</v>
      </c>
      <c r="J29" s="82">
        <v>252</v>
      </c>
      <c r="K29" s="83">
        <v>3380</v>
      </c>
      <c r="L29" s="84">
        <f t="shared" si="6"/>
        <v>1690</v>
      </c>
      <c r="N29" s="337">
        <v>5101</v>
      </c>
      <c r="O29" s="54">
        <v>252</v>
      </c>
      <c r="P29" s="86"/>
      <c r="Q29" s="87"/>
      <c r="V29" s="637"/>
      <c r="W29" s="637"/>
      <c r="X29" s="638"/>
      <c r="Y29" s="638"/>
      <c r="Z29" s="330" t="s">
        <v>70</v>
      </c>
      <c r="AA29" s="330">
        <v>252</v>
      </c>
      <c r="AB29" s="90">
        <f t="shared" si="7"/>
        <v>3380</v>
      </c>
      <c r="AC29" s="91">
        <f t="shared" si="8"/>
        <v>0</v>
      </c>
      <c r="AD29" s="9"/>
    </row>
    <row r="30" spans="1:30" x14ac:dyDescent="0.25">
      <c r="A30" s="1" t="s">
        <v>72</v>
      </c>
      <c r="B30" s="633"/>
      <c r="C30" s="634"/>
      <c r="D30" s="13">
        <v>0</v>
      </c>
      <c r="E30" s="13">
        <v>0</v>
      </c>
      <c r="F30" s="92">
        <v>0</v>
      </c>
      <c r="G30" s="46">
        <f t="shared" si="5"/>
        <v>0</v>
      </c>
      <c r="H30" s="80"/>
      <c r="I30" s="82" t="s">
        <v>70</v>
      </c>
      <c r="J30" s="82">
        <v>253</v>
      </c>
      <c r="K30" s="83">
        <v>6896</v>
      </c>
      <c r="L30" s="84">
        <f t="shared" si="6"/>
        <v>0</v>
      </c>
      <c r="N30" s="337">
        <v>5101</v>
      </c>
      <c r="O30" s="54">
        <v>253</v>
      </c>
      <c r="P30" s="86"/>
      <c r="Q30" s="68"/>
      <c r="V30" s="637"/>
      <c r="W30" s="637"/>
      <c r="X30" s="638"/>
      <c r="Y30" s="638"/>
      <c r="Z30" s="330" t="s">
        <v>70</v>
      </c>
      <c r="AA30" s="330">
        <v>253</v>
      </c>
      <c r="AB30" s="90">
        <f t="shared" si="7"/>
        <v>6896</v>
      </c>
      <c r="AC30" s="91">
        <f t="shared" si="8"/>
        <v>0</v>
      </c>
      <c r="AD30" s="9"/>
    </row>
    <row r="31" spans="1:30" x14ac:dyDescent="0.25">
      <c r="A31" s="1" t="s">
        <v>73</v>
      </c>
      <c r="B31" s="633"/>
      <c r="C31" s="634"/>
      <c r="D31" s="13">
        <v>23.96</v>
      </c>
      <c r="E31" s="13">
        <v>24.88</v>
      </c>
      <c r="F31" s="92">
        <v>16</v>
      </c>
      <c r="G31" s="46">
        <f t="shared" si="5"/>
        <v>48.84</v>
      </c>
      <c r="H31" s="80"/>
      <c r="I31" s="93" t="s">
        <v>74</v>
      </c>
      <c r="J31" s="82">
        <v>251</v>
      </c>
      <c r="K31" s="83">
        <v>1173</v>
      </c>
      <c r="L31" s="84">
        <f t="shared" si="6"/>
        <v>57289</v>
      </c>
      <c r="N31" s="337">
        <v>5102</v>
      </c>
      <c r="O31" s="54">
        <v>251</v>
      </c>
      <c r="P31" s="86"/>
      <c r="Q31" s="68"/>
      <c r="V31" s="637"/>
      <c r="W31" s="637"/>
      <c r="X31" s="638"/>
      <c r="Y31" s="638"/>
      <c r="Z31" s="94" t="s">
        <v>74</v>
      </c>
      <c r="AA31" s="330">
        <v>251</v>
      </c>
      <c r="AB31" s="90">
        <f t="shared" si="7"/>
        <v>1173</v>
      </c>
      <c r="AC31" s="91">
        <f t="shared" si="8"/>
        <v>0</v>
      </c>
      <c r="AD31" s="9"/>
    </row>
    <row r="32" spans="1:30" x14ac:dyDescent="0.25">
      <c r="A32" s="1" t="s">
        <v>75</v>
      </c>
      <c r="B32" s="633"/>
      <c r="C32" s="634"/>
      <c r="D32" s="13">
        <v>0</v>
      </c>
      <c r="E32" s="13">
        <v>0</v>
      </c>
      <c r="F32" s="92">
        <v>0</v>
      </c>
      <c r="G32" s="46">
        <f t="shared" si="5"/>
        <v>0</v>
      </c>
      <c r="H32" s="80"/>
      <c r="I32" s="93" t="s">
        <v>74</v>
      </c>
      <c r="J32" s="82">
        <v>252</v>
      </c>
      <c r="K32" s="83">
        <v>3506</v>
      </c>
      <c r="L32" s="84">
        <f t="shared" si="6"/>
        <v>0</v>
      </c>
      <c r="N32" s="337">
        <v>5102</v>
      </c>
      <c r="O32" s="54">
        <v>252</v>
      </c>
      <c r="P32" s="86"/>
      <c r="Q32" s="54"/>
      <c r="V32" s="637"/>
      <c r="W32" s="637"/>
      <c r="X32" s="638"/>
      <c r="Y32" s="638"/>
      <c r="Z32" s="94" t="s">
        <v>74</v>
      </c>
      <c r="AA32" s="330">
        <v>252</v>
      </c>
      <c r="AB32" s="90">
        <f t="shared" si="7"/>
        <v>3506</v>
      </c>
      <c r="AC32" s="91">
        <f t="shared" si="8"/>
        <v>0</v>
      </c>
      <c r="AD32" s="9"/>
    </row>
    <row r="33" spans="1:30" x14ac:dyDescent="0.25">
      <c r="A33" s="1" t="s">
        <v>76</v>
      </c>
      <c r="B33" s="633"/>
      <c r="C33" s="634"/>
      <c r="D33" s="13">
        <v>0.48</v>
      </c>
      <c r="E33" s="13">
        <v>0.53</v>
      </c>
      <c r="F33" s="92">
        <v>0</v>
      </c>
      <c r="G33" s="46">
        <f t="shared" si="5"/>
        <v>1.01</v>
      </c>
      <c r="H33" s="80"/>
      <c r="I33" s="93" t="s">
        <v>74</v>
      </c>
      <c r="J33" s="82">
        <v>253</v>
      </c>
      <c r="K33" s="83">
        <v>7023</v>
      </c>
      <c r="L33" s="84">
        <f t="shared" si="6"/>
        <v>7093</v>
      </c>
      <c r="N33" s="337">
        <v>5102</v>
      </c>
      <c r="O33" s="54">
        <v>253</v>
      </c>
      <c r="P33" s="86"/>
      <c r="Q33" s="87"/>
      <c r="V33" s="637"/>
      <c r="W33" s="637"/>
      <c r="X33" s="638"/>
      <c r="Y33" s="638"/>
      <c r="Z33" s="94" t="s">
        <v>74</v>
      </c>
      <c r="AA33" s="330">
        <v>253</v>
      </c>
      <c r="AB33" s="90">
        <f t="shared" si="7"/>
        <v>7023</v>
      </c>
      <c r="AC33" s="91">
        <f t="shared" si="8"/>
        <v>0</v>
      </c>
      <c r="AD33" s="9"/>
    </row>
    <row r="34" spans="1:30" x14ac:dyDescent="0.25">
      <c r="A34" s="1" t="s">
        <v>77</v>
      </c>
      <c r="B34" s="633"/>
      <c r="C34" s="634"/>
      <c r="D34" s="13">
        <v>2.0299999999999998</v>
      </c>
      <c r="E34" s="13">
        <v>1.52</v>
      </c>
      <c r="F34" s="92">
        <v>0</v>
      </c>
      <c r="G34" s="46">
        <f t="shared" si="5"/>
        <v>3.55</v>
      </c>
      <c r="H34" s="80"/>
      <c r="I34" s="93" t="s">
        <v>78</v>
      </c>
      <c r="J34" s="82">
        <v>251</v>
      </c>
      <c r="K34" s="83">
        <v>835</v>
      </c>
      <c r="L34" s="84">
        <f t="shared" si="6"/>
        <v>2964</v>
      </c>
      <c r="N34" s="337">
        <v>5103</v>
      </c>
      <c r="O34" s="54">
        <v>251</v>
      </c>
      <c r="P34" s="86"/>
      <c r="Q34" s="87"/>
      <c r="V34" s="637"/>
      <c r="W34" s="637"/>
      <c r="X34" s="638"/>
      <c r="Y34" s="638"/>
      <c r="Z34" s="94" t="s">
        <v>78</v>
      </c>
      <c r="AA34" s="330">
        <v>251</v>
      </c>
      <c r="AB34" s="90">
        <f t="shared" si="7"/>
        <v>835</v>
      </c>
      <c r="AC34" s="91">
        <f t="shared" si="8"/>
        <v>0</v>
      </c>
      <c r="AD34" s="9"/>
    </row>
    <row r="35" spans="1:30" x14ac:dyDescent="0.25">
      <c r="A35" s="1" t="s">
        <v>79</v>
      </c>
      <c r="B35" s="633"/>
      <c r="C35" s="634"/>
      <c r="D35" s="13">
        <v>0</v>
      </c>
      <c r="E35" s="13">
        <v>0</v>
      </c>
      <c r="F35" s="92">
        <v>0</v>
      </c>
      <c r="G35" s="46">
        <f t="shared" si="5"/>
        <v>0</v>
      </c>
      <c r="H35" s="80"/>
      <c r="I35" s="93" t="s">
        <v>78</v>
      </c>
      <c r="J35" s="82">
        <v>252</v>
      </c>
      <c r="K35" s="83">
        <v>3168</v>
      </c>
      <c r="L35" s="84">
        <f t="shared" si="6"/>
        <v>0</v>
      </c>
      <c r="N35" s="337">
        <v>5103</v>
      </c>
      <c r="O35" s="54">
        <v>252</v>
      </c>
      <c r="P35" s="86"/>
      <c r="Q35" s="95"/>
      <c r="V35" s="637"/>
      <c r="W35" s="637"/>
      <c r="X35" s="638"/>
      <c r="Y35" s="638"/>
      <c r="Z35" s="94" t="s">
        <v>78</v>
      </c>
      <c r="AA35" s="330">
        <v>252</v>
      </c>
      <c r="AB35" s="90">
        <f t="shared" si="7"/>
        <v>3168</v>
      </c>
      <c r="AC35" s="91">
        <f t="shared" si="8"/>
        <v>0</v>
      </c>
      <c r="AD35" s="9"/>
    </row>
    <row r="36" spans="1:30" ht="16.5" thickBot="1" x14ac:dyDescent="0.3">
      <c r="A36" s="1" t="s">
        <v>80</v>
      </c>
      <c r="B36" s="635"/>
      <c r="C36" s="636"/>
      <c r="D36" s="13">
        <v>0</v>
      </c>
      <c r="E36" s="13">
        <v>0</v>
      </c>
      <c r="F36" s="92">
        <v>0</v>
      </c>
      <c r="G36" s="46">
        <f t="shared" si="5"/>
        <v>0</v>
      </c>
      <c r="H36" s="80"/>
      <c r="I36" s="93" t="s">
        <v>78</v>
      </c>
      <c r="J36" s="82">
        <v>253</v>
      </c>
      <c r="K36" s="83">
        <v>6685</v>
      </c>
      <c r="L36" s="96">
        <f t="shared" si="6"/>
        <v>0</v>
      </c>
      <c r="N36" s="337">
        <v>5103</v>
      </c>
      <c r="O36" s="54">
        <v>253</v>
      </c>
      <c r="P36" s="86"/>
      <c r="Q36" s="97"/>
      <c r="V36" s="637"/>
      <c r="W36" s="637"/>
      <c r="X36" s="645"/>
      <c r="Y36" s="645"/>
      <c r="Z36" s="94" t="s">
        <v>78</v>
      </c>
      <c r="AA36" s="330">
        <v>253</v>
      </c>
      <c r="AB36" s="90">
        <f t="shared" si="7"/>
        <v>6685</v>
      </c>
      <c r="AC36" s="98">
        <f t="shared" si="8"/>
        <v>0</v>
      </c>
      <c r="AD36" s="9"/>
    </row>
    <row r="37" spans="1:30" ht="18.75" customHeight="1" x14ac:dyDescent="0.25">
      <c r="B37" s="13" t="s">
        <v>81</v>
      </c>
      <c r="C37" s="13"/>
      <c r="D37" s="63">
        <f>SUM(D28:D36)</f>
        <v>45.19</v>
      </c>
      <c r="E37" s="63">
        <f>SUM(E28:E36)</f>
        <v>47.38</v>
      </c>
      <c r="F37" s="63"/>
      <c r="G37" s="63">
        <f>SUM(G28:G36)</f>
        <v>92.570000000000007</v>
      </c>
      <c r="H37" s="64"/>
      <c r="I37" s="13" t="s">
        <v>82</v>
      </c>
      <c r="J37" s="13"/>
      <c r="K37" s="13"/>
      <c r="L37" s="50">
        <f>SUM(L28:L36)</f>
        <v>109523</v>
      </c>
      <c r="N37" s="54"/>
      <c r="O37" s="68"/>
      <c r="P37" s="54"/>
      <c r="Q37" s="54"/>
      <c r="V37" s="646" t="s">
        <v>81</v>
      </c>
      <c r="W37" s="646"/>
      <c r="X37" s="626">
        <f>SUM(X28:X36)</f>
        <v>0</v>
      </c>
      <c r="Y37" s="626"/>
      <c r="Z37" s="646" t="s">
        <v>82</v>
      </c>
      <c r="AA37" s="646"/>
      <c r="AB37" s="646"/>
      <c r="AC37" s="56">
        <f>SUM(AC28:AC36)</f>
        <v>0</v>
      </c>
      <c r="AD37" s="9"/>
    </row>
    <row r="38" spans="1:30" ht="30.75" customHeight="1" x14ac:dyDescent="0.25">
      <c r="B38" s="99" t="s">
        <v>83</v>
      </c>
      <c r="C38" s="99"/>
      <c r="D38" s="99"/>
      <c r="E38" s="99"/>
      <c r="F38" s="99"/>
      <c r="G38" s="99"/>
      <c r="H38" s="100"/>
      <c r="I38" s="99"/>
      <c r="J38" s="99"/>
      <c r="K38" s="99"/>
      <c r="L38" s="99"/>
      <c r="M38" s="101"/>
      <c r="N38" s="54"/>
      <c r="O38" s="68"/>
      <c r="P38" s="54"/>
      <c r="Q38" s="54"/>
      <c r="V38" s="639" t="s">
        <v>83</v>
      </c>
      <c r="W38" s="639"/>
      <c r="X38" s="639"/>
      <c r="Y38" s="639"/>
      <c r="Z38" s="639"/>
      <c r="AA38" s="639"/>
      <c r="AB38" s="639"/>
      <c r="AC38" s="639"/>
      <c r="AD38" s="102"/>
    </row>
    <row r="39" spans="1:30" ht="15.75" customHeight="1" x14ac:dyDescent="0.25">
      <c r="B39" s="103" t="s">
        <v>84</v>
      </c>
      <c r="C39" s="103"/>
      <c r="D39" s="103"/>
      <c r="E39" s="103"/>
      <c r="F39" s="103"/>
      <c r="G39" s="104">
        <v>34389540</v>
      </c>
      <c r="H39" s="104"/>
      <c r="I39" s="13" t="s">
        <v>85</v>
      </c>
      <c r="J39" s="13"/>
      <c r="K39" s="13"/>
      <c r="L39" s="13"/>
      <c r="O39" s="1"/>
      <c r="V39" s="640" t="s">
        <v>84</v>
      </c>
      <c r="W39" s="640"/>
      <c r="X39" s="641">
        <f>+G39</f>
        <v>34389540</v>
      </c>
      <c r="Y39" s="641"/>
      <c r="Z39" s="642" t="s">
        <v>85</v>
      </c>
      <c r="AA39" s="642"/>
      <c r="AB39" s="642"/>
      <c r="AC39" s="642"/>
      <c r="AD39" s="9"/>
    </row>
    <row r="40" spans="1:30" ht="15.75" customHeight="1" x14ac:dyDescent="0.25">
      <c r="B40" s="105" t="s">
        <v>86</v>
      </c>
      <c r="C40" s="105"/>
      <c r="D40" s="105"/>
      <c r="E40" s="105"/>
      <c r="F40" s="105"/>
      <c r="G40" s="106">
        <v>180284.81</v>
      </c>
      <c r="H40" s="106"/>
      <c r="I40" s="106"/>
      <c r="J40" s="106"/>
      <c r="K40" s="50">
        <f>ROUND(G39/G40,0)</f>
        <v>191</v>
      </c>
      <c r="L40" s="50">
        <f>ROUND(K40*$G$26,0)</f>
        <v>197849</v>
      </c>
      <c r="N40" s="107"/>
      <c r="O40" s="107"/>
      <c r="P40" s="107"/>
      <c r="Q40" s="107"/>
      <c r="V40" s="643" t="s">
        <v>86</v>
      </c>
      <c r="W40" s="643"/>
      <c r="X40" s="644">
        <f>+G40</f>
        <v>180284.81</v>
      </c>
      <c r="Y40" s="644"/>
      <c r="Z40" s="644"/>
      <c r="AA40" s="644"/>
      <c r="AB40" s="56">
        <f>ROUND(X39/X40,0)</f>
        <v>191</v>
      </c>
      <c r="AC40" s="56">
        <f>ROUND(AB40*$X$26,0)</f>
        <v>0</v>
      </c>
      <c r="AD40" s="9"/>
    </row>
    <row r="41" spans="1:30" ht="15.75" customHeight="1" x14ac:dyDescent="0.25">
      <c r="B41" s="108" t="s">
        <v>87</v>
      </c>
      <c r="C41" s="108"/>
      <c r="D41" s="108"/>
      <c r="E41" s="108"/>
      <c r="F41" s="108"/>
      <c r="G41" s="108"/>
      <c r="H41" s="108"/>
      <c r="I41" s="108"/>
      <c r="J41" s="108"/>
      <c r="K41" s="108"/>
      <c r="L41" s="108"/>
      <c r="N41" s="101"/>
      <c r="O41" s="109"/>
      <c r="P41" s="101"/>
      <c r="Q41" s="101"/>
      <c r="V41" s="652" t="s">
        <v>87</v>
      </c>
      <c r="W41" s="652"/>
      <c r="X41" s="652"/>
      <c r="Y41" s="652"/>
      <c r="Z41" s="652"/>
      <c r="AA41" s="652"/>
      <c r="AB41" s="652"/>
      <c r="AC41" s="652"/>
      <c r="AD41" s="9"/>
    </row>
    <row r="42" spans="1:30" ht="28.5" customHeight="1" x14ac:dyDescent="0.25">
      <c r="B42" s="99" t="s">
        <v>88</v>
      </c>
      <c r="C42" s="99"/>
      <c r="D42" s="99"/>
      <c r="E42" s="99"/>
      <c r="F42" s="99"/>
      <c r="G42" s="99"/>
      <c r="H42" s="99"/>
      <c r="I42" s="99"/>
      <c r="J42" s="99"/>
      <c r="K42" s="99"/>
      <c r="L42" s="99"/>
      <c r="M42" s="107"/>
      <c r="O42" s="1"/>
      <c r="V42" s="639" t="s">
        <v>88</v>
      </c>
      <c r="W42" s="639"/>
      <c r="X42" s="639"/>
      <c r="Y42" s="639"/>
      <c r="Z42" s="639"/>
      <c r="AA42" s="639"/>
      <c r="AB42" s="639"/>
      <c r="AC42" s="639"/>
      <c r="AD42" s="334"/>
    </row>
    <row r="43" spans="1:30" x14ac:dyDescent="0.25">
      <c r="B43" s="111" t="s">
        <v>89</v>
      </c>
      <c r="C43" s="111"/>
      <c r="D43" s="111"/>
      <c r="E43" s="111"/>
      <c r="F43" s="111"/>
      <c r="G43" s="111"/>
      <c r="H43" s="111"/>
      <c r="I43" s="111"/>
      <c r="J43" s="111"/>
      <c r="K43" s="111"/>
      <c r="L43" s="111"/>
      <c r="M43" s="112"/>
      <c r="N43" s="101"/>
      <c r="O43" s="101"/>
      <c r="P43" s="101"/>
      <c r="Q43" s="101"/>
      <c r="V43" s="653" t="s">
        <v>89</v>
      </c>
      <c r="W43" s="653"/>
      <c r="X43" s="653"/>
      <c r="Y43" s="653"/>
      <c r="Z43" s="653"/>
      <c r="AA43" s="653"/>
      <c r="AB43" s="653"/>
      <c r="AC43" s="653"/>
      <c r="AD43" s="113"/>
    </row>
    <row r="44" spans="1:30" ht="24" customHeight="1" x14ac:dyDescent="0.25">
      <c r="B44" s="62" t="s">
        <v>90</v>
      </c>
      <c r="C44" s="62"/>
      <c r="D44" s="62"/>
      <c r="E44" s="62"/>
      <c r="F44" s="62"/>
      <c r="G44" s="62"/>
      <c r="H44" s="62"/>
      <c r="I44" s="62"/>
      <c r="J44" s="62"/>
      <c r="K44" s="62"/>
      <c r="L44" s="114">
        <f>SUM(L26,L37,L40)</f>
        <v>4564376</v>
      </c>
      <c r="O44" s="1"/>
      <c r="V44" s="654" t="s">
        <v>90</v>
      </c>
      <c r="W44" s="654"/>
      <c r="X44" s="654"/>
      <c r="Y44" s="654"/>
      <c r="Z44" s="654"/>
      <c r="AA44" s="654"/>
      <c r="AB44" s="654"/>
      <c r="AC44" s="115">
        <f>SUM(AC26,AC37,AC40)</f>
        <v>0</v>
      </c>
      <c r="AD44" s="9"/>
    </row>
    <row r="45" spans="1:30" ht="30.75" customHeight="1" x14ac:dyDescent="0.25">
      <c r="B45" s="99" t="s">
        <v>91</v>
      </c>
      <c r="C45" s="99"/>
      <c r="D45" s="99"/>
      <c r="E45" s="99"/>
      <c r="F45" s="99"/>
      <c r="G45" s="99"/>
      <c r="H45" s="99"/>
      <c r="I45" s="99"/>
      <c r="J45" s="99"/>
      <c r="K45" s="99"/>
      <c r="L45" s="99"/>
      <c r="M45" s="116"/>
      <c r="O45" s="1"/>
      <c r="V45" s="639" t="s">
        <v>91</v>
      </c>
      <c r="W45" s="639"/>
      <c r="X45" s="639"/>
      <c r="Y45" s="639"/>
      <c r="Z45" s="639"/>
      <c r="AA45" s="639"/>
      <c r="AB45" s="639"/>
      <c r="AC45" s="639"/>
      <c r="AD45" s="333"/>
    </row>
    <row r="46" spans="1:30" ht="18.75" customHeight="1" x14ac:dyDescent="0.25">
      <c r="B46" s="1"/>
      <c r="C46" s="118" t="s">
        <v>92</v>
      </c>
      <c r="D46" s="118"/>
      <c r="E46" s="118"/>
      <c r="F46" s="118"/>
      <c r="G46" s="118" t="s">
        <v>93</v>
      </c>
      <c r="H46" s="119"/>
      <c r="I46" s="120" t="s">
        <v>94</v>
      </c>
      <c r="J46" s="121"/>
      <c r="K46" s="121"/>
      <c r="L46" s="121"/>
      <c r="M46" s="122"/>
      <c r="O46" s="1"/>
      <c r="V46" s="9"/>
      <c r="W46" s="336" t="s">
        <v>92</v>
      </c>
      <c r="X46" s="655" t="s">
        <v>95</v>
      </c>
      <c r="Y46" s="655"/>
      <c r="Z46" s="656" t="s">
        <v>94</v>
      </c>
      <c r="AA46" s="656"/>
      <c r="AB46" s="656"/>
      <c r="AC46" s="656"/>
      <c r="AD46" s="124"/>
    </row>
    <row r="47" spans="1:30" ht="18.75" customHeight="1" x14ac:dyDescent="0.25">
      <c r="B47" s="107" t="s">
        <v>96</v>
      </c>
      <c r="C47" s="125">
        <f>K10+K11+K16+K19+K22</f>
        <v>520.81640000000004</v>
      </c>
      <c r="D47" s="125"/>
      <c r="E47" s="125"/>
      <c r="F47" s="125"/>
      <c r="G47" s="126">
        <f>K7</f>
        <v>1.0326</v>
      </c>
      <c r="H47" s="126"/>
      <c r="I47" s="127">
        <v>1316.85</v>
      </c>
      <c r="J47" s="128" t="s">
        <v>97</v>
      </c>
      <c r="K47" s="129">
        <f>ROUND(C47*G47*I47,0)</f>
        <v>708195</v>
      </c>
      <c r="L47" s="130"/>
      <c r="O47" s="1"/>
      <c r="V47" s="334" t="s">
        <v>96</v>
      </c>
      <c r="W47" s="131">
        <f>AB10+AB11+AB16+AB19+AB22</f>
        <v>0</v>
      </c>
      <c r="X47" s="647">
        <f>AB7</f>
        <v>1.0326</v>
      </c>
      <c r="Y47" s="647"/>
      <c r="Z47" s="132">
        <f>+I47</f>
        <v>1316.85</v>
      </c>
      <c r="AA47" s="133" t="s">
        <v>97</v>
      </c>
      <c r="AB47" s="134">
        <f>ROUND(W47*X47*Z47,0)</f>
        <v>0</v>
      </c>
      <c r="AC47" s="135"/>
      <c r="AD47" s="9"/>
    </row>
    <row r="48" spans="1:30" ht="18" customHeight="1" x14ac:dyDescent="0.25">
      <c r="B48" s="136" t="s">
        <v>74</v>
      </c>
      <c r="C48" s="125">
        <f>K12+K13+K17+K20+K23</f>
        <v>557.77309999999989</v>
      </c>
      <c r="D48" s="125"/>
      <c r="E48" s="125"/>
      <c r="F48" s="125"/>
      <c r="G48" s="126">
        <f>K7</f>
        <v>1.0326</v>
      </c>
      <c r="H48" s="126"/>
      <c r="I48" s="127">
        <v>898.23</v>
      </c>
      <c r="J48" s="128" t="s">
        <v>97</v>
      </c>
      <c r="K48" s="129">
        <f>ROUND(C48*G48*I48,0)</f>
        <v>517341</v>
      </c>
      <c r="L48" s="62"/>
      <c r="O48" s="1"/>
      <c r="V48" s="137" t="s">
        <v>74</v>
      </c>
      <c r="W48" s="131">
        <f>AB12+AB13+AB17+AB20+AB23</f>
        <v>0</v>
      </c>
      <c r="X48" s="647">
        <f>AB7</f>
        <v>1.0326</v>
      </c>
      <c r="Y48" s="647"/>
      <c r="Z48" s="132">
        <f>+I48</f>
        <v>898.23</v>
      </c>
      <c r="AA48" s="133" t="s">
        <v>97</v>
      </c>
      <c r="AB48" s="134">
        <f>ROUND(W48*X48*Z48,0)</f>
        <v>0</v>
      </c>
      <c r="AC48" s="138"/>
      <c r="AD48" s="9"/>
    </row>
    <row r="49" spans="2:30" ht="19.5" customHeight="1" thickBot="1" x14ac:dyDescent="0.3">
      <c r="B49" s="139" t="s">
        <v>78</v>
      </c>
      <c r="C49" s="140">
        <f>K14+K15+K18+K21+K24+K25</f>
        <v>20.098700000000001</v>
      </c>
      <c r="D49" s="125"/>
      <c r="E49" s="125"/>
      <c r="F49" s="125"/>
      <c r="G49" s="126">
        <f>K7</f>
        <v>1.0326</v>
      </c>
      <c r="H49" s="126"/>
      <c r="I49" s="127">
        <v>900.39</v>
      </c>
      <c r="J49" s="128" t="s">
        <v>97</v>
      </c>
      <c r="K49" s="129">
        <f>ROUND(C49*G49*I49,0)</f>
        <v>18687</v>
      </c>
      <c r="L49" s="62"/>
      <c r="M49" s="112"/>
      <c r="N49" s="141"/>
      <c r="O49" s="142"/>
      <c r="P49" s="101"/>
      <c r="Q49" s="143"/>
      <c r="V49" s="144" t="s">
        <v>78</v>
      </c>
      <c r="W49" s="145">
        <f>AB14+AB15+AB18+AB21+AB24+AB25</f>
        <v>0</v>
      </c>
      <c r="X49" s="647">
        <f>AB7</f>
        <v>1.0326</v>
      </c>
      <c r="Y49" s="647"/>
      <c r="Z49" s="132">
        <f>+I49</f>
        <v>900.39</v>
      </c>
      <c r="AA49" s="133" t="s">
        <v>97</v>
      </c>
      <c r="AB49" s="134">
        <f>ROUND(W49*X49*Z49,0)</f>
        <v>0</v>
      </c>
      <c r="AC49" s="138"/>
      <c r="AD49" s="113"/>
    </row>
    <row r="50" spans="2:30" ht="24" customHeight="1" thickBot="1" x14ac:dyDescent="0.3">
      <c r="B50" s="146" t="s">
        <v>98</v>
      </c>
      <c r="C50" s="147">
        <f>SUM(C47:C49)</f>
        <v>1098.6882000000001</v>
      </c>
      <c r="D50" s="148"/>
      <c r="E50" s="149"/>
      <c r="F50" s="149"/>
      <c r="G50" s="150" t="s">
        <v>99</v>
      </c>
      <c r="H50" s="150"/>
      <c r="I50" s="150"/>
      <c r="J50" s="150"/>
      <c r="K50" s="150"/>
      <c r="L50" s="50">
        <f>IF(B2=75,0,K49+K48+K47)</f>
        <v>1244223</v>
      </c>
      <c r="N50" s="3"/>
      <c r="O50" s="1"/>
      <c r="V50" s="335" t="s">
        <v>98</v>
      </c>
      <c r="W50" s="152">
        <f>SUM(W47:W49)</f>
        <v>0</v>
      </c>
      <c r="X50" s="648" t="s">
        <v>99</v>
      </c>
      <c r="Y50" s="649"/>
      <c r="Z50" s="649"/>
      <c r="AA50" s="649"/>
      <c r="AB50" s="649"/>
      <c r="AC50" s="56">
        <f>IF(V2=75,0,AB49+AB48+AB47)</f>
        <v>0</v>
      </c>
      <c r="AD50" s="9"/>
    </row>
    <row r="51" spans="2:30" ht="19.5" customHeight="1" x14ac:dyDescent="0.25">
      <c r="B51" s="153" t="s">
        <v>100</v>
      </c>
      <c r="C51" s="153"/>
      <c r="D51" s="153"/>
      <c r="E51" s="153"/>
      <c r="F51" s="153"/>
      <c r="G51" s="153"/>
      <c r="H51" s="153"/>
      <c r="I51" s="153"/>
      <c r="J51" s="153"/>
      <c r="K51" s="153"/>
      <c r="L51" s="153"/>
      <c r="M51" s="141"/>
      <c r="N51" s="101"/>
      <c r="O51" s="1"/>
      <c r="V51" s="650" t="s">
        <v>100</v>
      </c>
      <c r="W51" s="650"/>
      <c r="X51" s="650"/>
      <c r="Y51" s="650"/>
      <c r="Z51" s="650"/>
      <c r="AA51" s="650"/>
      <c r="AB51" s="650"/>
      <c r="AC51" s="650"/>
      <c r="AD51" s="154"/>
    </row>
    <row r="52" spans="2:30" ht="27.75" customHeight="1" x14ac:dyDescent="0.25">
      <c r="B52" s="13" t="s">
        <v>101</v>
      </c>
      <c r="C52" s="13"/>
      <c r="D52" s="13"/>
      <c r="E52" s="13"/>
      <c r="F52" s="13"/>
      <c r="G52" s="13"/>
      <c r="H52" s="13"/>
      <c r="I52" s="13"/>
      <c r="J52" s="13"/>
      <c r="K52" s="13"/>
      <c r="L52" s="13"/>
      <c r="O52" s="1"/>
      <c r="V52" s="651" t="s">
        <v>101</v>
      </c>
      <c r="W52" s="651"/>
      <c r="X52" s="651"/>
      <c r="Y52" s="651"/>
      <c r="Z52" s="651"/>
      <c r="AA52" s="651"/>
      <c r="AB52" s="651"/>
      <c r="AC52" s="651"/>
      <c r="AD52" s="9"/>
    </row>
    <row r="53" spans="2:30" x14ac:dyDescent="0.25">
      <c r="B53" s="13" t="s">
        <v>102</v>
      </c>
      <c r="C53" s="13"/>
      <c r="D53" s="13"/>
      <c r="E53" s="13"/>
      <c r="F53" s="13"/>
      <c r="G53" s="155">
        <f>K26</f>
        <v>1098.6882000000001</v>
      </c>
      <c r="H53" s="57" t="s">
        <v>103</v>
      </c>
      <c r="I53" s="57"/>
      <c r="J53" s="156">
        <v>197823.77</v>
      </c>
      <c r="K53" s="156"/>
      <c r="L53" s="156"/>
      <c r="N53" s="3"/>
      <c r="O53" s="1"/>
      <c r="V53" s="657" t="s">
        <v>102</v>
      </c>
      <c r="W53" s="657"/>
      <c r="X53" s="157">
        <f>AB26</f>
        <v>0</v>
      </c>
      <c r="Y53" s="658" t="s">
        <v>103</v>
      </c>
      <c r="Z53" s="658"/>
      <c r="AA53" s="659">
        <f>+J53</f>
        <v>197823.77</v>
      </c>
      <c r="AB53" s="659"/>
      <c r="AC53" s="659"/>
      <c r="AD53" s="9"/>
    </row>
    <row r="54" spans="2:30" x14ac:dyDescent="0.25">
      <c r="B54" s="13" t="s">
        <v>104</v>
      </c>
      <c r="C54" s="13"/>
      <c r="D54" s="13"/>
      <c r="E54" s="13"/>
      <c r="F54" s="13"/>
      <c r="G54" s="13"/>
      <c r="H54" s="13"/>
      <c r="I54" s="13"/>
      <c r="J54" s="13"/>
      <c r="K54" s="158">
        <f>ROUND(G53/J53,6)</f>
        <v>5.5539999999999999E-3</v>
      </c>
      <c r="L54" s="158"/>
      <c r="N54" s="101"/>
      <c r="O54" s="1"/>
      <c r="V54" s="657" t="s">
        <v>104</v>
      </c>
      <c r="W54" s="657"/>
      <c r="X54" s="657"/>
      <c r="Y54" s="657"/>
      <c r="Z54" s="657"/>
      <c r="AA54" s="657"/>
      <c r="AB54" s="660">
        <f>ROUND(X53/AA53,6)</f>
        <v>0</v>
      </c>
      <c r="AC54" s="660"/>
      <c r="AD54" s="9"/>
    </row>
    <row r="55" spans="2:30" ht="24" customHeight="1" x14ac:dyDescent="0.25">
      <c r="B55" s="13" t="s">
        <v>105</v>
      </c>
      <c r="C55" s="13"/>
      <c r="D55" s="13"/>
      <c r="E55" s="13"/>
      <c r="F55" s="13"/>
      <c r="G55" s="13"/>
      <c r="H55" s="13"/>
      <c r="I55" s="13"/>
      <c r="J55" s="13"/>
      <c r="K55" s="13"/>
      <c r="L55" s="13"/>
      <c r="O55" s="1"/>
      <c r="V55" s="651" t="s">
        <v>105</v>
      </c>
      <c r="W55" s="651"/>
      <c r="X55" s="651"/>
      <c r="Y55" s="651"/>
      <c r="Z55" s="651"/>
      <c r="AA55" s="651"/>
      <c r="AB55" s="651"/>
      <c r="AC55" s="651"/>
      <c r="AD55" s="9"/>
    </row>
    <row r="56" spans="2:30" x14ac:dyDescent="0.25">
      <c r="B56" s="13" t="s">
        <v>106</v>
      </c>
      <c r="C56" s="13"/>
      <c r="D56" s="13"/>
      <c r="E56" s="13"/>
      <c r="F56" s="13"/>
      <c r="G56" s="159">
        <f>G26</f>
        <v>1035.8600000000001</v>
      </c>
      <c r="H56" s="57" t="s">
        <v>107</v>
      </c>
      <c r="I56" s="57"/>
      <c r="J56" s="156">
        <f>+G40</f>
        <v>180284.81</v>
      </c>
      <c r="K56" s="156"/>
      <c r="L56" s="156"/>
      <c r="O56" s="1"/>
      <c r="V56" s="657" t="s">
        <v>106</v>
      </c>
      <c r="W56" s="657"/>
      <c r="X56" s="160">
        <f>X26</f>
        <v>0</v>
      </c>
      <c r="Y56" s="658" t="s">
        <v>107</v>
      </c>
      <c r="Z56" s="658"/>
      <c r="AA56" s="659">
        <f>+J56</f>
        <v>180284.81</v>
      </c>
      <c r="AB56" s="659"/>
      <c r="AC56" s="659"/>
      <c r="AD56" s="9"/>
    </row>
    <row r="57" spans="2:30" x14ac:dyDescent="0.25">
      <c r="B57" s="13" t="s">
        <v>108</v>
      </c>
      <c r="C57" s="13"/>
      <c r="D57" s="13"/>
      <c r="E57" s="13"/>
      <c r="F57" s="13"/>
      <c r="G57" s="13"/>
      <c r="H57" s="13"/>
      <c r="I57" s="13"/>
      <c r="J57" s="13"/>
      <c r="K57" s="158">
        <f>ROUND(G56/J56,6)</f>
        <v>5.7460000000000002E-3</v>
      </c>
      <c r="L57" s="158"/>
      <c r="O57" s="1"/>
      <c r="V57" s="657" t="s">
        <v>108</v>
      </c>
      <c r="W57" s="657"/>
      <c r="X57" s="657"/>
      <c r="Y57" s="657"/>
      <c r="Z57" s="657"/>
      <c r="AA57" s="657"/>
      <c r="AB57" s="660">
        <f>ROUND(X56/AA56,6)</f>
        <v>0</v>
      </c>
      <c r="AC57" s="660"/>
      <c r="AD57" s="9"/>
    </row>
    <row r="58" spans="2:30" ht="20.25" customHeight="1" x14ac:dyDescent="0.25">
      <c r="B58" s="161" t="s">
        <v>109</v>
      </c>
      <c r="C58" s="161"/>
      <c r="D58" s="161"/>
      <c r="E58" s="161"/>
      <c r="F58" s="161"/>
      <c r="G58" s="161"/>
      <c r="H58" s="161"/>
      <c r="I58" s="161"/>
      <c r="J58" s="161"/>
      <c r="K58" s="161"/>
      <c r="L58" s="161"/>
      <c r="N58" s="18"/>
      <c r="O58" s="18"/>
      <c r="V58" s="629" t="s">
        <v>110</v>
      </c>
      <c r="W58" s="629"/>
      <c r="X58" s="629"/>
      <c r="Y58" s="661">
        <f>X65+X64+X62+X61+X60</f>
        <v>4123852</v>
      </c>
      <c r="Z58" s="661"/>
      <c r="AA58" s="332" t="s">
        <v>111</v>
      </c>
      <c r="AB58" s="163">
        <f>AB54</f>
        <v>0</v>
      </c>
      <c r="AC58" s="56">
        <f>ROUND(Y58*AB58,0)</f>
        <v>0</v>
      </c>
      <c r="AD58" s="9"/>
    </row>
    <row r="59" spans="2:30" x14ac:dyDescent="0.25">
      <c r="B59" s="62" t="s">
        <v>110</v>
      </c>
      <c r="C59" s="62"/>
      <c r="D59" s="62"/>
      <c r="E59" s="62"/>
      <c r="F59" s="62"/>
      <c r="G59" s="62"/>
      <c r="H59" s="164" t="s">
        <v>22</v>
      </c>
      <c r="I59" s="129">
        <v>4123852</v>
      </c>
      <c r="J59" s="165" t="s">
        <v>111</v>
      </c>
      <c r="K59" s="166">
        <f>K54</f>
        <v>5.5539999999999999E-3</v>
      </c>
      <c r="L59" s="50">
        <f>ROUND(I59*K59,0)</f>
        <v>22904</v>
      </c>
      <c r="O59" s="1"/>
      <c r="P59" s="165"/>
      <c r="Q59" s="165"/>
      <c r="V59" s="662" t="s">
        <v>112</v>
      </c>
      <c r="W59" s="662"/>
      <c r="X59" s="662"/>
      <c r="Y59" s="662"/>
      <c r="Z59" s="662"/>
      <c r="AA59" s="662"/>
      <c r="AB59" s="662"/>
      <c r="AC59" s="662"/>
      <c r="AD59" s="9"/>
    </row>
    <row r="60" spans="2:30" x14ac:dyDescent="0.25">
      <c r="B60" s="62" t="s">
        <v>112</v>
      </c>
      <c r="C60" s="62"/>
      <c r="D60" s="62"/>
      <c r="E60" s="62"/>
      <c r="F60" s="62"/>
      <c r="G60" s="62"/>
      <c r="H60" s="62"/>
      <c r="I60" s="62"/>
      <c r="J60" s="62"/>
      <c r="K60" s="62"/>
      <c r="L60" s="62"/>
      <c r="O60" s="1"/>
      <c r="P60" s="165"/>
      <c r="Q60" s="165"/>
      <c r="V60" s="663" t="s">
        <v>113</v>
      </c>
      <c r="W60" s="663"/>
      <c r="X60" s="664">
        <f>+G61</f>
        <v>0</v>
      </c>
      <c r="Y60" s="664"/>
      <c r="Z60" s="664"/>
      <c r="AA60" s="664"/>
      <c r="AB60" s="664"/>
      <c r="AC60" s="664"/>
      <c r="AD60" s="9"/>
    </row>
    <row r="61" spans="2:30" ht="15" customHeight="1" x14ac:dyDescent="0.25">
      <c r="B61" s="167" t="s">
        <v>113</v>
      </c>
      <c r="C61" s="62"/>
      <c r="D61" s="62"/>
      <c r="E61" s="62"/>
      <c r="F61" s="62"/>
      <c r="G61" s="168">
        <v>0</v>
      </c>
      <c r="H61" s="168"/>
      <c r="I61" s="168"/>
      <c r="J61" s="168"/>
      <c r="K61" s="168"/>
      <c r="L61" s="168"/>
      <c r="O61" s="1"/>
      <c r="P61" s="165"/>
      <c r="Q61" s="165"/>
      <c r="V61" s="663" t="s">
        <v>114</v>
      </c>
      <c r="W61" s="663"/>
      <c r="X61" s="664">
        <f>+G62</f>
        <v>0</v>
      </c>
      <c r="Y61" s="664"/>
      <c r="Z61" s="664"/>
      <c r="AA61" s="664"/>
      <c r="AB61" s="664"/>
      <c r="AC61" s="664"/>
      <c r="AD61" s="9"/>
    </row>
    <row r="62" spans="2:30" ht="13.5" customHeight="1" x14ac:dyDescent="0.25">
      <c r="B62" s="167" t="s">
        <v>114</v>
      </c>
      <c r="C62" s="62"/>
      <c r="D62" s="62"/>
      <c r="E62" s="62"/>
      <c r="F62" s="62"/>
      <c r="G62" s="168">
        <v>0</v>
      </c>
      <c r="H62" s="168"/>
      <c r="I62" s="168"/>
      <c r="J62" s="168"/>
      <c r="K62" s="168"/>
      <c r="L62" s="168"/>
      <c r="N62" s="165"/>
      <c r="O62" s="165"/>
      <c r="P62" s="165"/>
      <c r="Q62" s="165"/>
      <c r="V62" s="663" t="s">
        <v>115</v>
      </c>
      <c r="W62" s="663"/>
      <c r="X62" s="664">
        <v>0</v>
      </c>
      <c r="Y62" s="664"/>
      <c r="Z62" s="664"/>
      <c r="AA62" s="664"/>
      <c r="AB62" s="664"/>
      <c r="AC62" s="664"/>
      <c r="AD62" s="9"/>
    </row>
    <row r="63" spans="2:30" ht="13.5" hidden="1" customHeight="1" x14ac:dyDescent="0.25">
      <c r="B63" s="62" t="s">
        <v>115</v>
      </c>
      <c r="C63" s="62"/>
      <c r="D63" s="62"/>
      <c r="E63" s="62"/>
      <c r="F63" s="62"/>
      <c r="G63" s="168">
        <v>0</v>
      </c>
      <c r="H63" s="168"/>
      <c r="I63" s="168"/>
      <c r="J63" s="168"/>
      <c r="K63" s="168"/>
      <c r="L63" s="168"/>
      <c r="O63" s="1"/>
      <c r="P63" s="165"/>
      <c r="Q63" s="165"/>
      <c r="V63" s="662" t="s">
        <v>116</v>
      </c>
      <c r="W63" s="662"/>
      <c r="X63" s="662"/>
      <c r="Y63" s="662"/>
      <c r="Z63" s="662"/>
      <c r="AA63" s="662"/>
      <c r="AB63" s="662"/>
      <c r="AC63" s="662"/>
      <c r="AD63" s="333"/>
    </row>
    <row r="64" spans="2:30" ht="13.5" customHeight="1" x14ac:dyDescent="0.25">
      <c r="B64" s="62" t="s">
        <v>116</v>
      </c>
      <c r="C64" s="62"/>
      <c r="D64" s="62"/>
      <c r="E64" s="62"/>
      <c r="F64" s="62"/>
      <c r="G64" s="62"/>
      <c r="H64" s="62"/>
      <c r="I64" s="62"/>
      <c r="J64" s="62"/>
      <c r="K64" s="62"/>
      <c r="L64" s="62"/>
      <c r="M64" s="116"/>
      <c r="N64" s="18"/>
      <c r="O64" s="1"/>
      <c r="V64" s="663" t="s">
        <v>117</v>
      </c>
      <c r="W64" s="663"/>
      <c r="X64" s="664">
        <f>+G65</f>
        <v>4123852</v>
      </c>
      <c r="Y64" s="664"/>
      <c r="Z64" s="664"/>
      <c r="AA64" s="664"/>
      <c r="AB64" s="664"/>
      <c r="AC64" s="664"/>
      <c r="AD64" s="9"/>
    </row>
    <row r="65" spans="1:30" ht="12.75" customHeight="1" x14ac:dyDescent="0.25">
      <c r="B65" s="167" t="s">
        <v>117</v>
      </c>
      <c r="C65" s="62"/>
      <c r="D65" s="62"/>
      <c r="E65" s="62"/>
      <c r="F65" s="62"/>
      <c r="G65" s="168">
        <f>+I59</f>
        <v>4123852</v>
      </c>
      <c r="H65" s="168"/>
      <c r="I65" s="168"/>
      <c r="J65" s="168"/>
      <c r="K65" s="168"/>
      <c r="L65" s="168"/>
      <c r="O65" s="1"/>
      <c r="V65" s="663" t="s">
        <v>118</v>
      </c>
      <c r="W65" s="663"/>
      <c r="X65" s="664">
        <f>+G66</f>
        <v>0</v>
      </c>
      <c r="Y65" s="664"/>
      <c r="Z65" s="664"/>
      <c r="AA65" s="664"/>
      <c r="AB65" s="664"/>
      <c r="AC65" s="664"/>
      <c r="AD65" s="20"/>
    </row>
    <row r="66" spans="1:30" ht="15" customHeight="1" x14ac:dyDescent="0.25">
      <c r="B66" s="167" t="s">
        <v>118</v>
      </c>
      <c r="C66" s="62"/>
      <c r="D66" s="62"/>
      <c r="E66" s="62"/>
      <c r="F66" s="62"/>
      <c r="G66" s="168">
        <v>0</v>
      </c>
      <c r="H66" s="168"/>
      <c r="I66" s="168"/>
      <c r="J66" s="168"/>
      <c r="K66" s="168"/>
      <c r="L66" s="168"/>
      <c r="M66" s="18"/>
      <c r="N66" s="3"/>
      <c r="O66" s="169"/>
      <c r="P66" s="169"/>
      <c r="Q66" s="169"/>
      <c r="V66" s="651" t="s">
        <v>119</v>
      </c>
      <c r="W66" s="651"/>
      <c r="X66" s="651"/>
      <c r="Y66" s="661">
        <f>+I67</f>
        <v>96774526</v>
      </c>
      <c r="Z66" s="661"/>
      <c r="AA66" s="332" t="s">
        <v>111</v>
      </c>
      <c r="AB66" s="163">
        <f>AB54</f>
        <v>0</v>
      </c>
      <c r="AC66" s="56">
        <f>ROUND(Y66*AB66,0)</f>
        <v>0</v>
      </c>
      <c r="AD66" s="9"/>
    </row>
    <row r="67" spans="1:30" ht="20.25" customHeight="1" x14ac:dyDescent="0.25">
      <c r="B67" s="13" t="s">
        <v>119</v>
      </c>
      <c r="C67" s="13"/>
      <c r="D67" s="13"/>
      <c r="E67" s="13"/>
      <c r="F67" s="13"/>
      <c r="H67" s="164" t="s">
        <v>25</v>
      </c>
      <c r="I67" s="129">
        <v>96774526</v>
      </c>
      <c r="J67" s="165" t="s">
        <v>111</v>
      </c>
      <c r="K67" s="166">
        <f>K54</f>
        <v>5.5539999999999999E-3</v>
      </c>
      <c r="L67" s="50">
        <f>ROUND(I67*K67,0)</f>
        <v>537486</v>
      </c>
      <c r="O67" s="1"/>
      <c r="V67" s="651" t="s">
        <v>120</v>
      </c>
      <c r="W67" s="651"/>
      <c r="X67" s="651"/>
      <c r="Y67" s="651"/>
      <c r="Z67" s="651"/>
      <c r="AA67" s="651"/>
      <c r="AB67" s="651"/>
      <c r="AC67" s="651"/>
      <c r="AD67" s="9"/>
    </row>
    <row r="68" spans="1:30" ht="20.25" customHeight="1" x14ac:dyDescent="0.25">
      <c r="B68" s="13" t="s">
        <v>120</v>
      </c>
      <c r="C68" s="13"/>
      <c r="D68" s="13"/>
      <c r="E68" s="13"/>
      <c r="F68" s="13"/>
      <c r="H68" s="13"/>
      <c r="I68" s="13"/>
      <c r="J68" s="82"/>
      <c r="K68" s="13"/>
      <c r="L68" s="13"/>
      <c r="O68" s="1"/>
      <c r="V68" s="667" t="s">
        <v>121</v>
      </c>
      <c r="W68" s="667"/>
      <c r="X68" s="667"/>
      <c r="Y68" s="661">
        <f>+I69</f>
        <v>0</v>
      </c>
      <c r="Z68" s="661"/>
      <c r="AA68" s="332" t="s">
        <v>111</v>
      </c>
      <c r="AB68" s="163">
        <f>AB57</f>
        <v>0</v>
      </c>
      <c r="AC68" s="56">
        <f>ROUND(Y68*AB68,0)</f>
        <v>0</v>
      </c>
      <c r="AD68" s="9"/>
    </row>
    <row r="69" spans="1:30" ht="15" customHeight="1" x14ac:dyDescent="0.25">
      <c r="B69" s="170" t="s">
        <v>121</v>
      </c>
      <c r="C69" s="13"/>
      <c r="D69" s="13"/>
      <c r="E69" s="13"/>
      <c r="F69" s="13"/>
      <c r="H69" s="164" t="s">
        <v>23</v>
      </c>
      <c r="I69" s="129">
        <v>0</v>
      </c>
      <c r="J69" s="165" t="s">
        <v>111</v>
      </c>
      <c r="K69" s="166">
        <f>K57</f>
        <v>5.7460000000000002E-3</v>
      </c>
      <c r="L69" s="50">
        <f>ROUND(I69*K69,0)</f>
        <v>0</v>
      </c>
      <c r="O69" s="1"/>
      <c r="V69" s="651" t="s">
        <v>122</v>
      </c>
      <c r="W69" s="651"/>
      <c r="X69" s="651"/>
      <c r="Y69" s="668">
        <f>+I70</f>
        <v>-3460775</v>
      </c>
      <c r="Z69" s="668"/>
      <c r="AA69" s="332" t="s">
        <v>111</v>
      </c>
      <c r="AB69" s="163">
        <f>AB54</f>
        <v>0</v>
      </c>
      <c r="AC69" s="56">
        <f>ROUND(Y69*AB69,0)</f>
        <v>0</v>
      </c>
      <c r="AD69" s="9"/>
    </row>
    <row r="70" spans="1:30" ht="20.25" customHeight="1" x14ac:dyDescent="0.25">
      <c r="B70" s="13" t="s">
        <v>122</v>
      </c>
      <c r="C70" s="13"/>
      <c r="D70" s="13"/>
      <c r="E70" s="13"/>
      <c r="F70" s="13"/>
      <c r="H70" s="164" t="s">
        <v>22</v>
      </c>
      <c r="I70" s="129">
        <v>-3460775</v>
      </c>
      <c r="J70" s="165" t="s">
        <v>111</v>
      </c>
      <c r="K70" s="166">
        <f>K54</f>
        <v>5.5539999999999999E-3</v>
      </c>
      <c r="L70" s="50">
        <f>ROUND(I70*K70,0)</f>
        <v>-19221</v>
      </c>
      <c r="O70" s="1"/>
      <c r="V70" s="651" t="s">
        <v>123</v>
      </c>
      <c r="W70" s="651"/>
      <c r="X70" s="651"/>
      <c r="Y70" s="665">
        <f>+I71</f>
        <v>1874788</v>
      </c>
      <c r="Z70" s="665"/>
      <c r="AA70" s="332" t="s">
        <v>111</v>
      </c>
      <c r="AB70" s="163">
        <f>AB54</f>
        <v>0</v>
      </c>
      <c r="AC70" s="56">
        <f>ROUND(Y70*AB70,0)</f>
        <v>0</v>
      </c>
      <c r="AD70" s="9"/>
    </row>
    <row r="71" spans="1:30" ht="20.25" customHeight="1" x14ac:dyDescent="0.25">
      <c r="B71" s="13" t="s">
        <v>123</v>
      </c>
      <c r="C71" s="13"/>
      <c r="D71" s="13"/>
      <c r="E71" s="13"/>
      <c r="F71" s="13"/>
      <c r="H71" s="164" t="s">
        <v>22</v>
      </c>
      <c r="I71" s="129">
        <v>1874788</v>
      </c>
      <c r="J71" s="165" t="s">
        <v>111</v>
      </c>
      <c r="K71" s="166">
        <f>K54</f>
        <v>5.5539999999999999E-3</v>
      </c>
      <c r="L71" s="50">
        <f>ROUND(I71*K71,0)</f>
        <v>10413</v>
      </c>
      <c r="O71" s="1"/>
      <c r="V71" s="651" t="s">
        <v>124</v>
      </c>
      <c r="W71" s="651"/>
      <c r="X71" s="651"/>
      <c r="Y71" s="665">
        <f>+I72</f>
        <v>14223298</v>
      </c>
      <c r="Z71" s="665"/>
      <c r="AA71" s="332" t="s">
        <v>111</v>
      </c>
      <c r="AB71" s="163">
        <f>AB57</f>
        <v>0</v>
      </c>
      <c r="AC71" s="56">
        <f>ROUND(Y71*AB71,0)</f>
        <v>0</v>
      </c>
      <c r="AD71" s="9"/>
    </row>
    <row r="72" spans="1:30" ht="21" customHeight="1" x14ac:dyDescent="0.25">
      <c r="B72" s="13" t="s">
        <v>124</v>
      </c>
      <c r="C72" s="13"/>
      <c r="D72" s="13"/>
      <c r="E72" s="13"/>
      <c r="F72" s="13"/>
      <c r="H72" s="164" t="s">
        <v>23</v>
      </c>
      <c r="I72" s="171">
        <v>14223298</v>
      </c>
      <c r="J72" s="165" t="s">
        <v>111</v>
      </c>
      <c r="K72" s="166">
        <f>K57</f>
        <v>5.7460000000000002E-3</v>
      </c>
      <c r="L72" s="50">
        <f>ROUND(I72*K72,0)</f>
        <v>81727</v>
      </c>
      <c r="O72" s="1"/>
      <c r="V72" s="623" t="s">
        <v>125</v>
      </c>
      <c r="W72" s="623"/>
      <c r="X72" s="623"/>
      <c r="Y72" s="623"/>
      <c r="Z72" s="623"/>
      <c r="AA72" s="623"/>
      <c r="AB72" s="623"/>
      <c r="AC72" s="60"/>
      <c r="AD72" s="9"/>
    </row>
    <row r="73" spans="1:30" ht="17.25" customHeight="1" x14ac:dyDescent="0.25">
      <c r="B73" s="13" t="s">
        <v>125</v>
      </c>
      <c r="C73" s="13"/>
      <c r="D73" s="13"/>
      <c r="E73" s="13"/>
      <c r="F73" s="13"/>
      <c r="H73" s="13"/>
      <c r="I73" s="13"/>
      <c r="J73" s="82"/>
      <c r="K73" s="13"/>
      <c r="L73" s="59"/>
      <c r="O73" s="1"/>
      <c r="V73" s="651" t="s">
        <v>126</v>
      </c>
      <c r="W73" s="651"/>
      <c r="X73" s="651"/>
      <c r="Y73" s="651"/>
      <c r="Z73" s="651"/>
      <c r="AA73" s="651"/>
      <c r="AB73" s="651"/>
      <c r="AC73" s="651"/>
      <c r="AD73" s="9"/>
    </row>
    <row r="74" spans="1:30" ht="31.5" x14ac:dyDescent="0.25">
      <c r="B74" s="13" t="s">
        <v>126</v>
      </c>
      <c r="C74" s="13"/>
      <c r="D74" s="27" t="s">
        <v>13</v>
      </c>
      <c r="E74" s="27" t="s">
        <v>14</v>
      </c>
      <c r="F74" s="27"/>
      <c r="H74" s="164" t="s">
        <v>26</v>
      </c>
      <c r="I74" s="172"/>
      <c r="J74" s="164"/>
      <c r="K74" s="172"/>
      <c r="L74" s="112"/>
      <c r="O74" s="1"/>
      <c r="V74" s="666" t="s">
        <v>127</v>
      </c>
      <c r="W74" s="666"/>
      <c r="X74" s="173" t="s">
        <v>128</v>
      </c>
      <c r="Y74" s="174"/>
      <c r="Z74" s="175">
        <f>+I75</f>
        <v>432.5</v>
      </c>
      <c r="AA74" s="331" t="s">
        <v>129</v>
      </c>
      <c r="AB74" s="177">
        <f>+K75</f>
        <v>361</v>
      </c>
      <c r="AC74" s="56">
        <f>ROUND(AB74*Z74,0)</f>
        <v>156133</v>
      </c>
      <c r="AD74" s="9"/>
    </row>
    <row r="75" spans="1:30" ht="19.5" customHeight="1" x14ac:dyDescent="0.25">
      <c r="A75" s="1" t="s">
        <v>130</v>
      </c>
      <c r="B75" s="178" t="s">
        <v>127</v>
      </c>
      <c r="C75" s="179" t="s">
        <v>128</v>
      </c>
      <c r="D75" s="178">
        <v>419</v>
      </c>
      <c r="E75" s="178">
        <v>446</v>
      </c>
      <c r="F75" s="178">
        <v>0</v>
      </c>
      <c r="G75" s="180">
        <f>IF(E75=0,D75,E75)</f>
        <v>446</v>
      </c>
      <c r="H75" s="181"/>
      <c r="I75" s="182">
        <f>AVERAGE(G75,D75)</f>
        <v>432.5</v>
      </c>
      <c r="J75" s="183" t="s">
        <v>129</v>
      </c>
      <c r="K75" s="184">
        <v>361</v>
      </c>
      <c r="L75" s="50">
        <f>ROUND(K75*I75,0)</f>
        <v>156133</v>
      </c>
      <c r="N75" s="1">
        <v>7802</v>
      </c>
      <c r="O75" s="1">
        <v>0</v>
      </c>
      <c r="V75" s="666" t="s">
        <v>127</v>
      </c>
      <c r="W75" s="666"/>
      <c r="X75" s="173" t="s">
        <v>131</v>
      </c>
      <c r="Y75" s="185"/>
      <c r="Z75" s="186">
        <f>+I76</f>
        <v>0</v>
      </c>
      <c r="AA75" s="331" t="s">
        <v>129</v>
      </c>
      <c r="AB75" s="187">
        <f>+K76</f>
        <v>1358</v>
      </c>
      <c r="AC75" s="56">
        <f>ROUND(AB75*Z75,0)</f>
        <v>0</v>
      </c>
      <c r="AD75" s="9"/>
    </row>
    <row r="76" spans="1:30" ht="19.5" customHeight="1" x14ac:dyDescent="0.25">
      <c r="A76" s="1" t="s">
        <v>132</v>
      </c>
      <c r="B76" s="178" t="s">
        <v>127</v>
      </c>
      <c r="C76" s="179" t="s">
        <v>131</v>
      </c>
      <c r="D76" s="178">
        <v>0</v>
      </c>
      <c r="E76" s="178">
        <v>0</v>
      </c>
      <c r="F76" s="178">
        <v>0</v>
      </c>
      <c r="G76" s="180">
        <f>IF(E76=0,D76,E76)</f>
        <v>0</v>
      </c>
      <c r="H76" s="181"/>
      <c r="I76" s="182">
        <f>AVERAGE(G76,D76)</f>
        <v>0</v>
      </c>
      <c r="J76" s="183" t="s">
        <v>129</v>
      </c>
      <c r="K76" s="188">
        <v>1358</v>
      </c>
      <c r="L76" s="50">
        <f>ROUND(K76*I76,0)</f>
        <v>0</v>
      </c>
      <c r="N76" s="1">
        <v>7802</v>
      </c>
      <c r="O76" s="1">
        <v>110</v>
      </c>
      <c r="V76" s="651" t="s">
        <v>133</v>
      </c>
      <c r="W76" s="651"/>
      <c r="X76" s="651"/>
      <c r="Y76" s="661">
        <f>+I77</f>
        <v>33305823</v>
      </c>
      <c r="Z76" s="661"/>
      <c r="AA76" s="331" t="s">
        <v>129</v>
      </c>
      <c r="AB76" s="163">
        <f>AB54</f>
        <v>0</v>
      </c>
      <c r="AC76" s="56">
        <f>ROUND(Y76*AB76,0)</f>
        <v>0</v>
      </c>
      <c r="AD76" s="9"/>
    </row>
    <row r="77" spans="1:30" ht="26.25" customHeight="1" x14ac:dyDescent="0.25">
      <c r="B77" s="13" t="s">
        <v>133</v>
      </c>
      <c r="C77" s="13"/>
      <c r="D77" s="13"/>
      <c r="E77" s="13"/>
      <c r="F77" s="13"/>
      <c r="H77" s="164" t="s">
        <v>134</v>
      </c>
      <c r="I77" s="189">
        <v>33305823</v>
      </c>
      <c r="J77" s="165" t="s">
        <v>111</v>
      </c>
      <c r="K77" s="166">
        <f>K54</f>
        <v>5.5539999999999999E-3</v>
      </c>
      <c r="L77" s="50">
        <f>ROUND(I77*K77,0)</f>
        <v>184981</v>
      </c>
      <c r="O77" s="1"/>
      <c r="V77" s="651" t="str">
        <f>+B78</f>
        <v>15.  Additional Allocation (WFTE share)</v>
      </c>
      <c r="W77" s="651"/>
      <c r="X77" s="651"/>
      <c r="Y77" s="661">
        <f>+I78</f>
        <v>680688</v>
      </c>
      <c r="Z77" s="661"/>
      <c r="AA77" s="331" t="s">
        <v>129</v>
      </c>
      <c r="AB77" s="163">
        <f>AB54</f>
        <v>0</v>
      </c>
      <c r="AC77" s="56">
        <f>ROUND(Y77*AB77,0)</f>
        <v>0</v>
      </c>
      <c r="AD77" s="9"/>
    </row>
    <row r="78" spans="1:30" ht="26.25" customHeight="1" x14ac:dyDescent="0.25">
      <c r="B78" s="669" t="s">
        <v>135</v>
      </c>
      <c r="C78" s="669"/>
      <c r="D78" s="669"/>
      <c r="E78" s="13"/>
      <c r="F78" s="13"/>
      <c r="H78" s="164" t="s">
        <v>136</v>
      </c>
      <c r="I78" s="190">
        <v>680688</v>
      </c>
      <c r="J78" s="165" t="s">
        <v>111</v>
      </c>
      <c r="K78" s="166">
        <f>K54</f>
        <v>5.5539999999999999E-3</v>
      </c>
      <c r="L78" s="50">
        <f>ROUND(I78*K78,0)</f>
        <v>3781</v>
      </c>
      <c r="O78" s="1"/>
      <c r="V78" s="651" t="str">
        <f>+B79</f>
        <v>16.  Florida Teachers Lead Program Stipend</v>
      </c>
      <c r="W78" s="651"/>
      <c r="X78" s="651"/>
      <c r="Y78" s="191"/>
      <c r="Z78" s="191"/>
      <c r="AA78" s="191"/>
      <c r="AB78" s="191"/>
      <c r="AC78" s="134"/>
      <c r="AD78" s="9"/>
    </row>
    <row r="79" spans="1:30" ht="21" customHeight="1" x14ac:dyDescent="0.25">
      <c r="B79" s="669" t="s">
        <v>137</v>
      </c>
      <c r="C79" s="669"/>
      <c r="D79" s="669"/>
      <c r="E79" s="13"/>
      <c r="F79" s="13"/>
      <c r="H79" s="164"/>
      <c r="I79" s="172"/>
      <c r="J79" s="172"/>
      <c r="K79" s="172"/>
      <c r="L79" s="129"/>
      <c r="N79" s="192"/>
      <c r="O79" s="1"/>
      <c r="Q79" s="164"/>
      <c r="V79" s="651" t="str">
        <f>+B80</f>
        <v>17.  Food Service Allocation</v>
      </c>
      <c r="W79" s="651"/>
      <c r="X79" s="651"/>
      <c r="Y79" s="191"/>
      <c r="Z79" s="191"/>
      <c r="AA79" s="191"/>
      <c r="AB79" s="191"/>
      <c r="AC79" s="193"/>
      <c r="AD79" s="9"/>
    </row>
    <row r="80" spans="1:30" ht="21" customHeight="1" x14ac:dyDescent="0.25">
      <c r="B80" s="669" t="s">
        <v>138</v>
      </c>
      <c r="C80" s="669"/>
      <c r="D80" s="669"/>
      <c r="E80" s="13"/>
      <c r="F80" s="13"/>
      <c r="H80" s="194" t="s">
        <v>139</v>
      </c>
      <c r="I80" s="195"/>
      <c r="J80" s="195"/>
      <c r="K80" s="195"/>
      <c r="L80" s="196"/>
      <c r="N80" s="197"/>
      <c r="O80" s="1"/>
      <c r="Q80" s="164"/>
      <c r="V80" s="191"/>
      <c r="W80" s="191"/>
      <c r="X80" s="191"/>
      <c r="Y80" s="191"/>
      <c r="Z80" s="191"/>
      <c r="AA80" s="191"/>
      <c r="AB80" s="191"/>
      <c r="AC80" s="193"/>
      <c r="AD80" s="9"/>
    </row>
    <row r="81" spans="1:30" ht="21" customHeight="1" thickBot="1" x14ac:dyDescent="0.3">
      <c r="B81" s="13"/>
      <c r="C81" s="13"/>
      <c r="D81" s="13"/>
      <c r="E81" s="13"/>
      <c r="F81" s="13"/>
      <c r="G81" s="13"/>
      <c r="H81" s="13"/>
      <c r="I81" s="13"/>
      <c r="J81" s="13"/>
      <c r="K81" s="13"/>
      <c r="L81" s="196"/>
      <c r="M81" s="198"/>
      <c r="N81" s="197"/>
      <c r="O81" s="1"/>
      <c r="Q81" s="164"/>
      <c r="V81" s="191" t="s">
        <v>140</v>
      </c>
      <c r="W81" s="191"/>
      <c r="X81" s="191"/>
      <c r="Y81" s="191"/>
      <c r="Z81" s="191"/>
      <c r="AA81" s="191"/>
      <c r="AB81" s="191"/>
      <c r="AC81" s="199">
        <f>SUM(AC44:AC80)</f>
        <v>156133</v>
      </c>
      <c r="AD81" s="200"/>
    </row>
    <row r="82" spans="1:30" ht="22.5" customHeight="1" thickTop="1" thickBot="1" x14ac:dyDescent="0.3">
      <c r="B82" s="13" t="s">
        <v>141</v>
      </c>
      <c r="C82" s="13"/>
      <c r="D82" s="13"/>
      <c r="E82" s="13"/>
      <c r="F82" s="13"/>
      <c r="G82" s="13"/>
      <c r="H82" s="13"/>
      <c r="I82" s="13"/>
      <c r="J82" s="13"/>
      <c r="K82" s="13"/>
      <c r="L82" s="201">
        <f>SUM(L44:L81)</f>
        <v>6786803</v>
      </c>
      <c r="M82" s="202"/>
      <c r="N82" s="203"/>
      <c r="O82" s="1"/>
      <c r="Q82" s="164"/>
      <c r="V82" s="191"/>
      <c r="W82" s="191"/>
      <c r="X82" s="191"/>
      <c r="Y82" s="191"/>
      <c r="Z82" s="191"/>
      <c r="AA82" s="191"/>
      <c r="AB82" s="191"/>
      <c r="AC82" s="204"/>
      <c r="AD82" s="200"/>
    </row>
    <row r="83" spans="1:30" ht="27.75" customHeight="1" thickTop="1" x14ac:dyDescent="0.25">
      <c r="B83" s="13" t="s">
        <v>142</v>
      </c>
      <c r="C83" s="13"/>
      <c r="D83" s="13"/>
      <c r="E83" s="13"/>
      <c r="F83" s="13"/>
      <c r="G83" s="13"/>
      <c r="H83" s="13"/>
      <c r="I83" s="13"/>
      <c r="J83" s="13"/>
      <c r="K83" s="82" t="s">
        <v>143</v>
      </c>
      <c r="L83" s="205" t="s">
        <v>144</v>
      </c>
      <c r="M83" s="202"/>
      <c r="N83" s="203"/>
      <c r="O83" s="1"/>
      <c r="Q83" s="164"/>
      <c r="V83" s="9" t="s">
        <v>145</v>
      </c>
      <c r="W83" s="9"/>
      <c r="X83" s="9"/>
      <c r="Y83" s="9"/>
      <c r="Z83" s="9"/>
      <c r="AA83" s="9"/>
      <c r="AB83" s="9"/>
      <c r="AC83" s="9"/>
      <c r="AD83" s="206"/>
    </row>
    <row r="84" spans="1:30" ht="18.75" customHeight="1" thickBot="1" x14ac:dyDescent="0.3">
      <c r="B84" s="13" t="s">
        <v>146</v>
      </c>
      <c r="C84" s="13"/>
      <c r="D84" s="13"/>
      <c r="E84" s="13"/>
      <c r="F84" s="13"/>
      <c r="G84" s="13"/>
      <c r="H84" s="13"/>
      <c r="I84" s="13"/>
      <c r="J84" s="13"/>
      <c r="K84" s="207" t="str">
        <f>IF(G26=0,"",IF((G11+G13+SUM(G15:G21))/G26&gt;0.75,1,""))</f>
        <v/>
      </c>
      <c r="L84" s="201">
        <f>'2801 June Final'!AC81</f>
        <v>156133</v>
      </c>
      <c r="M84" s="202"/>
      <c r="N84" s="203"/>
      <c r="O84" s="1"/>
      <c r="Q84" s="164"/>
      <c r="V84" s="208" t="s">
        <v>147</v>
      </c>
      <c r="W84" s="208"/>
      <c r="X84" s="208"/>
      <c r="Y84" s="208"/>
      <c r="Z84" s="208"/>
      <c r="AA84" s="208"/>
      <c r="AB84" s="208"/>
      <c r="AC84" s="208"/>
      <c r="AD84" s="9"/>
    </row>
    <row r="85" spans="1:30" ht="18.75" customHeight="1" thickTop="1" x14ac:dyDescent="0.25">
      <c r="B85" s="13"/>
      <c r="C85" s="13"/>
      <c r="D85" s="13"/>
      <c r="E85" s="13"/>
      <c r="F85" s="13"/>
      <c r="G85" s="13"/>
      <c r="H85" s="13"/>
      <c r="I85" s="13"/>
      <c r="J85" s="13"/>
      <c r="M85" s="202"/>
      <c r="N85" s="203"/>
      <c r="O85" s="1"/>
      <c r="Q85" s="164"/>
      <c r="V85" s="208" t="s">
        <v>148</v>
      </c>
      <c r="W85" s="208"/>
      <c r="X85" s="208"/>
      <c r="Y85" s="208"/>
      <c r="Z85" s="208"/>
      <c r="AA85" s="208"/>
      <c r="AB85" s="208"/>
      <c r="AC85" s="208"/>
      <c r="AD85" s="206"/>
    </row>
    <row r="86" spans="1:30" ht="18.75" customHeight="1" x14ac:dyDescent="0.25">
      <c r="B86" s="2" t="s">
        <v>421</v>
      </c>
      <c r="C86" s="13"/>
      <c r="D86" s="13"/>
      <c r="E86" s="13"/>
      <c r="F86" s="13"/>
      <c r="G86" s="13"/>
      <c r="H86" s="13"/>
      <c r="I86" s="13"/>
      <c r="J86" s="209" t="s">
        <v>150</v>
      </c>
      <c r="K86" s="210">
        <f>IF(K84=1,L84,L82)</f>
        <v>6786803</v>
      </c>
      <c r="L86" s="211">
        <f>IF(G26=0,0,IF(G26&gt;250,-(((250/G26)*K86)*IF(M86="H",0.02,0.05)),IF(M86="H",-0.02*K86,-0.05*K86)))</f>
        <v>-32759.267661653113</v>
      </c>
      <c r="M86" s="212" t="str">
        <f>IF(B123="2801","H",IF(B123="2911","H",IF(B123="3382","H"," ")))</f>
        <v>H</v>
      </c>
      <c r="N86" s="203"/>
      <c r="O86" s="1"/>
      <c r="Q86" s="164"/>
      <c r="V86" s="208" t="s">
        <v>151</v>
      </c>
      <c r="W86" s="208"/>
      <c r="X86" s="208"/>
      <c r="Y86" s="208"/>
      <c r="Z86" s="208"/>
      <c r="AA86" s="208"/>
      <c r="AB86" s="208"/>
      <c r="AC86" s="208"/>
      <c r="AD86" s="206"/>
    </row>
    <row r="87" spans="1:30" ht="18.75" customHeight="1" x14ac:dyDescent="0.25">
      <c r="B87" s="2" t="s">
        <v>152</v>
      </c>
      <c r="C87" s="13"/>
      <c r="D87" s="13"/>
      <c r="E87" s="13"/>
      <c r="F87" s="13"/>
      <c r="G87" s="13"/>
      <c r="H87" s="13"/>
      <c r="I87" s="13"/>
      <c r="J87" s="13"/>
      <c r="K87" s="213"/>
      <c r="L87" s="205">
        <f>L82+L86</f>
        <v>6754043.7323383465</v>
      </c>
      <c r="M87" s="202"/>
      <c r="N87" s="203"/>
      <c r="O87" s="1"/>
      <c r="Q87" s="164"/>
      <c r="V87" s="198"/>
      <c r="W87" s="198"/>
      <c r="X87" s="198"/>
      <c r="Y87" s="198"/>
      <c r="Z87" s="198"/>
      <c r="AA87" s="198"/>
      <c r="AB87" s="198"/>
      <c r="AC87" s="198"/>
      <c r="AD87" s="214"/>
    </row>
    <row r="88" spans="1:30" x14ac:dyDescent="0.25">
      <c r="V88" s="198"/>
      <c r="W88" s="198"/>
      <c r="X88" s="198"/>
      <c r="Y88" s="198"/>
      <c r="Z88" s="198"/>
      <c r="AA88" s="198"/>
      <c r="AB88" s="198"/>
      <c r="AC88" s="198"/>
      <c r="AD88" s="215"/>
    </row>
    <row r="89" spans="1:30" ht="18.75" customHeight="1" x14ac:dyDescent="0.25">
      <c r="A89" s="1" t="s">
        <v>153</v>
      </c>
      <c r="B89" s="13" t="s">
        <v>154</v>
      </c>
      <c r="C89" s="13"/>
      <c r="D89" s="13">
        <v>3689372</v>
      </c>
      <c r="E89" s="13">
        <v>518950</v>
      </c>
      <c r="F89" s="13">
        <v>5765101</v>
      </c>
      <c r="G89" s="13"/>
      <c r="H89" s="13"/>
      <c r="I89" s="13"/>
      <c r="J89" s="13"/>
      <c r="K89" s="213"/>
      <c r="L89" s="84">
        <v>-6765859.1056620199</v>
      </c>
      <c r="M89" s="202"/>
      <c r="N89" s="203"/>
      <c r="O89" s="1"/>
      <c r="Q89" s="164"/>
      <c r="V89" s="198">
        <v>2801</v>
      </c>
      <c r="W89" s="198"/>
      <c r="X89" s="198"/>
      <c r="Y89" s="198"/>
      <c r="Z89" s="198"/>
      <c r="AA89" s="198"/>
      <c r="AB89" s="198"/>
      <c r="AC89" s="198"/>
      <c r="AD89" s="214"/>
    </row>
    <row r="90" spans="1:30" ht="18.75" customHeight="1" x14ac:dyDescent="0.25">
      <c r="B90" s="13" t="s">
        <v>155</v>
      </c>
      <c r="C90" s="13"/>
      <c r="D90" s="13"/>
      <c r="E90" s="13"/>
      <c r="F90" s="13"/>
      <c r="G90" s="13"/>
      <c r="H90" s="13"/>
      <c r="I90" s="13"/>
      <c r="J90" s="13"/>
      <c r="K90" s="213"/>
      <c r="L90" s="205">
        <f>L87+L89</f>
        <v>-11815.373323673382</v>
      </c>
      <c r="M90" s="202"/>
      <c r="N90" s="203"/>
      <c r="O90" s="1"/>
      <c r="Q90" s="164"/>
      <c r="V90" s="198">
        <v>2911</v>
      </c>
      <c r="W90" s="216"/>
      <c r="X90" s="216"/>
      <c r="Y90" s="216"/>
      <c r="Z90" s="216"/>
      <c r="AA90" s="216"/>
      <c r="AB90" s="216"/>
      <c r="AC90" s="216"/>
      <c r="AD90" s="214"/>
    </row>
    <row r="91" spans="1:30" ht="18.75" customHeight="1" x14ac:dyDescent="0.25">
      <c r="B91" s="13" t="s">
        <v>156</v>
      </c>
      <c r="C91" s="13"/>
      <c r="D91" s="13"/>
      <c r="E91" s="13"/>
      <c r="F91" s="13"/>
      <c r="G91" s="13"/>
      <c r="H91" s="13"/>
      <c r="I91" s="13"/>
      <c r="J91" s="13"/>
      <c r="K91" s="213"/>
      <c r="L91" s="205">
        <v>1</v>
      </c>
      <c r="M91" s="202"/>
      <c r="N91" s="203"/>
      <c r="O91" s="1"/>
      <c r="Q91" s="164"/>
      <c r="V91" s="198">
        <v>3382</v>
      </c>
      <c r="W91" s="216"/>
      <c r="X91" s="216"/>
      <c r="Y91" s="216"/>
      <c r="Z91" s="216"/>
      <c r="AA91" s="216"/>
      <c r="AB91" s="216"/>
      <c r="AC91" s="216"/>
      <c r="AD91" s="214"/>
    </row>
    <row r="92" spans="1:30" ht="18.75" customHeight="1" thickBot="1" x14ac:dyDescent="0.3">
      <c r="B92" s="13" t="s">
        <v>434</v>
      </c>
      <c r="C92" s="13"/>
      <c r="D92" s="13"/>
      <c r="E92" s="13"/>
      <c r="F92" s="13"/>
      <c r="G92" s="13"/>
      <c r="H92" s="13"/>
      <c r="I92" s="13"/>
      <c r="J92" s="13"/>
      <c r="K92" s="213"/>
      <c r="L92" s="217">
        <f>L90/L91</f>
        <v>-11815.373323673382</v>
      </c>
      <c r="M92" s="202"/>
      <c r="N92" s="203"/>
      <c r="O92" s="1"/>
      <c r="Q92" s="164"/>
      <c r="V92" s="218"/>
      <c r="W92" s="218"/>
      <c r="X92" s="218"/>
      <c r="Y92" s="218"/>
      <c r="Z92" s="218"/>
      <c r="AA92" s="218"/>
      <c r="AB92" s="218"/>
      <c r="AC92" s="218"/>
      <c r="AD92" s="219"/>
    </row>
    <row r="93" spans="1:30" ht="18.75" customHeight="1" thickTop="1" x14ac:dyDescent="0.25">
      <c r="N93" s="219"/>
      <c r="O93" s="220"/>
      <c r="P93" s="219"/>
      <c r="Q93" s="219"/>
      <c r="V93" s="218"/>
      <c r="W93" s="218"/>
      <c r="X93" s="218"/>
      <c r="Y93" s="218"/>
      <c r="Z93" s="218"/>
      <c r="AA93" s="218"/>
      <c r="AB93" s="218"/>
      <c r="AC93" s="218"/>
      <c r="AD93" s="214"/>
    </row>
    <row r="94" spans="1:30" ht="18.75" customHeight="1" thickBot="1" x14ac:dyDescent="0.3">
      <c r="B94" s="221" t="s">
        <v>158</v>
      </c>
      <c r="C94" s="13"/>
      <c r="D94" s="13"/>
      <c r="E94" s="13"/>
      <c r="G94" s="13"/>
      <c r="H94" s="13"/>
      <c r="I94" s="13"/>
      <c r="J94" s="13"/>
      <c r="L94" s="222">
        <v>0</v>
      </c>
      <c r="M94" s="202"/>
      <c r="V94" s="223"/>
      <c r="W94" s="223"/>
      <c r="X94" s="223"/>
      <c r="Y94" s="223"/>
      <c r="Z94" s="223"/>
      <c r="AA94" s="223"/>
      <c r="AB94" s="223"/>
      <c r="AC94" s="223"/>
      <c r="AD94" s="214"/>
    </row>
    <row r="95" spans="1:30" ht="21.75" customHeight="1" thickTop="1" x14ac:dyDescent="0.25">
      <c r="B95" s="224" t="s">
        <v>159</v>
      </c>
      <c r="C95" s="224"/>
      <c r="D95" s="224"/>
      <c r="E95" s="224"/>
      <c r="F95" s="224"/>
      <c r="G95" s="224"/>
      <c r="H95" s="224"/>
      <c r="I95" s="224"/>
      <c r="J95" s="224"/>
      <c r="K95" s="224"/>
      <c r="L95" s="224"/>
      <c r="M95" s="219"/>
      <c r="V95" s="223"/>
      <c r="W95" s="223"/>
      <c r="X95" s="223"/>
      <c r="Y95" s="223"/>
      <c r="Z95" s="223"/>
      <c r="AA95" s="223"/>
      <c r="AB95" s="223"/>
      <c r="AC95" s="223"/>
      <c r="AD95" s="214"/>
    </row>
    <row r="96" spans="1:30" x14ac:dyDescent="0.25">
      <c r="B96" s="225"/>
      <c r="V96" s="223"/>
      <c r="W96" s="223"/>
      <c r="X96" s="223"/>
      <c r="Y96" s="223"/>
      <c r="Z96" s="223"/>
      <c r="AA96" s="223"/>
      <c r="AB96" s="223"/>
      <c r="AC96" s="223"/>
      <c r="AD96" s="219"/>
    </row>
    <row r="97" spans="2:30" x14ac:dyDescent="0.25">
      <c r="B97" s="225"/>
      <c r="V97" s="223"/>
      <c r="W97" s="223"/>
      <c r="X97" s="223"/>
      <c r="Y97" s="223"/>
      <c r="Z97" s="223"/>
      <c r="AA97" s="223"/>
      <c r="AB97" s="223"/>
      <c r="AC97" s="223"/>
      <c r="AD97" s="219"/>
    </row>
    <row r="98" spans="2:30" hidden="1" x14ac:dyDescent="0.25">
      <c r="B98" s="226" t="s">
        <v>160</v>
      </c>
      <c r="C98" s="227"/>
      <c r="V98" s="228"/>
      <c r="W98" s="228"/>
      <c r="X98" s="228"/>
      <c r="Y98" s="228"/>
      <c r="Z98" s="228"/>
      <c r="AA98" s="228"/>
      <c r="AB98" s="228"/>
      <c r="AC98" s="228"/>
    </row>
    <row r="99" spans="2:30" hidden="1" x14ac:dyDescent="0.25">
      <c r="B99" s="229"/>
      <c r="C99" s="227"/>
      <c r="V99" s="225"/>
      <c r="W99" s="13"/>
      <c r="X99" s="13"/>
      <c r="Y99" s="13"/>
      <c r="Z99" s="13"/>
      <c r="AA99" s="13"/>
      <c r="AB99" s="13"/>
      <c r="AC99" s="13"/>
    </row>
    <row r="100" spans="2:30" hidden="1" x14ac:dyDescent="0.25">
      <c r="B100" s="230" t="s">
        <v>161</v>
      </c>
      <c r="C100" s="226" t="s">
        <v>162</v>
      </c>
      <c r="V100" s="225"/>
    </row>
    <row r="101" spans="2:30" hidden="1" x14ac:dyDescent="0.25">
      <c r="B101" s="230" t="s">
        <v>163</v>
      </c>
      <c r="C101" s="226" t="s">
        <v>164</v>
      </c>
      <c r="V101" s="225"/>
    </row>
    <row r="102" spans="2:30" hidden="1" x14ac:dyDescent="0.25">
      <c r="B102" s="230" t="s">
        <v>165</v>
      </c>
      <c r="C102" s="226" t="s">
        <v>166</v>
      </c>
      <c r="V102" s="225"/>
      <c r="W102" s="231"/>
      <c r="X102" s="231"/>
      <c r="Y102" s="231"/>
      <c r="Z102" s="231"/>
      <c r="AA102" s="231"/>
      <c r="AB102" s="231"/>
      <c r="AC102" s="231"/>
      <c r="AD102" s="231"/>
    </row>
    <row r="103" spans="2:30" hidden="1" x14ac:dyDescent="0.25">
      <c r="B103" s="230" t="s">
        <v>167</v>
      </c>
      <c r="C103" s="226" t="s">
        <v>168</v>
      </c>
      <c r="V103" s="225"/>
    </row>
    <row r="104" spans="2:30" hidden="1" x14ac:dyDescent="0.25">
      <c r="B104" s="232"/>
      <c r="C104" s="226" t="s">
        <v>169</v>
      </c>
      <c r="V104" s="225"/>
    </row>
    <row r="105" spans="2:30" hidden="1" x14ac:dyDescent="0.25">
      <c r="B105" s="230" t="s">
        <v>170</v>
      </c>
      <c r="C105" s="226" t="s">
        <v>171</v>
      </c>
      <c r="V105" s="225"/>
    </row>
    <row r="106" spans="2:30" hidden="1" x14ac:dyDescent="0.25">
      <c r="B106" s="230" t="s">
        <v>172</v>
      </c>
      <c r="C106" s="226" t="s">
        <v>173</v>
      </c>
      <c r="V106" s="225"/>
    </row>
    <row r="107" spans="2:30" hidden="1" x14ac:dyDescent="0.25">
      <c r="B107" s="230" t="s">
        <v>183</v>
      </c>
      <c r="C107" s="226" t="s">
        <v>175</v>
      </c>
      <c r="V107" s="225"/>
    </row>
    <row r="108" spans="2:30" hidden="1" x14ac:dyDescent="0.25">
      <c r="B108" s="230" t="s">
        <v>176</v>
      </c>
      <c r="C108" s="226" t="s">
        <v>177</v>
      </c>
      <c r="V108" s="225"/>
    </row>
    <row r="109" spans="2:30" hidden="1" x14ac:dyDescent="0.25">
      <c r="B109" s="230" t="s">
        <v>178</v>
      </c>
      <c r="C109" s="226" t="s">
        <v>179</v>
      </c>
      <c r="V109" s="225"/>
    </row>
    <row r="110" spans="2:30" hidden="1" x14ac:dyDescent="0.25">
      <c r="B110" s="232"/>
      <c r="C110" s="226"/>
      <c r="V110" s="225"/>
    </row>
    <row r="111" spans="2:30" hidden="1" x14ac:dyDescent="0.25">
      <c r="B111" s="230" t="s">
        <v>180</v>
      </c>
      <c r="C111" s="226" t="s">
        <v>181</v>
      </c>
      <c r="V111" s="225"/>
    </row>
    <row r="112" spans="2:30" hidden="1" x14ac:dyDescent="0.25">
      <c r="B112" s="230" t="s">
        <v>180</v>
      </c>
      <c r="C112" s="226" t="s">
        <v>182</v>
      </c>
    </row>
    <row r="113" spans="2:3" hidden="1" x14ac:dyDescent="0.25">
      <c r="B113" s="230" t="s">
        <v>183</v>
      </c>
      <c r="C113" s="226" t="s">
        <v>184</v>
      </c>
    </row>
    <row r="114" spans="2:3" hidden="1" x14ac:dyDescent="0.25">
      <c r="B114" s="230" t="s">
        <v>185</v>
      </c>
      <c r="C114" s="226" t="s">
        <v>186</v>
      </c>
    </row>
    <row r="115" spans="2:3" hidden="1" x14ac:dyDescent="0.25">
      <c r="B115" s="230" t="s">
        <v>183</v>
      </c>
      <c r="C115" s="226" t="s">
        <v>187</v>
      </c>
    </row>
    <row r="116" spans="2:3" hidden="1" x14ac:dyDescent="0.25">
      <c r="B116" s="230" t="s">
        <v>188</v>
      </c>
      <c r="C116" s="226" t="s">
        <v>189</v>
      </c>
    </row>
    <row r="117" spans="2:3" hidden="1" x14ac:dyDescent="0.25">
      <c r="B117" s="230" t="s">
        <v>190</v>
      </c>
      <c r="C117" s="226" t="s">
        <v>191</v>
      </c>
    </row>
    <row r="118" spans="2:3" hidden="1" x14ac:dyDescent="0.25">
      <c r="B118" s="232" t="s">
        <v>192</v>
      </c>
      <c r="C118" s="226" t="s">
        <v>193</v>
      </c>
    </row>
    <row r="119" spans="2:3" hidden="1" x14ac:dyDescent="0.25">
      <c r="B119" s="232"/>
      <c r="C119" s="226"/>
    </row>
    <row r="120" spans="2:3" hidden="1" x14ac:dyDescent="0.25">
      <c r="B120" s="230" t="s">
        <v>161</v>
      </c>
      <c r="C120" s="226" t="s">
        <v>194</v>
      </c>
    </row>
    <row r="121" spans="2:3" hidden="1" x14ac:dyDescent="0.25">
      <c r="B121" s="230" t="s">
        <v>195</v>
      </c>
      <c r="C121" s="226" t="s">
        <v>196</v>
      </c>
    </row>
    <row r="122" spans="2:3" hidden="1" x14ac:dyDescent="0.25">
      <c r="B122" s="230" t="s">
        <v>197</v>
      </c>
      <c r="C122" s="226" t="s">
        <v>198</v>
      </c>
    </row>
    <row r="123" spans="2:3" hidden="1" x14ac:dyDescent="0.25">
      <c r="B123" s="230" t="s">
        <v>240</v>
      </c>
      <c r="C123" s="226" t="s">
        <v>200</v>
      </c>
    </row>
    <row r="124" spans="2:3" hidden="1" x14ac:dyDescent="0.25">
      <c r="B124" s="230" t="s">
        <v>241</v>
      </c>
      <c r="C124" s="226" t="s">
        <v>202</v>
      </c>
    </row>
    <row r="125" spans="2:3" hidden="1" x14ac:dyDescent="0.25">
      <c r="B125" s="230" t="s">
        <v>203</v>
      </c>
      <c r="C125" s="226" t="s">
        <v>204</v>
      </c>
    </row>
    <row r="126" spans="2:3" hidden="1" x14ac:dyDescent="0.25">
      <c r="B126" s="230" t="s">
        <v>203</v>
      </c>
      <c r="C126" s="226" t="s">
        <v>205</v>
      </c>
    </row>
    <row r="127" spans="2:3" hidden="1" x14ac:dyDescent="0.25">
      <c r="B127" s="230" t="s">
        <v>203</v>
      </c>
      <c r="C127" s="226" t="s">
        <v>206</v>
      </c>
    </row>
    <row r="128" spans="2:3" hidden="1" x14ac:dyDescent="0.25">
      <c r="B128" s="230" t="s">
        <v>203</v>
      </c>
      <c r="C128" s="226" t="s">
        <v>207</v>
      </c>
    </row>
    <row r="129" spans="2:3" hidden="1" x14ac:dyDescent="0.25">
      <c r="B129" s="230" t="s">
        <v>167</v>
      </c>
      <c r="C129" s="226" t="s">
        <v>208</v>
      </c>
    </row>
    <row r="130" spans="2:3" hidden="1" x14ac:dyDescent="0.25">
      <c r="B130" s="230" t="s">
        <v>209</v>
      </c>
      <c r="C130" s="226" t="s">
        <v>210</v>
      </c>
    </row>
    <row r="131" spans="2:3" hidden="1" x14ac:dyDescent="0.25">
      <c r="B131" s="230" t="s">
        <v>203</v>
      </c>
      <c r="C131" s="226" t="s">
        <v>211</v>
      </c>
    </row>
    <row r="132" spans="2:3" hidden="1" x14ac:dyDescent="0.25">
      <c r="B132" s="226"/>
      <c r="C132" s="226"/>
    </row>
    <row r="133" spans="2:3" hidden="1" x14ac:dyDescent="0.25">
      <c r="B133" s="226"/>
      <c r="C133" s="226"/>
    </row>
    <row r="134" spans="2:3" hidden="1" x14ac:dyDescent="0.25">
      <c r="B134" s="232"/>
      <c r="C134" s="232"/>
    </row>
    <row r="135" spans="2:3" hidden="1" x14ac:dyDescent="0.25">
      <c r="B135" s="232">
        <f>NvsElapsedTime</f>
        <v>1.15740695036948E-5</v>
      </c>
      <c r="C135" s="232"/>
    </row>
    <row r="136" spans="2:3" hidden="1" x14ac:dyDescent="0.25">
      <c r="B136" s="233">
        <f>NvsEndTime</f>
        <v>41754.487754629597</v>
      </c>
      <c r="C136" s="233" t="s">
        <v>212</v>
      </c>
    </row>
    <row r="137" spans="2:3" x14ac:dyDescent="0.25">
      <c r="B137" s="226"/>
      <c r="C137" s="234"/>
    </row>
    <row r="138" spans="2:3" x14ac:dyDescent="0.25">
      <c r="B138" s="226"/>
      <c r="C138" s="226"/>
    </row>
    <row r="139" spans="2:3" x14ac:dyDescent="0.25">
      <c r="B139" s="226"/>
      <c r="C139" s="226"/>
    </row>
    <row r="140" spans="2:3" x14ac:dyDescent="0.25">
      <c r="B140" s="226"/>
      <c r="C140" s="226"/>
    </row>
    <row r="141" spans="2:3" x14ac:dyDescent="0.25">
      <c r="B141" s="226"/>
      <c r="C141" s="226"/>
    </row>
    <row r="142" spans="2:3" x14ac:dyDescent="0.25">
      <c r="B142" s="226"/>
      <c r="C142" s="226"/>
    </row>
    <row r="143" spans="2:3" x14ac:dyDescent="0.25">
      <c r="B143" s="226"/>
      <c r="C143" s="226"/>
    </row>
    <row r="144" spans="2:3" x14ac:dyDescent="0.25">
      <c r="B144" s="226"/>
      <c r="C144" s="226"/>
    </row>
    <row r="145" spans="2:3" x14ac:dyDescent="0.25">
      <c r="B145" s="226"/>
      <c r="C145" s="226"/>
    </row>
    <row r="146" spans="2:3" x14ac:dyDescent="0.25">
      <c r="B146" s="226"/>
      <c r="C146" s="226"/>
    </row>
    <row r="147" spans="2:3" x14ac:dyDescent="0.25">
      <c r="B147" s="226"/>
      <c r="C147" s="226"/>
    </row>
    <row r="148" spans="2:3" x14ac:dyDescent="0.25">
      <c r="B148" s="226"/>
      <c r="C148" s="226"/>
    </row>
    <row r="149" spans="2:3" x14ac:dyDescent="0.25">
      <c r="B149" s="226"/>
      <c r="C149" s="226"/>
    </row>
    <row r="150" spans="2:3" x14ac:dyDescent="0.25">
      <c r="B150" s="226"/>
      <c r="C150" s="226"/>
    </row>
    <row r="151" spans="2:3" x14ac:dyDescent="0.25">
      <c r="B151" s="226"/>
      <c r="C151" s="226"/>
    </row>
  </sheetData>
  <mergeCells count="151">
    <mergeCell ref="W2:AC2"/>
    <mergeCell ref="V3:AC3"/>
    <mergeCell ref="V4:AC4"/>
    <mergeCell ref="V5:W5"/>
    <mergeCell ref="X5:Y5"/>
    <mergeCell ref="V6:AC6"/>
    <mergeCell ref="V7:W7"/>
    <mergeCell ref="X7:Y7"/>
    <mergeCell ref="Z7:AA7"/>
    <mergeCell ref="V9:W9"/>
    <mergeCell ref="X9:Y9"/>
    <mergeCell ref="Z9:AA9"/>
    <mergeCell ref="V10:W10"/>
    <mergeCell ref="X10:Y10"/>
    <mergeCell ref="Z10:AA10"/>
    <mergeCell ref="AB7:AC7"/>
    <mergeCell ref="V8:W8"/>
    <mergeCell ref="X8:Y8"/>
    <mergeCell ref="Z8:AA8"/>
    <mergeCell ref="V18:W18"/>
    <mergeCell ref="X18:Y18"/>
    <mergeCell ref="Z18:AA18"/>
    <mergeCell ref="V14:W14"/>
    <mergeCell ref="X14:Y14"/>
    <mergeCell ref="Z14:AA14"/>
    <mergeCell ref="V11:W11"/>
    <mergeCell ref="X11:Y11"/>
    <mergeCell ref="Z11:AA11"/>
    <mergeCell ref="V12:W12"/>
    <mergeCell ref="X12:Y12"/>
    <mergeCell ref="Z12:AA12"/>
    <mergeCell ref="V15:W15"/>
    <mergeCell ref="X15:Y15"/>
    <mergeCell ref="Z15:AA15"/>
    <mergeCell ref="V16:W16"/>
    <mergeCell ref="X16:Y16"/>
    <mergeCell ref="Z16:AA16"/>
    <mergeCell ref="V17:W17"/>
    <mergeCell ref="X17:Y17"/>
    <mergeCell ref="Z17:AA17"/>
    <mergeCell ref="V13:W13"/>
    <mergeCell ref="X13:Y13"/>
    <mergeCell ref="Z13:AA13"/>
    <mergeCell ref="V26:W26"/>
    <mergeCell ref="X26:Y26"/>
    <mergeCell ref="Z26:AA26"/>
    <mergeCell ref="V19:W19"/>
    <mergeCell ref="X19:Y19"/>
    <mergeCell ref="Z19:AA19"/>
    <mergeCell ref="V20:W20"/>
    <mergeCell ref="X20:Y20"/>
    <mergeCell ref="Z20:AA20"/>
    <mergeCell ref="V21:W21"/>
    <mergeCell ref="X21:Y21"/>
    <mergeCell ref="Z21:AA21"/>
    <mergeCell ref="V22:W22"/>
    <mergeCell ref="X22:Y22"/>
    <mergeCell ref="Z22:AA22"/>
    <mergeCell ref="V23:W23"/>
    <mergeCell ref="X23:Y23"/>
    <mergeCell ref="Z23:AA23"/>
    <mergeCell ref="V24:W24"/>
    <mergeCell ref="X24:Y24"/>
    <mergeCell ref="Z24:AA24"/>
    <mergeCell ref="V25:W25"/>
    <mergeCell ref="X25:Y25"/>
    <mergeCell ref="Z25:AA25"/>
    <mergeCell ref="V40:W40"/>
    <mergeCell ref="X40:AA40"/>
    <mergeCell ref="V27:W27"/>
    <mergeCell ref="X27:Y27"/>
    <mergeCell ref="B28:C36"/>
    <mergeCell ref="V28:W36"/>
    <mergeCell ref="X28:Y28"/>
    <mergeCell ref="X29:Y29"/>
    <mergeCell ref="X30:Y30"/>
    <mergeCell ref="X31:Y31"/>
    <mergeCell ref="X32:Y32"/>
    <mergeCell ref="X33:Y33"/>
    <mergeCell ref="X34:Y34"/>
    <mergeCell ref="X35:Y35"/>
    <mergeCell ref="X36:Y36"/>
    <mergeCell ref="V37:W37"/>
    <mergeCell ref="X37:Y37"/>
    <mergeCell ref="Z37:AB37"/>
    <mergeCell ref="V38:AC38"/>
    <mergeCell ref="V39:W39"/>
    <mergeCell ref="X39:Y39"/>
    <mergeCell ref="Z39:AC39"/>
    <mergeCell ref="V57:AA57"/>
    <mergeCell ref="AB57:AC57"/>
    <mergeCell ref="V58:X58"/>
    <mergeCell ref="Y58:Z58"/>
    <mergeCell ref="V41:AC41"/>
    <mergeCell ref="V42:AC42"/>
    <mergeCell ref="V43:AC43"/>
    <mergeCell ref="V44:AB44"/>
    <mergeCell ref="V45:AC45"/>
    <mergeCell ref="X46:Y46"/>
    <mergeCell ref="Z46:AC46"/>
    <mergeCell ref="X47:Y47"/>
    <mergeCell ref="X48:Y48"/>
    <mergeCell ref="X49:Y49"/>
    <mergeCell ref="X50:AB50"/>
    <mergeCell ref="V51:AC51"/>
    <mergeCell ref="V52:AC52"/>
    <mergeCell ref="V53:W53"/>
    <mergeCell ref="Y53:Z53"/>
    <mergeCell ref="AA53:AC53"/>
    <mergeCell ref="V54:AA54"/>
    <mergeCell ref="AB54:AC54"/>
    <mergeCell ref="V55:AC55"/>
    <mergeCell ref="V56:W56"/>
    <mergeCell ref="Y56:Z56"/>
    <mergeCell ref="AA56:AC56"/>
    <mergeCell ref="V72:AB72"/>
    <mergeCell ref="V73:AC73"/>
    <mergeCell ref="V74:W74"/>
    <mergeCell ref="V75:W75"/>
    <mergeCell ref="V59:AC59"/>
    <mergeCell ref="V60:W60"/>
    <mergeCell ref="X60:AC60"/>
    <mergeCell ref="V61:W61"/>
    <mergeCell ref="X61:AC61"/>
    <mergeCell ref="V62:W62"/>
    <mergeCell ref="X62:AC62"/>
    <mergeCell ref="V63:AC63"/>
    <mergeCell ref="V64:W64"/>
    <mergeCell ref="X64:AC64"/>
    <mergeCell ref="V65:W65"/>
    <mergeCell ref="X65:AC65"/>
    <mergeCell ref="V66:X66"/>
    <mergeCell ref="Y66:Z66"/>
    <mergeCell ref="V67:AC67"/>
    <mergeCell ref="V68:X68"/>
    <mergeCell ref="Y68:Z68"/>
    <mergeCell ref="V69:X69"/>
    <mergeCell ref="Y69:Z69"/>
    <mergeCell ref="V70:X70"/>
    <mergeCell ref="Y70:Z70"/>
    <mergeCell ref="V71:X71"/>
    <mergeCell ref="Y71:Z71"/>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AD151"/>
  <sheetViews>
    <sheetView topLeftCell="B2" zoomScale="70" zoomScaleNormal="70" workbookViewId="0">
      <selection activeCell="L87" sqref="L87"/>
    </sheetView>
  </sheetViews>
  <sheetFormatPr defaultColWidth="8.85546875" defaultRowHeight="15.75" x14ac:dyDescent="0.25"/>
  <cols>
    <col min="1" max="1" width="11.28515625" style="1" hidden="1" customWidth="1"/>
    <col min="2" max="2" width="10.28515625" style="2" customWidth="1"/>
    <col min="3" max="3" width="29" style="1" customWidth="1"/>
    <col min="4" max="5" width="12.28515625" style="1" customWidth="1"/>
    <col min="6" max="6" width="12.28515625" style="1" hidden="1" customWidth="1"/>
    <col min="7" max="7" width="15.28515625" style="1" customWidth="1"/>
    <col min="8" max="8" width="6.7109375" style="1" customWidth="1"/>
    <col min="9" max="9" width="12.5703125" style="1" customWidth="1"/>
    <col min="10" max="10" width="12.85546875" style="1" customWidth="1"/>
    <col min="11" max="11" width="15.5703125" style="1" bestFit="1" customWidth="1"/>
    <col min="12" max="12" width="21.42578125" style="1" customWidth="1"/>
    <col min="13" max="13" width="13.7109375" style="1" bestFit="1" customWidth="1"/>
    <col min="14" max="14" width="10.5703125" style="1" hidden="1" customWidth="1"/>
    <col min="15" max="15" width="10.5703125" style="3" hidden="1" customWidth="1"/>
    <col min="16" max="16" width="35" style="1" hidden="1" customWidth="1"/>
    <col min="17" max="17" width="7.28515625" style="1" customWidth="1"/>
    <col min="18" max="18" width="8.85546875" style="1"/>
    <col min="19" max="21" width="0" style="1" hidden="1" customWidth="1"/>
    <col min="22" max="23" width="8.85546875" style="1"/>
    <col min="24" max="24" width="12.7109375" style="1" customWidth="1"/>
    <col min="25" max="27" width="8.85546875" style="1"/>
    <col min="28" max="28" width="13.140625" style="1" bestFit="1" customWidth="1"/>
    <col min="29" max="16384" width="8.85546875" style="1"/>
  </cols>
  <sheetData>
    <row r="1" spans="1:30" ht="15.6"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7"/>
      <c r="N2" s="3"/>
      <c r="O2" s="1"/>
      <c r="V2" s="8">
        <f>'2911'!B2</f>
        <v>50</v>
      </c>
      <c r="W2" s="606" t="s">
        <v>4</v>
      </c>
      <c r="X2" s="607"/>
      <c r="Y2" s="608"/>
      <c r="Z2" s="608"/>
      <c r="AA2" s="608"/>
      <c r="AB2" s="608"/>
      <c r="AC2" s="608"/>
      <c r="AD2" s="9"/>
    </row>
    <row r="3" spans="1:30" ht="20.25" x14ac:dyDescent="0.3">
      <c r="B3" s="10" t="str">
        <f>"Revenue Estimate Worksheet for "&amp;B124</f>
        <v>Revenue Estimate Worksheet for Western Academy Charter School</v>
      </c>
      <c r="C3" s="11"/>
      <c r="D3" s="11"/>
      <c r="E3" s="11"/>
      <c r="F3" s="11"/>
      <c r="G3" s="11"/>
      <c r="H3" s="11"/>
      <c r="I3" s="11"/>
      <c r="J3" s="11"/>
      <c r="K3" s="11"/>
      <c r="L3" s="11"/>
      <c r="M3" s="10"/>
      <c r="N3" s="10"/>
      <c r="O3" s="10"/>
      <c r="P3" s="10"/>
      <c r="Q3" s="10"/>
      <c r="V3" s="609" t="s">
        <v>5</v>
      </c>
      <c r="W3" s="609"/>
      <c r="X3" s="609"/>
      <c r="Y3" s="609"/>
      <c r="Z3" s="609"/>
      <c r="AA3" s="609"/>
      <c r="AB3" s="609"/>
      <c r="AC3" s="609"/>
      <c r="AD3" s="12"/>
    </row>
    <row r="4" spans="1:30" ht="18.75" x14ac:dyDescent="0.3">
      <c r="B4" s="2" t="s">
        <v>6</v>
      </c>
      <c r="C4" s="13"/>
      <c r="D4" s="13"/>
      <c r="E4" s="13"/>
      <c r="F4" s="13"/>
      <c r="G4" s="13"/>
      <c r="H4" s="13"/>
      <c r="I4" s="13"/>
      <c r="J4" s="13"/>
      <c r="K4" s="13"/>
      <c r="L4" s="13"/>
      <c r="M4" s="14"/>
      <c r="N4" s="14"/>
      <c r="O4" s="14"/>
      <c r="P4" s="14"/>
      <c r="Q4" s="14"/>
      <c r="V4" s="610" t="str">
        <f>+Based_on_the_Second_Calculation_of_the_FEFP_2010_11</f>
        <v>Based on the Fourth Calculation of the FEFP 2013-14</v>
      </c>
      <c r="W4" s="610"/>
      <c r="X4" s="610"/>
      <c r="Y4" s="610"/>
      <c r="Z4" s="610"/>
      <c r="AA4" s="610"/>
      <c r="AB4" s="610"/>
      <c r="AC4" s="610"/>
      <c r="AD4" s="15"/>
    </row>
    <row r="5" spans="1:30" ht="18.75" customHeight="1" x14ac:dyDescent="0.25">
      <c r="B5" s="16" t="s">
        <v>7</v>
      </c>
      <c r="C5" s="16"/>
      <c r="D5" s="16"/>
      <c r="E5" s="16"/>
      <c r="F5" s="16"/>
      <c r="G5" s="17" t="s">
        <v>8</v>
      </c>
      <c r="H5" s="17"/>
      <c r="I5" s="17"/>
      <c r="J5" s="17"/>
      <c r="K5" s="17"/>
      <c r="L5" s="17"/>
      <c r="M5" s="18"/>
      <c r="N5" s="18"/>
      <c r="O5" s="18"/>
      <c r="P5" s="18"/>
      <c r="Q5" s="18"/>
      <c r="V5" s="611" t="s">
        <v>7</v>
      </c>
      <c r="W5" s="611"/>
      <c r="X5" s="612" t="s">
        <v>8</v>
      </c>
      <c r="Y5" s="612"/>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613" t="s">
        <v>9</v>
      </c>
      <c r="W6" s="613"/>
      <c r="X6" s="613"/>
      <c r="Y6" s="613"/>
      <c r="Z6" s="613"/>
      <c r="AA6" s="613"/>
      <c r="AB6" s="613"/>
      <c r="AC6" s="613"/>
      <c r="AD6" s="22"/>
    </row>
    <row r="7" spans="1:30" ht="18" customHeight="1" x14ac:dyDescent="0.25">
      <c r="B7" s="23" t="s">
        <v>10</v>
      </c>
      <c r="C7" s="23"/>
      <c r="D7" s="23"/>
      <c r="E7" s="23"/>
      <c r="F7" s="23"/>
      <c r="G7" s="24">
        <v>3752.3</v>
      </c>
      <c r="H7" s="24"/>
      <c r="I7" s="23" t="s">
        <v>11</v>
      </c>
      <c r="J7" s="23"/>
      <c r="K7" s="25">
        <v>1.0326</v>
      </c>
      <c r="L7" s="25"/>
      <c r="O7" s="1"/>
      <c r="V7" s="620" t="s">
        <v>10</v>
      </c>
      <c r="W7" s="620"/>
      <c r="X7" s="621">
        <f>'2911'!G7</f>
        <v>3752.3</v>
      </c>
      <c r="Y7" s="621"/>
      <c r="Z7" s="622" t="s">
        <v>11</v>
      </c>
      <c r="AA7" s="622"/>
      <c r="AB7" s="602">
        <f>+K7</f>
        <v>1.0326</v>
      </c>
      <c r="AC7" s="602"/>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603" t="s">
        <v>12</v>
      </c>
      <c r="W8" s="603"/>
      <c r="X8" s="604" t="s">
        <v>15</v>
      </c>
      <c r="Y8" s="604"/>
      <c r="Z8" s="605" t="s">
        <v>16</v>
      </c>
      <c r="AA8" s="605"/>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614" t="s">
        <v>22</v>
      </c>
      <c r="W9" s="614"/>
      <c r="X9" s="615" t="s">
        <v>23</v>
      </c>
      <c r="Y9" s="615"/>
      <c r="Z9" s="616" t="s">
        <v>24</v>
      </c>
      <c r="AA9" s="616"/>
      <c r="AB9" s="43" t="s">
        <v>25</v>
      </c>
      <c r="AC9" s="44" t="s">
        <v>26</v>
      </c>
      <c r="AD9" s="9"/>
    </row>
    <row r="10" spans="1:30" x14ac:dyDescent="0.25">
      <c r="A10" s="1" t="s">
        <v>27</v>
      </c>
      <c r="B10" s="45" t="s">
        <v>28</v>
      </c>
      <c r="C10" s="45"/>
      <c r="D10" s="45">
        <v>69.52</v>
      </c>
      <c r="E10" s="45">
        <v>73.069999999999993</v>
      </c>
      <c r="F10" s="45">
        <v>83.23</v>
      </c>
      <c r="G10" s="46">
        <f>D10+E10</f>
        <v>142.58999999999997</v>
      </c>
      <c r="H10" s="47"/>
      <c r="I10" s="48">
        <v>1.125</v>
      </c>
      <c r="J10" s="48"/>
      <c r="K10" s="49">
        <f>ROUND(G10*I10,4)</f>
        <v>160.41380000000001</v>
      </c>
      <c r="L10" s="50">
        <f>ROUND(ROUND(K10*$G$7,4)*($K$7),0)</f>
        <v>621543</v>
      </c>
      <c r="N10" s="51">
        <v>5101</v>
      </c>
      <c r="O10" s="52">
        <v>101</v>
      </c>
      <c r="P10" s="53"/>
      <c r="Q10" s="54"/>
      <c r="V10" s="617" t="s">
        <v>28</v>
      </c>
      <c r="W10" s="617"/>
      <c r="X10" s="618">
        <f>IF('2911'!K$84=1,'2911'!G10,0)</f>
        <v>0</v>
      </c>
      <c r="Y10" s="618"/>
      <c r="Z10" s="619">
        <v>1</v>
      </c>
      <c r="AA10" s="619"/>
      <c r="AB10" s="55">
        <f t="shared" ref="AB10:AB25" si="0">ROUND(X10*Z10,4)</f>
        <v>0</v>
      </c>
      <c r="AC10" s="56">
        <f t="shared" ref="AC10:AC25" si="1">ROUND(ROUND(AB10*$X$7,4)*($AB$7),0)</f>
        <v>0</v>
      </c>
      <c r="AD10" s="9">
        <v>1</v>
      </c>
    </row>
    <row r="11" spans="1:30" x14ac:dyDescent="0.25">
      <c r="A11" s="1" t="s">
        <v>29</v>
      </c>
      <c r="B11" s="13" t="s">
        <v>30</v>
      </c>
      <c r="C11" s="13"/>
      <c r="D11" s="13">
        <v>14.64</v>
      </c>
      <c r="E11" s="13">
        <v>11.95</v>
      </c>
      <c r="F11" s="13">
        <v>18.03</v>
      </c>
      <c r="G11" s="46">
        <f t="shared" ref="G11:G25" si="2">D11+E11</f>
        <v>26.59</v>
      </c>
      <c r="H11" s="47"/>
      <c r="I11" s="57">
        <f>I10</f>
        <v>1.125</v>
      </c>
      <c r="J11" s="57"/>
      <c r="K11" s="49">
        <f t="shared" ref="K11:K25" si="3">ROUND(G11*I11,4)</f>
        <v>29.913799999999998</v>
      </c>
      <c r="L11" s="50">
        <f t="shared" ref="L11:L25" si="4">ROUND(ROUND(K11*$G$7,4)*($K$7),0)</f>
        <v>115905</v>
      </c>
      <c r="M11" s="1" t="str">
        <f>IF(ROUND(G11,2)=ROUND(SUM(G28:G30),2)," ","CHECK 2. PK-3 Lines Below")</f>
        <v xml:space="preserve"> </v>
      </c>
      <c r="N11" s="51">
        <v>5101</v>
      </c>
      <c r="O11" s="58" t="s">
        <v>31</v>
      </c>
      <c r="P11" s="53"/>
      <c r="Q11" s="54"/>
      <c r="V11" s="623" t="s">
        <v>30</v>
      </c>
      <c r="W11" s="623"/>
      <c r="X11" s="618">
        <f>IF('2911'!K$84=1,'2911'!G11,0)</f>
        <v>0</v>
      </c>
      <c r="Y11" s="618"/>
      <c r="Z11" s="624">
        <v>1</v>
      </c>
      <c r="AA11" s="624"/>
      <c r="AB11" s="55">
        <f t="shared" si="0"/>
        <v>0</v>
      </c>
      <c r="AC11" s="56">
        <f t="shared" si="1"/>
        <v>0</v>
      </c>
      <c r="AD11" s="9"/>
    </row>
    <row r="12" spans="1:30" x14ac:dyDescent="0.25">
      <c r="A12" s="1" t="s">
        <v>32</v>
      </c>
      <c r="B12" s="13" t="s">
        <v>33</v>
      </c>
      <c r="C12" s="13"/>
      <c r="D12" s="13">
        <v>91.71</v>
      </c>
      <c r="E12" s="13">
        <v>95.14</v>
      </c>
      <c r="F12" s="13">
        <v>129.19999999999999</v>
      </c>
      <c r="G12" s="46">
        <f t="shared" si="2"/>
        <v>186.85</v>
      </c>
      <c r="H12" s="47"/>
      <c r="I12" s="57">
        <v>1</v>
      </c>
      <c r="J12" s="57"/>
      <c r="K12" s="49">
        <f t="shared" si="3"/>
        <v>186.85</v>
      </c>
      <c r="L12" s="50">
        <f t="shared" si="4"/>
        <v>723974</v>
      </c>
      <c r="N12" s="51">
        <v>5102</v>
      </c>
      <c r="O12" s="52">
        <v>102</v>
      </c>
      <c r="P12" s="53"/>
      <c r="Q12" s="54"/>
      <c r="V12" s="623" t="s">
        <v>33</v>
      </c>
      <c r="W12" s="623"/>
      <c r="X12" s="618">
        <f>IF('2911'!K$84=1,'2911'!G12,0)</f>
        <v>0</v>
      </c>
      <c r="Y12" s="618"/>
      <c r="Z12" s="624">
        <v>1</v>
      </c>
      <c r="AA12" s="624"/>
      <c r="AB12" s="55">
        <f t="shared" si="0"/>
        <v>0</v>
      </c>
      <c r="AC12" s="56">
        <f t="shared" si="1"/>
        <v>0</v>
      </c>
      <c r="AD12" s="9"/>
    </row>
    <row r="13" spans="1:30" x14ac:dyDescent="0.25">
      <c r="A13" s="1" t="s">
        <v>34</v>
      </c>
      <c r="B13" s="13" t="s">
        <v>35</v>
      </c>
      <c r="C13" s="13"/>
      <c r="D13" s="13">
        <v>15.07</v>
      </c>
      <c r="E13" s="13">
        <v>13.55</v>
      </c>
      <c r="F13" s="13">
        <v>20.63</v>
      </c>
      <c r="G13" s="46">
        <f t="shared" si="2"/>
        <v>28.62</v>
      </c>
      <c r="H13" s="47"/>
      <c r="I13" s="57">
        <f>I12</f>
        <v>1</v>
      </c>
      <c r="J13" s="57"/>
      <c r="K13" s="49">
        <f t="shared" si="3"/>
        <v>28.62</v>
      </c>
      <c r="L13" s="50">
        <f t="shared" si="4"/>
        <v>110892</v>
      </c>
      <c r="M13" s="1" t="str">
        <f>IF(ROUND(G13,2)=ROUND(SUM(G31:G33),2)," ","CHECK 2. PK-3 Lines Below")</f>
        <v xml:space="preserve"> </v>
      </c>
      <c r="N13" s="51">
        <v>5102</v>
      </c>
      <c r="O13" s="58" t="s">
        <v>36</v>
      </c>
      <c r="P13" s="53"/>
      <c r="Q13" s="54"/>
      <c r="V13" s="623" t="s">
        <v>35</v>
      </c>
      <c r="W13" s="623"/>
      <c r="X13" s="618">
        <f>IF('2911'!K$84=1,'2911'!G13,0)</f>
        <v>0</v>
      </c>
      <c r="Y13" s="618"/>
      <c r="Z13" s="624">
        <v>1</v>
      </c>
      <c r="AA13" s="624"/>
      <c r="AB13" s="55">
        <f t="shared" si="0"/>
        <v>0</v>
      </c>
      <c r="AC13" s="56">
        <f t="shared" si="1"/>
        <v>0</v>
      </c>
      <c r="AD13" s="9"/>
    </row>
    <row r="14" spans="1:30" x14ac:dyDescent="0.25">
      <c r="A14" s="1" t="s">
        <v>37</v>
      </c>
      <c r="B14" s="13" t="s">
        <v>38</v>
      </c>
      <c r="C14" s="13"/>
      <c r="D14" s="13">
        <v>0</v>
      </c>
      <c r="E14" s="13">
        <v>0</v>
      </c>
      <c r="F14" s="13">
        <v>0</v>
      </c>
      <c r="G14" s="46">
        <f t="shared" si="2"/>
        <v>0</v>
      </c>
      <c r="H14" s="47"/>
      <c r="I14" s="57">
        <v>1.0109999999999999</v>
      </c>
      <c r="J14" s="57"/>
      <c r="K14" s="49">
        <f t="shared" si="3"/>
        <v>0</v>
      </c>
      <c r="L14" s="50">
        <f t="shared" si="4"/>
        <v>0</v>
      </c>
      <c r="N14" s="51">
        <v>5103</v>
      </c>
      <c r="O14" s="52">
        <v>103</v>
      </c>
      <c r="P14" s="53"/>
      <c r="Q14" s="54"/>
      <c r="V14" s="623" t="s">
        <v>38</v>
      </c>
      <c r="W14" s="623"/>
      <c r="X14" s="618">
        <f>IF('2911'!K$84=1,'2911'!G14,0)</f>
        <v>0</v>
      </c>
      <c r="Y14" s="618"/>
      <c r="Z14" s="624">
        <v>1</v>
      </c>
      <c r="AA14" s="624"/>
      <c r="AB14" s="55">
        <f t="shared" si="0"/>
        <v>0</v>
      </c>
      <c r="AC14" s="56">
        <f t="shared" si="1"/>
        <v>0</v>
      </c>
      <c r="AD14" s="9"/>
    </row>
    <row r="15" spans="1:30" x14ac:dyDescent="0.25">
      <c r="A15" s="1" t="s">
        <v>39</v>
      </c>
      <c r="B15" s="13" t="s">
        <v>40</v>
      </c>
      <c r="C15" s="13"/>
      <c r="D15" s="13">
        <v>0</v>
      </c>
      <c r="E15" s="13">
        <v>0</v>
      </c>
      <c r="F15" s="13">
        <v>0</v>
      </c>
      <c r="G15" s="46">
        <f t="shared" si="2"/>
        <v>0</v>
      </c>
      <c r="H15" s="47"/>
      <c r="I15" s="57">
        <f>I14</f>
        <v>1.0109999999999999</v>
      </c>
      <c r="J15" s="57"/>
      <c r="K15" s="49">
        <f t="shared" si="3"/>
        <v>0</v>
      </c>
      <c r="L15" s="59">
        <f t="shared" si="4"/>
        <v>0</v>
      </c>
      <c r="M15" s="1" t="str">
        <f>IF(ROUND(G15,2)=ROUND(SUM(G34:G36),2)," ","CHECK 2. PK-3 Lines Below")</f>
        <v xml:space="preserve"> </v>
      </c>
      <c r="N15" s="51">
        <v>5103</v>
      </c>
      <c r="O15" s="58" t="s">
        <v>41</v>
      </c>
      <c r="P15" s="53"/>
      <c r="Q15" s="54"/>
      <c r="V15" s="623" t="s">
        <v>40</v>
      </c>
      <c r="W15" s="623"/>
      <c r="X15" s="618">
        <f>IF('2911'!K$84=1,'2911'!G15,0)</f>
        <v>0</v>
      </c>
      <c r="Y15" s="618"/>
      <c r="Z15" s="624">
        <v>1</v>
      </c>
      <c r="AA15" s="624"/>
      <c r="AB15" s="55">
        <f t="shared" si="0"/>
        <v>0</v>
      </c>
      <c r="AC15" s="60">
        <f t="shared" si="1"/>
        <v>0</v>
      </c>
      <c r="AD15" s="9"/>
    </row>
    <row r="16" spans="1:30" x14ac:dyDescent="0.25">
      <c r="A16" s="1" t="s">
        <v>42</v>
      </c>
      <c r="B16" s="13" t="s">
        <v>43</v>
      </c>
      <c r="C16" s="13"/>
      <c r="D16" s="13">
        <v>0</v>
      </c>
      <c r="E16" s="13">
        <v>0</v>
      </c>
      <c r="F16" s="13">
        <v>0</v>
      </c>
      <c r="G16" s="46">
        <f t="shared" si="2"/>
        <v>0</v>
      </c>
      <c r="H16" s="47"/>
      <c r="I16" s="57">
        <v>3.5579999999999998</v>
      </c>
      <c r="J16" s="57"/>
      <c r="K16" s="49">
        <f t="shared" si="3"/>
        <v>0</v>
      </c>
      <c r="L16" s="50">
        <f t="shared" si="4"/>
        <v>0</v>
      </c>
      <c r="N16" s="51">
        <v>5101</v>
      </c>
      <c r="O16" s="53">
        <v>254</v>
      </c>
      <c r="P16" s="53"/>
      <c r="Q16" s="54"/>
      <c r="V16" s="623" t="s">
        <v>43</v>
      </c>
      <c r="W16" s="623"/>
      <c r="X16" s="618">
        <f>IF('2911'!K$84=1,'2911'!G16,0)</f>
        <v>0</v>
      </c>
      <c r="Y16" s="618"/>
      <c r="Z16" s="624">
        <v>1</v>
      </c>
      <c r="AA16" s="624"/>
      <c r="AB16" s="55">
        <f t="shared" si="0"/>
        <v>0</v>
      </c>
      <c r="AC16" s="56">
        <f t="shared" si="1"/>
        <v>0</v>
      </c>
      <c r="AD16" s="9"/>
    </row>
    <row r="17" spans="1:30" x14ac:dyDescent="0.25">
      <c r="A17" s="1" t="s">
        <v>44</v>
      </c>
      <c r="B17" s="13" t="s">
        <v>45</v>
      </c>
      <c r="C17" s="13"/>
      <c r="D17" s="13">
        <v>0</v>
      </c>
      <c r="E17" s="13">
        <v>0</v>
      </c>
      <c r="F17" s="13">
        <v>0</v>
      </c>
      <c r="G17" s="46">
        <f t="shared" si="2"/>
        <v>0</v>
      </c>
      <c r="H17" s="47"/>
      <c r="I17" s="57">
        <f>I16</f>
        <v>3.5579999999999998</v>
      </c>
      <c r="J17" s="57"/>
      <c r="K17" s="49">
        <f t="shared" si="3"/>
        <v>0</v>
      </c>
      <c r="L17" s="50">
        <f t="shared" si="4"/>
        <v>0</v>
      </c>
      <c r="N17" s="51">
        <v>5102</v>
      </c>
      <c r="O17" s="54">
        <v>254</v>
      </c>
      <c r="P17" s="53"/>
      <c r="Q17" s="54"/>
      <c r="V17" s="623" t="s">
        <v>45</v>
      </c>
      <c r="W17" s="623"/>
      <c r="X17" s="618">
        <f>IF('2911'!K$84=1,'2911'!G17,0)</f>
        <v>0</v>
      </c>
      <c r="Y17" s="618"/>
      <c r="Z17" s="624">
        <v>1</v>
      </c>
      <c r="AA17" s="624"/>
      <c r="AB17" s="55">
        <f t="shared" si="0"/>
        <v>0</v>
      </c>
      <c r="AC17" s="56">
        <f t="shared" si="1"/>
        <v>0</v>
      </c>
      <c r="AD17" s="9"/>
    </row>
    <row r="18" spans="1:30" x14ac:dyDescent="0.25">
      <c r="A18" s="1" t="s">
        <v>46</v>
      </c>
      <c r="B18" s="13" t="s">
        <v>47</v>
      </c>
      <c r="C18" s="13"/>
      <c r="D18" s="13">
        <v>0</v>
      </c>
      <c r="E18" s="13">
        <v>0</v>
      </c>
      <c r="F18" s="13">
        <v>0</v>
      </c>
      <c r="G18" s="46">
        <f t="shared" si="2"/>
        <v>0</v>
      </c>
      <c r="H18" s="47"/>
      <c r="I18" s="57">
        <f>I17</f>
        <v>3.5579999999999998</v>
      </c>
      <c r="J18" s="57"/>
      <c r="K18" s="49">
        <f t="shared" si="3"/>
        <v>0</v>
      </c>
      <c r="L18" s="50">
        <f t="shared" si="4"/>
        <v>0</v>
      </c>
      <c r="N18" s="51">
        <v>5103</v>
      </c>
      <c r="O18" s="54">
        <v>254</v>
      </c>
      <c r="P18" s="53"/>
      <c r="Q18" s="54"/>
      <c r="V18" s="623" t="s">
        <v>47</v>
      </c>
      <c r="W18" s="623"/>
      <c r="X18" s="618">
        <f>IF('2911'!K$84=1,'2911'!G18,0)</f>
        <v>0</v>
      </c>
      <c r="Y18" s="618"/>
      <c r="Z18" s="624">
        <v>1</v>
      </c>
      <c r="AA18" s="624"/>
      <c r="AB18" s="55">
        <f t="shared" si="0"/>
        <v>0</v>
      </c>
      <c r="AC18" s="56">
        <f t="shared" si="1"/>
        <v>0</v>
      </c>
      <c r="AD18" s="9"/>
    </row>
    <row r="19" spans="1:30" ht="15" customHeight="1" x14ac:dyDescent="0.25">
      <c r="A19" s="1" t="s">
        <v>48</v>
      </c>
      <c r="B19" s="13" t="s">
        <v>49</v>
      </c>
      <c r="C19" s="13"/>
      <c r="D19" s="13">
        <v>0</v>
      </c>
      <c r="E19" s="13">
        <v>0</v>
      </c>
      <c r="F19" s="13">
        <v>0</v>
      </c>
      <c r="G19" s="46">
        <f t="shared" si="2"/>
        <v>0</v>
      </c>
      <c r="H19" s="47"/>
      <c r="I19" s="57">
        <v>5.0890000000000004</v>
      </c>
      <c r="J19" s="57"/>
      <c r="K19" s="49">
        <f t="shared" si="3"/>
        <v>0</v>
      </c>
      <c r="L19" s="50">
        <f t="shared" si="4"/>
        <v>0</v>
      </c>
      <c r="N19" s="51">
        <v>5101</v>
      </c>
      <c r="O19" s="53">
        <v>255</v>
      </c>
      <c r="P19" s="53"/>
      <c r="Q19" s="54"/>
      <c r="V19" s="623" t="s">
        <v>49</v>
      </c>
      <c r="W19" s="623"/>
      <c r="X19" s="618">
        <f>IF('2911'!K$84=1,'2911'!G19,0)</f>
        <v>0</v>
      </c>
      <c r="Y19" s="618"/>
      <c r="Z19" s="624">
        <v>1</v>
      </c>
      <c r="AA19" s="624"/>
      <c r="AB19" s="55">
        <f t="shared" si="0"/>
        <v>0</v>
      </c>
      <c r="AC19" s="56">
        <f t="shared" si="1"/>
        <v>0</v>
      </c>
      <c r="AD19" s="9"/>
    </row>
    <row r="20" spans="1:30" ht="15" customHeight="1" x14ac:dyDescent="0.25">
      <c r="A20" s="1" t="s">
        <v>50</v>
      </c>
      <c r="B20" s="13" t="s">
        <v>51</v>
      </c>
      <c r="C20" s="13"/>
      <c r="D20" s="13">
        <v>0</v>
      </c>
      <c r="E20" s="13">
        <v>0</v>
      </c>
      <c r="F20" s="13">
        <v>0</v>
      </c>
      <c r="G20" s="46">
        <f t="shared" si="2"/>
        <v>0</v>
      </c>
      <c r="H20" s="47"/>
      <c r="I20" s="57">
        <f>I19</f>
        <v>5.0890000000000004</v>
      </c>
      <c r="J20" s="57"/>
      <c r="K20" s="49">
        <f t="shared" si="3"/>
        <v>0</v>
      </c>
      <c r="L20" s="50">
        <f t="shared" si="4"/>
        <v>0</v>
      </c>
      <c r="N20" s="51">
        <v>5102</v>
      </c>
      <c r="O20" s="54">
        <v>255</v>
      </c>
      <c r="P20" s="53"/>
      <c r="Q20" s="54"/>
      <c r="V20" s="623" t="s">
        <v>51</v>
      </c>
      <c r="W20" s="623"/>
      <c r="X20" s="618">
        <f>IF('2911'!K$84=1,'2911'!G20,0)</f>
        <v>0</v>
      </c>
      <c r="Y20" s="618"/>
      <c r="Z20" s="624">
        <v>1</v>
      </c>
      <c r="AA20" s="624"/>
      <c r="AB20" s="55">
        <f t="shared" si="0"/>
        <v>0</v>
      </c>
      <c r="AC20" s="56">
        <f t="shared" si="1"/>
        <v>0</v>
      </c>
      <c r="AD20" s="9"/>
    </row>
    <row r="21" spans="1:30" ht="15" customHeight="1" x14ac:dyDescent="0.25">
      <c r="A21" s="1" t="s">
        <v>52</v>
      </c>
      <c r="B21" s="13" t="s">
        <v>53</v>
      </c>
      <c r="C21" s="13"/>
      <c r="D21" s="13">
        <v>0</v>
      </c>
      <c r="E21" s="13">
        <v>0</v>
      </c>
      <c r="F21" s="13">
        <v>0</v>
      </c>
      <c r="G21" s="46">
        <f t="shared" si="2"/>
        <v>0</v>
      </c>
      <c r="H21" s="47"/>
      <c r="I21" s="57">
        <f>I20</f>
        <v>5.0890000000000004</v>
      </c>
      <c r="J21" s="57"/>
      <c r="K21" s="49">
        <f t="shared" si="3"/>
        <v>0</v>
      </c>
      <c r="L21" s="50">
        <f t="shared" si="4"/>
        <v>0</v>
      </c>
      <c r="N21" s="51">
        <v>5103</v>
      </c>
      <c r="O21" s="54">
        <v>255</v>
      </c>
      <c r="P21" s="53"/>
      <c r="Q21" s="54"/>
      <c r="V21" s="623" t="s">
        <v>53</v>
      </c>
      <c r="W21" s="623"/>
      <c r="X21" s="618">
        <f>IF('2911'!K$84=1,'2911'!G21,0)</f>
        <v>0</v>
      </c>
      <c r="Y21" s="618"/>
      <c r="Z21" s="624">
        <v>1</v>
      </c>
      <c r="AA21" s="624"/>
      <c r="AB21" s="55">
        <f t="shared" si="0"/>
        <v>0</v>
      </c>
      <c r="AC21" s="56">
        <f t="shared" si="1"/>
        <v>0</v>
      </c>
      <c r="AD21" s="9"/>
    </row>
    <row r="22" spans="1:30" x14ac:dyDescent="0.25">
      <c r="A22" s="1" t="s">
        <v>54</v>
      </c>
      <c r="B22" s="13" t="s">
        <v>55</v>
      </c>
      <c r="C22" s="13"/>
      <c r="D22" s="13">
        <v>1.19</v>
      </c>
      <c r="E22" s="13">
        <v>1.19</v>
      </c>
      <c r="F22" s="13">
        <v>1.43</v>
      </c>
      <c r="G22" s="46">
        <f t="shared" si="2"/>
        <v>2.38</v>
      </c>
      <c r="H22" s="47"/>
      <c r="I22" s="57">
        <v>1.145</v>
      </c>
      <c r="J22" s="57"/>
      <c r="K22" s="49">
        <f t="shared" si="3"/>
        <v>2.7250999999999999</v>
      </c>
      <c r="L22" s="50">
        <f t="shared" si="4"/>
        <v>10559</v>
      </c>
      <c r="N22" s="51">
        <v>5101</v>
      </c>
      <c r="O22" s="52">
        <v>130</v>
      </c>
      <c r="P22" s="53"/>
      <c r="Q22" s="54"/>
      <c r="V22" s="623" t="s">
        <v>55</v>
      </c>
      <c r="W22" s="623"/>
      <c r="X22" s="618">
        <f>IF('2911'!K$84=1,'2911'!G22,0)</f>
        <v>0</v>
      </c>
      <c r="Y22" s="618"/>
      <c r="Z22" s="624">
        <v>1</v>
      </c>
      <c r="AA22" s="624"/>
      <c r="AB22" s="55">
        <f t="shared" si="0"/>
        <v>0</v>
      </c>
      <c r="AC22" s="56">
        <f t="shared" si="1"/>
        <v>0</v>
      </c>
      <c r="AD22" s="9"/>
    </row>
    <row r="23" spans="1:30" x14ac:dyDescent="0.25">
      <c r="A23" s="1" t="s">
        <v>56</v>
      </c>
      <c r="B23" s="13" t="s">
        <v>57</v>
      </c>
      <c r="C23" s="13"/>
      <c r="D23" s="13">
        <v>0</v>
      </c>
      <c r="E23" s="13">
        <v>0</v>
      </c>
      <c r="F23" s="13">
        <v>0</v>
      </c>
      <c r="G23" s="46">
        <f t="shared" si="2"/>
        <v>0</v>
      </c>
      <c r="H23" s="47"/>
      <c r="I23" s="57">
        <f>I22</f>
        <v>1.145</v>
      </c>
      <c r="J23" s="57"/>
      <c r="K23" s="49">
        <f t="shared" si="3"/>
        <v>0</v>
      </c>
      <c r="L23" s="50">
        <f t="shared" si="4"/>
        <v>0</v>
      </c>
      <c r="N23" s="51">
        <v>5102</v>
      </c>
      <c r="O23" s="52">
        <v>130</v>
      </c>
      <c r="P23" s="53"/>
      <c r="Q23" s="54"/>
      <c r="V23" s="623" t="s">
        <v>57</v>
      </c>
      <c r="W23" s="623"/>
      <c r="X23" s="618">
        <f>IF('2911'!K$84=1,'2911'!G23,0)</f>
        <v>0</v>
      </c>
      <c r="Y23" s="618"/>
      <c r="Z23" s="624">
        <v>1</v>
      </c>
      <c r="AA23" s="624"/>
      <c r="AB23" s="55">
        <f t="shared" si="0"/>
        <v>0</v>
      </c>
      <c r="AC23" s="56">
        <f t="shared" si="1"/>
        <v>0</v>
      </c>
      <c r="AD23" s="9"/>
    </row>
    <row r="24" spans="1:30" x14ac:dyDescent="0.25">
      <c r="A24" s="1" t="s">
        <v>58</v>
      </c>
      <c r="B24" s="13" t="s">
        <v>59</v>
      </c>
      <c r="C24" s="13"/>
      <c r="D24" s="13">
        <v>0</v>
      </c>
      <c r="E24" s="13">
        <v>0</v>
      </c>
      <c r="F24" s="13">
        <v>0</v>
      </c>
      <c r="G24" s="46">
        <f t="shared" si="2"/>
        <v>0</v>
      </c>
      <c r="H24" s="47"/>
      <c r="I24" s="57">
        <f>I23</f>
        <v>1.145</v>
      </c>
      <c r="J24" s="57"/>
      <c r="K24" s="49">
        <f t="shared" si="3"/>
        <v>0</v>
      </c>
      <c r="L24" s="50">
        <f t="shared" si="4"/>
        <v>0</v>
      </c>
      <c r="N24" s="51">
        <v>5103</v>
      </c>
      <c r="O24" s="52">
        <v>130</v>
      </c>
      <c r="P24" s="53"/>
      <c r="Q24" s="54"/>
      <c r="V24" s="623" t="s">
        <v>59</v>
      </c>
      <c r="W24" s="623"/>
      <c r="X24" s="618">
        <f>IF('2911'!K$84=1,'2911'!G24,0)</f>
        <v>0</v>
      </c>
      <c r="Y24" s="618"/>
      <c r="Z24" s="624">
        <v>1</v>
      </c>
      <c r="AA24" s="624"/>
      <c r="AB24" s="55">
        <f t="shared" si="0"/>
        <v>0</v>
      </c>
      <c r="AC24" s="56">
        <f t="shared" si="1"/>
        <v>0</v>
      </c>
      <c r="AD24" s="9"/>
    </row>
    <row r="25" spans="1:30" ht="16.5" thickBot="1" x14ac:dyDescent="0.3">
      <c r="A25" s="1" t="s">
        <v>60</v>
      </c>
      <c r="B25" s="13" t="s">
        <v>61</v>
      </c>
      <c r="C25" s="13"/>
      <c r="D25" s="13">
        <v>0</v>
      </c>
      <c r="E25" s="13">
        <v>0</v>
      </c>
      <c r="F25" s="13">
        <v>0</v>
      </c>
      <c r="G25" s="46">
        <f t="shared" si="2"/>
        <v>0</v>
      </c>
      <c r="H25" s="47"/>
      <c r="I25" s="57">
        <v>1.0109999999999999</v>
      </c>
      <c r="J25" s="57"/>
      <c r="K25" s="49">
        <f t="shared" si="3"/>
        <v>0</v>
      </c>
      <c r="L25" s="50">
        <f t="shared" si="4"/>
        <v>0</v>
      </c>
      <c r="N25" s="51">
        <v>5310</v>
      </c>
      <c r="O25" s="52">
        <v>300</v>
      </c>
      <c r="P25" s="53"/>
      <c r="Q25" s="54"/>
      <c r="V25" s="623" t="s">
        <v>61</v>
      </c>
      <c r="W25" s="623"/>
      <c r="X25" s="618">
        <f>IF('2911'!K$84=1,'2911'!G25,0)</f>
        <v>0</v>
      </c>
      <c r="Y25" s="618"/>
      <c r="Z25" s="624">
        <v>1</v>
      </c>
      <c r="AA25" s="624"/>
      <c r="AB25" s="55">
        <f t="shared" si="0"/>
        <v>0</v>
      </c>
      <c r="AC25" s="56">
        <f t="shared" si="1"/>
        <v>0</v>
      </c>
      <c r="AD25" s="9"/>
    </row>
    <row r="26" spans="1:30" ht="20.25" customHeight="1" thickBot="1" x14ac:dyDescent="0.3">
      <c r="B26" s="62" t="s">
        <v>62</v>
      </c>
      <c r="C26" s="62"/>
      <c r="D26" s="63">
        <f t="shared" ref="D26:E26" si="5">SUM(D10:D25)</f>
        <v>192.13</v>
      </c>
      <c r="E26" s="63">
        <f t="shared" si="5"/>
        <v>194.9</v>
      </c>
      <c r="F26" s="63"/>
      <c r="G26" s="63">
        <f>SUM(G10:G25)</f>
        <v>387.03</v>
      </c>
      <c r="H26" s="64"/>
      <c r="I26" s="64"/>
      <c r="J26" s="65"/>
      <c r="K26" s="66">
        <f>SUM(K10:K25)</f>
        <v>408.52269999999999</v>
      </c>
      <c r="L26" s="67">
        <f>SUM(L10:L25)</f>
        <v>1582873</v>
      </c>
      <c r="N26" s="54"/>
      <c r="O26" s="68"/>
      <c r="P26" s="54"/>
      <c r="Q26" s="54"/>
      <c r="V26" s="625" t="s">
        <v>62</v>
      </c>
      <c r="W26" s="625"/>
      <c r="X26" s="626">
        <f>SUM(X10:X25)</f>
        <v>0</v>
      </c>
      <c r="Y26" s="626"/>
      <c r="Z26" s="627"/>
      <c r="AA26" s="628"/>
      <c r="AB26" s="69">
        <f>SUM(AB10:AB25)</f>
        <v>0</v>
      </c>
      <c r="AC26" s="70">
        <f>SUM(AC10:AC25)</f>
        <v>0</v>
      </c>
      <c r="AD26" s="9"/>
    </row>
    <row r="27" spans="1:30" ht="51.75" customHeight="1" x14ac:dyDescent="0.25">
      <c r="B27" s="62" t="s">
        <v>63</v>
      </c>
      <c r="C27" s="62"/>
      <c r="D27" s="71" t="s">
        <v>13</v>
      </c>
      <c r="E27" s="71" t="s">
        <v>14</v>
      </c>
      <c r="F27" s="27"/>
      <c r="G27" s="72" t="s">
        <v>64</v>
      </c>
      <c r="H27" s="73"/>
      <c r="I27" s="74" t="s">
        <v>65</v>
      </c>
      <c r="J27" s="74" t="s">
        <v>66</v>
      </c>
      <c r="K27" s="75" t="s">
        <v>67</v>
      </c>
      <c r="N27" s="54"/>
      <c r="O27" s="68"/>
      <c r="P27" s="54"/>
      <c r="Q27" s="54"/>
      <c r="V27" s="629" t="s">
        <v>63</v>
      </c>
      <c r="W27" s="629"/>
      <c r="X27" s="630" t="s">
        <v>64</v>
      </c>
      <c r="Y27" s="630"/>
      <c r="Z27" s="76" t="s">
        <v>65</v>
      </c>
      <c r="AA27" s="77" t="s">
        <v>66</v>
      </c>
      <c r="AB27" s="78" t="s">
        <v>67</v>
      </c>
      <c r="AC27" s="9"/>
      <c r="AD27" s="9"/>
    </row>
    <row r="28" spans="1:30" ht="15.75" customHeight="1" x14ac:dyDescent="0.25">
      <c r="A28" s="1" t="s">
        <v>68</v>
      </c>
      <c r="B28" s="631" t="s">
        <v>69</v>
      </c>
      <c r="C28" s="632"/>
      <c r="D28" s="13">
        <v>13.12</v>
      </c>
      <c r="E28" s="13">
        <v>11.95</v>
      </c>
      <c r="F28" s="79">
        <v>11</v>
      </c>
      <c r="G28" s="46">
        <f t="shared" ref="G28:G36" si="6">D28+E28</f>
        <v>25.07</v>
      </c>
      <c r="H28" s="80"/>
      <c r="I28" s="81" t="s">
        <v>70</v>
      </c>
      <c r="J28" s="82">
        <v>251</v>
      </c>
      <c r="K28" s="83">
        <v>1047</v>
      </c>
      <c r="L28" s="84">
        <f>ROUND(G28*K28,0)</f>
        <v>26248</v>
      </c>
      <c r="N28" s="85">
        <v>5101</v>
      </c>
      <c r="O28" s="54">
        <v>251</v>
      </c>
      <c r="P28" s="86"/>
      <c r="Q28" s="87"/>
      <c r="V28" s="637" t="s">
        <v>69</v>
      </c>
      <c r="W28" s="637"/>
      <c r="X28" s="638"/>
      <c r="Y28" s="638"/>
      <c r="Z28" s="88" t="s">
        <v>70</v>
      </c>
      <c r="AA28" s="89">
        <v>251</v>
      </c>
      <c r="AB28" s="90">
        <f>+K28</f>
        <v>1047</v>
      </c>
      <c r="AC28" s="91">
        <f t="shared" ref="AC28:AC36" si="7">ROUND(X28*AB28,0)</f>
        <v>0</v>
      </c>
      <c r="AD28" s="9"/>
    </row>
    <row r="29" spans="1:30" x14ac:dyDescent="0.25">
      <c r="A29" s="1" t="s">
        <v>71</v>
      </c>
      <c r="B29" s="633"/>
      <c r="C29" s="634"/>
      <c r="D29" s="13">
        <v>1.52</v>
      </c>
      <c r="E29" s="13">
        <v>0</v>
      </c>
      <c r="F29" s="92">
        <v>3.5</v>
      </c>
      <c r="G29" s="46">
        <f t="shared" si="6"/>
        <v>1.52</v>
      </c>
      <c r="H29" s="80"/>
      <c r="I29" s="82" t="s">
        <v>70</v>
      </c>
      <c r="J29" s="82">
        <v>252</v>
      </c>
      <c r="K29" s="83">
        <v>3380</v>
      </c>
      <c r="L29" s="84">
        <f t="shared" ref="L29:L36" si="8">ROUND(G29*K29,0)</f>
        <v>5138</v>
      </c>
      <c r="N29" s="85">
        <v>5101</v>
      </c>
      <c r="O29" s="54">
        <v>252</v>
      </c>
      <c r="P29" s="86"/>
      <c r="Q29" s="87"/>
      <c r="V29" s="637"/>
      <c r="W29" s="637"/>
      <c r="X29" s="638"/>
      <c r="Y29" s="638"/>
      <c r="Z29" s="89" t="s">
        <v>70</v>
      </c>
      <c r="AA29" s="89">
        <v>252</v>
      </c>
      <c r="AB29" s="90">
        <f t="shared" ref="AB29:AB36" si="9">+K29</f>
        <v>3380</v>
      </c>
      <c r="AC29" s="91">
        <f t="shared" si="7"/>
        <v>0</v>
      </c>
      <c r="AD29" s="9"/>
    </row>
    <row r="30" spans="1:30" x14ac:dyDescent="0.25">
      <c r="A30" s="1" t="s">
        <v>72</v>
      </c>
      <c r="B30" s="633"/>
      <c r="C30" s="634"/>
      <c r="D30" s="13">
        <v>0</v>
      </c>
      <c r="E30" s="13">
        <v>0</v>
      </c>
      <c r="F30" s="92">
        <v>0</v>
      </c>
      <c r="G30" s="46">
        <f t="shared" si="6"/>
        <v>0</v>
      </c>
      <c r="H30" s="80"/>
      <c r="I30" s="82" t="s">
        <v>70</v>
      </c>
      <c r="J30" s="82">
        <v>253</v>
      </c>
      <c r="K30" s="83">
        <v>6896</v>
      </c>
      <c r="L30" s="84">
        <f t="shared" si="8"/>
        <v>0</v>
      </c>
      <c r="N30" s="85">
        <v>5101</v>
      </c>
      <c r="O30" s="54">
        <v>253</v>
      </c>
      <c r="P30" s="86"/>
      <c r="Q30" s="68"/>
      <c r="V30" s="637"/>
      <c r="W30" s="637"/>
      <c r="X30" s="638"/>
      <c r="Y30" s="638"/>
      <c r="Z30" s="89" t="s">
        <v>70</v>
      </c>
      <c r="AA30" s="89">
        <v>253</v>
      </c>
      <c r="AB30" s="90">
        <f t="shared" si="9"/>
        <v>6896</v>
      </c>
      <c r="AC30" s="91">
        <f t="shared" si="7"/>
        <v>0</v>
      </c>
      <c r="AD30" s="9"/>
    </row>
    <row r="31" spans="1:30" x14ac:dyDescent="0.25">
      <c r="A31" s="1" t="s">
        <v>73</v>
      </c>
      <c r="B31" s="633"/>
      <c r="C31" s="634"/>
      <c r="D31" s="13">
        <v>14.09</v>
      </c>
      <c r="E31" s="13">
        <v>13.55</v>
      </c>
      <c r="F31" s="92">
        <v>16.5</v>
      </c>
      <c r="G31" s="46">
        <f t="shared" si="6"/>
        <v>27.64</v>
      </c>
      <c r="H31" s="80"/>
      <c r="I31" s="93" t="s">
        <v>74</v>
      </c>
      <c r="J31" s="82">
        <v>251</v>
      </c>
      <c r="K31" s="83">
        <v>1173</v>
      </c>
      <c r="L31" s="84">
        <f t="shared" si="8"/>
        <v>32422</v>
      </c>
      <c r="N31" s="85">
        <v>5102</v>
      </c>
      <c r="O31" s="54">
        <v>251</v>
      </c>
      <c r="P31" s="86"/>
      <c r="Q31" s="68"/>
      <c r="V31" s="637"/>
      <c r="W31" s="637"/>
      <c r="X31" s="638"/>
      <c r="Y31" s="638"/>
      <c r="Z31" s="94" t="s">
        <v>74</v>
      </c>
      <c r="AA31" s="89">
        <v>251</v>
      </c>
      <c r="AB31" s="90">
        <f t="shared" si="9"/>
        <v>1173</v>
      </c>
      <c r="AC31" s="91">
        <f t="shared" si="7"/>
        <v>0</v>
      </c>
      <c r="AD31" s="9"/>
    </row>
    <row r="32" spans="1:30" x14ac:dyDescent="0.25">
      <c r="A32" s="1" t="s">
        <v>75</v>
      </c>
      <c r="B32" s="633"/>
      <c r="C32" s="634"/>
      <c r="D32" s="13">
        <v>0.98</v>
      </c>
      <c r="E32" s="13">
        <v>0</v>
      </c>
      <c r="F32" s="92">
        <v>2</v>
      </c>
      <c r="G32" s="46">
        <f t="shared" si="6"/>
        <v>0.98</v>
      </c>
      <c r="H32" s="80"/>
      <c r="I32" s="93" t="s">
        <v>74</v>
      </c>
      <c r="J32" s="82">
        <v>252</v>
      </c>
      <c r="K32" s="83">
        <v>3506</v>
      </c>
      <c r="L32" s="84">
        <f t="shared" si="8"/>
        <v>3436</v>
      </c>
      <c r="N32" s="85">
        <v>5102</v>
      </c>
      <c r="O32" s="54">
        <v>252</v>
      </c>
      <c r="P32" s="86"/>
      <c r="Q32" s="54"/>
      <c r="V32" s="637"/>
      <c r="W32" s="637"/>
      <c r="X32" s="638"/>
      <c r="Y32" s="638"/>
      <c r="Z32" s="94" t="s">
        <v>74</v>
      </c>
      <c r="AA32" s="89">
        <v>252</v>
      </c>
      <c r="AB32" s="90">
        <f t="shared" si="9"/>
        <v>3506</v>
      </c>
      <c r="AC32" s="91">
        <f t="shared" si="7"/>
        <v>0</v>
      </c>
      <c r="AD32" s="9"/>
    </row>
    <row r="33" spans="1:30" x14ac:dyDescent="0.25">
      <c r="A33" s="1" t="s">
        <v>76</v>
      </c>
      <c r="B33" s="633"/>
      <c r="C33" s="634"/>
      <c r="D33" s="13">
        <v>0</v>
      </c>
      <c r="E33" s="13">
        <v>0</v>
      </c>
      <c r="F33" s="92">
        <v>0</v>
      </c>
      <c r="G33" s="46">
        <f t="shared" si="6"/>
        <v>0</v>
      </c>
      <c r="H33" s="80"/>
      <c r="I33" s="93" t="s">
        <v>74</v>
      </c>
      <c r="J33" s="82">
        <v>253</v>
      </c>
      <c r="K33" s="83">
        <v>7023</v>
      </c>
      <c r="L33" s="84">
        <f t="shared" si="8"/>
        <v>0</v>
      </c>
      <c r="N33" s="85">
        <v>5102</v>
      </c>
      <c r="O33" s="54">
        <v>253</v>
      </c>
      <c r="P33" s="86"/>
      <c r="Q33" s="87"/>
      <c r="V33" s="637"/>
      <c r="W33" s="637"/>
      <c r="X33" s="638"/>
      <c r="Y33" s="638"/>
      <c r="Z33" s="94" t="s">
        <v>74</v>
      </c>
      <c r="AA33" s="89">
        <v>253</v>
      </c>
      <c r="AB33" s="90">
        <f t="shared" si="9"/>
        <v>7023</v>
      </c>
      <c r="AC33" s="91">
        <f t="shared" si="7"/>
        <v>0</v>
      </c>
      <c r="AD33" s="9"/>
    </row>
    <row r="34" spans="1:30" x14ac:dyDescent="0.25">
      <c r="A34" s="1" t="s">
        <v>77</v>
      </c>
      <c r="B34" s="633"/>
      <c r="C34" s="634"/>
      <c r="D34" s="13">
        <v>0</v>
      </c>
      <c r="E34" s="13">
        <v>0</v>
      </c>
      <c r="F34" s="92">
        <v>0</v>
      </c>
      <c r="G34" s="46">
        <f t="shared" si="6"/>
        <v>0</v>
      </c>
      <c r="H34" s="80"/>
      <c r="I34" s="93" t="s">
        <v>78</v>
      </c>
      <c r="J34" s="82">
        <v>251</v>
      </c>
      <c r="K34" s="83">
        <v>835</v>
      </c>
      <c r="L34" s="84">
        <f t="shared" si="8"/>
        <v>0</v>
      </c>
      <c r="N34" s="85">
        <v>5103</v>
      </c>
      <c r="O34" s="54">
        <v>251</v>
      </c>
      <c r="P34" s="86"/>
      <c r="Q34" s="87"/>
      <c r="V34" s="637"/>
      <c r="W34" s="637"/>
      <c r="X34" s="638"/>
      <c r="Y34" s="638"/>
      <c r="Z34" s="94" t="s">
        <v>78</v>
      </c>
      <c r="AA34" s="89">
        <v>251</v>
      </c>
      <c r="AB34" s="90">
        <f t="shared" si="9"/>
        <v>835</v>
      </c>
      <c r="AC34" s="91">
        <f t="shared" si="7"/>
        <v>0</v>
      </c>
      <c r="AD34" s="9"/>
    </row>
    <row r="35" spans="1:30" x14ac:dyDescent="0.25">
      <c r="A35" s="1" t="s">
        <v>79</v>
      </c>
      <c r="B35" s="633"/>
      <c r="C35" s="634"/>
      <c r="D35" s="13">
        <v>0</v>
      </c>
      <c r="E35" s="13">
        <v>0</v>
      </c>
      <c r="F35" s="92">
        <v>0</v>
      </c>
      <c r="G35" s="46">
        <f t="shared" si="6"/>
        <v>0</v>
      </c>
      <c r="H35" s="80"/>
      <c r="I35" s="93" t="s">
        <v>78</v>
      </c>
      <c r="J35" s="82">
        <v>252</v>
      </c>
      <c r="K35" s="83">
        <v>3168</v>
      </c>
      <c r="L35" s="84">
        <f t="shared" si="8"/>
        <v>0</v>
      </c>
      <c r="N35" s="85">
        <v>5103</v>
      </c>
      <c r="O35" s="54">
        <v>252</v>
      </c>
      <c r="P35" s="86"/>
      <c r="Q35" s="95"/>
      <c r="V35" s="637"/>
      <c r="W35" s="637"/>
      <c r="X35" s="638"/>
      <c r="Y35" s="638"/>
      <c r="Z35" s="94" t="s">
        <v>78</v>
      </c>
      <c r="AA35" s="89">
        <v>252</v>
      </c>
      <c r="AB35" s="90">
        <f t="shared" si="9"/>
        <v>3168</v>
      </c>
      <c r="AC35" s="91">
        <f t="shared" si="7"/>
        <v>0</v>
      </c>
      <c r="AD35" s="9"/>
    </row>
    <row r="36" spans="1:30" ht="16.5" thickBot="1" x14ac:dyDescent="0.3">
      <c r="A36" s="1" t="s">
        <v>80</v>
      </c>
      <c r="B36" s="635"/>
      <c r="C36" s="636"/>
      <c r="D36" s="13">
        <v>0</v>
      </c>
      <c r="E36" s="13">
        <v>0</v>
      </c>
      <c r="F36" s="92">
        <v>0</v>
      </c>
      <c r="G36" s="46">
        <f t="shared" si="6"/>
        <v>0</v>
      </c>
      <c r="H36" s="80"/>
      <c r="I36" s="93" t="s">
        <v>78</v>
      </c>
      <c r="J36" s="82">
        <v>253</v>
      </c>
      <c r="K36" s="83">
        <v>6685</v>
      </c>
      <c r="L36" s="96">
        <f t="shared" si="8"/>
        <v>0</v>
      </c>
      <c r="N36" s="85">
        <v>5103</v>
      </c>
      <c r="O36" s="54">
        <v>253</v>
      </c>
      <c r="P36" s="86"/>
      <c r="Q36" s="97"/>
      <c r="V36" s="637"/>
      <c r="W36" s="637"/>
      <c r="X36" s="645"/>
      <c r="Y36" s="645"/>
      <c r="Z36" s="94" t="s">
        <v>78</v>
      </c>
      <c r="AA36" s="89">
        <v>253</v>
      </c>
      <c r="AB36" s="90">
        <f t="shared" si="9"/>
        <v>6685</v>
      </c>
      <c r="AC36" s="98">
        <f t="shared" si="7"/>
        <v>0</v>
      </c>
      <c r="AD36" s="9"/>
    </row>
    <row r="37" spans="1:30" ht="18.75" customHeight="1" x14ac:dyDescent="0.25">
      <c r="B37" s="13" t="s">
        <v>81</v>
      </c>
      <c r="C37" s="13"/>
      <c r="D37" s="63">
        <f t="shared" ref="D37:E37" si="10">SUM(D28:D36)</f>
        <v>29.709999999999997</v>
      </c>
      <c r="E37" s="63">
        <f t="shared" si="10"/>
        <v>25.5</v>
      </c>
      <c r="F37" s="63"/>
      <c r="G37" s="63">
        <f>SUM(G28:G36)</f>
        <v>55.21</v>
      </c>
      <c r="H37" s="64"/>
      <c r="I37" s="13" t="s">
        <v>82</v>
      </c>
      <c r="J37" s="13"/>
      <c r="K37" s="13"/>
      <c r="L37" s="50">
        <f>SUM(L28:L36)</f>
        <v>67244</v>
      </c>
      <c r="N37" s="54"/>
      <c r="O37" s="68"/>
      <c r="P37" s="54"/>
      <c r="Q37" s="54"/>
      <c r="V37" s="646" t="s">
        <v>81</v>
      </c>
      <c r="W37" s="646"/>
      <c r="X37" s="626">
        <f>SUM(X28:X36)</f>
        <v>0</v>
      </c>
      <c r="Y37" s="626"/>
      <c r="Z37" s="646" t="s">
        <v>82</v>
      </c>
      <c r="AA37" s="646"/>
      <c r="AB37" s="646"/>
      <c r="AC37" s="56">
        <f>SUM(AC28:AC36)</f>
        <v>0</v>
      </c>
      <c r="AD37" s="9"/>
    </row>
    <row r="38" spans="1:30" ht="30.75" customHeight="1" x14ac:dyDescent="0.25">
      <c r="B38" s="99" t="s">
        <v>83</v>
      </c>
      <c r="C38" s="99"/>
      <c r="D38" s="99"/>
      <c r="E38" s="99"/>
      <c r="F38" s="99"/>
      <c r="G38" s="99"/>
      <c r="H38" s="100"/>
      <c r="I38" s="99"/>
      <c r="J38" s="99"/>
      <c r="K38" s="99"/>
      <c r="L38" s="99"/>
      <c r="M38" s="101"/>
      <c r="N38" s="54"/>
      <c r="O38" s="68"/>
      <c r="P38" s="54"/>
      <c r="Q38" s="54"/>
      <c r="V38" s="639" t="s">
        <v>83</v>
      </c>
      <c r="W38" s="639"/>
      <c r="X38" s="639"/>
      <c r="Y38" s="639"/>
      <c r="Z38" s="639"/>
      <c r="AA38" s="639"/>
      <c r="AB38" s="639"/>
      <c r="AC38" s="639"/>
      <c r="AD38" s="102"/>
    </row>
    <row r="39" spans="1:30" ht="15.75" customHeight="1" x14ac:dyDescent="0.25">
      <c r="B39" s="103" t="s">
        <v>84</v>
      </c>
      <c r="C39" s="103"/>
      <c r="D39" s="103"/>
      <c r="E39" s="103"/>
      <c r="F39" s="103"/>
      <c r="G39" s="104">
        <v>34389540</v>
      </c>
      <c r="H39" s="104"/>
      <c r="I39" s="13" t="s">
        <v>85</v>
      </c>
      <c r="J39" s="13"/>
      <c r="K39" s="13"/>
      <c r="L39" s="13"/>
      <c r="O39" s="1"/>
      <c r="V39" s="640" t="s">
        <v>84</v>
      </c>
      <c r="W39" s="640"/>
      <c r="X39" s="641">
        <f>+G39</f>
        <v>34389540</v>
      </c>
      <c r="Y39" s="641"/>
      <c r="Z39" s="642" t="s">
        <v>85</v>
      </c>
      <c r="AA39" s="642"/>
      <c r="AB39" s="642"/>
      <c r="AC39" s="642"/>
      <c r="AD39" s="9"/>
    </row>
    <row r="40" spans="1:30" ht="15.75" customHeight="1" x14ac:dyDescent="0.25">
      <c r="B40" s="105" t="s">
        <v>86</v>
      </c>
      <c r="C40" s="105"/>
      <c r="D40" s="105"/>
      <c r="E40" s="105"/>
      <c r="F40" s="105"/>
      <c r="G40" s="106">
        <v>180284.81</v>
      </c>
      <c r="H40" s="106"/>
      <c r="I40" s="106"/>
      <c r="J40" s="106"/>
      <c r="K40" s="50">
        <f>ROUND(G39/G40,0)</f>
        <v>191</v>
      </c>
      <c r="L40" s="50">
        <f>ROUND(K40*$G$26,0)</f>
        <v>73923</v>
      </c>
      <c r="N40" s="107"/>
      <c r="O40" s="107"/>
      <c r="P40" s="107"/>
      <c r="Q40" s="107"/>
      <c r="V40" s="643" t="s">
        <v>86</v>
      </c>
      <c r="W40" s="643"/>
      <c r="X40" s="644">
        <f>+G40</f>
        <v>180284.81</v>
      </c>
      <c r="Y40" s="644"/>
      <c r="Z40" s="644"/>
      <c r="AA40" s="644"/>
      <c r="AB40" s="56">
        <f>ROUND(X39/X40,0)</f>
        <v>191</v>
      </c>
      <c r="AC40" s="56">
        <f>ROUND(AB40*$X$26,0)</f>
        <v>0</v>
      </c>
      <c r="AD40" s="9"/>
    </row>
    <row r="41" spans="1:30" ht="15.75" customHeight="1" x14ac:dyDescent="0.25">
      <c r="B41" s="108" t="s">
        <v>87</v>
      </c>
      <c r="C41" s="108"/>
      <c r="D41" s="108"/>
      <c r="E41" s="108"/>
      <c r="F41" s="108"/>
      <c r="G41" s="108"/>
      <c r="H41" s="108"/>
      <c r="I41" s="108"/>
      <c r="J41" s="108"/>
      <c r="K41" s="108"/>
      <c r="L41" s="108"/>
      <c r="N41" s="101"/>
      <c r="O41" s="109"/>
      <c r="P41" s="101"/>
      <c r="Q41" s="101"/>
      <c r="V41" s="652" t="s">
        <v>87</v>
      </c>
      <c r="W41" s="652"/>
      <c r="X41" s="652"/>
      <c r="Y41" s="652"/>
      <c r="Z41" s="652"/>
      <c r="AA41" s="652"/>
      <c r="AB41" s="652"/>
      <c r="AC41" s="652"/>
      <c r="AD41" s="9"/>
    </row>
    <row r="42" spans="1:30" ht="28.5" customHeight="1" x14ac:dyDescent="0.25">
      <c r="B42" s="99" t="s">
        <v>88</v>
      </c>
      <c r="C42" s="99"/>
      <c r="D42" s="99"/>
      <c r="E42" s="99"/>
      <c r="F42" s="99"/>
      <c r="G42" s="99"/>
      <c r="H42" s="99"/>
      <c r="I42" s="99"/>
      <c r="J42" s="99"/>
      <c r="K42" s="99"/>
      <c r="L42" s="99"/>
      <c r="M42" s="107"/>
      <c r="O42" s="1"/>
      <c r="V42" s="639" t="s">
        <v>88</v>
      </c>
      <c r="W42" s="639"/>
      <c r="X42" s="639"/>
      <c r="Y42" s="639"/>
      <c r="Z42" s="639"/>
      <c r="AA42" s="639"/>
      <c r="AB42" s="639"/>
      <c r="AC42" s="639"/>
      <c r="AD42" s="110"/>
    </row>
    <row r="43" spans="1:30" x14ac:dyDescent="0.25">
      <c r="B43" s="111" t="s">
        <v>89</v>
      </c>
      <c r="C43" s="111"/>
      <c r="D43" s="111"/>
      <c r="E43" s="111"/>
      <c r="F43" s="111"/>
      <c r="G43" s="111"/>
      <c r="H43" s="111"/>
      <c r="I43" s="111"/>
      <c r="J43" s="111"/>
      <c r="K43" s="111"/>
      <c r="L43" s="111"/>
      <c r="M43" s="112"/>
      <c r="N43" s="101"/>
      <c r="O43" s="101"/>
      <c r="P43" s="101"/>
      <c r="Q43" s="101"/>
      <c r="V43" s="653" t="s">
        <v>89</v>
      </c>
      <c r="W43" s="653"/>
      <c r="X43" s="653"/>
      <c r="Y43" s="653"/>
      <c r="Z43" s="653"/>
      <c r="AA43" s="653"/>
      <c r="AB43" s="653"/>
      <c r="AC43" s="653"/>
      <c r="AD43" s="113"/>
    </row>
    <row r="44" spans="1:30" ht="24" customHeight="1" x14ac:dyDescent="0.25">
      <c r="B44" s="62" t="s">
        <v>90</v>
      </c>
      <c r="C44" s="62"/>
      <c r="D44" s="62"/>
      <c r="E44" s="62"/>
      <c r="F44" s="62"/>
      <c r="G44" s="62"/>
      <c r="H44" s="62"/>
      <c r="I44" s="62"/>
      <c r="J44" s="62"/>
      <c r="K44" s="62"/>
      <c r="L44" s="114">
        <f>SUM(L26,L37,L40)</f>
        <v>1724040</v>
      </c>
      <c r="O44" s="1"/>
      <c r="V44" s="654" t="s">
        <v>90</v>
      </c>
      <c r="W44" s="654"/>
      <c r="X44" s="654"/>
      <c r="Y44" s="654"/>
      <c r="Z44" s="654"/>
      <c r="AA44" s="654"/>
      <c r="AB44" s="654"/>
      <c r="AC44" s="115">
        <f>SUM(AC26,AC37,AC40)</f>
        <v>0</v>
      </c>
      <c r="AD44" s="9"/>
    </row>
    <row r="45" spans="1:30" ht="30.75" customHeight="1" x14ac:dyDescent="0.25">
      <c r="B45" s="99" t="s">
        <v>91</v>
      </c>
      <c r="C45" s="99"/>
      <c r="D45" s="99"/>
      <c r="E45" s="99"/>
      <c r="F45" s="99"/>
      <c r="G45" s="99"/>
      <c r="H45" s="99"/>
      <c r="I45" s="99"/>
      <c r="J45" s="99"/>
      <c r="K45" s="99"/>
      <c r="L45" s="99"/>
      <c r="M45" s="116"/>
      <c r="O45" s="1"/>
      <c r="V45" s="639" t="s">
        <v>91</v>
      </c>
      <c r="W45" s="639"/>
      <c r="X45" s="639"/>
      <c r="Y45" s="639"/>
      <c r="Z45" s="639"/>
      <c r="AA45" s="639"/>
      <c r="AB45" s="639"/>
      <c r="AC45" s="639"/>
      <c r="AD45" s="117"/>
    </row>
    <row r="46" spans="1:30" ht="18.75" customHeight="1" x14ac:dyDescent="0.25">
      <c r="B46" s="1"/>
      <c r="C46" s="118" t="s">
        <v>92</v>
      </c>
      <c r="D46" s="118"/>
      <c r="E46" s="118"/>
      <c r="F46" s="118"/>
      <c r="G46" s="118" t="s">
        <v>93</v>
      </c>
      <c r="H46" s="119"/>
      <c r="I46" s="120" t="s">
        <v>94</v>
      </c>
      <c r="J46" s="121"/>
      <c r="K46" s="121"/>
      <c r="L46" s="121"/>
      <c r="M46" s="122"/>
      <c r="O46" s="1"/>
      <c r="V46" s="9"/>
      <c r="W46" s="123" t="s">
        <v>92</v>
      </c>
      <c r="X46" s="655" t="s">
        <v>95</v>
      </c>
      <c r="Y46" s="655"/>
      <c r="Z46" s="656" t="s">
        <v>94</v>
      </c>
      <c r="AA46" s="656"/>
      <c r="AB46" s="656"/>
      <c r="AC46" s="656"/>
      <c r="AD46" s="124"/>
    </row>
    <row r="47" spans="1:30" ht="18.75" customHeight="1" x14ac:dyDescent="0.25">
      <c r="B47" s="107" t="s">
        <v>96</v>
      </c>
      <c r="C47" s="125">
        <f>K10+K11+K16+K19+K22</f>
        <v>193.05270000000002</v>
      </c>
      <c r="D47" s="125"/>
      <c r="E47" s="125"/>
      <c r="F47" s="125"/>
      <c r="G47" s="126">
        <f>K7</f>
        <v>1.0326</v>
      </c>
      <c r="H47" s="126"/>
      <c r="I47" s="127">
        <v>1316.85</v>
      </c>
      <c r="J47" s="128" t="s">
        <v>97</v>
      </c>
      <c r="K47" s="129">
        <f>ROUND(C47*G47*I47,0)</f>
        <v>262509</v>
      </c>
      <c r="L47" s="130"/>
      <c r="O47" s="1"/>
      <c r="V47" s="110" t="s">
        <v>96</v>
      </c>
      <c r="W47" s="131">
        <f>AB10+AB11+AB16+AB19+AB22</f>
        <v>0</v>
      </c>
      <c r="X47" s="647">
        <f>AB7</f>
        <v>1.0326</v>
      </c>
      <c r="Y47" s="647"/>
      <c r="Z47" s="132">
        <f>+I47</f>
        <v>1316.85</v>
      </c>
      <c r="AA47" s="133" t="s">
        <v>97</v>
      </c>
      <c r="AB47" s="134">
        <f>ROUND(W47*X47*Z47,0)</f>
        <v>0</v>
      </c>
      <c r="AC47" s="135"/>
      <c r="AD47" s="9"/>
    </row>
    <row r="48" spans="1:30" ht="18" customHeight="1" x14ac:dyDescent="0.25">
      <c r="B48" s="136" t="s">
        <v>74</v>
      </c>
      <c r="C48" s="125">
        <f>K12+K13+K17+K20+K23</f>
        <v>215.47</v>
      </c>
      <c r="D48" s="125"/>
      <c r="E48" s="125"/>
      <c r="F48" s="125"/>
      <c r="G48" s="126">
        <f>K7</f>
        <v>1.0326</v>
      </c>
      <c r="H48" s="126"/>
      <c r="I48" s="127">
        <v>898.23</v>
      </c>
      <c r="J48" s="128" t="s">
        <v>97</v>
      </c>
      <c r="K48" s="129">
        <f>ROUND(C48*G48*I48,0)</f>
        <v>199851</v>
      </c>
      <c r="L48" s="62"/>
      <c r="O48" s="1"/>
      <c r="V48" s="137" t="s">
        <v>74</v>
      </c>
      <c r="W48" s="131">
        <f>AB12+AB13+AB17+AB20+AB23</f>
        <v>0</v>
      </c>
      <c r="X48" s="647">
        <f>AB7</f>
        <v>1.0326</v>
      </c>
      <c r="Y48" s="647"/>
      <c r="Z48" s="132">
        <f>+I48</f>
        <v>898.23</v>
      </c>
      <c r="AA48" s="133" t="s">
        <v>97</v>
      </c>
      <c r="AB48" s="134">
        <f>ROUND(W48*X48*Z48,0)</f>
        <v>0</v>
      </c>
      <c r="AC48" s="138"/>
      <c r="AD48" s="9"/>
    </row>
    <row r="49" spans="2:30" ht="19.5" customHeight="1" thickBot="1" x14ac:dyDescent="0.3">
      <c r="B49" s="139" t="s">
        <v>78</v>
      </c>
      <c r="C49" s="140">
        <f>K14+K15+K18+K21+K24+K25</f>
        <v>0</v>
      </c>
      <c r="D49" s="125"/>
      <c r="E49" s="125"/>
      <c r="F49" s="125"/>
      <c r="G49" s="126">
        <f>K7</f>
        <v>1.0326</v>
      </c>
      <c r="H49" s="126"/>
      <c r="I49" s="127">
        <v>900.39</v>
      </c>
      <c r="J49" s="128" t="s">
        <v>97</v>
      </c>
      <c r="K49" s="129">
        <f>ROUND(C49*G49*I49,0)</f>
        <v>0</v>
      </c>
      <c r="L49" s="62"/>
      <c r="M49" s="112"/>
      <c r="N49" s="141"/>
      <c r="O49" s="142"/>
      <c r="P49" s="101"/>
      <c r="Q49" s="143"/>
      <c r="V49" s="144" t="s">
        <v>78</v>
      </c>
      <c r="W49" s="145">
        <f>AB14+AB15+AB18+AB21+AB24+AB25</f>
        <v>0</v>
      </c>
      <c r="X49" s="647">
        <f>AB7</f>
        <v>1.0326</v>
      </c>
      <c r="Y49" s="647"/>
      <c r="Z49" s="132">
        <f>+I49</f>
        <v>900.39</v>
      </c>
      <c r="AA49" s="133" t="s">
        <v>97</v>
      </c>
      <c r="AB49" s="134">
        <f>ROUND(W49*X49*Z49,0)</f>
        <v>0</v>
      </c>
      <c r="AC49" s="138"/>
      <c r="AD49" s="113"/>
    </row>
    <row r="50" spans="2:30" ht="24" customHeight="1" thickBot="1" x14ac:dyDescent="0.3">
      <c r="B50" s="146" t="s">
        <v>98</v>
      </c>
      <c r="C50" s="147">
        <f>SUM(C47:C49)</f>
        <v>408.52269999999999</v>
      </c>
      <c r="D50" s="148"/>
      <c r="E50" s="149"/>
      <c r="F50" s="149"/>
      <c r="G50" s="150" t="s">
        <v>99</v>
      </c>
      <c r="H50" s="150"/>
      <c r="I50" s="150"/>
      <c r="J50" s="150"/>
      <c r="K50" s="150"/>
      <c r="L50" s="50">
        <f>IF(B2=75,0,K49+K48+K47)</f>
        <v>462360</v>
      </c>
      <c r="N50" s="3"/>
      <c r="O50" s="1"/>
      <c r="V50" s="151" t="s">
        <v>98</v>
      </c>
      <c r="W50" s="152">
        <f>SUM(W47:W49)</f>
        <v>0</v>
      </c>
      <c r="X50" s="648" t="s">
        <v>99</v>
      </c>
      <c r="Y50" s="649"/>
      <c r="Z50" s="649"/>
      <c r="AA50" s="649"/>
      <c r="AB50" s="649"/>
      <c r="AC50" s="56">
        <f>IF(V2=75,0,AB49+AB48+AB47)</f>
        <v>0</v>
      </c>
      <c r="AD50" s="9"/>
    </row>
    <row r="51" spans="2:30" ht="19.5" customHeight="1" x14ac:dyDescent="0.25">
      <c r="B51" s="153" t="s">
        <v>100</v>
      </c>
      <c r="C51" s="153"/>
      <c r="D51" s="153"/>
      <c r="E51" s="153"/>
      <c r="F51" s="153"/>
      <c r="G51" s="153"/>
      <c r="H51" s="153"/>
      <c r="I51" s="153"/>
      <c r="J51" s="153"/>
      <c r="K51" s="153"/>
      <c r="L51" s="153"/>
      <c r="M51" s="141"/>
      <c r="N51" s="101"/>
      <c r="O51" s="1"/>
      <c r="V51" s="650" t="s">
        <v>100</v>
      </c>
      <c r="W51" s="650"/>
      <c r="X51" s="650"/>
      <c r="Y51" s="650"/>
      <c r="Z51" s="650"/>
      <c r="AA51" s="650"/>
      <c r="AB51" s="650"/>
      <c r="AC51" s="650"/>
      <c r="AD51" s="154"/>
    </row>
    <row r="52" spans="2:30" ht="27.75" customHeight="1" x14ac:dyDescent="0.25">
      <c r="B52" s="13" t="s">
        <v>101</v>
      </c>
      <c r="C52" s="13"/>
      <c r="D52" s="13"/>
      <c r="E52" s="13"/>
      <c r="F52" s="13"/>
      <c r="G52" s="13"/>
      <c r="H52" s="13"/>
      <c r="I52" s="13"/>
      <c r="J52" s="13"/>
      <c r="K52" s="13"/>
      <c r="L52" s="13"/>
      <c r="O52" s="1"/>
      <c r="V52" s="651" t="s">
        <v>101</v>
      </c>
      <c r="W52" s="651"/>
      <c r="X52" s="651"/>
      <c r="Y52" s="651"/>
      <c r="Z52" s="651"/>
      <c r="AA52" s="651"/>
      <c r="AB52" s="651"/>
      <c r="AC52" s="651"/>
      <c r="AD52" s="9"/>
    </row>
    <row r="53" spans="2:30" x14ac:dyDescent="0.25">
      <c r="B53" s="13" t="s">
        <v>102</v>
      </c>
      <c r="C53" s="13"/>
      <c r="D53" s="13"/>
      <c r="E53" s="13"/>
      <c r="F53" s="13"/>
      <c r="G53" s="155">
        <f>K26</f>
        <v>408.52269999999999</v>
      </c>
      <c r="H53" s="57" t="s">
        <v>103</v>
      </c>
      <c r="I53" s="57"/>
      <c r="J53" s="156">
        <v>197823.77</v>
      </c>
      <c r="K53" s="156"/>
      <c r="L53" s="156"/>
      <c r="N53" s="3"/>
      <c r="O53" s="1"/>
      <c r="V53" s="657" t="s">
        <v>102</v>
      </c>
      <c r="W53" s="657"/>
      <c r="X53" s="157">
        <f>AB26</f>
        <v>0</v>
      </c>
      <c r="Y53" s="658" t="s">
        <v>103</v>
      </c>
      <c r="Z53" s="658"/>
      <c r="AA53" s="659">
        <f>+J53</f>
        <v>197823.77</v>
      </c>
      <c r="AB53" s="659"/>
      <c r="AC53" s="659"/>
      <c r="AD53" s="9"/>
    </row>
    <row r="54" spans="2:30" x14ac:dyDescent="0.25">
      <c r="B54" s="13" t="s">
        <v>104</v>
      </c>
      <c r="C54" s="13"/>
      <c r="D54" s="13"/>
      <c r="E54" s="13"/>
      <c r="F54" s="13"/>
      <c r="G54" s="13"/>
      <c r="H54" s="13"/>
      <c r="I54" s="13"/>
      <c r="J54" s="13"/>
      <c r="K54" s="158">
        <f>ROUND(G53/J53,6)</f>
        <v>2.065E-3</v>
      </c>
      <c r="L54" s="158"/>
      <c r="N54" s="101"/>
      <c r="O54" s="1"/>
      <c r="V54" s="657" t="s">
        <v>104</v>
      </c>
      <c r="W54" s="657"/>
      <c r="X54" s="657"/>
      <c r="Y54" s="657"/>
      <c r="Z54" s="657"/>
      <c r="AA54" s="657"/>
      <c r="AB54" s="660">
        <f>ROUND(X53/AA53,6)</f>
        <v>0</v>
      </c>
      <c r="AC54" s="660"/>
      <c r="AD54" s="9"/>
    </row>
    <row r="55" spans="2:30" ht="24" customHeight="1" x14ac:dyDescent="0.25">
      <c r="B55" s="13" t="s">
        <v>105</v>
      </c>
      <c r="C55" s="13"/>
      <c r="D55" s="13"/>
      <c r="E55" s="13"/>
      <c r="F55" s="13"/>
      <c r="G55" s="13"/>
      <c r="H55" s="13"/>
      <c r="I55" s="13"/>
      <c r="J55" s="13"/>
      <c r="K55" s="13"/>
      <c r="L55" s="13"/>
      <c r="O55" s="1"/>
      <c r="V55" s="651" t="s">
        <v>105</v>
      </c>
      <c r="W55" s="651"/>
      <c r="X55" s="651"/>
      <c r="Y55" s="651"/>
      <c r="Z55" s="651"/>
      <c r="AA55" s="651"/>
      <c r="AB55" s="651"/>
      <c r="AC55" s="651"/>
      <c r="AD55" s="9"/>
    </row>
    <row r="56" spans="2:30" x14ac:dyDescent="0.25">
      <c r="B56" s="13" t="s">
        <v>106</v>
      </c>
      <c r="C56" s="13"/>
      <c r="D56" s="13"/>
      <c r="E56" s="13"/>
      <c r="F56" s="13"/>
      <c r="G56" s="159">
        <f>G26</f>
        <v>387.03</v>
      </c>
      <c r="H56" s="57" t="s">
        <v>107</v>
      </c>
      <c r="I56" s="57"/>
      <c r="J56" s="156">
        <f>+G40</f>
        <v>180284.81</v>
      </c>
      <c r="K56" s="156"/>
      <c r="L56" s="156"/>
      <c r="O56" s="1"/>
      <c r="V56" s="657" t="s">
        <v>106</v>
      </c>
      <c r="W56" s="657"/>
      <c r="X56" s="160">
        <f>X26</f>
        <v>0</v>
      </c>
      <c r="Y56" s="658" t="s">
        <v>107</v>
      </c>
      <c r="Z56" s="658"/>
      <c r="AA56" s="659">
        <f>+J56</f>
        <v>180284.81</v>
      </c>
      <c r="AB56" s="659"/>
      <c r="AC56" s="659"/>
      <c r="AD56" s="9"/>
    </row>
    <row r="57" spans="2:30" x14ac:dyDescent="0.25">
      <c r="B57" s="13" t="s">
        <v>108</v>
      </c>
      <c r="C57" s="13"/>
      <c r="D57" s="13"/>
      <c r="E57" s="13"/>
      <c r="F57" s="13"/>
      <c r="G57" s="13"/>
      <c r="H57" s="13"/>
      <c r="I57" s="13"/>
      <c r="J57" s="13"/>
      <c r="K57" s="158">
        <f>ROUND(G56/J56,6)</f>
        <v>2.147E-3</v>
      </c>
      <c r="L57" s="158"/>
      <c r="O57" s="1"/>
      <c r="V57" s="657" t="s">
        <v>108</v>
      </c>
      <c r="W57" s="657"/>
      <c r="X57" s="657"/>
      <c r="Y57" s="657"/>
      <c r="Z57" s="657"/>
      <c r="AA57" s="657"/>
      <c r="AB57" s="660">
        <f>ROUND(X56/AA56,6)</f>
        <v>0</v>
      </c>
      <c r="AC57" s="660"/>
      <c r="AD57" s="9"/>
    </row>
    <row r="58" spans="2:30" ht="20.25" customHeight="1" x14ac:dyDescent="0.25">
      <c r="B58" s="161" t="s">
        <v>109</v>
      </c>
      <c r="C58" s="161"/>
      <c r="D58" s="161"/>
      <c r="E58" s="161"/>
      <c r="F58" s="161"/>
      <c r="G58" s="161"/>
      <c r="H58" s="161"/>
      <c r="I58" s="161"/>
      <c r="J58" s="161"/>
      <c r="K58" s="161"/>
      <c r="L58" s="161"/>
      <c r="N58" s="18"/>
      <c r="O58" s="18"/>
      <c r="V58" s="629" t="s">
        <v>110</v>
      </c>
      <c r="W58" s="629"/>
      <c r="X58" s="629"/>
      <c r="Y58" s="661">
        <f>X65+X64+X62+X61+X60</f>
        <v>4123852</v>
      </c>
      <c r="Z58" s="661"/>
      <c r="AA58" s="162" t="s">
        <v>111</v>
      </c>
      <c r="AB58" s="163">
        <f>AB54</f>
        <v>0</v>
      </c>
      <c r="AC58" s="56">
        <f>ROUND(Y58*AB58,0)</f>
        <v>0</v>
      </c>
      <c r="AD58" s="9"/>
    </row>
    <row r="59" spans="2:30" x14ac:dyDescent="0.25">
      <c r="B59" s="62" t="s">
        <v>110</v>
      </c>
      <c r="C59" s="62"/>
      <c r="D59" s="62"/>
      <c r="E59" s="62"/>
      <c r="F59" s="62"/>
      <c r="G59" s="62"/>
      <c r="H59" s="164" t="s">
        <v>22</v>
      </c>
      <c r="I59" s="129">
        <v>4123852</v>
      </c>
      <c r="J59" s="165" t="s">
        <v>111</v>
      </c>
      <c r="K59" s="166">
        <f>K54</f>
        <v>2.065E-3</v>
      </c>
      <c r="L59" s="50">
        <f>ROUND(I59*K59,0)</f>
        <v>8516</v>
      </c>
      <c r="O59" s="1"/>
      <c r="P59" s="165"/>
      <c r="Q59" s="165"/>
      <c r="V59" s="662" t="s">
        <v>112</v>
      </c>
      <c r="W59" s="662"/>
      <c r="X59" s="662"/>
      <c r="Y59" s="662"/>
      <c r="Z59" s="662"/>
      <c r="AA59" s="662"/>
      <c r="AB59" s="662"/>
      <c r="AC59" s="662"/>
      <c r="AD59" s="9"/>
    </row>
    <row r="60" spans="2:30" x14ac:dyDescent="0.25">
      <c r="B60" s="62" t="s">
        <v>112</v>
      </c>
      <c r="C60" s="62"/>
      <c r="D60" s="62"/>
      <c r="E60" s="62"/>
      <c r="F60" s="62"/>
      <c r="G60" s="62"/>
      <c r="H60" s="62"/>
      <c r="I60" s="62"/>
      <c r="J60" s="62"/>
      <c r="K60" s="62"/>
      <c r="L60" s="62"/>
      <c r="O60" s="1"/>
      <c r="P60" s="165"/>
      <c r="Q60" s="165"/>
      <c r="V60" s="663" t="s">
        <v>113</v>
      </c>
      <c r="W60" s="663"/>
      <c r="X60" s="664">
        <f>+G61</f>
        <v>0</v>
      </c>
      <c r="Y60" s="664"/>
      <c r="Z60" s="664"/>
      <c r="AA60" s="664"/>
      <c r="AB60" s="664"/>
      <c r="AC60" s="664"/>
      <c r="AD60" s="9"/>
    </row>
    <row r="61" spans="2:30" ht="15" customHeight="1" x14ac:dyDescent="0.25">
      <c r="B61" s="167" t="s">
        <v>113</v>
      </c>
      <c r="C61" s="62"/>
      <c r="D61" s="62"/>
      <c r="E61" s="62"/>
      <c r="F61" s="62"/>
      <c r="G61" s="168">
        <v>0</v>
      </c>
      <c r="H61" s="168"/>
      <c r="I61" s="168"/>
      <c r="J61" s="168"/>
      <c r="K61" s="168"/>
      <c r="L61" s="168"/>
      <c r="O61" s="1"/>
      <c r="P61" s="165"/>
      <c r="Q61" s="165"/>
      <c r="V61" s="663" t="s">
        <v>114</v>
      </c>
      <c r="W61" s="663"/>
      <c r="X61" s="664">
        <f>+G62</f>
        <v>0</v>
      </c>
      <c r="Y61" s="664"/>
      <c r="Z61" s="664"/>
      <c r="AA61" s="664"/>
      <c r="AB61" s="664"/>
      <c r="AC61" s="664"/>
      <c r="AD61" s="9"/>
    </row>
    <row r="62" spans="2:30" ht="13.5" customHeight="1" x14ac:dyDescent="0.25">
      <c r="B62" s="167" t="s">
        <v>114</v>
      </c>
      <c r="C62" s="62"/>
      <c r="D62" s="62"/>
      <c r="E62" s="62"/>
      <c r="F62" s="62"/>
      <c r="G62" s="168">
        <v>0</v>
      </c>
      <c r="H62" s="168"/>
      <c r="I62" s="168"/>
      <c r="J62" s="168"/>
      <c r="K62" s="168"/>
      <c r="L62" s="168"/>
      <c r="N62" s="165"/>
      <c r="O62" s="165"/>
      <c r="P62" s="165"/>
      <c r="Q62" s="165"/>
      <c r="V62" s="663" t="s">
        <v>115</v>
      </c>
      <c r="W62" s="663"/>
      <c r="X62" s="664">
        <v>0</v>
      </c>
      <c r="Y62" s="664"/>
      <c r="Z62" s="664"/>
      <c r="AA62" s="664"/>
      <c r="AB62" s="664"/>
      <c r="AC62" s="664"/>
      <c r="AD62" s="9"/>
    </row>
    <row r="63" spans="2:30" ht="13.5" hidden="1" customHeight="1" x14ac:dyDescent="0.25">
      <c r="B63" s="62" t="s">
        <v>115</v>
      </c>
      <c r="C63" s="62"/>
      <c r="D63" s="62"/>
      <c r="E63" s="62"/>
      <c r="F63" s="62"/>
      <c r="G63" s="168">
        <v>0</v>
      </c>
      <c r="H63" s="168"/>
      <c r="I63" s="168"/>
      <c r="J63" s="168"/>
      <c r="K63" s="168"/>
      <c r="L63" s="168"/>
      <c r="O63" s="1"/>
      <c r="P63" s="165"/>
      <c r="Q63" s="165"/>
      <c r="V63" s="662" t="s">
        <v>116</v>
      </c>
      <c r="W63" s="662"/>
      <c r="X63" s="662"/>
      <c r="Y63" s="662"/>
      <c r="Z63" s="662"/>
      <c r="AA63" s="662"/>
      <c r="AB63" s="662"/>
      <c r="AC63" s="662"/>
      <c r="AD63" s="117"/>
    </row>
    <row r="64" spans="2:30" ht="13.5" customHeight="1" x14ac:dyDescent="0.25">
      <c r="B64" s="62" t="s">
        <v>116</v>
      </c>
      <c r="C64" s="62"/>
      <c r="D64" s="62"/>
      <c r="E64" s="62"/>
      <c r="F64" s="62"/>
      <c r="G64" s="62"/>
      <c r="H64" s="62"/>
      <c r="I64" s="62"/>
      <c r="J64" s="62"/>
      <c r="K64" s="62"/>
      <c r="L64" s="62"/>
      <c r="M64" s="116"/>
      <c r="N64" s="18"/>
      <c r="O64" s="1"/>
      <c r="V64" s="663" t="s">
        <v>117</v>
      </c>
      <c r="W64" s="663"/>
      <c r="X64" s="664">
        <f>+G65</f>
        <v>4123852</v>
      </c>
      <c r="Y64" s="664"/>
      <c r="Z64" s="664"/>
      <c r="AA64" s="664"/>
      <c r="AB64" s="664"/>
      <c r="AC64" s="664"/>
      <c r="AD64" s="9"/>
    </row>
    <row r="65" spans="1:30" ht="12.75" customHeight="1" x14ac:dyDescent="0.25">
      <c r="B65" s="167" t="s">
        <v>117</v>
      </c>
      <c r="C65" s="62"/>
      <c r="D65" s="62"/>
      <c r="E65" s="62"/>
      <c r="F65" s="62"/>
      <c r="G65" s="168">
        <f>+I59</f>
        <v>4123852</v>
      </c>
      <c r="H65" s="168"/>
      <c r="I65" s="168"/>
      <c r="J65" s="168"/>
      <c r="K65" s="168"/>
      <c r="L65" s="168"/>
      <c r="O65" s="1"/>
      <c r="V65" s="663" t="s">
        <v>118</v>
      </c>
      <c r="W65" s="663"/>
      <c r="X65" s="664">
        <f>+G66</f>
        <v>0</v>
      </c>
      <c r="Y65" s="664"/>
      <c r="Z65" s="664"/>
      <c r="AA65" s="664"/>
      <c r="AB65" s="664"/>
      <c r="AC65" s="664"/>
      <c r="AD65" s="20"/>
    </row>
    <row r="66" spans="1:30" ht="15" customHeight="1" x14ac:dyDescent="0.25">
      <c r="B66" s="167" t="s">
        <v>118</v>
      </c>
      <c r="C66" s="62"/>
      <c r="D66" s="62"/>
      <c r="E66" s="62"/>
      <c r="F66" s="62"/>
      <c r="G66" s="168">
        <v>0</v>
      </c>
      <c r="H66" s="168"/>
      <c r="I66" s="168"/>
      <c r="J66" s="168"/>
      <c r="K66" s="168"/>
      <c r="L66" s="168"/>
      <c r="M66" s="18"/>
      <c r="N66" s="3"/>
      <c r="O66" s="169"/>
      <c r="P66" s="169"/>
      <c r="Q66" s="169"/>
      <c r="V66" s="651" t="s">
        <v>119</v>
      </c>
      <c r="W66" s="651"/>
      <c r="X66" s="651"/>
      <c r="Y66" s="661">
        <f>+I67</f>
        <v>96774526</v>
      </c>
      <c r="Z66" s="661"/>
      <c r="AA66" s="162" t="s">
        <v>111</v>
      </c>
      <c r="AB66" s="163">
        <f>AB54</f>
        <v>0</v>
      </c>
      <c r="AC66" s="56">
        <f>ROUND(Y66*AB66,0)</f>
        <v>0</v>
      </c>
      <c r="AD66" s="9"/>
    </row>
    <row r="67" spans="1:30" ht="20.25" customHeight="1" x14ac:dyDescent="0.25">
      <c r="B67" s="13" t="s">
        <v>119</v>
      </c>
      <c r="C67" s="13"/>
      <c r="D67" s="13"/>
      <c r="E67" s="13"/>
      <c r="F67" s="13"/>
      <c r="H67" s="164" t="s">
        <v>25</v>
      </c>
      <c r="I67" s="129">
        <v>96774526</v>
      </c>
      <c r="J67" s="165" t="s">
        <v>111</v>
      </c>
      <c r="K67" s="166">
        <f>K54</f>
        <v>2.065E-3</v>
      </c>
      <c r="L67" s="50">
        <f>ROUND(I67*K67,0)</f>
        <v>199839</v>
      </c>
      <c r="O67" s="1"/>
      <c r="V67" s="651" t="s">
        <v>120</v>
      </c>
      <c r="W67" s="651"/>
      <c r="X67" s="651"/>
      <c r="Y67" s="651"/>
      <c r="Z67" s="651"/>
      <c r="AA67" s="651"/>
      <c r="AB67" s="651"/>
      <c r="AC67" s="651"/>
      <c r="AD67" s="9"/>
    </row>
    <row r="68" spans="1:30" ht="20.25" customHeight="1" x14ac:dyDescent="0.25">
      <c r="B68" s="13" t="s">
        <v>120</v>
      </c>
      <c r="C68" s="13"/>
      <c r="D68" s="13"/>
      <c r="E68" s="13"/>
      <c r="F68" s="13"/>
      <c r="H68" s="13"/>
      <c r="I68" s="13"/>
      <c r="J68" s="82"/>
      <c r="K68" s="13"/>
      <c r="L68" s="13"/>
      <c r="O68" s="1"/>
      <c r="V68" s="667" t="s">
        <v>121</v>
      </c>
      <c r="W68" s="667"/>
      <c r="X68" s="667"/>
      <c r="Y68" s="661">
        <f>+I69</f>
        <v>0</v>
      </c>
      <c r="Z68" s="661"/>
      <c r="AA68" s="162" t="s">
        <v>111</v>
      </c>
      <c r="AB68" s="163">
        <f>AB57</f>
        <v>0</v>
      </c>
      <c r="AC68" s="56">
        <f>ROUND(Y68*AB68,0)</f>
        <v>0</v>
      </c>
      <c r="AD68" s="9"/>
    </row>
    <row r="69" spans="1:30" ht="15" customHeight="1" x14ac:dyDescent="0.25">
      <c r="B69" s="170" t="s">
        <v>121</v>
      </c>
      <c r="C69" s="13"/>
      <c r="D69" s="13"/>
      <c r="E69" s="13"/>
      <c r="F69" s="13"/>
      <c r="H69" s="164" t="s">
        <v>23</v>
      </c>
      <c r="I69" s="129">
        <v>0</v>
      </c>
      <c r="J69" s="165" t="s">
        <v>111</v>
      </c>
      <c r="K69" s="166">
        <f>K57</f>
        <v>2.147E-3</v>
      </c>
      <c r="L69" s="50">
        <f>ROUND(I69*K69,0)</f>
        <v>0</v>
      </c>
      <c r="O69" s="1"/>
      <c r="V69" s="651" t="s">
        <v>122</v>
      </c>
      <c r="W69" s="651"/>
      <c r="X69" s="651"/>
      <c r="Y69" s="668">
        <f>+I70</f>
        <v>-3460775</v>
      </c>
      <c r="Z69" s="668"/>
      <c r="AA69" s="162" t="s">
        <v>111</v>
      </c>
      <c r="AB69" s="163">
        <f>AB54</f>
        <v>0</v>
      </c>
      <c r="AC69" s="56">
        <f>ROUND(Y69*AB69,0)</f>
        <v>0</v>
      </c>
      <c r="AD69" s="9"/>
    </row>
    <row r="70" spans="1:30" ht="20.25" customHeight="1" x14ac:dyDescent="0.25">
      <c r="B70" s="13" t="s">
        <v>122</v>
      </c>
      <c r="C70" s="13"/>
      <c r="D70" s="13"/>
      <c r="E70" s="13"/>
      <c r="F70" s="13"/>
      <c r="H70" s="164" t="s">
        <v>22</v>
      </c>
      <c r="I70" s="129">
        <v>-3460775</v>
      </c>
      <c r="J70" s="165" t="s">
        <v>111</v>
      </c>
      <c r="K70" s="166">
        <f>K54</f>
        <v>2.065E-3</v>
      </c>
      <c r="L70" s="50">
        <f>ROUND(I70*K70,0)</f>
        <v>-7147</v>
      </c>
      <c r="O70" s="1"/>
      <c r="V70" s="651" t="s">
        <v>123</v>
      </c>
      <c r="W70" s="651"/>
      <c r="X70" s="651"/>
      <c r="Y70" s="665">
        <f>+I71</f>
        <v>1874788</v>
      </c>
      <c r="Z70" s="665"/>
      <c r="AA70" s="162" t="s">
        <v>111</v>
      </c>
      <c r="AB70" s="163">
        <f>AB54</f>
        <v>0</v>
      </c>
      <c r="AC70" s="56">
        <f>ROUND(Y70*AB70,0)</f>
        <v>0</v>
      </c>
      <c r="AD70" s="9"/>
    </row>
    <row r="71" spans="1:30" ht="20.25" customHeight="1" x14ac:dyDescent="0.25">
      <c r="B71" s="13" t="s">
        <v>123</v>
      </c>
      <c r="C71" s="13"/>
      <c r="D71" s="13"/>
      <c r="E71" s="13"/>
      <c r="F71" s="13"/>
      <c r="H71" s="164" t="s">
        <v>22</v>
      </c>
      <c r="I71" s="129">
        <v>1874788</v>
      </c>
      <c r="J71" s="165" t="s">
        <v>111</v>
      </c>
      <c r="K71" s="166">
        <f>K54</f>
        <v>2.065E-3</v>
      </c>
      <c r="L71" s="50">
        <f>ROUND(I71*K71,0)</f>
        <v>3871</v>
      </c>
      <c r="O71" s="1"/>
      <c r="V71" s="651" t="s">
        <v>124</v>
      </c>
      <c r="W71" s="651"/>
      <c r="X71" s="651"/>
      <c r="Y71" s="665">
        <f>+I72</f>
        <v>14223298</v>
      </c>
      <c r="Z71" s="665"/>
      <c r="AA71" s="162" t="s">
        <v>111</v>
      </c>
      <c r="AB71" s="163">
        <f>AB57</f>
        <v>0</v>
      </c>
      <c r="AC71" s="56">
        <f>ROUND(Y71*AB71,0)</f>
        <v>0</v>
      </c>
      <c r="AD71" s="9"/>
    </row>
    <row r="72" spans="1:30" ht="21" customHeight="1" x14ac:dyDescent="0.25">
      <c r="B72" s="13" t="s">
        <v>124</v>
      </c>
      <c r="C72" s="13"/>
      <c r="D72" s="13"/>
      <c r="E72" s="13"/>
      <c r="F72" s="13"/>
      <c r="H72" s="164" t="s">
        <v>23</v>
      </c>
      <c r="I72" s="171">
        <v>14223298</v>
      </c>
      <c r="J72" s="165" t="s">
        <v>111</v>
      </c>
      <c r="K72" s="166">
        <f>K57</f>
        <v>2.147E-3</v>
      </c>
      <c r="L72" s="50">
        <f>ROUND(I72*K72,0)</f>
        <v>30537</v>
      </c>
      <c r="O72" s="1"/>
      <c r="V72" s="623" t="s">
        <v>125</v>
      </c>
      <c r="W72" s="623"/>
      <c r="X72" s="623"/>
      <c r="Y72" s="623"/>
      <c r="Z72" s="623"/>
      <c r="AA72" s="623"/>
      <c r="AB72" s="623"/>
      <c r="AC72" s="60"/>
      <c r="AD72" s="9"/>
    </row>
    <row r="73" spans="1:30" ht="17.25" customHeight="1" x14ac:dyDescent="0.25">
      <c r="B73" s="13" t="s">
        <v>125</v>
      </c>
      <c r="C73" s="13"/>
      <c r="D73" s="13"/>
      <c r="E73" s="13"/>
      <c r="F73" s="13"/>
      <c r="H73" s="13"/>
      <c r="I73" s="13"/>
      <c r="J73" s="82"/>
      <c r="K73" s="13"/>
      <c r="L73" s="59"/>
      <c r="O73" s="1"/>
      <c r="V73" s="651" t="s">
        <v>126</v>
      </c>
      <c r="W73" s="651"/>
      <c r="X73" s="651"/>
      <c r="Y73" s="651"/>
      <c r="Z73" s="651"/>
      <c r="AA73" s="651"/>
      <c r="AB73" s="651"/>
      <c r="AC73" s="651"/>
      <c r="AD73" s="9"/>
    </row>
    <row r="74" spans="1:30" ht="31.5" x14ac:dyDescent="0.25">
      <c r="B74" s="13" t="s">
        <v>126</v>
      </c>
      <c r="C74" s="13"/>
      <c r="D74" s="27" t="s">
        <v>13</v>
      </c>
      <c r="E74" s="27" t="s">
        <v>14</v>
      </c>
      <c r="F74" s="27"/>
      <c r="H74" s="164" t="s">
        <v>26</v>
      </c>
      <c r="I74" s="172"/>
      <c r="J74" s="164"/>
      <c r="K74" s="172"/>
      <c r="L74" s="112"/>
      <c r="O74" s="1"/>
      <c r="V74" s="666" t="s">
        <v>127</v>
      </c>
      <c r="W74" s="666"/>
      <c r="X74" s="173" t="s">
        <v>128</v>
      </c>
      <c r="Y74" s="174"/>
      <c r="Z74" s="175">
        <f>+I75</f>
        <v>0</v>
      </c>
      <c r="AA74" s="176" t="s">
        <v>129</v>
      </c>
      <c r="AB74" s="177">
        <f>+K75</f>
        <v>361</v>
      </c>
      <c r="AC74" s="56">
        <f>ROUND(AB74*Z74,0)</f>
        <v>0</v>
      </c>
      <c r="AD74" s="9"/>
    </row>
    <row r="75" spans="1:30" ht="19.5" customHeight="1" x14ac:dyDescent="0.25">
      <c r="A75" s="1" t="s">
        <v>130</v>
      </c>
      <c r="B75" s="178" t="s">
        <v>127</v>
      </c>
      <c r="C75" s="179" t="s">
        <v>128</v>
      </c>
      <c r="D75" s="178">
        <v>0</v>
      </c>
      <c r="E75" s="178">
        <v>0</v>
      </c>
      <c r="F75" s="178">
        <v>0</v>
      </c>
      <c r="G75" s="180">
        <f>IF(E75=0,D75,E75)</f>
        <v>0</v>
      </c>
      <c r="H75" s="181"/>
      <c r="I75" s="182">
        <f>AVERAGE(G75,D75)</f>
        <v>0</v>
      </c>
      <c r="J75" s="183" t="s">
        <v>129</v>
      </c>
      <c r="K75" s="184">
        <v>361</v>
      </c>
      <c r="L75" s="50">
        <f>ROUND(K75*I75,0)</f>
        <v>0</v>
      </c>
      <c r="N75" s="1">
        <v>7802</v>
      </c>
      <c r="O75" s="1">
        <v>0</v>
      </c>
      <c r="V75" s="666" t="s">
        <v>127</v>
      </c>
      <c r="W75" s="666"/>
      <c r="X75" s="173" t="s">
        <v>131</v>
      </c>
      <c r="Y75" s="185"/>
      <c r="Z75" s="186">
        <f>+I76</f>
        <v>0</v>
      </c>
      <c r="AA75" s="176" t="s">
        <v>129</v>
      </c>
      <c r="AB75" s="187">
        <f>+K76</f>
        <v>1358</v>
      </c>
      <c r="AC75" s="56">
        <f>ROUND(AB75*Z75,0)</f>
        <v>0</v>
      </c>
      <c r="AD75" s="9"/>
    </row>
    <row r="76" spans="1:30" ht="19.5" customHeight="1" x14ac:dyDescent="0.25">
      <c r="A76" s="1" t="s">
        <v>132</v>
      </c>
      <c r="B76" s="178" t="s">
        <v>127</v>
      </c>
      <c r="C76" s="179" t="s">
        <v>131</v>
      </c>
      <c r="D76" s="178">
        <v>0</v>
      </c>
      <c r="E76" s="178">
        <v>0</v>
      </c>
      <c r="F76" s="178">
        <v>0</v>
      </c>
      <c r="G76" s="180">
        <f>IF(E76=0,D76,E76)</f>
        <v>0</v>
      </c>
      <c r="H76" s="181"/>
      <c r="I76" s="182">
        <f>AVERAGE(G76,D76)</f>
        <v>0</v>
      </c>
      <c r="J76" s="183" t="s">
        <v>129</v>
      </c>
      <c r="K76" s="188">
        <v>1358</v>
      </c>
      <c r="L76" s="50">
        <f>ROUND(K76*I76,0)</f>
        <v>0</v>
      </c>
      <c r="N76" s="1">
        <v>7802</v>
      </c>
      <c r="O76" s="1">
        <v>110</v>
      </c>
      <c r="V76" s="651" t="s">
        <v>133</v>
      </c>
      <c r="W76" s="651"/>
      <c r="X76" s="651"/>
      <c r="Y76" s="661">
        <f>+I77</f>
        <v>33305823</v>
      </c>
      <c r="Z76" s="661"/>
      <c r="AA76" s="176" t="s">
        <v>129</v>
      </c>
      <c r="AB76" s="163">
        <f>AB54</f>
        <v>0</v>
      </c>
      <c r="AC76" s="56">
        <f>ROUND(Y76*AB76,0)</f>
        <v>0</v>
      </c>
      <c r="AD76" s="9"/>
    </row>
    <row r="77" spans="1:30" ht="26.25" customHeight="1" x14ac:dyDescent="0.25">
      <c r="B77" s="13" t="s">
        <v>133</v>
      </c>
      <c r="C77" s="13"/>
      <c r="D77" s="13"/>
      <c r="E77" s="13"/>
      <c r="F77" s="13"/>
      <c r="H77" s="164" t="s">
        <v>134</v>
      </c>
      <c r="I77" s="189">
        <v>33305823</v>
      </c>
      <c r="J77" s="165" t="s">
        <v>111</v>
      </c>
      <c r="K77" s="166">
        <f>K54</f>
        <v>2.065E-3</v>
      </c>
      <c r="L77" s="50">
        <f>ROUND(I77*K77,0)</f>
        <v>68777</v>
      </c>
      <c r="O77" s="1"/>
      <c r="V77" s="651" t="str">
        <f>+B78</f>
        <v>15.  Additional Allocation (WFTE share)</v>
      </c>
      <c r="W77" s="651"/>
      <c r="X77" s="651"/>
      <c r="Y77" s="661">
        <f>+I78</f>
        <v>680688</v>
      </c>
      <c r="Z77" s="661"/>
      <c r="AA77" s="176" t="s">
        <v>129</v>
      </c>
      <c r="AB77" s="163">
        <f>AB54</f>
        <v>0</v>
      </c>
      <c r="AC77" s="56">
        <f>ROUND(Y77*AB77,0)</f>
        <v>0</v>
      </c>
      <c r="AD77" s="9"/>
    </row>
    <row r="78" spans="1:30" ht="26.25" customHeight="1" x14ac:dyDescent="0.25">
      <c r="B78" s="669" t="s">
        <v>135</v>
      </c>
      <c r="C78" s="669"/>
      <c r="D78" s="669"/>
      <c r="E78" s="13"/>
      <c r="F78" s="13"/>
      <c r="H78" s="164" t="s">
        <v>136</v>
      </c>
      <c r="I78" s="190">
        <v>680688</v>
      </c>
      <c r="J78" s="165" t="s">
        <v>111</v>
      </c>
      <c r="K78" s="166">
        <f>K54</f>
        <v>2.065E-3</v>
      </c>
      <c r="L78" s="50">
        <f>ROUND(I78*K78,0)</f>
        <v>1406</v>
      </c>
      <c r="O78" s="1"/>
      <c r="V78" s="651" t="str">
        <f t="shared" ref="V78:V79" si="11">+B79</f>
        <v>16.  Florida Teachers Lead Program Stipend</v>
      </c>
      <c r="W78" s="651"/>
      <c r="X78" s="651"/>
      <c r="Y78" s="191"/>
      <c r="Z78" s="191"/>
      <c r="AA78" s="191"/>
      <c r="AB78" s="191"/>
      <c r="AC78" s="134"/>
      <c r="AD78" s="9"/>
    </row>
    <row r="79" spans="1:30" ht="21" customHeight="1" x14ac:dyDescent="0.25">
      <c r="B79" s="669" t="s">
        <v>137</v>
      </c>
      <c r="C79" s="669"/>
      <c r="D79" s="669"/>
      <c r="E79" s="13"/>
      <c r="F79" s="13"/>
      <c r="H79" s="164"/>
      <c r="I79" s="172"/>
      <c r="J79" s="172"/>
      <c r="K79" s="172"/>
      <c r="L79" s="129"/>
      <c r="N79" s="192"/>
      <c r="O79" s="1"/>
      <c r="Q79" s="164"/>
      <c r="V79" s="651" t="str">
        <f t="shared" si="11"/>
        <v>17.  Food Service Allocation</v>
      </c>
      <c r="W79" s="651"/>
      <c r="X79" s="651"/>
      <c r="Y79" s="191"/>
      <c r="Z79" s="191"/>
      <c r="AA79" s="191"/>
      <c r="AB79" s="191"/>
      <c r="AC79" s="193"/>
      <c r="AD79" s="9"/>
    </row>
    <row r="80" spans="1:30" ht="21" customHeight="1" x14ac:dyDescent="0.25">
      <c r="B80" s="669" t="s">
        <v>138</v>
      </c>
      <c r="C80" s="669"/>
      <c r="D80" s="669"/>
      <c r="E80" s="13"/>
      <c r="F80" s="13"/>
      <c r="H80" s="194" t="s">
        <v>139</v>
      </c>
      <c r="I80" s="195"/>
      <c r="J80" s="195"/>
      <c r="K80" s="195"/>
      <c r="L80" s="196"/>
      <c r="N80" s="197"/>
      <c r="O80" s="1"/>
      <c r="Q80" s="164"/>
      <c r="V80" s="191"/>
      <c r="W80" s="191"/>
      <c r="X80" s="191"/>
      <c r="Y80" s="191"/>
      <c r="Z80" s="191"/>
      <c r="AA80" s="191"/>
      <c r="AB80" s="191"/>
      <c r="AC80" s="193"/>
      <c r="AD80" s="9"/>
    </row>
    <row r="81" spans="1:30" ht="21" customHeight="1" thickBot="1" x14ac:dyDescent="0.3">
      <c r="B81" s="13"/>
      <c r="C81" s="13"/>
      <c r="D81" s="13"/>
      <c r="E81" s="13"/>
      <c r="F81" s="13"/>
      <c r="G81" s="13"/>
      <c r="H81" s="13"/>
      <c r="I81" s="13"/>
      <c r="J81" s="13"/>
      <c r="K81" s="13"/>
      <c r="L81" s="196"/>
      <c r="M81" s="198"/>
      <c r="N81" s="197"/>
      <c r="O81" s="1"/>
      <c r="Q81" s="164"/>
      <c r="V81" s="191" t="s">
        <v>140</v>
      </c>
      <c r="W81" s="191"/>
      <c r="X81" s="191"/>
      <c r="Y81" s="191"/>
      <c r="Z81" s="191"/>
      <c r="AA81" s="191"/>
      <c r="AB81" s="191"/>
      <c r="AC81" s="199">
        <f>SUM(AC44:AC80)</f>
        <v>0</v>
      </c>
      <c r="AD81" s="200"/>
    </row>
    <row r="82" spans="1:30" ht="22.5" customHeight="1" thickTop="1" thickBot="1" x14ac:dyDescent="0.3">
      <c r="B82" s="13" t="s">
        <v>141</v>
      </c>
      <c r="C82" s="13"/>
      <c r="D82" s="13"/>
      <c r="E82" s="13"/>
      <c r="F82" s="13"/>
      <c r="G82" s="13"/>
      <c r="H82" s="13"/>
      <c r="I82" s="13"/>
      <c r="J82" s="13"/>
      <c r="K82" s="13"/>
      <c r="L82" s="201">
        <f>SUM(L44:L81)</f>
        <v>2492199</v>
      </c>
      <c r="M82" s="202"/>
      <c r="N82" s="203"/>
      <c r="O82" s="1"/>
      <c r="Q82" s="164"/>
      <c r="V82" s="191"/>
      <c r="W82" s="191"/>
      <c r="X82" s="191"/>
      <c r="Y82" s="191"/>
      <c r="Z82" s="191"/>
      <c r="AA82" s="191"/>
      <c r="AB82" s="191"/>
      <c r="AC82" s="204"/>
      <c r="AD82" s="200"/>
    </row>
    <row r="83" spans="1:30" ht="27.75" customHeight="1" thickTop="1" x14ac:dyDescent="0.25">
      <c r="B83" s="13" t="s">
        <v>142</v>
      </c>
      <c r="C83" s="13"/>
      <c r="D83" s="13"/>
      <c r="E83" s="13"/>
      <c r="F83" s="13"/>
      <c r="G83" s="13"/>
      <c r="H83" s="13"/>
      <c r="I83" s="13"/>
      <c r="J83" s="13"/>
      <c r="K83" s="82" t="s">
        <v>143</v>
      </c>
      <c r="L83" s="205" t="s">
        <v>144</v>
      </c>
      <c r="M83" s="202"/>
      <c r="N83" s="203"/>
      <c r="O83" s="1"/>
      <c r="Q83" s="164"/>
      <c r="V83" s="9" t="s">
        <v>145</v>
      </c>
      <c r="W83" s="9"/>
      <c r="X83" s="9"/>
      <c r="Y83" s="9"/>
      <c r="Z83" s="9"/>
      <c r="AA83" s="9"/>
      <c r="AB83" s="9"/>
      <c r="AC83" s="9"/>
      <c r="AD83" s="206"/>
    </row>
    <row r="84" spans="1:30" ht="18.75" customHeight="1" thickBot="1" x14ac:dyDescent="0.3">
      <c r="B84" s="13" t="s">
        <v>146</v>
      </c>
      <c r="C84" s="13"/>
      <c r="D84" s="13"/>
      <c r="E84" s="13"/>
      <c r="F84" s="13"/>
      <c r="G84" s="13"/>
      <c r="H84" s="13"/>
      <c r="I84" s="13"/>
      <c r="J84" s="13"/>
      <c r="K84" s="207" t="str">
        <f>IF(G26=0,"",IF((G11+G13+SUM(G15:G21))/G26&gt;0.75,1,""))</f>
        <v/>
      </c>
      <c r="L84" s="201">
        <f>'2911'!AC81</f>
        <v>0</v>
      </c>
      <c r="M84" s="202"/>
      <c r="N84" s="203"/>
      <c r="O84" s="1"/>
      <c r="Q84" s="164"/>
      <c r="V84" s="208" t="s">
        <v>147</v>
      </c>
      <c r="W84" s="208"/>
      <c r="X84" s="208"/>
      <c r="Y84" s="208"/>
      <c r="Z84" s="208"/>
      <c r="AA84" s="208"/>
      <c r="AB84" s="208"/>
      <c r="AC84" s="208"/>
      <c r="AD84" s="9"/>
    </row>
    <row r="85" spans="1:30" ht="18.75" customHeight="1" thickTop="1" x14ac:dyDescent="0.25">
      <c r="B85" s="13"/>
      <c r="C85" s="13"/>
      <c r="D85" s="13"/>
      <c r="E85" s="13"/>
      <c r="F85" s="13"/>
      <c r="G85" s="13"/>
      <c r="H85" s="13"/>
      <c r="I85" s="13"/>
      <c r="J85" s="13"/>
      <c r="M85" s="202"/>
      <c r="N85" s="203"/>
      <c r="O85" s="1"/>
      <c r="Q85" s="164"/>
      <c r="V85" s="208" t="s">
        <v>148</v>
      </c>
      <c r="W85" s="208"/>
      <c r="X85" s="208"/>
      <c r="Y85" s="208"/>
      <c r="Z85" s="208"/>
      <c r="AA85" s="208"/>
      <c r="AB85" s="208"/>
      <c r="AC85" s="208"/>
      <c r="AD85" s="206"/>
    </row>
    <row r="86" spans="1:30" ht="18.75" customHeight="1" x14ac:dyDescent="0.25">
      <c r="B86" s="2" t="s">
        <v>421</v>
      </c>
      <c r="C86" s="13"/>
      <c r="D86" s="13"/>
      <c r="E86" s="13"/>
      <c r="F86" s="13"/>
      <c r="G86" s="13"/>
      <c r="H86" s="13"/>
      <c r="I86" s="13"/>
      <c r="J86" s="209" t="s">
        <v>150</v>
      </c>
      <c r="K86" s="210">
        <f>IF(K84=1,L84,L82)</f>
        <v>2492199</v>
      </c>
      <c r="L86" s="211">
        <f>IF(G26=0,0,IF(G26&gt;250,-(((250/G26)*K86)*IF(M86="H",0.02,0.05)),IF(M86="H",-0.02*K86,-0.05*K86)))</f>
        <v>-32196.45763894272</v>
      </c>
      <c r="M86" s="212" t="str">
        <f>IF(B123="2801","H",IF(B123="2911","H",IF(B123="3382","H"," ")))</f>
        <v>H</v>
      </c>
      <c r="N86" s="203"/>
      <c r="O86" s="1"/>
      <c r="Q86" s="164"/>
      <c r="V86" s="208" t="s">
        <v>151</v>
      </c>
      <c r="W86" s="208"/>
      <c r="X86" s="208"/>
      <c r="Y86" s="208"/>
      <c r="Z86" s="208"/>
      <c r="AA86" s="208"/>
      <c r="AB86" s="208"/>
      <c r="AC86" s="208"/>
      <c r="AD86" s="206"/>
    </row>
    <row r="87" spans="1:30" ht="18.75" customHeight="1" x14ac:dyDescent="0.25">
      <c r="B87" s="2" t="s">
        <v>152</v>
      </c>
      <c r="C87" s="13"/>
      <c r="D87" s="13"/>
      <c r="E87" s="13"/>
      <c r="F87" s="13"/>
      <c r="G87" s="13"/>
      <c r="H87" s="13"/>
      <c r="I87" s="13"/>
      <c r="J87" s="13"/>
      <c r="K87" s="213"/>
      <c r="L87" s="205">
        <f>L82+L86</f>
        <v>2460002.5423610574</v>
      </c>
      <c r="M87" s="202"/>
      <c r="N87" s="203"/>
      <c r="O87" s="1"/>
      <c r="Q87" s="164"/>
      <c r="V87" s="198"/>
      <c r="W87" s="198"/>
      <c r="X87" s="198"/>
      <c r="Y87" s="198"/>
      <c r="Z87" s="198"/>
      <c r="AA87" s="198"/>
      <c r="AB87" s="198"/>
      <c r="AC87" s="198"/>
      <c r="AD87" s="214"/>
    </row>
    <row r="88" spans="1:30" x14ac:dyDescent="0.25">
      <c r="V88" s="198"/>
      <c r="W88" s="198"/>
      <c r="X88" s="198"/>
      <c r="Y88" s="198"/>
      <c r="Z88" s="198"/>
      <c r="AA88" s="198"/>
      <c r="AB88" s="198"/>
      <c r="AC88" s="198"/>
      <c r="AD88" s="215"/>
    </row>
    <row r="89" spans="1:30" ht="18.75" customHeight="1" x14ac:dyDescent="0.25">
      <c r="A89" s="1" t="s">
        <v>153</v>
      </c>
      <c r="B89" s="13" t="s">
        <v>154</v>
      </c>
      <c r="C89" s="13"/>
      <c r="D89" s="13">
        <v>1210504</v>
      </c>
      <c r="E89" s="13">
        <v>207516</v>
      </c>
      <c r="F89" s="13">
        <v>2040568</v>
      </c>
      <c r="G89" s="13"/>
      <c r="H89" s="13"/>
      <c r="I89" s="13"/>
      <c r="J89" s="13"/>
      <c r="K89" s="213"/>
      <c r="L89" s="84">
        <f>-F89-209717</f>
        <v>-2250285</v>
      </c>
      <c r="M89" s="202"/>
      <c r="N89" s="203"/>
      <c r="O89" s="1"/>
      <c r="Q89" s="164"/>
      <c r="V89" s="198">
        <v>2801</v>
      </c>
      <c r="W89" s="198"/>
      <c r="X89" s="198"/>
      <c r="Y89" s="198"/>
      <c r="Z89" s="198"/>
      <c r="AA89" s="198"/>
      <c r="AB89" s="198"/>
      <c r="AC89" s="198"/>
      <c r="AD89" s="214"/>
    </row>
    <row r="90" spans="1:30" ht="18.75" customHeight="1" x14ac:dyDescent="0.25">
      <c r="B90" s="13" t="s">
        <v>155</v>
      </c>
      <c r="C90" s="13"/>
      <c r="D90" s="13"/>
      <c r="E90" s="13"/>
      <c r="F90" s="13"/>
      <c r="G90" s="13"/>
      <c r="H90" s="13"/>
      <c r="I90" s="13"/>
      <c r="J90" s="13"/>
      <c r="K90" s="213"/>
      <c r="L90" s="205">
        <f>L87+L89</f>
        <v>209717.54236105736</v>
      </c>
      <c r="M90" s="202"/>
      <c r="N90" s="203"/>
      <c r="O90" s="1"/>
      <c r="Q90" s="164"/>
      <c r="V90" s="198">
        <v>2911</v>
      </c>
      <c r="W90" s="216"/>
      <c r="X90" s="216"/>
      <c r="Y90" s="216"/>
      <c r="Z90" s="216"/>
      <c r="AA90" s="216"/>
      <c r="AB90" s="216"/>
      <c r="AC90" s="216"/>
      <c r="AD90" s="214"/>
    </row>
    <row r="91" spans="1:30" ht="18.75" customHeight="1" x14ac:dyDescent="0.25">
      <c r="B91" s="13" t="s">
        <v>156</v>
      </c>
      <c r="C91" s="13"/>
      <c r="D91" s="13"/>
      <c r="E91" s="13"/>
      <c r="F91" s="13"/>
      <c r="G91" s="13"/>
      <c r="H91" s="13"/>
      <c r="I91" s="13"/>
      <c r="J91" s="13"/>
      <c r="K91" s="213"/>
      <c r="L91" s="205">
        <v>1</v>
      </c>
      <c r="M91" s="202"/>
      <c r="N91" s="203"/>
      <c r="O91" s="1"/>
      <c r="Q91" s="164"/>
      <c r="V91" s="198">
        <v>3382</v>
      </c>
      <c r="W91" s="216"/>
      <c r="X91" s="216"/>
      <c r="Y91" s="216"/>
      <c r="Z91" s="216"/>
      <c r="AA91" s="216"/>
      <c r="AB91" s="216"/>
      <c r="AC91" s="216"/>
      <c r="AD91" s="214"/>
    </row>
    <row r="92" spans="1:30" ht="18.75" customHeight="1" thickBot="1" x14ac:dyDescent="0.3">
      <c r="B92" s="13" t="s">
        <v>157</v>
      </c>
      <c r="C92" s="13"/>
      <c r="D92" s="13"/>
      <c r="E92" s="13"/>
      <c r="F92" s="13"/>
      <c r="G92" s="13"/>
      <c r="H92" s="13"/>
      <c r="I92" s="13"/>
      <c r="J92" s="13"/>
      <c r="K92" s="213"/>
      <c r="L92" s="217">
        <f>L90/L91</f>
        <v>209717.54236105736</v>
      </c>
      <c r="M92" s="202"/>
      <c r="N92" s="203"/>
      <c r="O92" s="1"/>
      <c r="Q92" s="164"/>
      <c r="V92" s="218"/>
      <c r="W92" s="218"/>
      <c r="X92" s="218"/>
      <c r="Y92" s="218"/>
      <c r="Z92" s="218"/>
      <c r="AA92" s="218"/>
      <c r="AB92" s="218"/>
      <c r="AC92" s="218"/>
      <c r="AD92" s="219"/>
    </row>
    <row r="93" spans="1:30" ht="18.75" customHeight="1" thickTop="1" x14ac:dyDescent="0.25">
      <c r="N93" s="219"/>
      <c r="O93" s="220"/>
      <c r="P93" s="219"/>
      <c r="Q93" s="219"/>
      <c r="V93" s="218"/>
      <c r="W93" s="218"/>
      <c r="X93" s="218"/>
      <c r="Y93" s="218"/>
      <c r="Z93" s="218"/>
      <c r="AA93" s="218"/>
      <c r="AB93" s="218"/>
      <c r="AC93" s="218"/>
      <c r="AD93" s="214"/>
    </row>
    <row r="94" spans="1:30" ht="18.75" customHeight="1" thickBot="1" x14ac:dyDescent="0.3">
      <c r="B94" s="221" t="s">
        <v>158</v>
      </c>
      <c r="C94" s="13"/>
      <c r="D94" s="13"/>
      <c r="E94" s="13"/>
      <c r="G94" s="13"/>
      <c r="H94" s="13"/>
      <c r="I94" s="13"/>
      <c r="J94" s="13"/>
      <c r="L94" s="222">
        <f>IF(M86="H",(K86*0.02)+L86,(K86*0.05)+L86)</f>
        <v>17647.522361057283</v>
      </c>
      <c r="M94" s="202"/>
      <c r="V94" s="223"/>
      <c r="W94" s="223"/>
      <c r="X94" s="223"/>
      <c r="Y94" s="223"/>
      <c r="Z94" s="223"/>
      <c r="AA94" s="223"/>
      <c r="AB94" s="223"/>
      <c r="AC94" s="223"/>
      <c r="AD94" s="214"/>
    </row>
    <row r="95" spans="1:30" ht="21.75" customHeight="1" thickTop="1" x14ac:dyDescent="0.25">
      <c r="B95" s="224" t="s">
        <v>159</v>
      </c>
      <c r="C95" s="224"/>
      <c r="D95" s="224"/>
      <c r="E95" s="224"/>
      <c r="F95" s="224"/>
      <c r="G95" s="224"/>
      <c r="H95" s="224"/>
      <c r="I95" s="224"/>
      <c r="J95" s="224"/>
      <c r="K95" s="224"/>
      <c r="L95" s="224"/>
      <c r="M95" s="219"/>
      <c r="V95" s="223"/>
      <c r="W95" s="223"/>
      <c r="X95" s="223"/>
      <c r="Y95" s="223"/>
      <c r="Z95" s="223"/>
      <c r="AA95" s="223"/>
      <c r="AB95" s="223"/>
      <c r="AC95" s="223"/>
      <c r="AD95" s="214"/>
    </row>
    <row r="96" spans="1:30" x14ac:dyDescent="0.25">
      <c r="B96" s="225"/>
      <c r="V96" s="223"/>
      <c r="W96" s="223"/>
      <c r="X96" s="223"/>
      <c r="Y96" s="223"/>
      <c r="Z96" s="223"/>
      <c r="AA96" s="223"/>
      <c r="AB96" s="223"/>
      <c r="AC96" s="223"/>
      <c r="AD96" s="219"/>
    </row>
    <row r="97" spans="2:30" x14ac:dyDescent="0.25">
      <c r="B97" s="225"/>
      <c r="V97" s="223"/>
      <c r="W97" s="223"/>
      <c r="X97" s="223"/>
      <c r="Y97" s="223"/>
      <c r="Z97" s="223"/>
      <c r="AA97" s="223"/>
      <c r="AB97" s="223"/>
      <c r="AC97" s="223"/>
      <c r="AD97" s="219"/>
    </row>
    <row r="98" spans="2:30" hidden="1" x14ac:dyDescent="0.25">
      <c r="B98" s="226" t="s">
        <v>160</v>
      </c>
      <c r="C98" s="227"/>
      <c r="V98" s="228"/>
      <c r="W98" s="228"/>
      <c r="X98" s="228"/>
      <c r="Y98" s="228"/>
      <c r="Z98" s="228"/>
      <c r="AA98" s="228"/>
      <c r="AB98" s="228"/>
      <c r="AC98" s="228"/>
    </row>
    <row r="99" spans="2:30" hidden="1" x14ac:dyDescent="0.25">
      <c r="B99" s="229"/>
      <c r="C99" s="227"/>
      <c r="V99" s="225"/>
      <c r="W99" s="13"/>
      <c r="X99" s="13"/>
      <c r="Y99" s="13"/>
      <c r="Z99" s="13"/>
      <c r="AA99" s="13"/>
      <c r="AB99" s="13"/>
      <c r="AC99" s="13"/>
    </row>
    <row r="100" spans="2:30" hidden="1" x14ac:dyDescent="0.25">
      <c r="B100" s="230" t="s">
        <v>161</v>
      </c>
      <c r="C100" s="226" t="s">
        <v>162</v>
      </c>
      <c r="V100" s="225"/>
    </row>
    <row r="101" spans="2:30" hidden="1" x14ac:dyDescent="0.25">
      <c r="B101" s="230" t="s">
        <v>163</v>
      </c>
      <c r="C101" s="226" t="s">
        <v>164</v>
      </c>
      <c r="V101" s="225"/>
    </row>
    <row r="102" spans="2:30" hidden="1" x14ac:dyDescent="0.25">
      <c r="B102" s="230" t="s">
        <v>165</v>
      </c>
      <c r="C102" s="226" t="s">
        <v>166</v>
      </c>
      <c r="V102" s="225"/>
      <c r="W102" s="231"/>
      <c r="X102" s="231"/>
      <c r="Y102" s="231"/>
      <c r="Z102" s="231"/>
      <c r="AA102" s="231"/>
      <c r="AB102" s="231"/>
      <c r="AC102" s="231"/>
      <c r="AD102" s="231"/>
    </row>
    <row r="103" spans="2:30" hidden="1" x14ac:dyDescent="0.25">
      <c r="B103" s="230" t="s">
        <v>167</v>
      </c>
      <c r="C103" s="226" t="s">
        <v>168</v>
      </c>
      <c r="V103" s="225"/>
    </row>
    <row r="104" spans="2:30" hidden="1" x14ac:dyDescent="0.25">
      <c r="B104" s="232"/>
      <c r="C104" s="226" t="s">
        <v>169</v>
      </c>
      <c r="V104" s="225"/>
    </row>
    <row r="105" spans="2:30" hidden="1" x14ac:dyDescent="0.25">
      <c r="B105" s="230" t="s">
        <v>170</v>
      </c>
      <c r="C105" s="226" t="s">
        <v>171</v>
      </c>
      <c r="V105" s="225"/>
    </row>
    <row r="106" spans="2:30" hidden="1" x14ac:dyDescent="0.25">
      <c r="B106" s="230" t="s">
        <v>172</v>
      </c>
      <c r="C106" s="226" t="s">
        <v>173</v>
      </c>
      <c r="V106" s="225"/>
    </row>
    <row r="107" spans="2:30" hidden="1" x14ac:dyDescent="0.25">
      <c r="B107" s="230" t="s">
        <v>242</v>
      </c>
      <c r="C107" s="226" t="s">
        <v>175</v>
      </c>
      <c r="V107" s="225"/>
    </row>
    <row r="108" spans="2:30" hidden="1" x14ac:dyDescent="0.25">
      <c r="B108" s="230" t="s">
        <v>176</v>
      </c>
      <c r="C108" s="226" t="s">
        <v>177</v>
      </c>
      <c r="V108" s="225"/>
    </row>
    <row r="109" spans="2:30" hidden="1" x14ac:dyDescent="0.25">
      <c r="B109" s="230" t="s">
        <v>178</v>
      </c>
      <c r="C109" s="226" t="s">
        <v>179</v>
      </c>
      <c r="V109" s="225"/>
    </row>
    <row r="110" spans="2:30" hidden="1" x14ac:dyDescent="0.25">
      <c r="B110" s="232"/>
      <c r="C110" s="226"/>
      <c r="V110" s="225"/>
    </row>
    <row r="111" spans="2:30" hidden="1" x14ac:dyDescent="0.25">
      <c r="B111" s="230" t="s">
        <v>180</v>
      </c>
      <c r="C111" s="226" t="s">
        <v>181</v>
      </c>
      <c r="V111" s="225"/>
    </row>
    <row r="112" spans="2:30" hidden="1" x14ac:dyDescent="0.25">
      <c r="B112" s="230" t="s">
        <v>180</v>
      </c>
      <c r="C112" s="226" t="s">
        <v>182</v>
      </c>
    </row>
    <row r="113" spans="2:3" hidden="1" x14ac:dyDescent="0.25">
      <c r="B113" s="230" t="s">
        <v>183</v>
      </c>
      <c r="C113" s="226" t="s">
        <v>184</v>
      </c>
    </row>
    <row r="114" spans="2:3" hidden="1" x14ac:dyDescent="0.25">
      <c r="B114" s="230" t="s">
        <v>185</v>
      </c>
      <c r="C114" s="226" t="s">
        <v>186</v>
      </c>
    </row>
    <row r="115" spans="2:3" hidden="1" x14ac:dyDescent="0.25">
      <c r="B115" s="230" t="s">
        <v>183</v>
      </c>
      <c r="C115" s="226" t="s">
        <v>187</v>
      </c>
    </row>
    <row r="116" spans="2:3" hidden="1" x14ac:dyDescent="0.25">
      <c r="B116" s="230" t="s">
        <v>188</v>
      </c>
      <c r="C116" s="226" t="s">
        <v>189</v>
      </c>
    </row>
    <row r="117" spans="2:3" hidden="1" x14ac:dyDescent="0.25">
      <c r="B117" s="230" t="s">
        <v>190</v>
      </c>
      <c r="C117" s="226" t="s">
        <v>191</v>
      </c>
    </row>
    <row r="118" spans="2:3" hidden="1" x14ac:dyDescent="0.25">
      <c r="B118" s="232" t="s">
        <v>192</v>
      </c>
      <c r="C118" s="226" t="s">
        <v>193</v>
      </c>
    </row>
    <row r="119" spans="2:3" hidden="1" x14ac:dyDescent="0.25">
      <c r="B119" s="232"/>
      <c r="C119" s="226"/>
    </row>
    <row r="120" spans="2:3" hidden="1" x14ac:dyDescent="0.25">
      <c r="B120" s="230" t="s">
        <v>161</v>
      </c>
      <c r="C120" s="226" t="s">
        <v>194</v>
      </c>
    </row>
    <row r="121" spans="2:3" hidden="1" x14ac:dyDescent="0.25">
      <c r="B121" s="230" t="s">
        <v>195</v>
      </c>
      <c r="C121" s="226" t="s">
        <v>196</v>
      </c>
    </row>
    <row r="122" spans="2:3" hidden="1" x14ac:dyDescent="0.25">
      <c r="B122" s="230" t="s">
        <v>197</v>
      </c>
      <c r="C122" s="226" t="s">
        <v>198</v>
      </c>
    </row>
    <row r="123" spans="2:3" hidden="1" x14ac:dyDescent="0.25">
      <c r="B123" s="230" t="s">
        <v>243</v>
      </c>
      <c r="C123" s="226" t="s">
        <v>200</v>
      </c>
    </row>
    <row r="124" spans="2:3" hidden="1" x14ac:dyDescent="0.25">
      <c r="B124" s="230" t="s">
        <v>244</v>
      </c>
      <c r="C124" s="226" t="s">
        <v>202</v>
      </c>
    </row>
    <row r="125" spans="2:3" hidden="1" x14ac:dyDescent="0.25">
      <c r="B125" s="230" t="s">
        <v>203</v>
      </c>
      <c r="C125" s="226" t="s">
        <v>204</v>
      </c>
    </row>
    <row r="126" spans="2:3" hidden="1" x14ac:dyDescent="0.25">
      <c r="B126" s="230" t="s">
        <v>203</v>
      </c>
      <c r="C126" s="226" t="s">
        <v>205</v>
      </c>
    </row>
    <row r="127" spans="2:3" hidden="1" x14ac:dyDescent="0.25">
      <c r="B127" s="230" t="s">
        <v>203</v>
      </c>
      <c r="C127" s="226" t="s">
        <v>206</v>
      </c>
    </row>
    <row r="128" spans="2:3" hidden="1" x14ac:dyDescent="0.25">
      <c r="B128" s="230" t="s">
        <v>203</v>
      </c>
      <c r="C128" s="226" t="s">
        <v>207</v>
      </c>
    </row>
    <row r="129" spans="2:3" hidden="1" x14ac:dyDescent="0.25">
      <c r="B129" s="230" t="s">
        <v>167</v>
      </c>
      <c r="C129" s="226" t="s">
        <v>208</v>
      </c>
    </row>
    <row r="130" spans="2:3" hidden="1" x14ac:dyDescent="0.25">
      <c r="B130" s="230" t="s">
        <v>209</v>
      </c>
      <c r="C130" s="226" t="s">
        <v>210</v>
      </c>
    </row>
    <row r="131" spans="2:3" hidden="1" x14ac:dyDescent="0.25">
      <c r="B131" s="230" t="s">
        <v>203</v>
      </c>
      <c r="C131" s="226" t="s">
        <v>211</v>
      </c>
    </row>
    <row r="132" spans="2:3" hidden="1" x14ac:dyDescent="0.25">
      <c r="B132" s="226"/>
      <c r="C132" s="226"/>
    </row>
    <row r="133" spans="2:3" hidden="1" x14ac:dyDescent="0.25">
      <c r="B133" s="226"/>
      <c r="C133" s="226"/>
    </row>
    <row r="134" spans="2:3" hidden="1" x14ac:dyDescent="0.25">
      <c r="B134" s="232"/>
      <c r="C134" s="232"/>
    </row>
    <row r="135" spans="2:3" hidden="1" x14ac:dyDescent="0.25">
      <c r="B135" s="232">
        <f>NvsElapsedTime</f>
        <v>1.15740767796524E-5</v>
      </c>
      <c r="C135" s="232"/>
    </row>
    <row r="136" spans="2:3" hidden="1" x14ac:dyDescent="0.25">
      <c r="B136" s="233">
        <f>NvsEndTime</f>
        <v>41754.487777777802</v>
      </c>
      <c r="C136" s="233" t="s">
        <v>212</v>
      </c>
    </row>
    <row r="137" spans="2:3" x14ac:dyDescent="0.25">
      <c r="B137" s="226"/>
      <c r="C137" s="234"/>
    </row>
    <row r="138" spans="2:3" x14ac:dyDescent="0.25">
      <c r="B138" s="226"/>
      <c r="C138" s="226"/>
    </row>
    <row r="139" spans="2:3" x14ac:dyDescent="0.25">
      <c r="B139" s="226"/>
      <c r="C139" s="226"/>
    </row>
    <row r="140" spans="2:3" x14ac:dyDescent="0.25">
      <c r="B140" s="226"/>
      <c r="C140" s="226"/>
    </row>
    <row r="141" spans="2:3" x14ac:dyDescent="0.25">
      <c r="B141" s="226"/>
      <c r="C141" s="226"/>
    </row>
    <row r="142" spans="2:3" x14ac:dyDescent="0.25">
      <c r="B142" s="226"/>
      <c r="C142" s="226"/>
    </row>
    <row r="143" spans="2:3" x14ac:dyDescent="0.25">
      <c r="B143" s="226"/>
      <c r="C143" s="226"/>
    </row>
    <row r="144" spans="2:3" x14ac:dyDescent="0.25">
      <c r="B144" s="226"/>
      <c r="C144" s="226"/>
    </row>
    <row r="145" spans="2:3" x14ac:dyDescent="0.25">
      <c r="B145" s="226"/>
      <c r="C145" s="226"/>
    </row>
    <row r="146" spans="2:3" x14ac:dyDescent="0.25">
      <c r="B146" s="226"/>
      <c r="C146" s="226"/>
    </row>
    <row r="147" spans="2:3" x14ac:dyDescent="0.25">
      <c r="B147" s="226"/>
      <c r="C147" s="226"/>
    </row>
    <row r="148" spans="2:3" x14ac:dyDescent="0.25">
      <c r="B148" s="226"/>
      <c r="C148" s="226"/>
    </row>
    <row r="149" spans="2:3" x14ac:dyDescent="0.25">
      <c r="B149" s="226"/>
      <c r="C149" s="226"/>
    </row>
    <row r="150" spans="2:3" x14ac:dyDescent="0.25">
      <c r="B150" s="226"/>
      <c r="C150" s="226"/>
    </row>
    <row r="151" spans="2:3" x14ac:dyDescent="0.25">
      <c r="B151" s="226"/>
      <c r="C151" s="226"/>
    </row>
  </sheetData>
  <mergeCells count="151">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9:W9"/>
    <mergeCell ref="X9:Y9"/>
    <mergeCell ref="Z9:AA9"/>
    <mergeCell ref="V10:W10"/>
    <mergeCell ref="X10:Y10"/>
    <mergeCell ref="Z10:AA10"/>
    <mergeCell ref="V7:W7"/>
    <mergeCell ref="X7:Y7"/>
    <mergeCell ref="Z7:AA7"/>
    <mergeCell ref="AB7:AC7"/>
    <mergeCell ref="V8:W8"/>
    <mergeCell ref="X8:Y8"/>
    <mergeCell ref="Z8:AA8"/>
    <mergeCell ref="W2:AC2"/>
    <mergeCell ref="V3:AC3"/>
    <mergeCell ref="V4:AC4"/>
    <mergeCell ref="V5:W5"/>
    <mergeCell ref="X5:Y5"/>
    <mergeCell ref="V6:AC6"/>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51"/>
  <sheetViews>
    <sheetView topLeftCell="B71" zoomScale="70" zoomScaleNormal="70" workbookViewId="0">
      <selection activeCell="L94" sqref="L94"/>
    </sheetView>
  </sheetViews>
  <sheetFormatPr defaultColWidth="8.85546875" defaultRowHeight="15.75" x14ac:dyDescent="0.25"/>
  <cols>
    <col min="1" max="1" width="11.28515625" style="1" hidden="1" customWidth="1"/>
    <col min="2" max="2" width="10.28515625" style="2" customWidth="1"/>
    <col min="3" max="3" width="36.85546875" style="1" customWidth="1"/>
    <col min="4" max="4" width="9.85546875" style="1" customWidth="1"/>
    <col min="5" max="5" width="11.28515625" style="1" customWidth="1"/>
    <col min="6" max="6" width="12.28515625" style="1" hidden="1" customWidth="1"/>
    <col min="7" max="7" width="19.85546875" style="1" customWidth="1"/>
    <col min="8" max="8" width="6.7109375" style="1" customWidth="1"/>
    <col min="9" max="9" width="15.85546875" style="1" customWidth="1"/>
    <col min="10" max="10" width="15" style="1" customWidth="1"/>
    <col min="11" max="11" width="15.5703125" style="1" bestFit="1" customWidth="1"/>
    <col min="12" max="12" width="16.7109375" style="1" customWidth="1"/>
    <col min="13" max="13" width="12.5703125" style="1" customWidth="1"/>
    <col min="14" max="14" width="10.5703125" style="1" hidden="1" customWidth="1"/>
    <col min="15" max="15" width="10.5703125" style="3" hidden="1" customWidth="1"/>
    <col min="16" max="16" width="35" style="1" hidden="1" customWidth="1"/>
    <col min="17" max="17" width="7.28515625" style="1" customWidth="1"/>
    <col min="18" max="18" width="8.85546875" style="1"/>
    <col min="19" max="21" width="0" style="1" hidden="1" customWidth="1"/>
    <col min="22" max="23" width="8.85546875" style="1"/>
    <col min="24" max="24" width="12.7109375" style="1" customWidth="1"/>
    <col min="25" max="27" width="8.85546875" style="1"/>
    <col min="28" max="28" width="13.140625" style="1" bestFit="1" customWidth="1"/>
    <col min="29" max="16384" width="8.85546875" style="1"/>
  </cols>
  <sheetData>
    <row r="1" spans="1:30" ht="15.6" hidden="1" customHeight="1" thickBot="1" x14ac:dyDescent="0.3">
      <c r="A1" s="1" t="s">
        <v>0</v>
      </c>
      <c r="D1" s="1" t="s">
        <v>1</v>
      </c>
      <c r="E1" s="1" t="s">
        <v>2</v>
      </c>
      <c r="F1" s="1" t="s">
        <v>3</v>
      </c>
    </row>
    <row r="2" spans="1:30" ht="16.5" thickBot="1" x14ac:dyDescent="0.3">
      <c r="B2" s="4">
        <v>50</v>
      </c>
      <c r="C2" s="560" t="s">
        <v>4</v>
      </c>
      <c r="D2" s="561"/>
      <c r="E2" s="561"/>
      <c r="F2" s="561"/>
      <c r="G2" s="561"/>
      <c r="H2" s="562"/>
      <c r="I2" s="562"/>
      <c r="J2" s="562"/>
      <c r="K2" s="562"/>
      <c r="L2" s="562"/>
      <c r="N2" s="3"/>
      <c r="O2" s="1"/>
      <c r="V2" s="8">
        <f>'2911 June final'!B2</f>
        <v>50</v>
      </c>
      <c r="W2" s="670" t="s">
        <v>4</v>
      </c>
      <c r="X2" s="671"/>
      <c r="Y2" s="672"/>
      <c r="Z2" s="672"/>
      <c r="AA2" s="672"/>
      <c r="AB2" s="672"/>
      <c r="AC2" s="672"/>
      <c r="AD2" s="9"/>
    </row>
    <row r="3" spans="1:30" x14ac:dyDescent="0.25">
      <c r="B3" s="13" t="str">
        <f>"Revenue Estimate Worksheet for "&amp;B124</f>
        <v>Revenue Estimate Worksheet for Western Academy Charter School</v>
      </c>
      <c r="C3" s="82"/>
      <c r="D3" s="82"/>
      <c r="E3" s="82"/>
      <c r="F3" s="82"/>
      <c r="G3" s="82"/>
      <c r="H3" s="82"/>
      <c r="I3" s="82"/>
      <c r="J3" s="82"/>
      <c r="K3" s="82"/>
      <c r="L3" s="82"/>
      <c r="M3" s="13"/>
      <c r="N3" s="13"/>
      <c r="O3" s="13"/>
      <c r="P3" s="13"/>
      <c r="Q3" s="13"/>
      <c r="V3" s="610" t="s">
        <v>5</v>
      </c>
      <c r="W3" s="610"/>
      <c r="X3" s="610"/>
      <c r="Y3" s="610"/>
      <c r="Z3" s="610"/>
      <c r="AA3" s="610"/>
      <c r="AB3" s="610"/>
      <c r="AC3" s="610"/>
      <c r="AD3" s="191"/>
    </row>
    <row r="4" spans="1:30" x14ac:dyDescent="0.25">
      <c r="B4" s="2" t="s">
        <v>6</v>
      </c>
      <c r="C4" s="13"/>
      <c r="D4" s="13"/>
      <c r="E4" s="13"/>
      <c r="F4" s="13"/>
      <c r="G4" s="13"/>
      <c r="H4" s="13"/>
      <c r="I4" s="13"/>
      <c r="J4" s="13"/>
      <c r="K4" s="13"/>
      <c r="L4" s="13"/>
      <c r="M4" s="13"/>
      <c r="N4" s="13"/>
      <c r="O4" s="13"/>
      <c r="P4" s="13"/>
      <c r="Q4" s="13"/>
      <c r="V4" s="610" t="str">
        <f>+Based_on_the_Second_Calculation_of_the_FEFP_2010_11</f>
        <v>Based on the Fourth Calculation of the FEFP 2013-14</v>
      </c>
      <c r="W4" s="610"/>
      <c r="X4" s="610"/>
      <c r="Y4" s="610"/>
      <c r="Z4" s="610"/>
      <c r="AA4" s="610"/>
      <c r="AB4" s="610"/>
      <c r="AC4" s="610"/>
      <c r="AD4" s="191"/>
    </row>
    <row r="5" spans="1:30" ht="18.75" customHeight="1" x14ac:dyDescent="0.25">
      <c r="B5" s="16" t="s">
        <v>7</v>
      </c>
      <c r="C5" s="16"/>
      <c r="D5" s="16"/>
      <c r="E5" s="16"/>
      <c r="F5" s="16"/>
      <c r="G5" s="17" t="s">
        <v>8</v>
      </c>
      <c r="H5" s="17"/>
      <c r="I5" s="17"/>
      <c r="J5" s="17"/>
      <c r="K5" s="17"/>
      <c r="L5" s="17"/>
      <c r="M5" s="18"/>
      <c r="N5" s="18"/>
      <c r="O5" s="18"/>
      <c r="P5" s="18"/>
      <c r="Q5" s="18"/>
      <c r="V5" s="611" t="s">
        <v>7</v>
      </c>
      <c r="W5" s="611"/>
      <c r="X5" s="612" t="s">
        <v>8</v>
      </c>
      <c r="Y5" s="612"/>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613" t="s">
        <v>9</v>
      </c>
      <c r="W6" s="613"/>
      <c r="X6" s="613"/>
      <c r="Y6" s="613"/>
      <c r="Z6" s="613"/>
      <c r="AA6" s="613"/>
      <c r="AB6" s="613"/>
      <c r="AC6" s="613"/>
      <c r="AD6" s="22"/>
    </row>
    <row r="7" spans="1:30" ht="18" customHeight="1" x14ac:dyDescent="0.25">
      <c r="B7" s="23" t="s">
        <v>10</v>
      </c>
      <c r="C7" s="23"/>
      <c r="D7" s="23"/>
      <c r="E7" s="23"/>
      <c r="F7" s="23"/>
      <c r="G7" s="563">
        <v>3752.3</v>
      </c>
      <c r="H7" s="563"/>
      <c r="I7" s="23" t="s">
        <v>11</v>
      </c>
      <c r="J7" s="23"/>
      <c r="K7" s="25">
        <v>1.0326</v>
      </c>
      <c r="L7" s="25"/>
      <c r="O7" s="1"/>
      <c r="V7" s="620" t="s">
        <v>10</v>
      </c>
      <c r="W7" s="620"/>
      <c r="X7" s="673">
        <f>'2911 June final'!G7</f>
        <v>3752.3</v>
      </c>
      <c r="Y7" s="673"/>
      <c r="Z7" s="622" t="s">
        <v>11</v>
      </c>
      <c r="AA7" s="622"/>
      <c r="AB7" s="602">
        <f>+K7</f>
        <v>1.0326</v>
      </c>
      <c r="AC7" s="602"/>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603" t="s">
        <v>12</v>
      </c>
      <c r="W8" s="603"/>
      <c r="X8" s="604" t="s">
        <v>15</v>
      </c>
      <c r="Y8" s="604"/>
      <c r="Z8" s="605" t="s">
        <v>16</v>
      </c>
      <c r="AA8" s="605"/>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614" t="s">
        <v>22</v>
      </c>
      <c r="W9" s="614"/>
      <c r="X9" s="615" t="s">
        <v>23</v>
      </c>
      <c r="Y9" s="615"/>
      <c r="Z9" s="616" t="s">
        <v>24</v>
      </c>
      <c r="AA9" s="616"/>
      <c r="AB9" s="43" t="s">
        <v>25</v>
      </c>
      <c r="AC9" s="44" t="s">
        <v>26</v>
      </c>
      <c r="AD9" s="9"/>
    </row>
    <row r="10" spans="1:30" x14ac:dyDescent="0.25">
      <c r="A10" s="1" t="s">
        <v>27</v>
      </c>
      <c r="B10" s="45" t="s">
        <v>28</v>
      </c>
      <c r="C10" s="45"/>
      <c r="D10" s="45">
        <v>69.52</v>
      </c>
      <c r="E10" s="45">
        <v>73.069999999999993</v>
      </c>
      <c r="F10" s="45">
        <v>83.23</v>
      </c>
      <c r="G10" s="46">
        <f>D10+E10</f>
        <v>142.58999999999997</v>
      </c>
      <c r="H10" s="47"/>
      <c r="I10" s="48">
        <v>1.125</v>
      </c>
      <c r="J10" s="48"/>
      <c r="K10" s="49">
        <f>ROUND(G10*I10,4)</f>
        <v>160.41380000000001</v>
      </c>
      <c r="L10" s="50">
        <f>ROUND(ROUND(K10*$G$7,4)*($K$7),0)</f>
        <v>621543</v>
      </c>
      <c r="N10" s="51">
        <v>5101</v>
      </c>
      <c r="O10" s="564">
        <v>101</v>
      </c>
      <c r="P10" s="53"/>
      <c r="Q10" s="565"/>
      <c r="V10" s="617" t="s">
        <v>28</v>
      </c>
      <c r="W10" s="617"/>
      <c r="X10" s="618">
        <f>IF('2911 June final'!K$84=1,'2911 June final'!G10,0)</f>
        <v>0</v>
      </c>
      <c r="Y10" s="618"/>
      <c r="Z10" s="619">
        <v>1</v>
      </c>
      <c r="AA10" s="619"/>
      <c r="AB10" s="55">
        <f t="shared" ref="AB10:AB25" si="0">ROUND(X10*Z10,4)</f>
        <v>0</v>
      </c>
      <c r="AC10" s="56">
        <f t="shared" ref="AC10:AC25" si="1">ROUND(ROUND(AB10*$X$7,4)*($AB$7),0)</f>
        <v>0</v>
      </c>
      <c r="AD10" s="9">
        <v>1</v>
      </c>
    </row>
    <row r="11" spans="1:30" x14ac:dyDescent="0.25">
      <c r="A11" s="1" t="s">
        <v>29</v>
      </c>
      <c r="B11" s="13" t="s">
        <v>30</v>
      </c>
      <c r="C11" s="13"/>
      <c r="D11" s="13">
        <v>14.64</v>
      </c>
      <c r="E11" s="13">
        <v>11.94</v>
      </c>
      <c r="F11" s="13">
        <v>18.03</v>
      </c>
      <c r="G11" s="46">
        <f t="shared" ref="G11:G25" si="2">D11+E11</f>
        <v>26.58</v>
      </c>
      <c r="H11" s="47"/>
      <c r="I11" s="57">
        <f>I10</f>
        <v>1.125</v>
      </c>
      <c r="J11" s="57"/>
      <c r="K11" s="49">
        <f t="shared" ref="K11:K25" si="3">ROUND(G11*I11,4)</f>
        <v>29.9025</v>
      </c>
      <c r="L11" s="50">
        <f t="shared" ref="L11:L25" si="4">ROUND(ROUND(K11*$G$7,4)*($K$7),0)</f>
        <v>115861</v>
      </c>
      <c r="M11" s="1" t="str">
        <f>IF(ROUND(G11,2)=ROUND(SUM(G28:G30),2)," ","CHECK 2. PK-3 Lines Below")</f>
        <v xml:space="preserve"> </v>
      </c>
      <c r="N11" s="51">
        <v>5101</v>
      </c>
      <c r="O11" s="58" t="s">
        <v>31</v>
      </c>
      <c r="P11" s="53"/>
      <c r="Q11" s="565"/>
      <c r="V11" s="623" t="s">
        <v>30</v>
      </c>
      <c r="W11" s="623"/>
      <c r="X11" s="618">
        <f>IF('2911 June final'!K$84=1,'2911 June final'!G11,0)</f>
        <v>0</v>
      </c>
      <c r="Y11" s="618"/>
      <c r="Z11" s="624">
        <v>1</v>
      </c>
      <c r="AA11" s="624"/>
      <c r="AB11" s="55">
        <f t="shared" si="0"/>
        <v>0</v>
      </c>
      <c r="AC11" s="56">
        <f t="shared" si="1"/>
        <v>0</v>
      </c>
      <c r="AD11" s="9"/>
    </row>
    <row r="12" spans="1:30" x14ac:dyDescent="0.25">
      <c r="A12" s="1" t="s">
        <v>32</v>
      </c>
      <c r="B12" s="13" t="s">
        <v>33</v>
      </c>
      <c r="C12" s="13"/>
      <c r="D12" s="13">
        <v>91.71</v>
      </c>
      <c r="E12" s="13">
        <v>95.15</v>
      </c>
      <c r="F12" s="13">
        <v>129.19999999999999</v>
      </c>
      <c r="G12" s="46">
        <f t="shared" si="2"/>
        <v>186.86</v>
      </c>
      <c r="H12" s="47"/>
      <c r="I12" s="57">
        <v>1</v>
      </c>
      <c r="J12" s="57"/>
      <c r="K12" s="49">
        <f t="shared" si="3"/>
        <v>186.86</v>
      </c>
      <c r="L12" s="50">
        <f t="shared" si="4"/>
        <v>724012</v>
      </c>
      <c r="N12" s="51">
        <v>5102</v>
      </c>
      <c r="O12" s="564">
        <v>102</v>
      </c>
      <c r="P12" s="53"/>
      <c r="Q12" s="565"/>
      <c r="V12" s="623" t="s">
        <v>33</v>
      </c>
      <c r="W12" s="623"/>
      <c r="X12" s="618">
        <f>IF('2911 June final'!K$84=1,'2911 June final'!G12,0)</f>
        <v>0</v>
      </c>
      <c r="Y12" s="618"/>
      <c r="Z12" s="624">
        <v>1</v>
      </c>
      <c r="AA12" s="624"/>
      <c r="AB12" s="55">
        <f t="shared" si="0"/>
        <v>0</v>
      </c>
      <c r="AC12" s="56">
        <f t="shared" si="1"/>
        <v>0</v>
      </c>
      <c r="AD12" s="9"/>
    </row>
    <row r="13" spans="1:30" x14ac:dyDescent="0.25">
      <c r="A13" s="1" t="s">
        <v>34</v>
      </c>
      <c r="B13" s="13" t="s">
        <v>35</v>
      </c>
      <c r="C13" s="13"/>
      <c r="D13" s="13">
        <v>15.07</v>
      </c>
      <c r="E13" s="13">
        <v>13.55</v>
      </c>
      <c r="F13" s="13">
        <v>20.63</v>
      </c>
      <c r="G13" s="46">
        <f t="shared" si="2"/>
        <v>28.62</v>
      </c>
      <c r="H13" s="47"/>
      <c r="I13" s="57">
        <f>I12</f>
        <v>1</v>
      </c>
      <c r="J13" s="57"/>
      <c r="K13" s="49">
        <f t="shared" si="3"/>
        <v>28.62</v>
      </c>
      <c r="L13" s="50">
        <f t="shared" si="4"/>
        <v>110892</v>
      </c>
      <c r="M13" s="1" t="str">
        <f>IF(ROUND(G13,2)=ROUND(SUM(G31:G33),2)," ","CHECK 2. PK-3 Lines Below")</f>
        <v xml:space="preserve"> </v>
      </c>
      <c r="N13" s="51">
        <v>5102</v>
      </c>
      <c r="O13" s="58" t="s">
        <v>36</v>
      </c>
      <c r="P13" s="53"/>
      <c r="Q13" s="565"/>
      <c r="V13" s="623" t="s">
        <v>35</v>
      </c>
      <c r="W13" s="623"/>
      <c r="X13" s="618">
        <f>IF('2911 June final'!K$84=1,'2911 June final'!G13,0)</f>
        <v>0</v>
      </c>
      <c r="Y13" s="618"/>
      <c r="Z13" s="624">
        <v>1</v>
      </c>
      <c r="AA13" s="624"/>
      <c r="AB13" s="55">
        <f t="shared" si="0"/>
        <v>0</v>
      </c>
      <c r="AC13" s="56">
        <f t="shared" si="1"/>
        <v>0</v>
      </c>
      <c r="AD13" s="9"/>
    </row>
    <row r="14" spans="1:30" x14ac:dyDescent="0.25">
      <c r="A14" s="1" t="s">
        <v>37</v>
      </c>
      <c r="B14" s="13" t="s">
        <v>38</v>
      </c>
      <c r="C14" s="13"/>
      <c r="D14" s="13">
        <v>0</v>
      </c>
      <c r="E14" s="13">
        <v>0</v>
      </c>
      <c r="F14" s="13">
        <v>0</v>
      </c>
      <c r="G14" s="46">
        <f t="shared" si="2"/>
        <v>0</v>
      </c>
      <c r="H14" s="47"/>
      <c r="I14" s="57">
        <v>1.0109999999999999</v>
      </c>
      <c r="J14" s="57"/>
      <c r="K14" s="49">
        <f t="shared" si="3"/>
        <v>0</v>
      </c>
      <c r="L14" s="50">
        <f t="shared" si="4"/>
        <v>0</v>
      </c>
      <c r="N14" s="51">
        <v>5103</v>
      </c>
      <c r="O14" s="564">
        <v>103</v>
      </c>
      <c r="P14" s="53"/>
      <c r="Q14" s="565"/>
      <c r="V14" s="623" t="s">
        <v>38</v>
      </c>
      <c r="W14" s="623"/>
      <c r="X14" s="618">
        <f>IF('2911 June final'!K$84=1,'2911 June final'!G14,0)</f>
        <v>0</v>
      </c>
      <c r="Y14" s="618"/>
      <c r="Z14" s="624">
        <v>1</v>
      </c>
      <c r="AA14" s="624"/>
      <c r="AB14" s="55">
        <f t="shared" si="0"/>
        <v>0</v>
      </c>
      <c r="AC14" s="56">
        <f t="shared" si="1"/>
        <v>0</v>
      </c>
      <c r="AD14" s="9"/>
    </row>
    <row r="15" spans="1:30" x14ac:dyDescent="0.25">
      <c r="A15" s="1" t="s">
        <v>39</v>
      </c>
      <c r="B15" s="13" t="s">
        <v>40</v>
      </c>
      <c r="C15" s="13"/>
      <c r="D15" s="13">
        <v>0</v>
      </c>
      <c r="E15" s="13">
        <v>0</v>
      </c>
      <c r="F15" s="13">
        <v>0</v>
      </c>
      <c r="G15" s="46">
        <f t="shared" si="2"/>
        <v>0</v>
      </c>
      <c r="H15" s="47"/>
      <c r="I15" s="57">
        <f>I14</f>
        <v>1.0109999999999999</v>
      </c>
      <c r="J15" s="57"/>
      <c r="K15" s="49">
        <f t="shared" si="3"/>
        <v>0</v>
      </c>
      <c r="L15" s="59">
        <f t="shared" si="4"/>
        <v>0</v>
      </c>
      <c r="M15" s="1" t="str">
        <f>IF(ROUND(G15,2)=ROUND(SUM(G34:G36),2)," ","CHECK 2. PK-3 Lines Below")</f>
        <v xml:space="preserve"> </v>
      </c>
      <c r="N15" s="51">
        <v>5103</v>
      </c>
      <c r="O15" s="58" t="s">
        <v>41</v>
      </c>
      <c r="P15" s="53"/>
      <c r="Q15" s="565"/>
      <c r="V15" s="623" t="s">
        <v>40</v>
      </c>
      <c r="W15" s="623"/>
      <c r="X15" s="618">
        <f>IF('2911 June final'!K$84=1,'2911 June final'!G15,0)</f>
        <v>0</v>
      </c>
      <c r="Y15" s="618"/>
      <c r="Z15" s="624">
        <v>1</v>
      </c>
      <c r="AA15" s="624"/>
      <c r="AB15" s="55">
        <f t="shared" si="0"/>
        <v>0</v>
      </c>
      <c r="AC15" s="60">
        <f t="shared" si="1"/>
        <v>0</v>
      </c>
      <c r="AD15" s="9"/>
    </row>
    <row r="16" spans="1:30" x14ac:dyDescent="0.25">
      <c r="A16" s="1" t="s">
        <v>42</v>
      </c>
      <c r="B16" s="13" t="s">
        <v>43</v>
      </c>
      <c r="C16" s="13"/>
      <c r="D16" s="13">
        <v>0</v>
      </c>
      <c r="E16" s="13">
        <v>0</v>
      </c>
      <c r="F16" s="13">
        <v>0</v>
      </c>
      <c r="G16" s="46">
        <f t="shared" si="2"/>
        <v>0</v>
      </c>
      <c r="H16" s="47"/>
      <c r="I16" s="57">
        <v>3.5579999999999998</v>
      </c>
      <c r="J16" s="57"/>
      <c r="K16" s="49">
        <f t="shared" si="3"/>
        <v>0</v>
      </c>
      <c r="L16" s="50">
        <f t="shared" si="4"/>
        <v>0</v>
      </c>
      <c r="N16" s="51">
        <v>5101</v>
      </c>
      <c r="O16" s="53">
        <v>254</v>
      </c>
      <c r="P16" s="53"/>
      <c r="Q16" s="565"/>
      <c r="V16" s="623" t="s">
        <v>43</v>
      </c>
      <c r="W16" s="623"/>
      <c r="X16" s="618">
        <f>IF('2911 June final'!K$84=1,'2911 June final'!G16,0)</f>
        <v>0</v>
      </c>
      <c r="Y16" s="618"/>
      <c r="Z16" s="624">
        <v>1</v>
      </c>
      <c r="AA16" s="624"/>
      <c r="AB16" s="55">
        <f t="shared" si="0"/>
        <v>0</v>
      </c>
      <c r="AC16" s="56">
        <f t="shared" si="1"/>
        <v>0</v>
      </c>
      <c r="AD16" s="9"/>
    </row>
    <row r="17" spans="1:30" x14ac:dyDescent="0.25">
      <c r="A17" s="1" t="s">
        <v>44</v>
      </c>
      <c r="B17" s="13" t="s">
        <v>45</v>
      </c>
      <c r="C17" s="13"/>
      <c r="D17" s="13">
        <v>0</v>
      </c>
      <c r="E17" s="13">
        <v>0</v>
      </c>
      <c r="F17" s="13">
        <v>0</v>
      </c>
      <c r="G17" s="46">
        <f t="shared" si="2"/>
        <v>0</v>
      </c>
      <c r="H17" s="47"/>
      <c r="I17" s="57">
        <f>I16</f>
        <v>3.5579999999999998</v>
      </c>
      <c r="J17" s="57"/>
      <c r="K17" s="49">
        <f t="shared" si="3"/>
        <v>0</v>
      </c>
      <c r="L17" s="50">
        <f t="shared" si="4"/>
        <v>0</v>
      </c>
      <c r="N17" s="51">
        <v>5102</v>
      </c>
      <c r="O17" s="565">
        <v>254</v>
      </c>
      <c r="P17" s="53"/>
      <c r="Q17" s="565"/>
      <c r="V17" s="623" t="s">
        <v>45</v>
      </c>
      <c r="W17" s="623"/>
      <c r="X17" s="618">
        <f>IF('2911 June final'!K$84=1,'2911 June final'!G17,0)</f>
        <v>0</v>
      </c>
      <c r="Y17" s="618"/>
      <c r="Z17" s="624">
        <v>1</v>
      </c>
      <c r="AA17" s="624"/>
      <c r="AB17" s="55">
        <f t="shared" si="0"/>
        <v>0</v>
      </c>
      <c r="AC17" s="56">
        <f t="shared" si="1"/>
        <v>0</v>
      </c>
      <c r="AD17" s="9"/>
    </row>
    <row r="18" spans="1:30" x14ac:dyDescent="0.25">
      <c r="A18" s="1" t="s">
        <v>46</v>
      </c>
      <c r="B18" s="13" t="s">
        <v>47</v>
      </c>
      <c r="C18" s="13"/>
      <c r="D18" s="13">
        <v>0</v>
      </c>
      <c r="E18" s="13">
        <v>0</v>
      </c>
      <c r="F18" s="13">
        <v>0</v>
      </c>
      <c r="G18" s="46">
        <f t="shared" si="2"/>
        <v>0</v>
      </c>
      <c r="H18" s="47"/>
      <c r="I18" s="57">
        <f>I17</f>
        <v>3.5579999999999998</v>
      </c>
      <c r="J18" s="57"/>
      <c r="K18" s="49">
        <f t="shared" si="3"/>
        <v>0</v>
      </c>
      <c r="L18" s="50">
        <f t="shared" si="4"/>
        <v>0</v>
      </c>
      <c r="N18" s="51">
        <v>5103</v>
      </c>
      <c r="O18" s="565">
        <v>254</v>
      </c>
      <c r="P18" s="53"/>
      <c r="Q18" s="565"/>
      <c r="V18" s="623" t="s">
        <v>47</v>
      </c>
      <c r="W18" s="623"/>
      <c r="X18" s="618">
        <f>IF('2911 June final'!K$84=1,'2911 June final'!G18,0)</f>
        <v>0</v>
      </c>
      <c r="Y18" s="618"/>
      <c r="Z18" s="624">
        <v>1</v>
      </c>
      <c r="AA18" s="624"/>
      <c r="AB18" s="55">
        <f t="shared" si="0"/>
        <v>0</v>
      </c>
      <c r="AC18" s="56">
        <f t="shared" si="1"/>
        <v>0</v>
      </c>
      <c r="AD18" s="9"/>
    </row>
    <row r="19" spans="1:30" ht="15" customHeight="1" x14ac:dyDescent="0.25">
      <c r="A19" s="1" t="s">
        <v>48</v>
      </c>
      <c r="B19" s="13" t="s">
        <v>49</v>
      </c>
      <c r="C19" s="13"/>
      <c r="D19" s="13">
        <v>0</v>
      </c>
      <c r="E19" s="13">
        <v>0</v>
      </c>
      <c r="F19" s="13">
        <v>0</v>
      </c>
      <c r="G19" s="46">
        <f t="shared" si="2"/>
        <v>0</v>
      </c>
      <c r="H19" s="47"/>
      <c r="I19" s="57">
        <v>5.0890000000000004</v>
      </c>
      <c r="J19" s="57"/>
      <c r="K19" s="49">
        <f t="shared" si="3"/>
        <v>0</v>
      </c>
      <c r="L19" s="50">
        <f t="shared" si="4"/>
        <v>0</v>
      </c>
      <c r="M19" s="575">
        <f>M17+M18</f>
        <v>0</v>
      </c>
      <c r="N19" s="51">
        <v>5101</v>
      </c>
      <c r="O19" s="53">
        <v>255</v>
      </c>
      <c r="P19" s="53"/>
      <c r="Q19" s="565"/>
      <c r="V19" s="623" t="s">
        <v>49</v>
      </c>
      <c r="W19" s="623"/>
      <c r="X19" s="618">
        <f>IF('2911 June final'!K$84=1,'2911 June final'!G19,0)</f>
        <v>0</v>
      </c>
      <c r="Y19" s="618"/>
      <c r="Z19" s="624">
        <v>1</v>
      </c>
      <c r="AA19" s="624"/>
      <c r="AB19" s="55">
        <f t="shared" si="0"/>
        <v>0</v>
      </c>
      <c r="AC19" s="56">
        <f t="shared" si="1"/>
        <v>0</v>
      </c>
      <c r="AD19" s="9"/>
    </row>
    <row r="20" spans="1:30" ht="15" customHeight="1" x14ac:dyDescent="0.25">
      <c r="A20" s="1" t="s">
        <v>50</v>
      </c>
      <c r="B20" s="13" t="s">
        <v>51</v>
      </c>
      <c r="C20" s="13"/>
      <c r="D20" s="13">
        <v>0</v>
      </c>
      <c r="E20" s="13">
        <v>0</v>
      </c>
      <c r="F20" s="13">
        <v>0</v>
      </c>
      <c r="G20" s="46">
        <f t="shared" si="2"/>
        <v>0</v>
      </c>
      <c r="H20" s="47"/>
      <c r="I20" s="57">
        <f>I19</f>
        <v>5.0890000000000004</v>
      </c>
      <c r="J20" s="57"/>
      <c r="K20" s="49">
        <f t="shared" si="3"/>
        <v>0</v>
      </c>
      <c r="L20" s="50">
        <f t="shared" si="4"/>
        <v>0</v>
      </c>
      <c r="N20" s="51">
        <v>5102</v>
      </c>
      <c r="O20" s="565">
        <v>255</v>
      </c>
      <c r="P20" s="53"/>
      <c r="Q20" s="565"/>
      <c r="V20" s="623" t="s">
        <v>51</v>
      </c>
      <c r="W20" s="623"/>
      <c r="X20" s="618">
        <f>IF('2911 June final'!K$84=1,'2911 June final'!G20,0)</f>
        <v>0</v>
      </c>
      <c r="Y20" s="618"/>
      <c r="Z20" s="624">
        <v>1</v>
      </c>
      <c r="AA20" s="624"/>
      <c r="AB20" s="55">
        <f t="shared" si="0"/>
        <v>0</v>
      </c>
      <c r="AC20" s="56">
        <f t="shared" si="1"/>
        <v>0</v>
      </c>
      <c r="AD20" s="9"/>
    </row>
    <row r="21" spans="1:30" ht="15" customHeight="1" x14ac:dyDescent="0.25">
      <c r="A21" s="1" t="s">
        <v>52</v>
      </c>
      <c r="B21" s="13" t="s">
        <v>53</v>
      </c>
      <c r="C21" s="13"/>
      <c r="D21" s="13">
        <v>0</v>
      </c>
      <c r="E21" s="13">
        <v>0</v>
      </c>
      <c r="F21" s="13">
        <v>0</v>
      </c>
      <c r="G21" s="46">
        <f t="shared" si="2"/>
        <v>0</v>
      </c>
      <c r="H21" s="47"/>
      <c r="I21" s="57">
        <f>I20</f>
        <v>5.0890000000000004</v>
      </c>
      <c r="J21" s="57"/>
      <c r="K21" s="49">
        <f t="shared" si="3"/>
        <v>0</v>
      </c>
      <c r="L21" s="50">
        <f t="shared" si="4"/>
        <v>0</v>
      </c>
      <c r="N21" s="51">
        <v>5103</v>
      </c>
      <c r="O21" s="565">
        <v>255</v>
      </c>
      <c r="P21" s="53"/>
      <c r="Q21" s="565"/>
      <c r="V21" s="623" t="s">
        <v>53</v>
      </c>
      <c r="W21" s="623"/>
      <c r="X21" s="618">
        <f>IF('2911 June final'!K$84=1,'2911 June final'!G21,0)</f>
        <v>0</v>
      </c>
      <c r="Y21" s="618"/>
      <c r="Z21" s="624">
        <v>1</v>
      </c>
      <c r="AA21" s="624"/>
      <c r="AB21" s="55">
        <f t="shared" si="0"/>
        <v>0</v>
      </c>
      <c r="AC21" s="56">
        <f t="shared" si="1"/>
        <v>0</v>
      </c>
      <c r="AD21" s="9"/>
    </row>
    <row r="22" spans="1:30" x14ac:dyDescent="0.25">
      <c r="A22" s="1" t="s">
        <v>54</v>
      </c>
      <c r="B22" s="13" t="s">
        <v>55</v>
      </c>
      <c r="C22" s="13"/>
      <c r="D22" s="13">
        <v>1.19</v>
      </c>
      <c r="E22" s="13">
        <v>1.19</v>
      </c>
      <c r="F22" s="13">
        <v>1.43</v>
      </c>
      <c r="G22" s="46">
        <f t="shared" si="2"/>
        <v>2.38</v>
      </c>
      <c r="H22" s="47"/>
      <c r="I22" s="57">
        <v>1.145</v>
      </c>
      <c r="J22" s="57"/>
      <c r="K22" s="49">
        <f t="shared" si="3"/>
        <v>2.7250999999999999</v>
      </c>
      <c r="L22" s="50">
        <f t="shared" si="4"/>
        <v>10559</v>
      </c>
      <c r="N22" s="51">
        <v>5101</v>
      </c>
      <c r="O22" s="564">
        <v>130</v>
      </c>
      <c r="P22" s="53"/>
      <c r="Q22" s="565"/>
      <c r="V22" s="623" t="s">
        <v>55</v>
      </c>
      <c r="W22" s="623"/>
      <c r="X22" s="618">
        <f>IF('2911 June final'!K$84=1,'2911 June final'!G22,0)</f>
        <v>0</v>
      </c>
      <c r="Y22" s="618"/>
      <c r="Z22" s="624">
        <v>1</v>
      </c>
      <c r="AA22" s="624"/>
      <c r="AB22" s="55">
        <f t="shared" si="0"/>
        <v>0</v>
      </c>
      <c r="AC22" s="56">
        <f t="shared" si="1"/>
        <v>0</v>
      </c>
      <c r="AD22" s="9"/>
    </row>
    <row r="23" spans="1:30" x14ac:dyDescent="0.25">
      <c r="A23" s="1" t="s">
        <v>56</v>
      </c>
      <c r="B23" s="13" t="s">
        <v>57</v>
      </c>
      <c r="C23" s="13"/>
      <c r="D23" s="13">
        <v>0</v>
      </c>
      <c r="E23" s="13">
        <v>0</v>
      </c>
      <c r="F23" s="13">
        <v>0</v>
      </c>
      <c r="G23" s="46">
        <f t="shared" si="2"/>
        <v>0</v>
      </c>
      <c r="H23" s="47"/>
      <c r="I23" s="57">
        <f>I22</f>
        <v>1.145</v>
      </c>
      <c r="J23" s="57"/>
      <c r="K23" s="49">
        <f t="shared" si="3"/>
        <v>0</v>
      </c>
      <c r="L23" s="50">
        <f t="shared" si="4"/>
        <v>0</v>
      </c>
      <c r="N23" s="51">
        <v>5102</v>
      </c>
      <c r="O23" s="564">
        <v>130</v>
      </c>
      <c r="P23" s="53"/>
      <c r="Q23" s="565"/>
      <c r="V23" s="623" t="s">
        <v>57</v>
      </c>
      <c r="W23" s="623"/>
      <c r="X23" s="618">
        <f>IF('2911 June final'!K$84=1,'2911 June final'!G23,0)</f>
        <v>0</v>
      </c>
      <c r="Y23" s="618"/>
      <c r="Z23" s="624">
        <v>1</v>
      </c>
      <c r="AA23" s="624"/>
      <c r="AB23" s="55">
        <f t="shared" si="0"/>
        <v>0</v>
      </c>
      <c r="AC23" s="56">
        <f t="shared" si="1"/>
        <v>0</v>
      </c>
      <c r="AD23" s="9"/>
    </row>
    <row r="24" spans="1:30" x14ac:dyDescent="0.25">
      <c r="A24" s="1" t="s">
        <v>58</v>
      </c>
      <c r="B24" s="13" t="s">
        <v>59</v>
      </c>
      <c r="C24" s="13"/>
      <c r="D24" s="13">
        <v>0</v>
      </c>
      <c r="E24" s="13">
        <v>0</v>
      </c>
      <c r="F24" s="13">
        <v>0</v>
      </c>
      <c r="G24" s="46">
        <f t="shared" si="2"/>
        <v>0</v>
      </c>
      <c r="H24" s="47"/>
      <c r="I24" s="57">
        <f>I23</f>
        <v>1.145</v>
      </c>
      <c r="J24" s="57"/>
      <c r="K24" s="49">
        <f t="shared" si="3"/>
        <v>0</v>
      </c>
      <c r="L24" s="50">
        <f t="shared" si="4"/>
        <v>0</v>
      </c>
      <c r="N24" s="51">
        <v>5103</v>
      </c>
      <c r="O24" s="564">
        <v>130</v>
      </c>
      <c r="P24" s="53"/>
      <c r="Q24" s="565"/>
      <c r="V24" s="623" t="s">
        <v>59</v>
      </c>
      <c r="W24" s="623"/>
      <c r="X24" s="618">
        <f>IF('2911 June final'!K$84=1,'2911 June final'!G24,0)</f>
        <v>0</v>
      </c>
      <c r="Y24" s="618"/>
      <c r="Z24" s="624">
        <v>1</v>
      </c>
      <c r="AA24" s="624"/>
      <c r="AB24" s="55">
        <f t="shared" si="0"/>
        <v>0</v>
      </c>
      <c r="AC24" s="56">
        <f t="shared" si="1"/>
        <v>0</v>
      </c>
      <c r="AD24" s="9"/>
    </row>
    <row r="25" spans="1:30" ht="16.5" thickBot="1" x14ac:dyDescent="0.3">
      <c r="A25" s="1" t="s">
        <v>60</v>
      </c>
      <c r="B25" s="13" t="s">
        <v>61</v>
      </c>
      <c r="C25" s="13"/>
      <c r="D25" s="13">
        <v>0</v>
      </c>
      <c r="E25" s="13">
        <v>0</v>
      </c>
      <c r="F25" s="13">
        <v>0</v>
      </c>
      <c r="G25" s="46">
        <f t="shared" si="2"/>
        <v>0</v>
      </c>
      <c r="H25" s="47"/>
      <c r="I25" s="57">
        <v>1.0109999999999999</v>
      </c>
      <c r="J25" s="57"/>
      <c r="K25" s="49">
        <f t="shared" si="3"/>
        <v>0</v>
      </c>
      <c r="L25" s="50">
        <f t="shared" si="4"/>
        <v>0</v>
      </c>
      <c r="N25" s="51">
        <v>5310</v>
      </c>
      <c r="O25" s="564">
        <v>300</v>
      </c>
      <c r="P25" s="53"/>
      <c r="Q25" s="565"/>
      <c r="V25" s="623" t="s">
        <v>61</v>
      </c>
      <c r="W25" s="623"/>
      <c r="X25" s="618">
        <f>IF('2911 June final'!K$84=1,'2911 June final'!G25,0)</f>
        <v>0</v>
      </c>
      <c r="Y25" s="618"/>
      <c r="Z25" s="624">
        <v>1</v>
      </c>
      <c r="AA25" s="624"/>
      <c r="AB25" s="55">
        <f t="shared" si="0"/>
        <v>0</v>
      </c>
      <c r="AC25" s="56">
        <f t="shared" si="1"/>
        <v>0</v>
      </c>
      <c r="AD25" s="9"/>
    </row>
    <row r="26" spans="1:30" ht="20.25" customHeight="1" thickBot="1" x14ac:dyDescent="0.3">
      <c r="B26" s="62" t="s">
        <v>62</v>
      </c>
      <c r="C26" s="62"/>
      <c r="D26" s="63">
        <f t="shared" ref="D26:E26" si="5">SUM(D10:D25)</f>
        <v>192.13</v>
      </c>
      <c r="E26" s="63">
        <f t="shared" si="5"/>
        <v>194.9</v>
      </c>
      <c r="F26" s="63"/>
      <c r="G26" s="63">
        <f>SUM(G10:G25)</f>
        <v>387.03</v>
      </c>
      <c r="H26" s="64"/>
      <c r="I26" s="64"/>
      <c r="J26" s="65"/>
      <c r="K26" s="66">
        <f>SUM(K10:K25)</f>
        <v>408.52140000000003</v>
      </c>
      <c r="L26" s="67">
        <f>SUM(L10:L25)</f>
        <v>1582867</v>
      </c>
      <c r="N26" s="565"/>
      <c r="O26" s="68"/>
      <c r="P26" s="565"/>
      <c r="Q26" s="565"/>
      <c r="V26" s="625" t="s">
        <v>62</v>
      </c>
      <c r="W26" s="625"/>
      <c r="X26" s="626">
        <f>SUM(X10:X25)</f>
        <v>0</v>
      </c>
      <c r="Y26" s="626"/>
      <c r="Z26" s="627"/>
      <c r="AA26" s="628"/>
      <c r="AB26" s="69">
        <f>SUM(AB10:AB25)</f>
        <v>0</v>
      </c>
      <c r="AC26" s="70">
        <f>SUM(AC10:AC25)</f>
        <v>0</v>
      </c>
      <c r="AD26" s="9"/>
    </row>
    <row r="27" spans="1:30" ht="51.75" customHeight="1" x14ac:dyDescent="0.25">
      <c r="B27" s="62" t="s">
        <v>63</v>
      </c>
      <c r="C27" s="62"/>
      <c r="D27" s="71" t="s">
        <v>13</v>
      </c>
      <c r="E27" s="71" t="s">
        <v>14</v>
      </c>
      <c r="F27" s="27"/>
      <c r="G27" s="72" t="s">
        <v>64</v>
      </c>
      <c r="H27" s="73"/>
      <c r="I27" s="74" t="s">
        <v>65</v>
      </c>
      <c r="J27" s="74" t="s">
        <v>66</v>
      </c>
      <c r="K27" s="75" t="s">
        <v>67</v>
      </c>
      <c r="M27" s="576">
        <f>12-11.94</f>
        <v>6.0000000000000497E-2</v>
      </c>
      <c r="N27" s="565"/>
      <c r="O27" s="68"/>
      <c r="P27" s="565"/>
      <c r="Q27" s="565"/>
      <c r="V27" s="629" t="s">
        <v>63</v>
      </c>
      <c r="W27" s="629"/>
      <c r="X27" s="630" t="s">
        <v>64</v>
      </c>
      <c r="Y27" s="630"/>
      <c r="Z27" s="76" t="s">
        <v>65</v>
      </c>
      <c r="AA27" s="77" t="s">
        <v>66</v>
      </c>
      <c r="AB27" s="78" t="s">
        <v>67</v>
      </c>
      <c r="AC27" s="9"/>
      <c r="AD27" s="9"/>
    </row>
    <row r="28" spans="1:30" ht="15.75" customHeight="1" x14ac:dyDescent="0.25">
      <c r="A28" s="1" t="s">
        <v>68</v>
      </c>
      <c r="B28" s="631" t="s">
        <v>69</v>
      </c>
      <c r="C28" s="632"/>
      <c r="D28" s="13">
        <v>13.12</v>
      </c>
      <c r="E28" s="13">
        <f>10-0.06</f>
        <v>9.94</v>
      </c>
      <c r="F28" s="79">
        <v>11</v>
      </c>
      <c r="G28" s="46">
        <f t="shared" ref="G28:G36" si="6">D28+E28</f>
        <v>23.06</v>
      </c>
      <c r="H28" s="80"/>
      <c r="I28" s="81" t="s">
        <v>70</v>
      </c>
      <c r="J28" s="82">
        <v>251</v>
      </c>
      <c r="K28" s="83">
        <v>1047</v>
      </c>
      <c r="L28" s="84">
        <f>ROUND(G28*K28,0)</f>
        <v>24144</v>
      </c>
      <c r="M28" s="1">
        <f>13.5-13.55</f>
        <v>-5.0000000000000711E-2</v>
      </c>
      <c r="N28" s="552">
        <v>5101</v>
      </c>
      <c r="O28" s="565">
        <v>251</v>
      </c>
      <c r="P28" s="86"/>
      <c r="Q28" s="87"/>
      <c r="V28" s="637" t="s">
        <v>69</v>
      </c>
      <c r="W28" s="637"/>
      <c r="X28" s="638"/>
      <c r="Y28" s="638"/>
      <c r="Z28" s="88" t="s">
        <v>70</v>
      </c>
      <c r="AA28" s="558">
        <v>251</v>
      </c>
      <c r="AB28" s="90">
        <f>+K28</f>
        <v>1047</v>
      </c>
      <c r="AC28" s="91">
        <f t="shared" ref="AC28:AC36" si="7">ROUND(X28*AB28,0)</f>
        <v>0</v>
      </c>
      <c r="AD28" s="9"/>
    </row>
    <row r="29" spans="1:30" x14ac:dyDescent="0.25">
      <c r="A29" s="1" t="s">
        <v>71</v>
      </c>
      <c r="B29" s="633"/>
      <c r="C29" s="634"/>
      <c r="D29" s="13">
        <v>1.52</v>
      </c>
      <c r="E29" s="13">
        <v>2</v>
      </c>
      <c r="F29" s="92">
        <v>3.5</v>
      </c>
      <c r="G29" s="46">
        <f t="shared" si="6"/>
        <v>3.52</v>
      </c>
      <c r="H29" s="80"/>
      <c r="I29" s="82" t="s">
        <v>70</v>
      </c>
      <c r="J29" s="82">
        <v>252</v>
      </c>
      <c r="K29" s="83">
        <v>3380</v>
      </c>
      <c r="L29" s="84">
        <f t="shared" ref="L29:L36" si="8">ROUND(G29*K29,0)</f>
        <v>11898</v>
      </c>
      <c r="N29" s="552">
        <v>5101</v>
      </c>
      <c r="O29" s="565">
        <v>252</v>
      </c>
      <c r="P29" s="86"/>
      <c r="Q29" s="87"/>
      <c r="V29" s="637"/>
      <c r="W29" s="637"/>
      <c r="X29" s="638"/>
      <c r="Y29" s="638"/>
      <c r="Z29" s="558" t="s">
        <v>70</v>
      </c>
      <c r="AA29" s="558">
        <v>252</v>
      </c>
      <c r="AB29" s="90">
        <f t="shared" ref="AB29:AB36" si="9">+K29</f>
        <v>3380</v>
      </c>
      <c r="AC29" s="91">
        <f t="shared" si="7"/>
        <v>0</v>
      </c>
      <c r="AD29" s="9"/>
    </row>
    <row r="30" spans="1:30" x14ac:dyDescent="0.25">
      <c r="A30" s="1" t="s">
        <v>72</v>
      </c>
      <c r="B30" s="633"/>
      <c r="C30" s="634"/>
      <c r="D30" s="13">
        <v>0</v>
      </c>
      <c r="E30" s="13">
        <v>0</v>
      </c>
      <c r="F30" s="92">
        <v>0</v>
      </c>
      <c r="G30" s="46">
        <f t="shared" si="6"/>
        <v>0</v>
      </c>
      <c r="H30" s="80"/>
      <c r="I30" s="82" t="s">
        <v>70</v>
      </c>
      <c r="J30" s="82">
        <v>253</v>
      </c>
      <c r="K30" s="83">
        <v>6896</v>
      </c>
      <c r="L30" s="84">
        <f t="shared" si="8"/>
        <v>0</v>
      </c>
      <c r="N30" s="552">
        <v>5101</v>
      </c>
      <c r="O30" s="565">
        <v>253</v>
      </c>
      <c r="P30" s="86"/>
      <c r="Q30" s="68"/>
      <c r="V30" s="637"/>
      <c r="W30" s="637"/>
      <c r="X30" s="638"/>
      <c r="Y30" s="638"/>
      <c r="Z30" s="558" t="s">
        <v>70</v>
      </c>
      <c r="AA30" s="558">
        <v>253</v>
      </c>
      <c r="AB30" s="90">
        <f t="shared" si="9"/>
        <v>6896</v>
      </c>
      <c r="AC30" s="91">
        <f t="shared" si="7"/>
        <v>0</v>
      </c>
      <c r="AD30" s="9"/>
    </row>
    <row r="31" spans="1:30" x14ac:dyDescent="0.25">
      <c r="A31" s="1" t="s">
        <v>73</v>
      </c>
      <c r="B31" s="633"/>
      <c r="C31" s="634"/>
      <c r="D31" s="13">
        <v>14.09</v>
      </c>
      <c r="E31" s="13">
        <f>12.5+0.05</f>
        <v>12.55</v>
      </c>
      <c r="F31" s="92">
        <v>16.5</v>
      </c>
      <c r="G31" s="46">
        <f t="shared" si="6"/>
        <v>26.64</v>
      </c>
      <c r="H31" s="80"/>
      <c r="I31" s="93" t="s">
        <v>74</v>
      </c>
      <c r="J31" s="82">
        <v>251</v>
      </c>
      <c r="K31" s="83">
        <v>1173</v>
      </c>
      <c r="L31" s="84">
        <f t="shared" si="8"/>
        <v>31249</v>
      </c>
      <c r="N31" s="552">
        <v>5102</v>
      </c>
      <c r="O31" s="565">
        <v>251</v>
      </c>
      <c r="P31" s="86"/>
      <c r="Q31" s="68"/>
      <c r="V31" s="637"/>
      <c r="W31" s="637"/>
      <c r="X31" s="638"/>
      <c r="Y31" s="638"/>
      <c r="Z31" s="94" t="s">
        <v>74</v>
      </c>
      <c r="AA31" s="558">
        <v>251</v>
      </c>
      <c r="AB31" s="90">
        <f t="shared" si="9"/>
        <v>1173</v>
      </c>
      <c r="AC31" s="91">
        <f t="shared" si="7"/>
        <v>0</v>
      </c>
      <c r="AD31" s="9"/>
    </row>
    <row r="32" spans="1:30" x14ac:dyDescent="0.25">
      <c r="A32" s="1" t="s">
        <v>75</v>
      </c>
      <c r="B32" s="633"/>
      <c r="C32" s="634"/>
      <c r="D32" s="13">
        <v>0.98</v>
      </c>
      <c r="E32" s="13">
        <v>1</v>
      </c>
      <c r="F32" s="92">
        <v>2</v>
      </c>
      <c r="G32" s="46">
        <f t="shared" si="6"/>
        <v>1.98</v>
      </c>
      <c r="H32" s="80"/>
      <c r="I32" s="93" t="s">
        <v>74</v>
      </c>
      <c r="J32" s="82">
        <v>252</v>
      </c>
      <c r="K32" s="83">
        <v>3506</v>
      </c>
      <c r="L32" s="84">
        <f t="shared" si="8"/>
        <v>6942</v>
      </c>
      <c r="N32" s="552">
        <v>5102</v>
      </c>
      <c r="O32" s="565">
        <v>252</v>
      </c>
      <c r="P32" s="86"/>
      <c r="Q32" s="565"/>
      <c r="V32" s="637"/>
      <c r="W32" s="637"/>
      <c r="X32" s="638"/>
      <c r="Y32" s="638"/>
      <c r="Z32" s="94" t="s">
        <v>74</v>
      </c>
      <c r="AA32" s="558">
        <v>252</v>
      </c>
      <c r="AB32" s="90">
        <f t="shared" si="9"/>
        <v>3506</v>
      </c>
      <c r="AC32" s="91">
        <f t="shared" si="7"/>
        <v>0</v>
      </c>
      <c r="AD32" s="9"/>
    </row>
    <row r="33" spans="1:30" x14ac:dyDescent="0.25">
      <c r="A33" s="1" t="s">
        <v>76</v>
      </c>
      <c r="B33" s="633"/>
      <c r="C33" s="634"/>
      <c r="D33" s="13">
        <v>0</v>
      </c>
      <c r="E33" s="13">
        <v>0</v>
      </c>
      <c r="F33" s="92">
        <v>0</v>
      </c>
      <c r="G33" s="46">
        <f t="shared" si="6"/>
        <v>0</v>
      </c>
      <c r="H33" s="80"/>
      <c r="I33" s="93" t="s">
        <v>74</v>
      </c>
      <c r="J33" s="82">
        <v>253</v>
      </c>
      <c r="K33" s="83">
        <v>7023</v>
      </c>
      <c r="L33" s="84">
        <f t="shared" si="8"/>
        <v>0</v>
      </c>
      <c r="N33" s="552">
        <v>5102</v>
      </c>
      <c r="O33" s="565">
        <v>253</v>
      </c>
      <c r="P33" s="86"/>
      <c r="Q33" s="87"/>
      <c r="V33" s="637"/>
      <c r="W33" s="637"/>
      <c r="X33" s="638"/>
      <c r="Y33" s="638"/>
      <c r="Z33" s="94" t="s">
        <v>74</v>
      </c>
      <c r="AA33" s="558">
        <v>253</v>
      </c>
      <c r="AB33" s="90">
        <f t="shared" si="9"/>
        <v>7023</v>
      </c>
      <c r="AC33" s="91">
        <f t="shared" si="7"/>
        <v>0</v>
      </c>
      <c r="AD33" s="9"/>
    </row>
    <row r="34" spans="1:30" x14ac:dyDescent="0.25">
      <c r="A34" s="1" t="s">
        <v>77</v>
      </c>
      <c r="B34" s="633"/>
      <c r="C34" s="634"/>
      <c r="D34" s="13">
        <v>0</v>
      </c>
      <c r="E34" s="13">
        <v>0</v>
      </c>
      <c r="F34" s="92">
        <v>0</v>
      </c>
      <c r="G34" s="46">
        <f t="shared" si="6"/>
        <v>0</v>
      </c>
      <c r="H34" s="80"/>
      <c r="I34" s="93" t="s">
        <v>78</v>
      </c>
      <c r="J34" s="82">
        <v>251</v>
      </c>
      <c r="K34" s="83">
        <v>835</v>
      </c>
      <c r="L34" s="84">
        <f t="shared" si="8"/>
        <v>0</v>
      </c>
      <c r="N34" s="552">
        <v>5103</v>
      </c>
      <c r="O34" s="565">
        <v>251</v>
      </c>
      <c r="P34" s="86"/>
      <c r="Q34" s="87"/>
      <c r="V34" s="637"/>
      <c r="W34" s="637"/>
      <c r="X34" s="638"/>
      <c r="Y34" s="638"/>
      <c r="Z34" s="94" t="s">
        <v>78</v>
      </c>
      <c r="AA34" s="558">
        <v>251</v>
      </c>
      <c r="AB34" s="90">
        <f t="shared" si="9"/>
        <v>835</v>
      </c>
      <c r="AC34" s="91">
        <f t="shared" si="7"/>
        <v>0</v>
      </c>
      <c r="AD34" s="9"/>
    </row>
    <row r="35" spans="1:30" x14ac:dyDescent="0.25">
      <c r="A35" s="1" t="s">
        <v>79</v>
      </c>
      <c r="B35" s="633"/>
      <c r="C35" s="634"/>
      <c r="D35" s="13">
        <v>0</v>
      </c>
      <c r="E35" s="13">
        <v>0</v>
      </c>
      <c r="F35" s="92">
        <v>0</v>
      </c>
      <c r="G35" s="46">
        <f t="shared" si="6"/>
        <v>0</v>
      </c>
      <c r="H35" s="80"/>
      <c r="I35" s="93" t="s">
        <v>78</v>
      </c>
      <c r="J35" s="82">
        <v>252</v>
      </c>
      <c r="K35" s="83">
        <v>3168</v>
      </c>
      <c r="L35" s="84">
        <f t="shared" si="8"/>
        <v>0</v>
      </c>
      <c r="N35" s="552">
        <v>5103</v>
      </c>
      <c r="O35" s="565">
        <v>252</v>
      </c>
      <c r="P35" s="86"/>
      <c r="Q35" s="95"/>
      <c r="V35" s="637"/>
      <c r="W35" s="637"/>
      <c r="X35" s="638"/>
      <c r="Y35" s="638"/>
      <c r="Z35" s="94" t="s">
        <v>78</v>
      </c>
      <c r="AA35" s="558">
        <v>252</v>
      </c>
      <c r="AB35" s="90">
        <f t="shared" si="9"/>
        <v>3168</v>
      </c>
      <c r="AC35" s="91">
        <f t="shared" si="7"/>
        <v>0</v>
      </c>
      <c r="AD35" s="9"/>
    </row>
    <row r="36" spans="1:30" ht="16.5" thickBot="1" x14ac:dyDescent="0.3">
      <c r="A36" s="1" t="s">
        <v>80</v>
      </c>
      <c r="B36" s="635"/>
      <c r="C36" s="636"/>
      <c r="D36" s="13">
        <v>0</v>
      </c>
      <c r="E36" s="13">
        <v>0</v>
      </c>
      <c r="F36" s="92">
        <v>0</v>
      </c>
      <c r="G36" s="46">
        <f t="shared" si="6"/>
        <v>0</v>
      </c>
      <c r="H36" s="80"/>
      <c r="I36" s="93" t="s">
        <v>78</v>
      </c>
      <c r="J36" s="82">
        <v>253</v>
      </c>
      <c r="K36" s="83">
        <v>6685</v>
      </c>
      <c r="L36" s="96">
        <f t="shared" si="8"/>
        <v>0</v>
      </c>
      <c r="N36" s="552">
        <v>5103</v>
      </c>
      <c r="O36" s="565">
        <v>253</v>
      </c>
      <c r="P36" s="86"/>
      <c r="Q36" s="97"/>
      <c r="V36" s="637"/>
      <c r="W36" s="637"/>
      <c r="X36" s="645"/>
      <c r="Y36" s="645"/>
      <c r="Z36" s="94" t="s">
        <v>78</v>
      </c>
      <c r="AA36" s="558">
        <v>253</v>
      </c>
      <c r="AB36" s="90">
        <f t="shared" si="9"/>
        <v>6685</v>
      </c>
      <c r="AC36" s="98">
        <f t="shared" si="7"/>
        <v>0</v>
      </c>
      <c r="AD36" s="9"/>
    </row>
    <row r="37" spans="1:30" ht="18.75" customHeight="1" x14ac:dyDescent="0.25">
      <c r="B37" s="13" t="s">
        <v>81</v>
      </c>
      <c r="C37" s="13"/>
      <c r="D37" s="63">
        <f t="shared" ref="D37:E37" si="10">SUM(D28:D36)</f>
        <v>29.709999999999997</v>
      </c>
      <c r="E37" s="63">
        <f t="shared" si="10"/>
        <v>25.490000000000002</v>
      </c>
      <c r="F37" s="63"/>
      <c r="G37" s="63">
        <f>SUM(G28:G36)</f>
        <v>55.199999999999996</v>
      </c>
      <c r="H37" s="64"/>
      <c r="I37" s="13" t="s">
        <v>82</v>
      </c>
      <c r="J37" s="13"/>
      <c r="K37" s="13"/>
      <c r="L37" s="50">
        <f>SUM(L28:L36)</f>
        <v>74233</v>
      </c>
      <c r="N37" s="565"/>
      <c r="O37" s="68"/>
      <c r="P37" s="565"/>
      <c r="Q37" s="565"/>
      <c r="V37" s="646" t="s">
        <v>81</v>
      </c>
      <c r="W37" s="646"/>
      <c r="X37" s="626">
        <f>SUM(X28:X36)</f>
        <v>0</v>
      </c>
      <c r="Y37" s="626"/>
      <c r="Z37" s="646" t="s">
        <v>82</v>
      </c>
      <c r="AA37" s="646"/>
      <c r="AB37" s="646"/>
      <c r="AC37" s="56">
        <f>SUM(AC28:AC36)</f>
        <v>0</v>
      </c>
      <c r="AD37" s="9"/>
    </row>
    <row r="38" spans="1:30" ht="30.75" customHeight="1" x14ac:dyDescent="0.25">
      <c r="B38" s="99" t="s">
        <v>83</v>
      </c>
      <c r="C38" s="99"/>
      <c r="D38" s="99"/>
      <c r="E38" s="99"/>
      <c r="F38" s="99"/>
      <c r="G38" s="99"/>
      <c r="H38" s="100"/>
      <c r="I38" s="99"/>
      <c r="J38" s="99"/>
      <c r="K38" s="99"/>
      <c r="L38" s="99"/>
      <c r="M38" s="101"/>
      <c r="N38" s="565"/>
      <c r="O38" s="68"/>
      <c r="P38" s="565"/>
      <c r="Q38" s="565"/>
      <c r="V38" s="639" t="s">
        <v>83</v>
      </c>
      <c r="W38" s="639"/>
      <c r="X38" s="639"/>
      <c r="Y38" s="639"/>
      <c r="Z38" s="639"/>
      <c r="AA38" s="639"/>
      <c r="AB38" s="639"/>
      <c r="AC38" s="639"/>
      <c r="AD38" s="102"/>
    </row>
    <row r="39" spans="1:30" ht="15.75" customHeight="1" x14ac:dyDescent="0.25">
      <c r="B39" s="103" t="s">
        <v>84</v>
      </c>
      <c r="C39" s="103"/>
      <c r="D39" s="103"/>
      <c r="E39" s="103"/>
      <c r="F39" s="103"/>
      <c r="G39" s="104">
        <v>34389540</v>
      </c>
      <c r="H39" s="104"/>
      <c r="I39" s="13" t="s">
        <v>85</v>
      </c>
      <c r="J39" s="13"/>
      <c r="K39" s="13"/>
      <c r="L39" s="13"/>
      <c r="O39" s="1"/>
      <c r="V39" s="640" t="s">
        <v>84</v>
      </c>
      <c r="W39" s="640"/>
      <c r="X39" s="641">
        <f>+G39</f>
        <v>34389540</v>
      </c>
      <c r="Y39" s="641"/>
      <c r="Z39" s="642" t="s">
        <v>85</v>
      </c>
      <c r="AA39" s="642"/>
      <c r="AB39" s="642"/>
      <c r="AC39" s="642"/>
      <c r="AD39" s="9"/>
    </row>
    <row r="40" spans="1:30" ht="15.75" customHeight="1" x14ac:dyDescent="0.25">
      <c r="B40" s="566" t="s">
        <v>86</v>
      </c>
      <c r="C40" s="566"/>
      <c r="D40" s="566"/>
      <c r="E40" s="566"/>
      <c r="F40" s="566"/>
      <c r="G40" s="106">
        <v>180284.81</v>
      </c>
      <c r="H40" s="106"/>
      <c r="I40" s="106"/>
      <c r="J40" s="106"/>
      <c r="K40" s="50">
        <f>ROUND(G39/G40,0)</f>
        <v>191</v>
      </c>
      <c r="L40" s="50">
        <f>ROUND(K40*$G$26,0)</f>
        <v>73923</v>
      </c>
      <c r="N40" s="107"/>
      <c r="O40" s="107"/>
      <c r="P40" s="107"/>
      <c r="Q40" s="107"/>
      <c r="V40" s="674" t="s">
        <v>86</v>
      </c>
      <c r="W40" s="674"/>
      <c r="X40" s="644">
        <f>+G40</f>
        <v>180284.81</v>
      </c>
      <c r="Y40" s="644"/>
      <c r="Z40" s="644"/>
      <c r="AA40" s="644"/>
      <c r="AB40" s="56">
        <f>ROUND(X39/X40,0)</f>
        <v>191</v>
      </c>
      <c r="AC40" s="56">
        <f>ROUND(AB40*$X$26,0)</f>
        <v>0</v>
      </c>
      <c r="AD40" s="9"/>
    </row>
    <row r="41" spans="1:30" ht="15.75" customHeight="1" x14ac:dyDescent="0.25">
      <c r="B41" s="108" t="s">
        <v>87</v>
      </c>
      <c r="C41" s="108"/>
      <c r="D41" s="108"/>
      <c r="E41" s="108"/>
      <c r="F41" s="108"/>
      <c r="G41" s="108"/>
      <c r="H41" s="108"/>
      <c r="I41" s="108"/>
      <c r="J41" s="108"/>
      <c r="K41" s="108"/>
      <c r="L41" s="108"/>
      <c r="N41" s="101"/>
      <c r="O41" s="109"/>
      <c r="P41" s="101"/>
      <c r="Q41" s="101"/>
      <c r="V41" s="652" t="s">
        <v>87</v>
      </c>
      <c r="W41" s="652"/>
      <c r="X41" s="652"/>
      <c r="Y41" s="652"/>
      <c r="Z41" s="652"/>
      <c r="AA41" s="652"/>
      <c r="AB41" s="652"/>
      <c r="AC41" s="652"/>
      <c r="AD41" s="9"/>
    </row>
    <row r="42" spans="1:30" ht="28.5" customHeight="1" x14ac:dyDescent="0.25">
      <c r="B42" s="99" t="s">
        <v>88</v>
      </c>
      <c r="C42" s="99"/>
      <c r="D42" s="99"/>
      <c r="E42" s="99"/>
      <c r="F42" s="99"/>
      <c r="G42" s="99"/>
      <c r="H42" s="99"/>
      <c r="I42" s="99"/>
      <c r="J42" s="99"/>
      <c r="K42" s="99"/>
      <c r="L42" s="99"/>
      <c r="M42" s="107"/>
      <c r="O42" s="1"/>
      <c r="V42" s="639" t="s">
        <v>88</v>
      </c>
      <c r="W42" s="639"/>
      <c r="X42" s="639"/>
      <c r="Y42" s="639"/>
      <c r="Z42" s="639"/>
      <c r="AA42" s="639"/>
      <c r="AB42" s="639"/>
      <c r="AC42" s="639"/>
      <c r="AD42" s="556"/>
    </row>
    <row r="43" spans="1:30" x14ac:dyDescent="0.25">
      <c r="B43" s="103" t="s">
        <v>89</v>
      </c>
      <c r="C43" s="103"/>
      <c r="D43" s="103"/>
      <c r="E43" s="103"/>
      <c r="F43" s="103"/>
      <c r="G43" s="103"/>
      <c r="H43" s="103"/>
      <c r="I43" s="103"/>
      <c r="J43" s="103"/>
      <c r="K43" s="103"/>
      <c r="L43" s="103"/>
      <c r="M43" s="112"/>
      <c r="N43" s="101"/>
      <c r="O43" s="101"/>
      <c r="P43" s="101"/>
      <c r="Q43" s="101"/>
      <c r="V43" s="676" t="s">
        <v>89</v>
      </c>
      <c r="W43" s="676"/>
      <c r="X43" s="676"/>
      <c r="Y43" s="676"/>
      <c r="Z43" s="676"/>
      <c r="AA43" s="676"/>
      <c r="AB43" s="676"/>
      <c r="AC43" s="676"/>
      <c r="AD43" s="113"/>
    </row>
    <row r="44" spans="1:30" ht="24" customHeight="1" x14ac:dyDescent="0.25">
      <c r="B44" s="62" t="s">
        <v>90</v>
      </c>
      <c r="C44" s="62"/>
      <c r="D44" s="62"/>
      <c r="E44" s="62"/>
      <c r="F44" s="62"/>
      <c r="G44" s="62"/>
      <c r="H44" s="62"/>
      <c r="I44" s="62"/>
      <c r="J44" s="62"/>
      <c r="K44" s="62"/>
      <c r="L44" s="114">
        <f>SUM(L26,L37,L40)</f>
        <v>1731023</v>
      </c>
      <c r="O44" s="1"/>
      <c r="V44" s="654" t="s">
        <v>90</v>
      </c>
      <c r="W44" s="654"/>
      <c r="X44" s="654"/>
      <c r="Y44" s="654"/>
      <c r="Z44" s="654"/>
      <c r="AA44" s="654"/>
      <c r="AB44" s="654"/>
      <c r="AC44" s="115">
        <f>SUM(AC26,AC37,AC40)</f>
        <v>0</v>
      </c>
      <c r="AD44" s="9"/>
    </row>
    <row r="45" spans="1:30" ht="30.75" customHeight="1" x14ac:dyDescent="0.25">
      <c r="B45" s="99" t="s">
        <v>91</v>
      </c>
      <c r="C45" s="99"/>
      <c r="D45" s="99"/>
      <c r="E45" s="99"/>
      <c r="F45" s="99"/>
      <c r="G45" s="99"/>
      <c r="H45" s="99"/>
      <c r="I45" s="99"/>
      <c r="J45" s="99"/>
      <c r="K45" s="99"/>
      <c r="L45" s="99"/>
      <c r="M45" s="116"/>
      <c r="O45" s="1"/>
      <c r="V45" s="639" t="s">
        <v>91</v>
      </c>
      <c r="W45" s="639"/>
      <c r="X45" s="639"/>
      <c r="Y45" s="639"/>
      <c r="Z45" s="639"/>
      <c r="AA45" s="639"/>
      <c r="AB45" s="639"/>
      <c r="AC45" s="639"/>
      <c r="AD45" s="553"/>
    </row>
    <row r="46" spans="1:30" ht="18.75" customHeight="1" x14ac:dyDescent="0.25">
      <c r="B46" s="1"/>
      <c r="C46" s="118" t="s">
        <v>92</v>
      </c>
      <c r="D46" s="118"/>
      <c r="E46" s="118"/>
      <c r="F46" s="118"/>
      <c r="G46" s="118" t="s">
        <v>93</v>
      </c>
      <c r="H46" s="119"/>
      <c r="I46" s="120" t="s">
        <v>94</v>
      </c>
      <c r="J46" s="121"/>
      <c r="K46" s="121"/>
      <c r="L46" s="121"/>
      <c r="M46" s="122"/>
      <c r="O46" s="1"/>
      <c r="V46" s="9"/>
      <c r="W46" s="555" t="s">
        <v>92</v>
      </c>
      <c r="X46" s="655" t="s">
        <v>95</v>
      </c>
      <c r="Y46" s="655"/>
      <c r="Z46" s="656" t="s">
        <v>94</v>
      </c>
      <c r="AA46" s="656"/>
      <c r="AB46" s="656"/>
      <c r="AC46" s="656"/>
      <c r="AD46" s="124"/>
    </row>
    <row r="47" spans="1:30" ht="18.75" customHeight="1" x14ac:dyDescent="0.25">
      <c r="B47" s="107" t="s">
        <v>96</v>
      </c>
      <c r="C47" s="125">
        <f>K10+K11+K16+K19+K22</f>
        <v>193.04140000000001</v>
      </c>
      <c r="D47" s="125"/>
      <c r="E47" s="125"/>
      <c r="F47" s="125"/>
      <c r="G47" s="567">
        <f>K7</f>
        <v>1.0326</v>
      </c>
      <c r="H47" s="567"/>
      <c r="I47" s="127">
        <v>1316.85</v>
      </c>
      <c r="J47" s="128" t="s">
        <v>97</v>
      </c>
      <c r="K47" s="129">
        <f>ROUND(C47*G47*I47,0)</f>
        <v>262494</v>
      </c>
      <c r="L47" s="130"/>
      <c r="O47" s="1"/>
      <c r="V47" s="556" t="s">
        <v>96</v>
      </c>
      <c r="W47" s="131">
        <f>AB10+AB11+AB16+AB19+AB22</f>
        <v>0</v>
      </c>
      <c r="X47" s="675">
        <f>AB7</f>
        <v>1.0326</v>
      </c>
      <c r="Y47" s="675"/>
      <c r="Z47" s="132">
        <f>+I47</f>
        <v>1316.85</v>
      </c>
      <c r="AA47" s="133" t="s">
        <v>97</v>
      </c>
      <c r="AB47" s="134">
        <f>ROUND(W47*X47*Z47,0)</f>
        <v>0</v>
      </c>
      <c r="AC47" s="135"/>
      <c r="AD47" s="9"/>
    </row>
    <row r="48" spans="1:30" ht="18" customHeight="1" x14ac:dyDescent="0.25">
      <c r="B48" s="136" t="s">
        <v>74</v>
      </c>
      <c r="C48" s="125">
        <f>K12+K13+K17+K20+K23</f>
        <v>215.48000000000002</v>
      </c>
      <c r="D48" s="125"/>
      <c r="E48" s="125"/>
      <c r="F48" s="125"/>
      <c r="G48" s="567">
        <f>K7</f>
        <v>1.0326</v>
      </c>
      <c r="H48" s="567"/>
      <c r="I48" s="127">
        <v>898.23</v>
      </c>
      <c r="J48" s="128" t="s">
        <v>97</v>
      </c>
      <c r="K48" s="129">
        <f>ROUND(C48*G48*I48,0)</f>
        <v>199860</v>
      </c>
      <c r="L48" s="62"/>
      <c r="O48" s="1"/>
      <c r="V48" s="137" t="s">
        <v>74</v>
      </c>
      <c r="W48" s="131">
        <f>AB12+AB13+AB17+AB20+AB23</f>
        <v>0</v>
      </c>
      <c r="X48" s="675">
        <f>AB7</f>
        <v>1.0326</v>
      </c>
      <c r="Y48" s="675"/>
      <c r="Z48" s="132">
        <f>+I48</f>
        <v>898.23</v>
      </c>
      <c r="AA48" s="133" t="s">
        <v>97</v>
      </c>
      <c r="AB48" s="134">
        <f>ROUND(W48*X48*Z48,0)</f>
        <v>0</v>
      </c>
      <c r="AC48" s="138"/>
      <c r="AD48" s="9"/>
    </row>
    <row r="49" spans="2:30" ht="19.5" customHeight="1" thickBot="1" x14ac:dyDescent="0.3">
      <c r="B49" s="139" t="s">
        <v>78</v>
      </c>
      <c r="C49" s="140">
        <f>K14+K15+K18+K21+K24+K25</f>
        <v>0</v>
      </c>
      <c r="D49" s="125"/>
      <c r="E49" s="125"/>
      <c r="F49" s="125"/>
      <c r="G49" s="567">
        <f>K7</f>
        <v>1.0326</v>
      </c>
      <c r="H49" s="567"/>
      <c r="I49" s="127">
        <v>900.39</v>
      </c>
      <c r="J49" s="128" t="s">
        <v>97</v>
      </c>
      <c r="K49" s="129">
        <f>ROUND(C49*G49*I49,0)</f>
        <v>0</v>
      </c>
      <c r="L49" s="62"/>
      <c r="M49" s="112"/>
      <c r="N49" s="141"/>
      <c r="O49" s="142"/>
      <c r="P49" s="101"/>
      <c r="Q49" s="143"/>
      <c r="V49" s="144" t="s">
        <v>78</v>
      </c>
      <c r="W49" s="145">
        <f>AB14+AB15+AB18+AB21+AB24+AB25</f>
        <v>0</v>
      </c>
      <c r="X49" s="675">
        <f>AB7</f>
        <v>1.0326</v>
      </c>
      <c r="Y49" s="675"/>
      <c r="Z49" s="132">
        <f>+I49</f>
        <v>900.39</v>
      </c>
      <c r="AA49" s="133" t="s">
        <v>97</v>
      </c>
      <c r="AB49" s="134">
        <f>ROUND(W49*X49*Z49,0)</f>
        <v>0</v>
      </c>
      <c r="AC49" s="138"/>
      <c r="AD49" s="113"/>
    </row>
    <row r="50" spans="2:30" ht="24" customHeight="1" thickBot="1" x14ac:dyDescent="0.3">
      <c r="B50" s="146" t="s">
        <v>98</v>
      </c>
      <c r="C50" s="147">
        <f>SUM(C47:C49)</f>
        <v>408.52140000000003</v>
      </c>
      <c r="D50" s="148"/>
      <c r="E50" s="149"/>
      <c r="F50" s="149"/>
      <c r="G50" s="150" t="s">
        <v>99</v>
      </c>
      <c r="H50" s="150"/>
      <c r="I50" s="150"/>
      <c r="J50" s="150"/>
      <c r="K50" s="150"/>
      <c r="L50" s="50">
        <f>IF(B2=75,0,K49+K48+K47)</f>
        <v>462354</v>
      </c>
      <c r="N50" s="3"/>
      <c r="O50" s="1"/>
      <c r="V50" s="554" t="s">
        <v>98</v>
      </c>
      <c r="W50" s="152">
        <f>SUM(W47:W49)</f>
        <v>0</v>
      </c>
      <c r="X50" s="648" t="s">
        <v>99</v>
      </c>
      <c r="Y50" s="649"/>
      <c r="Z50" s="649"/>
      <c r="AA50" s="649"/>
      <c r="AB50" s="649"/>
      <c r="AC50" s="56">
        <f>IF(V2=75,0,AB49+AB48+AB47)</f>
        <v>0</v>
      </c>
      <c r="AD50" s="9"/>
    </row>
    <row r="51" spans="2:30" ht="19.5" customHeight="1" x14ac:dyDescent="0.25">
      <c r="B51" s="153" t="s">
        <v>100</v>
      </c>
      <c r="C51" s="153"/>
      <c r="D51" s="153"/>
      <c r="E51" s="153"/>
      <c r="F51" s="153"/>
      <c r="G51" s="153"/>
      <c r="H51" s="153"/>
      <c r="I51" s="153"/>
      <c r="J51" s="153"/>
      <c r="K51" s="153"/>
      <c r="L51" s="153"/>
      <c r="M51" s="141"/>
      <c r="N51" s="101"/>
      <c r="O51" s="1"/>
      <c r="V51" s="650" t="s">
        <v>100</v>
      </c>
      <c r="W51" s="650"/>
      <c r="X51" s="650"/>
      <c r="Y51" s="650"/>
      <c r="Z51" s="650"/>
      <c r="AA51" s="650"/>
      <c r="AB51" s="650"/>
      <c r="AC51" s="650"/>
      <c r="AD51" s="154"/>
    </row>
    <row r="52" spans="2:30" ht="27.75" customHeight="1" x14ac:dyDescent="0.25">
      <c r="B52" s="13" t="s">
        <v>101</v>
      </c>
      <c r="C52" s="13"/>
      <c r="D52" s="13"/>
      <c r="E52" s="13"/>
      <c r="F52" s="13"/>
      <c r="G52" s="13"/>
      <c r="H52" s="13"/>
      <c r="I52" s="13"/>
      <c r="J52" s="13"/>
      <c r="K52" s="13"/>
      <c r="L52" s="13"/>
      <c r="O52" s="1"/>
      <c r="V52" s="651" t="s">
        <v>101</v>
      </c>
      <c r="W52" s="651"/>
      <c r="X52" s="651"/>
      <c r="Y52" s="651"/>
      <c r="Z52" s="651"/>
      <c r="AA52" s="651"/>
      <c r="AB52" s="651"/>
      <c r="AC52" s="651"/>
      <c r="AD52" s="9"/>
    </row>
    <row r="53" spans="2:30" x14ac:dyDescent="0.25">
      <c r="B53" s="13" t="s">
        <v>102</v>
      </c>
      <c r="C53" s="13"/>
      <c r="D53" s="13"/>
      <c r="E53" s="13"/>
      <c r="F53" s="13"/>
      <c r="G53" s="155">
        <f>K26</f>
        <v>408.52140000000003</v>
      </c>
      <c r="H53" s="57" t="s">
        <v>103</v>
      </c>
      <c r="I53" s="57"/>
      <c r="J53" s="156">
        <v>197823.77</v>
      </c>
      <c r="K53" s="156"/>
      <c r="L53" s="156"/>
      <c r="N53" s="3"/>
      <c r="O53" s="1"/>
      <c r="V53" s="657" t="s">
        <v>102</v>
      </c>
      <c r="W53" s="657"/>
      <c r="X53" s="157">
        <f>AB26</f>
        <v>0</v>
      </c>
      <c r="Y53" s="658" t="s">
        <v>103</v>
      </c>
      <c r="Z53" s="658"/>
      <c r="AA53" s="659">
        <f>+J53</f>
        <v>197823.77</v>
      </c>
      <c r="AB53" s="659"/>
      <c r="AC53" s="659"/>
      <c r="AD53" s="9"/>
    </row>
    <row r="54" spans="2:30" x14ac:dyDescent="0.25">
      <c r="B54" s="13" t="s">
        <v>104</v>
      </c>
      <c r="C54" s="13"/>
      <c r="D54" s="13"/>
      <c r="E54" s="13"/>
      <c r="F54" s="13"/>
      <c r="G54" s="13"/>
      <c r="H54" s="13"/>
      <c r="I54" s="13"/>
      <c r="J54" s="13"/>
      <c r="K54" s="158">
        <f>ROUND(G53/J53,6)</f>
        <v>2.065E-3</v>
      </c>
      <c r="L54" s="158"/>
      <c r="N54" s="101"/>
      <c r="O54" s="1"/>
      <c r="V54" s="657" t="s">
        <v>104</v>
      </c>
      <c r="W54" s="657"/>
      <c r="X54" s="657"/>
      <c r="Y54" s="657"/>
      <c r="Z54" s="657"/>
      <c r="AA54" s="657"/>
      <c r="AB54" s="660">
        <f>ROUND(X53/AA53,6)</f>
        <v>0</v>
      </c>
      <c r="AC54" s="660"/>
      <c r="AD54" s="9"/>
    </row>
    <row r="55" spans="2:30" ht="24" customHeight="1" x14ac:dyDescent="0.25">
      <c r="B55" s="13" t="s">
        <v>105</v>
      </c>
      <c r="C55" s="13"/>
      <c r="D55" s="13"/>
      <c r="E55" s="13"/>
      <c r="F55" s="13"/>
      <c r="G55" s="13"/>
      <c r="H55" s="13"/>
      <c r="I55" s="13"/>
      <c r="J55" s="13"/>
      <c r="K55" s="13"/>
      <c r="L55" s="13"/>
      <c r="O55" s="1"/>
      <c r="V55" s="651" t="s">
        <v>105</v>
      </c>
      <c r="W55" s="651"/>
      <c r="X55" s="651"/>
      <c r="Y55" s="651"/>
      <c r="Z55" s="651"/>
      <c r="AA55" s="651"/>
      <c r="AB55" s="651"/>
      <c r="AC55" s="651"/>
      <c r="AD55" s="9"/>
    </row>
    <row r="56" spans="2:30" x14ac:dyDescent="0.25">
      <c r="B56" s="13" t="s">
        <v>106</v>
      </c>
      <c r="C56" s="13"/>
      <c r="D56" s="13"/>
      <c r="E56" s="13"/>
      <c r="F56" s="13"/>
      <c r="G56" s="159">
        <f>G26</f>
        <v>387.03</v>
      </c>
      <c r="H56" s="57" t="s">
        <v>107</v>
      </c>
      <c r="I56" s="57"/>
      <c r="J56" s="156">
        <f>+G40</f>
        <v>180284.81</v>
      </c>
      <c r="K56" s="156"/>
      <c r="L56" s="156"/>
      <c r="O56" s="1"/>
      <c r="V56" s="657" t="s">
        <v>106</v>
      </c>
      <c r="W56" s="657"/>
      <c r="X56" s="160">
        <f>X26</f>
        <v>0</v>
      </c>
      <c r="Y56" s="658" t="s">
        <v>107</v>
      </c>
      <c r="Z56" s="658"/>
      <c r="AA56" s="659">
        <f>+J56</f>
        <v>180284.81</v>
      </c>
      <c r="AB56" s="659"/>
      <c r="AC56" s="659"/>
      <c r="AD56" s="9"/>
    </row>
    <row r="57" spans="2:30" x14ac:dyDescent="0.25">
      <c r="B57" s="13" t="s">
        <v>108</v>
      </c>
      <c r="C57" s="13"/>
      <c r="D57" s="13"/>
      <c r="E57" s="13"/>
      <c r="F57" s="13"/>
      <c r="G57" s="13"/>
      <c r="H57" s="13"/>
      <c r="I57" s="13"/>
      <c r="J57" s="13"/>
      <c r="K57" s="158">
        <f>ROUND(G56/J56,6)</f>
        <v>2.147E-3</v>
      </c>
      <c r="L57" s="158"/>
      <c r="O57" s="1"/>
      <c r="V57" s="657" t="s">
        <v>108</v>
      </c>
      <c r="W57" s="657"/>
      <c r="X57" s="657"/>
      <c r="Y57" s="657"/>
      <c r="Z57" s="657"/>
      <c r="AA57" s="657"/>
      <c r="AB57" s="660">
        <f>ROUND(X56/AA56,6)</f>
        <v>0</v>
      </c>
      <c r="AC57" s="660"/>
      <c r="AD57" s="9"/>
    </row>
    <row r="58" spans="2:30" ht="20.25" customHeight="1" x14ac:dyDescent="0.25">
      <c r="B58" s="161" t="s">
        <v>109</v>
      </c>
      <c r="C58" s="161"/>
      <c r="D58" s="161"/>
      <c r="E58" s="161"/>
      <c r="F58" s="161"/>
      <c r="G58" s="161"/>
      <c r="H58" s="161"/>
      <c r="I58" s="161"/>
      <c r="J58" s="161"/>
      <c r="K58" s="161"/>
      <c r="L58" s="161"/>
      <c r="N58" s="18"/>
      <c r="O58" s="18"/>
      <c r="V58" s="629" t="s">
        <v>110</v>
      </c>
      <c r="W58" s="629"/>
      <c r="X58" s="629"/>
      <c r="Y58" s="661">
        <f>X65+X64+X62+X61+X60</f>
        <v>4123852</v>
      </c>
      <c r="Z58" s="661"/>
      <c r="AA58" s="557" t="s">
        <v>111</v>
      </c>
      <c r="AB58" s="163">
        <f>AB54</f>
        <v>0</v>
      </c>
      <c r="AC58" s="56">
        <f>ROUND(Y58*AB58,0)</f>
        <v>0</v>
      </c>
      <c r="AD58" s="9"/>
    </row>
    <row r="59" spans="2:30" x14ac:dyDescent="0.25">
      <c r="B59" s="62" t="s">
        <v>110</v>
      </c>
      <c r="C59" s="62"/>
      <c r="D59" s="62"/>
      <c r="E59" s="62"/>
      <c r="F59" s="62"/>
      <c r="G59" s="62"/>
      <c r="H59" s="164" t="s">
        <v>22</v>
      </c>
      <c r="I59" s="129">
        <v>4123852</v>
      </c>
      <c r="J59" s="165" t="s">
        <v>111</v>
      </c>
      <c r="K59" s="166">
        <f>K54</f>
        <v>2.065E-3</v>
      </c>
      <c r="L59" s="50">
        <f>ROUND(I59*K59,0)</f>
        <v>8516</v>
      </c>
      <c r="O59" s="1"/>
      <c r="P59" s="165"/>
      <c r="Q59" s="165"/>
      <c r="V59" s="662" t="s">
        <v>112</v>
      </c>
      <c r="W59" s="662"/>
      <c r="X59" s="662"/>
      <c r="Y59" s="662"/>
      <c r="Z59" s="662"/>
      <c r="AA59" s="662"/>
      <c r="AB59" s="662"/>
      <c r="AC59" s="662"/>
      <c r="AD59" s="9"/>
    </row>
    <row r="60" spans="2:30" x14ac:dyDescent="0.25">
      <c r="B60" s="62" t="s">
        <v>112</v>
      </c>
      <c r="C60" s="62"/>
      <c r="D60" s="62"/>
      <c r="E60" s="62"/>
      <c r="F60" s="62"/>
      <c r="G60" s="62"/>
      <c r="H60" s="62"/>
      <c r="I60" s="62"/>
      <c r="J60" s="62"/>
      <c r="K60" s="62"/>
      <c r="L60" s="62"/>
      <c r="O60" s="1"/>
      <c r="P60" s="165"/>
      <c r="Q60" s="165"/>
      <c r="V60" s="663" t="s">
        <v>113</v>
      </c>
      <c r="W60" s="663"/>
      <c r="X60" s="664">
        <f>+G61</f>
        <v>0</v>
      </c>
      <c r="Y60" s="664"/>
      <c r="Z60" s="664"/>
      <c r="AA60" s="664"/>
      <c r="AB60" s="664"/>
      <c r="AC60" s="664"/>
      <c r="AD60" s="9"/>
    </row>
    <row r="61" spans="2:30" ht="15" customHeight="1" x14ac:dyDescent="0.25">
      <c r="B61" s="167" t="s">
        <v>113</v>
      </c>
      <c r="C61" s="62"/>
      <c r="D61" s="62"/>
      <c r="E61" s="62"/>
      <c r="F61" s="62"/>
      <c r="G61" s="168">
        <v>0</v>
      </c>
      <c r="H61" s="168"/>
      <c r="I61" s="168"/>
      <c r="J61" s="168"/>
      <c r="K61" s="168"/>
      <c r="L61" s="168"/>
      <c r="O61" s="1"/>
      <c r="P61" s="165"/>
      <c r="Q61" s="165"/>
      <c r="V61" s="663" t="s">
        <v>114</v>
      </c>
      <c r="W61" s="663"/>
      <c r="X61" s="664">
        <f>+G62</f>
        <v>0</v>
      </c>
      <c r="Y61" s="664"/>
      <c r="Z61" s="664"/>
      <c r="AA61" s="664"/>
      <c r="AB61" s="664"/>
      <c r="AC61" s="664"/>
      <c r="AD61" s="9"/>
    </row>
    <row r="62" spans="2:30" ht="13.5" customHeight="1" x14ac:dyDescent="0.25">
      <c r="B62" s="167" t="s">
        <v>114</v>
      </c>
      <c r="C62" s="62"/>
      <c r="D62" s="62"/>
      <c r="E62" s="62"/>
      <c r="F62" s="62"/>
      <c r="G62" s="168">
        <v>0</v>
      </c>
      <c r="H62" s="168"/>
      <c r="I62" s="168"/>
      <c r="J62" s="168"/>
      <c r="K62" s="168"/>
      <c r="L62" s="168"/>
      <c r="N62" s="165"/>
      <c r="O62" s="165"/>
      <c r="P62" s="165"/>
      <c r="Q62" s="165"/>
      <c r="V62" s="663" t="s">
        <v>115</v>
      </c>
      <c r="W62" s="663"/>
      <c r="X62" s="664">
        <v>0</v>
      </c>
      <c r="Y62" s="664"/>
      <c r="Z62" s="664"/>
      <c r="AA62" s="664"/>
      <c r="AB62" s="664"/>
      <c r="AC62" s="664"/>
      <c r="AD62" s="9"/>
    </row>
    <row r="63" spans="2:30" ht="13.5" hidden="1" customHeight="1" x14ac:dyDescent="0.25">
      <c r="B63" s="62" t="s">
        <v>115</v>
      </c>
      <c r="C63" s="62"/>
      <c r="D63" s="62"/>
      <c r="E63" s="62"/>
      <c r="F63" s="62"/>
      <c r="G63" s="168">
        <v>0</v>
      </c>
      <c r="H63" s="168"/>
      <c r="I63" s="168"/>
      <c r="J63" s="168"/>
      <c r="K63" s="168"/>
      <c r="L63" s="168"/>
      <c r="O63" s="1"/>
      <c r="P63" s="165"/>
      <c r="Q63" s="165"/>
      <c r="V63" s="662" t="s">
        <v>116</v>
      </c>
      <c r="W63" s="662"/>
      <c r="X63" s="662"/>
      <c r="Y63" s="662"/>
      <c r="Z63" s="662"/>
      <c r="AA63" s="662"/>
      <c r="AB63" s="662"/>
      <c r="AC63" s="662"/>
      <c r="AD63" s="553"/>
    </row>
    <row r="64" spans="2:30" ht="13.5" customHeight="1" x14ac:dyDescent="0.25">
      <c r="B64" s="62" t="s">
        <v>116</v>
      </c>
      <c r="C64" s="62"/>
      <c r="D64" s="62"/>
      <c r="E64" s="62"/>
      <c r="F64" s="62"/>
      <c r="G64" s="62"/>
      <c r="H64" s="62"/>
      <c r="I64" s="62"/>
      <c r="J64" s="62"/>
      <c r="K64" s="62"/>
      <c r="L64" s="62"/>
      <c r="M64" s="116"/>
      <c r="N64" s="18"/>
      <c r="O64" s="1"/>
      <c r="V64" s="663" t="s">
        <v>117</v>
      </c>
      <c r="W64" s="663"/>
      <c r="X64" s="664">
        <f>+G65</f>
        <v>4123852</v>
      </c>
      <c r="Y64" s="664"/>
      <c r="Z64" s="664"/>
      <c r="AA64" s="664"/>
      <c r="AB64" s="664"/>
      <c r="AC64" s="664"/>
      <c r="AD64" s="9"/>
    </row>
    <row r="65" spans="1:30" ht="12.75" customHeight="1" x14ac:dyDescent="0.25">
      <c r="B65" s="167" t="s">
        <v>117</v>
      </c>
      <c r="C65" s="62"/>
      <c r="D65" s="62"/>
      <c r="E65" s="62"/>
      <c r="F65" s="62"/>
      <c r="G65" s="168">
        <f>+I59</f>
        <v>4123852</v>
      </c>
      <c r="H65" s="168"/>
      <c r="I65" s="168"/>
      <c r="J65" s="168"/>
      <c r="K65" s="168"/>
      <c r="L65" s="168"/>
      <c r="O65" s="1"/>
      <c r="V65" s="663" t="s">
        <v>118</v>
      </c>
      <c r="W65" s="663"/>
      <c r="X65" s="664">
        <f>+G66</f>
        <v>0</v>
      </c>
      <c r="Y65" s="664"/>
      <c r="Z65" s="664"/>
      <c r="AA65" s="664"/>
      <c r="AB65" s="664"/>
      <c r="AC65" s="664"/>
      <c r="AD65" s="20"/>
    </row>
    <row r="66" spans="1:30" ht="15" customHeight="1" x14ac:dyDescent="0.25">
      <c r="B66" s="167" t="s">
        <v>118</v>
      </c>
      <c r="C66" s="62"/>
      <c r="D66" s="62"/>
      <c r="E66" s="62"/>
      <c r="F66" s="62"/>
      <c r="G66" s="168">
        <v>0</v>
      </c>
      <c r="H66" s="168"/>
      <c r="I66" s="168"/>
      <c r="J66" s="168"/>
      <c r="K66" s="168"/>
      <c r="L66" s="168"/>
      <c r="M66" s="18"/>
      <c r="N66" s="3"/>
      <c r="O66" s="169"/>
      <c r="P66" s="169"/>
      <c r="Q66" s="169"/>
      <c r="V66" s="651" t="s">
        <v>119</v>
      </c>
      <c r="W66" s="651"/>
      <c r="X66" s="651"/>
      <c r="Y66" s="661">
        <f>+I67</f>
        <v>96774526</v>
      </c>
      <c r="Z66" s="661"/>
      <c r="AA66" s="557" t="s">
        <v>111</v>
      </c>
      <c r="AB66" s="163">
        <f>AB54</f>
        <v>0</v>
      </c>
      <c r="AC66" s="56">
        <f>ROUND(Y66*AB66,0)</f>
        <v>0</v>
      </c>
      <c r="AD66" s="9"/>
    </row>
    <row r="67" spans="1:30" ht="20.25" customHeight="1" x14ac:dyDescent="0.25">
      <c r="B67" s="13" t="s">
        <v>119</v>
      </c>
      <c r="C67" s="13"/>
      <c r="D67" s="13"/>
      <c r="E67" s="13"/>
      <c r="F67" s="13"/>
      <c r="H67" s="164" t="s">
        <v>25</v>
      </c>
      <c r="I67" s="129">
        <v>96774526</v>
      </c>
      <c r="J67" s="165" t="s">
        <v>111</v>
      </c>
      <c r="K67" s="166">
        <f>K54</f>
        <v>2.065E-3</v>
      </c>
      <c r="L67" s="50">
        <f>ROUND(I67*K67,0)</f>
        <v>199839</v>
      </c>
      <c r="O67" s="1"/>
      <c r="V67" s="651" t="s">
        <v>120</v>
      </c>
      <c r="W67" s="651"/>
      <c r="X67" s="651"/>
      <c r="Y67" s="651"/>
      <c r="Z67" s="651"/>
      <c r="AA67" s="651"/>
      <c r="AB67" s="651"/>
      <c r="AC67" s="651"/>
      <c r="AD67" s="9"/>
    </row>
    <row r="68" spans="1:30" ht="20.25" customHeight="1" x14ac:dyDescent="0.25">
      <c r="B68" s="13" t="s">
        <v>120</v>
      </c>
      <c r="C68" s="13"/>
      <c r="D68" s="13"/>
      <c r="E68" s="13"/>
      <c r="F68" s="13"/>
      <c r="H68" s="13"/>
      <c r="I68" s="13"/>
      <c r="J68" s="82"/>
      <c r="K68" s="13"/>
      <c r="L68" s="13"/>
      <c r="O68" s="1"/>
      <c r="V68" s="667" t="s">
        <v>121</v>
      </c>
      <c r="W68" s="667"/>
      <c r="X68" s="667"/>
      <c r="Y68" s="661">
        <f>+I69</f>
        <v>0</v>
      </c>
      <c r="Z68" s="661"/>
      <c r="AA68" s="557" t="s">
        <v>111</v>
      </c>
      <c r="AB68" s="163">
        <f>AB57</f>
        <v>0</v>
      </c>
      <c r="AC68" s="56">
        <f>ROUND(Y68*AB68,0)</f>
        <v>0</v>
      </c>
      <c r="AD68" s="9"/>
    </row>
    <row r="69" spans="1:30" ht="15" customHeight="1" x14ac:dyDescent="0.25">
      <c r="B69" s="170" t="s">
        <v>121</v>
      </c>
      <c r="C69" s="13"/>
      <c r="D69" s="13"/>
      <c r="E69" s="13"/>
      <c r="F69" s="13"/>
      <c r="H69" s="164" t="s">
        <v>23</v>
      </c>
      <c r="I69" s="129">
        <v>0</v>
      </c>
      <c r="J69" s="165" t="s">
        <v>111</v>
      </c>
      <c r="K69" s="166">
        <f>K57</f>
        <v>2.147E-3</v>
      </c>
      <c r="L69" s="50">
        <f>ROUND(I69*K69,0)</f>
        <v>0</v>
      </c>
      <c r="O69" s="1"/>
      <c r="V69" s="651" t="s">
        <v>122</v>
      </c>
      <c r="W69" s="651"/>
      <c r="X69" s="651"/>
      <c r="Y69" s="668">
        <f>+I70</f>
        <v>-3460775</v>
      </c>
      <c r="Z69" s="668"/>
      <c r="AA69" s="557" t="s">
        <v>111</v>
      </c>
      <c r="AB69" s="163">
        <f>AB54</f>
        <v>0</v>
      </c>
      <c r="AC69" s="56">
        <f>ROUND(Y69*AB69,0)</f>
        <v>0</v>
      </c>
      <c r="AD69" s="9"/>
    </row>
    <row r="70" spans="1:30" ht="20.25" customHeight="1" x14ac:dyDescent="0.25">
      <c r="B70" s="13" t="s">
        <v>122</v>
      </c>
      <c r="C70" s="13"/>
      <c r="D70" s="13"/>
      <c r="E70" s="13"/>
      <c r="F70" s="13"/>
      <c r="H70" s="164" t="s">
        <v>22</v>
      </c>
      <c r="I70" s="129">
        <v>-3460775</v>
      </c>
      <c r="J70" s="165" t="s">
        <v>111</v>
      </c>
      <c r="K70" s="166">
        <f>K54</f>
        <v>2.065E-3</v>
      </c>
      <c r="L70" s="50">
        <f>ROUND(I70*K70,0)</f>
        <v>-7147</v>
      </c>
      <c r="O70" s="1"/>
      <c r="V70" s="651" t="s">
        <v>123</v>
      </c>
      <c r="W70" s="651"/>
      <c r="X70" s="651"/>
      <c r="Y70" s="665">
        <f>+I71</f>
        <v>1874788</v>
      </c>
      <c r="Z70" s="665"/>
      <c r="AA70" s="557" t="s">
        <v>111</v>
      </c>
      <c r="AB70" s="163">
        <f>AB54</f>
        <v>0</v>
      </c>
      <c r="AC70" s="56">
        <f>ROUND(Y70*AB70,0)</f>
        <v>0</v>
      </c>
      <c r="AD70" s="9"/>
    </row>
    <row r="71" spans="1:30" ht="20.25" customHeight="1" x14ac:dyDescent="0.25">
      <c r="B71" s="13" t="s">
        <v>123</v>
      </c>
      <c r="C71" s="13"/>
      <c r="D71" s="13"/>
      <c r="E71" s="13"/>
      <c r="F71" s="13"/>
      <c r="H71" s="164" t="s">
        <v>22</v>
      </c>
      <c r="I71" s="129">
        <v>1874788</v>
      </c>
      <c r="J71" s="165" t="s">
        <v>111</v>
      </c>
      <c r="K71" s="166">
        <f>K54</f>
        <v>2.065E-3</v>
      </c>
      <c r="L71" s="50">
        <f>ROUND(I71*K71,0)</f>
        <v>3871</v>
      </c>
      <c r="O71" s="1"/>
      <c r="V71" s="651" t="s">
        <v>124</v>
      </c>
      <c r="W71" s="651"/>
      <c r="X71" s="651"/>
      <c r="Y71" s="665">
        <f>+I72</f>
        <v>14223298</v>
      </c>
      <c r="Z71" s="665"/>
      <c r="AA71" s="557" t="s">
        <v>111</v>
      </c>
      <c r="AB71" s="163">
        <f>AB57</f>
        <v>0</v>
      </c>
      <c r="AC71" s="56">
        <f>ROUND(Y71*AB71,0)</f>
        <v>0</v>
      </c>
      <c r="AD71" s="9"/>
    </row>
    <row r="72" spans="1:30" ht="21" customHeight="1" x14ac:dyDescent="0.25">
      <c r="B72" s="13" t="s">
        <v>124</v>
      </c>
      <c r="C72" s="13"/>
      <c r="D72" s="13"/>
      <c r="E72" s="13"/>
      <c r="F72" s="13"/>
      <c r="H72" s="164" t="s">
        <v>23</v>
      </c>
      <c r="I72" s="171">
        <v>14223298</v>
      </c>
      <c r="J72" s="165" t="s">
        <v>111</v>
      </c>
      <c r="K72" s="166">
        <f>K57</f>
        <v>2.147E-3</v>
      </c>
      <c r="L72" s="50">
        <f>ROUND(I72*K72,0)</f>
        <v>30537</v>
      </c>
      <c r="O72" s="1"/>
      <c r="V72" s="623" t="s">
        <v>125</v>
      </c>
      <c r="W72" s="623"/>
      <c r="X72" s="623"/>
      <c r="Y72" s="623"/>
      <c r="Z72" s="623"/>
      <c r="AA72" s="623"/>
      <c r="AB72" s="623"/>
      <c r="AC72" s="60"/>
      <c r="AD72" s="9"/>
    </row>
    <row r="73" spans="1:30" ht="17.25" customHeight="1" x14ac:dyDescent="0.25">
      <c r="B73" s="13" t="s">
        <v>125</v>
      </c>
      <c r="C73" s="13"/>
      <c r="D73" s="13"/>
      <c r="E73" s="13"/>
      <c r="F73" s="13"/>
      <c r="H73" s="13"/>
      <c r="I73" s="13"/>
      <c r="J73" s="82"/>
      <c r="K73" s="13"/>
      <c r="L73" s="59"/>
      <c r="O73" s="1"/>
      <c r="V73" s="651" t="s">
        <v>126</v>
      </c>
      <c r="W73" s="651"/>
      <c r="X73" s="651"/>
      <c r="Y73" s="651"/>
      <c r="Z73" s="651"/>
      <c r="AA73" s="651"/>
      <c r="AB73" s="651"/>
      <c r="AC73" s="651"/>
      <c r="AD73" s="9"/>
    </row>
    <row r="74" spans="1:30" ht="31.5" x14ac:dyDescent="0.25">
      <c r="B74" s="13" t="s">
        <v>126</v>
      </c>
      <c r="C74" s="13"/>
      <c r="D74" s="27" t="s">
        <v>13</v>
      </c>
      <c r="E74" s="27" t="s">
        <v>14</v>
      </c>
      <c r="F74" s="27"/>
      <c r="H74" s="164" t="s">
        <v>26</v>
      </c>
      <c r="I74" s="172"/>
      <c r="J74" s="164"/>
      <c r="K74" s="172"/>
      <c r="L74" s="112"/>
      <c r="O74" s="1"/>
      <c r="V74" s="666" t="s">
        <v>127</v>
      </c>
      <c r="W74" s="666"/>
      <c r="X74" s="173" t="s">
        <v>128</v>
      </c>
      <c r="Y74" s="174"/>
      <c r="Z74" s="175">
        <f>+I75</f>
        <v>0</v>
      </c>
      <c r="AA74" s="559" t="s">
        <v>129</v>
      </c>
      <c r="AB74" s="177">
        <f>+K75</f>
        <v>361</v>
      </c>
      <c r="AC74" s="56">
        <f>ROUND(AB74*Z74,0)</f>
        <v>0</v>
      </c>
      <c r="AD74" s="9"/>
    </row>
    <row r="75" spans="1:30" ht="19.5" customHeight="1" x14ac:dyDescent="0.25">
      <c r="A75" s="1" t="s">
        <v>130</v>
      </c>
      <c r="B75" s="178" t="s">
        <v>127</v>
      </c>
      <c r="C75" s="179" t="s">
        <v>128</v>
      </c>
      <c r="D75" s="178">
        <v>0</v>
      </c>
      <c r="E75" s="178">
        <v>0</v>
      </c>
      <c r="F75" s="178">
        <v>0</v>
      </c>
      <c r="G75" s="180">
        <f>IF(E75=0,D75,E75)</f>
        <v>0</v>
      </c>
      <c r="H75" s="181"/>
      <c r="I75" s="182">
        <f>AVERAGE(G75,D75)</f>
        <v>0</v>
      </c>
      <c r="J75" s="183" t="s">
        <v>129</v>
      </c>
      <c r="K75" s="184">
        <v>361</v>
      </c>
      <c r="L75" s="50">
        <f>ROUND(K75*I75,0)</f>
        <v>0</v>
      </c>
      <c r="N75" s="1">
        <v>7802</v>
      </c>
      <c r="O75" s="1">
        <v>0</v>
      </c>
      <c r="V75" s="666" t="s">
        <v>127</v>
      </c>
      <c r="W75" s="666"/>
      <c r="X75" s="173" t="s">
        <v>131</v>
      </c>
      <c r="Y75" s="185"/>
      <c r="Z75" s="186">
        <f>+I76</f>
        <v>0</v>
      </c>
      <c r="AA75" s="559" t="s">
        <v>129</v>
      </c>
      <c r="AB75" s="187">
        <f>+K76</f>
        <v>1358</v>
      </c>
      <c r="AC75" s="56">
        <f>ROUND(AB75*Z75,0)</f>
        <v>0</v>
      </c>
      <c r="AD75" s="9"/>
    </row>
    <row r="76" spans="1:30" ht="19.5" customHeight="1" x14ac:dyDescent="0.25">
      <c r="A76" s="1" t="s">
        <v>132</v>
      </c>
      <c r="B76" s="178" t="s">
        <v>127</v>
      </c>
      <c r="C76" s="179" t="s">
        <v>131</v>
      </c>
      <c r="D76" s="178">
        <v>0</v>
      </c>
      <c r="E76" s="178">
        <v>0</v>
      </c>
      <c r="F76" s="178">
        <v>0</v>
      </c>
      <c r="G76" s="180">
        <f>IF(E76=0,D76,E76)</f>
        <v>0</v>
      </c>
      <c r="H76" s="181"/>
      <c r="I76" s="182">
        <f>AVERAGE(G76,D76)</f>
        <v>0</v>
      </c>
      <c r="J76" s="183" t="s">
        <v>129</v>
      </c>
      <c r="K76" s="188">
        <v>1358</v>
      </c>
      <c r="L76" s="50">
        <f>ROUND(K76*I76,0)</f>
        <v>0</v>
      </c>
      <c r="N76" s="1">
        <v>7802</v>
      </c>
      <c r="O76" s="1">
        <v>110</v>
      </c>
      <c r="V76" s="651" t="s">
        <v>133</v>
      </c>
      <c r="W76" s="651"/>
      <c r="X76" s="651"/>
      <c r="Y76" s="661">
        <f>+I77</f>
        <v>33305823</v>
      </c>
      <c r="Z76" s="661"/>
      <c r="AA76" s="559" t="s">
        <v>129</v>
      </c>
      <c r="AB76" s="163">
        <f>AB54</f>
        <v>0</v>
      </c>
      <c r="AC76" s="56">
        <f>ROUND(Y76*AB76,0)</f>
        <v>0</v>
      </c>
      <c r="AD76" s="9"/>
    </row>
    <row r="77" spans="1:30" ht="26.25" customHeight="1" x14ac:dyDescent="0.25">
      <c r="B77" s="13" t="s">
        <v>133</v>
      </c>
      <c r="C77" s="13"/>
      <c r="D77" s="13"/>
      <c r="E77" s="13"/>
      <c r="F77" s="13"/>
      <c r="H77" s="164" t="s">
        <v>134</v>
      </c>
      <c r="I77" s="189">
        <v>33305823</v>
      </c>
      <c r="J77" s="165" t="s">
        <v>111</v>
      </c>
      <c r="K77" s="166">
        <f>K54</f>
        <v>2.065E-3</v>
      </c>
      <c r="L77" s="50">
        <f>ROUND(I77*K77,0)</f>
        <v>68777</v>
      </c>
      <c r="O77" s="1"/>
      <c r="V77" s="651" t="str">
        <f>+B78</f>
        <v>15.  Additional Allocation (WFTE share)</v>
      </c>
      <c r="W77" s="651"/>
      <c r="X77" s="651"/>
      <c r="Y77" s="661">
        <f>+I78</f>
        <v>680688</v>
      </c>
      <c r="Z77" s="661"/>
      <c r="AA77" s="559" t="s">
        <v>129</v>
      </c>
      <c r="AB77" s="163">
        <f>AB54</f>
        <v>0</v>
      </c>
      <c r="AC77" s="56">
        <f>ROUND(Y77*AB77,0)</f>
        <v>0</v>
      </c>
      <c r="AD77" s="9"/>
    </row>
    <row r="78" spans="1:30" ht="26.25" customHeight="1" x14ac:dyDescent="0.25">
      <c r="B78" s="669" t="s">
        <v>135</v>
      </c>
      <c r="C78" s="669"/>
      <c r="D78" s="669"/>
      <c r="E78" s="13"/>
      <c r="F78" s="13"/>
      <c r="H78" s="164" t="s">
        <v>136</v>
      </c>
      <c r="I78" s="190">
        <v>680688</v>
      </c>
      <c r="J78" s="165" t="s">
        <v>111</v>
      </c>
      <c r="K78" s="166">
        <f>K54</f>
        <v>2.065E-3</v>
      </c>
      <c r="L78" s="50">
        <f>ROUND(I78*K78,0)</f>
        <v>1406</v>
      </c>
      <c r="O78" s="1"/>
      <c r="V78" s="651" t="str">
        <f t="shared" ref="V78:V79" si="11">+B79</f>
        <v>16.  Florida Teachers Lead Program Stipend</v>
      </c>
      <c r="W78" s="651"/>
      <c r="X78" s="651"/>
      <c r="Y78" s="191"/>
      <c r="Z78" s="191"/>
      <c r="AA78" s="191"/>
      <c r="AB78" s="191"/>
      <c r="AC78" s="134"/>
      <c r="AD78" s="9"/>
    </row>
    <row r="79" spans="1:30" ht="21" customHeight="1" x14ac:dyDescent="0.25">
      <c r="B79" s="669" t="s">
        <v>137</v>
      </c>
      <c r="C79" s="669"/>
      <c r="D79" s="669"/>
      <c r="E79" s="13"/>
      <c r="F79" s="13"/>
      <c r="H79" s="164"/>
      <c r="I79" s="172"/>
      <c r="J79" s="172"/>
      <c r="K79" s="172"/>
      <c r="L79" s="129"/>
      <c r="N79" s="192"/>
      <c r="O79" s="1"/>
      <c r="Q79" s="164"/>
      <c r="V79" s="651" t="str">
        <f t="shared" si="11"/>
        <v>17.  Food Service Allocation</v>
      </c>
      <c r="W79" s="651"/>
      <c r="X79" s="651"/>
      <c r="Y79" s="191"/>
      <c r="Z79" s="191"/>
      <c r="AA79" s="191"/>
      <c r="AB79" s="191"/>
      <c r="AC79" s="193"/>
      <c r="AD79" s="9"/>
    </row>
    <row r="80" spans="1:30" ht="21" customHeight="1" x14ac:dyDescent="0.25">
      <c r="B80" s="669" t="s">
        <v>138</v>
      </c>
      <c r="C80" s="669"/>
      <c r="D80" s="669"/>
      <c r="E80" s="13"/>
      <c r="F80" s="13"/>
      <c r="H80" s="194" t="s">
        <v>139</v>
      </c>
      <c r="I80" s="195"/>
      <c r="J80" s="195"/>
      <c r="K80" s="195"/>
      <c r="L80" s="196"/>
      <c r="N80" s="197"/>
      <c r="O80" s="1"/>
      <c r="Q80" s="164"/>
      <c r="V80" s="191"/>
      <c r="W80" s="191"/>
      <c r="X80" s="191"/>
      <c r="Y80" s="191"/>
      <c r="Z80" s="191"/>
      <c r="AA80" s="191"/>
      <c r="AB80" s="191"/>
      <c r="AC80" s="193"/>
      <c r="AD80" s="9"/>
    </row>
    <row r="81" spans="1:30" ht="21" customHeight="1" thickBot="1" x14ac:dyDescent="0.3">
      <c r="B81" s="13"/>
      <c r="C81" s="13"/>
      <c r="D81" s="13"/>
      <c r="E81" s="13"/>
      <c r="F81" s="13"/>
      <c r="G81" s="13"/>
      <c r="H81" s="13"/>
      <c r="I81" s="13"/>
      <c r="J81" s="13"/>
      <c r="K81" s="13"/>
      <c r="L81" s="196"/>
      <c r="M81" s="198"/>
      <c r="N81" s="197"/>
      <c r="O81" s="1"/>
      <c r="Q81" s="164"/>
      <c r="V81" s="191" t="s">
        <v>140</v>
      </c>
      <c r="W81" s="191"/>
      <c r="X81" s="191"/>
      <c r="Y81" s="191"/>
      <c r="Z81" s="191"/>
      <c r="AA81" s="191"/>
      <c r="AB81" s="191"/>
      <c r="AC81" s="199">
        <f>SUM(AC44:AC80)</f>
        <v>0</v>
      </c>
      <c r="AD81" s="200"/>
    </row>
    <row r="82" spans="1:30" ht="22.5" customHeight="1" thickTop="1" thickBot="1" x14ac:dyDescent="0.3">
      <c r="B82" s="13" t="s">
        <v>141</v>
      </c>
      <c r="C82" s="13"/>
      <c r="D82" s="13"/>
      <c r="E82" s="13"/>
      <c r="F82" s="13"/>
      <c r="G82" s="13"/>
      <c r="H82" s="13"/>
      <c r="I82" s="13"/>
      <c r="J82" s="13"/>
      <c r="K82" s="13"/>
      <c r="L82" s="201">
        <f>SUM(L44:L81)</f>
        <v>2499176</v>
      </c>
      <c r="M82" s="202"/>
      <c r="N82" s="203"/>
      <c r="O82" s="1"/>
      <c r="Q82" s="164"/>
      <c r="V82" s="191"/>
      <c r="W82" s="191"/>
      <c r="X82" s="191"/>
      <c r="Y82" s="191"/>
      <c r="Z82" s="191"/>
      <c r="AA82" s="191"/>
      <c r="AB82" s="191"/>
      <c r="AC82" s="204"/>
      <c r="AD82" s="200"/>
    </row>
    <row r="83" spans="1:30" ht="27.75" customHeight="1" thickTop="1" x14ac:dyDescent="0.25">
      <c r="B83" s="13" t="s">
        <v>142</v>
      </c>
      <c r="C83" s="13"/>
      <c r="D83" s="13"/>
      <c r="E83" s="13"/>
      <c r="F83" s="13"/>
      <c r="G83" s="13"/>
      <c r="H83" s="13"/>
      <c r="I83" s="13"/>
      <c r="J83" s="13"/>
      <c r="K83" s="82" t="s">
        <v>143</v>
      </c>
      <c r="L83" s="205" t="s">
        <v>144</v>
      </c>
      <c r="M83" s="202"/>
      <c r="N83" s="203"/>
      <c r="O83" s="1"/>
      <c r="Q83" s="164"/>
      <c r="V83" s="9" t="s">
        <v>145</v>
      </c>
      <c r="W83" s="9"/>
      <c r="X83" s="9"/>
      <c r="Y83" s="9"/>
      <c r="Z83" s="9"/>
      <c r="AA83" s="9"/>
      <c r="AB83" s="9"/>
      <c r="AC83" s="9"/>
      <c r="AD83" s="9"/>
    </row>
    <row r="84" spans="1:30" ht="18.75" customHeight="1" thickBot="1" x14ac:dyDescent="0.3">
      <c r="B84" s="13" t="s">
        <v>146</v>
      </c>
      <c r="C84" s="13"/>
      <c r="D84" s="13"/>
      <c r="E84" s="13"/>
      <c r="F84" s="13"/>
      <c r="G84" s="13"/>
      <c r="H84" s="13"/>
      <c r="I84" s="13"/>
      <c r="J84" s="13"/>
      <c r="K84" s="207" t="str">
        <f>IF(G26=0,"",IF((G11+G13+SUM(G15:G21))/G26&gt;0.75,1,""))</f>
        <v/>
      </c>
      <c r="L84" s="201">
        <f>'2911 June final'!AC81</f>
        <v>0</v>
      </c>
      <c r="M84" s="202"/>
      <c r="N84" s="203"/>
      <c r="O84" s="1"/>
      <c r="Q84" s="164"/>
      <c r="V84" s="191" t="s">
        <v>147</v>
      </c>
      <c r="W84" s="191"/>
      <c r="X84" s="191"/>
      <c r="Y84" s="191"/>
      <c r="Z84" s="191"/>
      <c r="AA84" s="191"/>
      <c r="AB84" s="191"/>
      <c r="AC84" s="191"/>
      <c r="AD84" s="9"/>
    </row>
    <row r="85" spans="1:30" ht="18.75" customHeight="1" thickTop="1" x14ac:dyDescent="0.25">
      <c r="B85" s="13"/>
      <c r="C85" s="13"/>
      <c r="D85" s="13"/>
      <c r="E85" s="13"/>
      <c r="F85" s="13"/>
      <c r="G85" s="13"/>
      <c r="H85" s="13"/>
      <c r="I85" s="13"/>
      <c r="J85" s="13"/>
      <c r="M85" s="202"/>
      <c r="N85" s="203"/>
      <c r="O85" s="1"/>
      <c r="Q85" s="164"/>
      <c r="V85" s="191" t="s">
        <v>148</v>
      </c>
      <c r="W85" s="191"/>
      <c r="X85" s="191"/>
      <c r="Y85" s="191"/>
      <c r="Z85" s="191"/>
      <c r="AA85" s="191"/>
      <c r="AB85" s="191"/>
      <c r="AC85" s="191"/>
      <c r="AD85" s="9"/>
    </row>
    <row r="86" spans="1:30" ht="18.75" customHeight="1" x14ac:dyDescent="0.25">
      <c r="B86" s="2" t="s">
        <v>421</v>
      </c>
      <c r="C86" s="13"/>
      <c r="D86" s="13"/>
      <c r="E86" s="13"/>
      <c r="F86" s="13"/>
      <c r="G86" s="13"/>
      <c r="H86" s="13"/>
      <c r="I86" s="13"/>
      <c r="J86" s="209" t="s">
        <v>150</v>
      </c>
      <c r="K86" s="210">
        <f>IF(K84=1,L84,L82)</f>
        <v>2499176</v>
      </c>
      <c r="L86" s="211">
        <f>IF(G26=0,0,IF(G26&gt;250,-(((250/G26)*K86)*IF(M86="H",0.02,0.05)),IF(M86="H",-0.02*K86,-0.05*K86)))</f>
        <v>-32286.59277058626</v>
      </c>
      <c r="M86" s="212" t="str">
        <f>IF(B123="2801","H",IF(B123="2911","H",IF(B123="3382","H"," ")))</f>
        <v>H</v>
      </c>
      <c r="N86" s="203"/>
      <c r="O86" s="1"/>
      <c r="Q86" s="164"/>
      <c r="V86" s="191" t="s">
        <v>151</v>
      </c>
      <c r="W86" s="191"/>
      <c r="X86" s="191"/>
      <c r="Y86" s="191"/>
      <c r="Z86" s="191"/>
      <c r="AA86" s="191"/>
      <c r="AB86" s="191"/>
      <c r="AC86" s="191"/>
      <c r="AD86" s="9"/>
    </row>
    <row r="87" spans="1:30" ht="18.75" customHeight="1" x14ac:dyDescent="0.25">
      <c r="B87" s="2" t="s">
        <v>152</v>
      </c>
      <c r="C87" s="13"/>
      <c r="D87" s="13"/>
      <c r="E87" s="13"/>
      <c r="F87" s="13"/>
      <c r="G87" s="13"/>
      <c r="H87" s="13"/>
      <c r="I87" s="13"/>
      <c r="J87" s="13"/>
      <c r="K87" s="213"/>
      <c r="L87" s="205">
        <f>L82+L86</f>
        <v>2466889.4072294137</v>
      </c>
      <c r="M87" s="202"/>
      <c r="N87" s="203"/>
      <c r="O87" s="1"/>
      <c r="Q87" s="164"/>
      <c r="V87" s="198"/>
      <c r="W87" s="198"/>
      <c r="X87" s="198"/>
      <c r="Y87" s="198"/>
      <c r="Z87" s="198"/>
      <c r="AA87" s="198"/>
      <c r="AB87" s="198"/>
      <c r="AC87" s="198"/>
      <c r="AD87" s="198"/>
    </row>
    <row r="88" spans="1:30" x14ac:dyDescent="0.25">
      <c r="V88" s="198"/>
      <c r="W88" s="198"/>
      <c r="X88" s="198"/>
      <c r="Y88" s="198"/>
      <c r="Z88" s="198"/>
      <c r="AA88" s="198"/>
      <c r="AB88" s="198"/>
      <c r="AC88" s="198"/>
      <c r="AD88" s="568"/>
    </row>
    <row r="89" spans="1:30" ht="18.75" customHeight="1" x14ac:dyDescent="0.25">
      <c r="A89" s="1" t="s">
        <v>153</v>
      </c>
      <c r="B89" s="13" t="s">
        <v>154</v>
      </c>
      <c r="C89" s="13"/>
      <c r="D89" s="13">
        <v>1210504</v>
      </c>
      <c r="E89" s="13">
        <v>207516</v>
      </c>
      <c r="F89" s="13">
        <v>2040568</v>
      </c>
      <c r="G89" s="13"/>
      <c r="H89" s="13"/>
      <c r="I89" s="13"/>
      <c r="J89" s="13"/>
      <c r="K89" s="213"/>
      <c r="L89" s="84">
        <v>-2460002.5423610602</v>
      </c>
      <c r="M89" s="202"/>
      <c r="N89" s="203"/>
      <c r="O89" s="1"/>
      <c r="Q89" s="164"/>
      <c r="V89" s="198">
        <v>2801</v>
      </c>
      <c r="W89" s="198"/>
      <c r="X89" s="198"/>
      <c r="Y89" s="198"/>
      <c r="Z89" s="198"/>
      <c r="AA89" s="198"/>
      <c r="AB89" s="198"/>
      <c r="AC89" s="198"/>
      <c r="AD89" s="198"/>
    </row>
    <row r="90" spans="1:30" ht="18.75" customHeight="1" x14ac:dyDescent="0.25">
      <c r="B90" s="13" t="s">
        <v>155</v>
      </c>
      <c r="C90" s="13"/>
      <c r="D90" s="13"/>
      <c r="E90" s="13"/>
      <c r="F90" s="13"/>
      <c r="G90" s="13"/>
      <c r="H90" s="13"/>
      <c r="I90" s="13"/>
      <c r="J90" s="13"/>
      <c r="K90" s="213"/>
      <c r="L90" s="205">
        <f>L87+L89</f>
        <v>6886.8648683535866</v>
      </c>
      <c r="M90" s="202"/>
      <c r="N90" s="203"/>
      <c r="O90" s="1"/>
      <c r="Q90" s="164"/>
      <c r="V90" s="198">
        <v>2911</v>
      </c>
      <c r="W90" s="569"/>
      <c r="X90" s="569"/>
      <c r="Y90" s="569"/>
      <c r="Z90" s="569"/>
      <c r="AA90" s="569"/>
      <c r="AB90" s="569"/>
      <c r="AC90" s="569"/>
      <c r="AD90" s="198"/>
    </row>
    <row r="91" spans="1:30" ht="18.75" customHeight="1" x14ac:dyDescent="0.25">
      <c r="B91" s="13" t="s">
        <v>156</v>
      </c>
      <c r="C91" s="13"/>
      <c r="D91" s="13"/>
      <c r="E91" s="13"/>
      <c r="F91" s="13"/>
      <c r="G91" s="13"/>
      <c r="H91" s="13"/>
      <c r="I91" s="13"/>
      <c r="J91" s="13"/>
      <c r="K91" s="213"/>
      <c r="L91" s="205">
        <v>1</v>
      </c>
      <c r="M91" s="202"/>
      <c r="N91" s="203"/>
      <c r="O91" s="1"/>
      <c r="Q91" s="164"/>
      <c r="V91" s="198">
        <v>3382</v>
      </c>
      <c r="W91" s="569"/>
      <c r="X91" s="569"/>
      <c r="Y91" s="569"/>
      <c r="Z91" s="569"/>
      <c r="AA91" s="569"/>
      <c r="AB91" s="569"/>
      <c r="AC91" s="569"/>
      <c r="AD91" s="198"/>
    </row>
    <row r="92" spans="1:30" ht="18.75" customHeight="1" thickBot="1" x14ac:dyDescent="0.3">
      <c r="B92" s="13" t="s">
        <v>434</v>
      </c>
      <c r="C92" s="13"/>
      <c r="D92" s="13"/>
      <c r="E92" s="13"/>
      <c r="F92" s="13"/>
      <c r="G92" s="13"/>
      <c r="H92" s="13"/>
      <c r="I92" s="13"/>
      <c r="J92" s="13"/>
      <c r="K92" s="213"/>
      <c r="L92" s="217">
        <f>L90/L91</f>
        <v>6886.8648683535866</v>
      </c>
      <c r="M92" s="202"/>
      <c r="N92" s="203"/>
      <c r="O92" s="1"/>
      <c r="Q92" s="164"/>
      <c r="V92" s="570"/>
      <c r="W92" s="570"/>
      <c r="X92" s="570"/>
      <c r="Y92" s="570"/>
      <c r="Z92" s="570"/>
      <c r="AA92" s="570"/>
      <c r="AB92" s="570"/>
      <c r="AC92" s="570"/>
    </row>
    <row r="93" spans="1:30" ht="18.75" customHeight="1" thickTop="1" x14ac:dyDescent="0.25">
      <c r="V93" s="570"/>
      <c r="W93" s="570"/>
      <c r="X93" s="570"/>
      <c r="Y93" s="570"/>
      <c r="Z93" s="570"/>
      <c r="AA93" s="570"/>
      <c r="AB93" s="570"/>
      <c r="AC93" s="570"/>
      <c r="AD93" s="198"/>
    </row>
    <row r="94" spans="1:30" ht="18.75" customHeight="1" thickBot="1" x14ac:dyDescent="0.3">
      <c r="B94" s="221" t="s">
        <v>158</v>
      </c>
      <c r="C94" s="13"/>
      <c r="D94" s="13"/>
      <c r="E94" s="13"/>
      <c r="G94" s="13"/>
      <c r="H94" s="13"/>
      <c r="I94" s="13"/>
      <c r="J94" s="13"/>
      <c r="L94" s="222">
        <f>IF(M86="H",(K86*0.02)+L86,(K86*0.05)+L86)</f>
        <v>17696.927229413744</v>
      </c>
      <c r="M94" s="202"/>
      <c r="V94" s="571"/>
      <c r="W94" s="571"/>
      <c r="X94" s="571"/>
      <c r="Y94" s="571"/>
      <c r="Z94" s="571"/>
      <c r="AA94" s="571"/>
      <c r="AB94" s="571"/>
      <c r="AC94" s="571"/>
      <c r="AD94" s="198"/>
    </row>
    <row r="95" spans="1:30" ht="21.75" customHeight="1" thickTop="1" x14ac:dyDescent="0.25">
      <c r="B95" s="13" t="s">
        <v>159</v>
      </c>
      <c r="C95" s="13"/>
      <c r="D95" s="13"/>
      <c r="E95" s="13"/>
      <c r="F95" s="13"/>
      <c r="G95" s="13"/>
      <c r="H95" s="13"/>
      <c r="I95" s="13"/>
      <c r="J95" s="13"/>
      <c r="K95" s="13"/>
      <c r="L95" s="13"/>
      <c r="V95" s="571"/>
      <c r="W95" s="571"/>
      <c r="X95" s="571"/>
      <c r="Y95" s="571"/>
      <c r="Z95" s="571"/>
      <c r="AA95" s="571"/>
      <c r="AB95" s="571"/>
      <c r="AC95" s="571"/>
      <c r="AD95" s="198"/>
    </row>
    <row r="96" spans="1:30" x14ac:dyDescent="0.25">
      <c r="B96" s="225"/>
      <c r="V96" s="571"/>
      <c r="W96" s="571"/>
      <c r="X96" s="571"/>
      <c r="Y96" s="571"/>
      <c r="Z96" s="571"/>
      <c r="AA96" s="571"/>
      <c r="AB96" s="571"/>
      <c r="AC96" s="571"/>
    </row>
    <row r="97" spans="2:30" x14ac:dyDescent="0.25">
      <c r="B97" s="225"/>
      <c r="V97" s="571"/>
      <c r="W97" s="571"/>
      <c r="X97" s="571"/>
      <c r="Y97" s="571"/>
      <c r="Z97" s="571"/>
      <c r="AA97" s="571"/>
      <c r="AB97" s="571"/>
      <c r="AC97" s="571"/>
    </row>
    <row r="98" spans="2:30" hidden="1" x14ac:dyDescent="0.25">
      <c r="B98" s="226" t="s">
        <v>160</v>
      </c>
      <c r="C98" s="227"/>
      <c r="V98" s="572"/>
      <c r="W98" s="572"/>
      <c r="X98" s="572"/>
      <c r="Y98" s="572"/>
      <c r="Z98" s="572"/>
      <c r="AA98" s="572"/>
      <c r="AB98" s="572"/>
      <c r="AC98" s="572"/>
    </row>
    <row r="99" spans="2:30" hidden="1" x14ac:dyDescent="0.25">
      <c r="B99" s="229"/>
      <c r="C99" s="227"/>
      <c r="V99" s="225"/>
      <c r="W99" s="13"/>
      <c r="X99" s="13"/>
      <c r="Y99" s="13"/>
      <c r="Z99" s="13"/>
      <c r="AA99" s="13"/>
      <c r="AB99" s="13"/>
      <c r="AC99" s="13"/>
    </row>
    <row r="100" spans="2:30" hidden="1" x14ac:dyDescent="0.25">
      <c r="B100" s="230" t="s">
        <v>161</v>
      </c>
      <c r="C100" s="226" t="s">
        <v>162</v>
      </c>
      <c r="V100" s="225"/>
    </row>
    <row r="101" spans="2:30" hidden="1" x14ac:dyDescent="0.25">
      <c r="B101" s="230" t="s">
        <v>163</v>
      </c>
      <c r="C101" s="226" t="s">
        <v>164</v>
      </c>
      <c r="V101" s="225"/>
    </row>
    <row r="102" spans="2:30" hidden="1" x14ac:dyDescent="0.25">
      <c r="B102" s="230" t="s">
        <v>165</v>
      </c>
      <c r="C102" s="226" t="s">
        <v>166</v>
      </c>
      <c r="V102" s="225"/>
      <c r="W102" s="231"/>
      <c r="X102" s="231"/>
      <c r="Y102" s="231"/>
      <c r="Z102" s="231"/>
      <c r="AA102" s="231"/>
      <c r="AB102" s="231"/>
      <c r="AC102" s="231"/>
      <c r="AD102" s="231"/>
    </row>
    <row r="103" spans="2:30" hidden="1" x14ac:dyDescent="0.25">
      <c r="B103" s="230" t="s">
        <v>167</v>
      </c>
      <c r="C103" s="226" t="s">
        <v>168</v>
      </c>
      <c r="V103" s="225"/>
    </row>
    <row r="104" spans="2:30" hidden="1" x14ac:dyDescent="0.25">
      <c r="B104" s="232"/>
      <c r="C104" s="226" t="s">
        <v>169</v>
      </c>
      <c r="V104" s="225"/>
    </row>
    <row r="105" spans="2:30" hidden="1" x14ac:dyDescent="0.25">
      <c r="B105" s="230" t="s">
        <v>170</v>
      </c>
      <c r="C105" s="226" t="s">
        <v>171</v>
      </c>
      <c r="V105" s="225"/>
    </row>
    <row r="106" spans="2:30" hidden="1" x14ac:dyDescent="0.25">
      <c r="B106" s="230" t="s">
        <v>172</v>
      </c>
      <c r="C106" s="226" t="s">
        <v>173</v>
      </c>
      <c r="V106" s="225"/>
    </row>
    <row r="107" spans="2:30" hidden="1" x14ac:dyDescent="0.25">
      <c r="B107" s="230" t="s">
        <v>242</v>
      </c>
      <c r="C107" s="226" t="s">
        <v>175</v>
      </c>
      <c r="V107" s="225"/>
    </row>
    <row r="108" spans="2:30" hidden="1" x14ac:dyDescent="0.25">
      <c r="B108" s="230" t="s">
        <v>176</v>
      </c>
      <c r="C108" s="226" t="s">
        <v>177</v>
      </c>
      <c r="V108" s="225"/>
    </row>
    <row r="109" spans="2:30" hidden="1" x14ac:dyDescent="0.25">
      <c r="B109" s="230" t="s">
        <v>178</v>
      </c>
      <c r="C109" s="226" t="s">
        <v>179</v>
      </c>
      <c r="V109" s="225"/>
    </row>
    <row r="110" spans="2:30" hidden="1" x14ac:dyDescent="0.25">
      <c r="B110" s="232"/>
      <c r="C110" s="226"/>
      <c r="V110" s="225"/>
    </row>
    <row r="111" spans="2:30" hidden="1" x14ac:dyDescent="0.25">
      <c r="B111" s="230" t="s">
        <v>180</v>
      </c>
      <c r="C111" s="226" t="s">
        <v>181</v>
      </c>
      <c r="V111" s="225"/>
    </row>
    <row r="112" spans="2:30" hidden="1" x14ac:dyDescent="0.25">
      <c r="B112" s="230" t="s">
        <v>180</v>
      </c>
      <c r="C112" s="226" t="s">
        <v>182</v>
      </c>
    </row>
    <row r="113" spans="2:3" hidden="1" x14ac:dyDescent="0.25">
      <c r="B113" s="230" t="s">
        <v>183</v>
      </c>
      <c r="C113" s="226" t="s">
        <v>184</v>
      </c>
    </row>
    <row r="114" spans="2:3" hidden="1" x14ac:dyDescent="0.25">
      <c r="B114" s="230" t="s">
        <v>185</v>
      </c>
      <c r="C114" s="226" t="s">
        <v>186</v>
      </c>
    </row>
    <row r="115" spans="2:3" hidden="1" x14ac:dyDescent="0.25">
      <c r="B115" s="230" t="s">
        <v>183</v>
      </c>
      <c r="C115" s="226" t="s">
        <v>187</v>
      </c>
    </row>
    <row r="116" spans="2:3" hidden="1" x14ac:dyDescent="0.25">
      <c r="B116" s="230" t="s">
        <v>188</v>
      </c>
      <c r="C116" s="226" t="s">
        <v>189</v>
      </c>
    </row>
    <row r="117" spans="2:3" hidden="1" x14ac:dyDescent="0.25">
      <c r="B117" s="230" t="s">
        <v>190</v>
      </c>
      <c r="C117" s="226" t="s">
        <v>191</v>
      </c>
    </row>
    <row r="118" spans="2:3" hidden="1" x14ac:dyDescent="0.25">
      <c r="B118" s="232" t="s">
        <v>192</v>
      </c>
      <c r="C118" s="226" t="s">
        <v>193</v>
      </c>
    </row>
    <row r="119" spans="2:3" hidden="1" x14ac:dyDescent="0.25">
      <c r="B119" s="232"/>
      <c r="C119" s="226"/>
    </row>
    <row r="120" spans="2:3" hidden="1" x14ac:dyDescent="0.25">
      <c r="B120" s="230" t="s">
        <v>161</v>
      </c>
      <c r="C120" s="226" t="s">
        <v>194</v>
      </c>
    </row>
    <row r="121" spans="2:3" hidden="1" x14ac:dyDescent="0.25">
      <c r="B121" s="230" t="s">
        <v>195</v>
      </c>
      <c r="C121" s="226" t="s">
        <v>196</v>
      </c>
    </row>
    <row r="122" spans="2:3" hidden="1" x14ac:dyDescent="0.25">
      <c r="B122" s="230" t="s">
        <v>197</v>
      </c>
      <c r="C122" s="226" t="s">
        <v>198</v>
      </c>
    </row>
    <row r="123" spans="2:3" hidden="1" x14ac:dyDescent="0.25">
      <c r="B123" s="230" t="s">
        <v>243</v>
      </c>
      <c r="C123" s="226" t="s">
        <v>200</v>
      </c>
    </row>
    <row r="124" spans="2:3" hidden="1" x14ac:dyDescent="0.25">
      <c r="B124" s="230" t="s">
        <v>244</v>
      </c>
      <c r="C124" s="226" t="s">
        <v>202</v>
      </c>
    </row>
    <row r="125" spans="2:3" hidden="1" x14ac:dyDescent="0.25">
      <c r="B125" s="230" t="s">
        <v>203</v>
      </c>
      <c r="C125" s="226" t="s">
        <v>204</v>
      </c>
    </row>
    <row r="126" spans="2:3" hidden="1" x14ac:dyDescent="0.25">
      <c r="B126" s="230" t="s">
        <v>203</v>
      </c>
      <c r="C126" s="226" t="s">
        <v>205</v>
      </c>
    </row>
    <row r="127" spans="2:3" hidden="1" x14ac:dyDescent="0.25">
      <c r="B127" s="230" t="s">
        <v>203</v>
      </c>
      <c r="C127" s="226" t="s">
        <v>206</v>
      </c>
    </row>
    <row r="128" spans="2:3" hidden="1" x14ac:dyDescent="0.25">
      <c r="B128" s="230" t="s">
        <v>203</v>
      </c>
      <c r="C128" s="226" t="s">
        <v>207</v>
      </c>
    </row>
    <row r="129" spans="2:3" hidden="1" x14ac:dyDescent="0.25">
      <c r="B129" s="230" t="s">
        <v>167</v>
      </c>
      <c r="C129" s="226" t="s">
        <v>208</v>
      </c>
    </row>
    <row r="130" spans="2:3" hidden="1" x14ac:dyDescent="0.25">
      <c r="B130" s="230" t="s">
        <v>209</v>
      </c>
      <c r="C130" s="226" t="s">
        <v>210</v>
      </c>
    </row>
    <row r="131" spans="2:3" hidden="1" x14ac:dyDescent="0.25">
      <c r="B131" s="230" t="s">
        <v>203</v>
      </c>
      <c r="C131" s="226" t="s">
        <v>211</v>
      </c>
    </row>
    <row r="132" spans="2:3" hidden="1" x14ac:dyDescent="0.25">
      <c r="B132" s="226"/>
      <c r="C132" s="226"/>
    </row>
    <row r="133" spans="2:3" hidden="1" x14ac:dyDescent="0.25">
      <c r="B133" s="226"/>
      <c r="C133" s="226"/>
    </row>
    <row r="134" spans="2:3" hidden="1" x14ac:dyDescent="0.25">
      <c r="B134" s="232"/>
      <c r="C134" s="232"/>
    </row>
    <row r="135" spans="2:3" hidden="1" x14ac:dyDescent="0.25">
      <c r="B135" s="232">
        <f>NvsElapsedTime</f>
        <v>1.15740767796524E-5</v>
      </c>
      <c r="C135" s="232"/>
    </row>
    <row r="136" spans="2:3" hidden="1" x14ac:dyDescent="0.25">
      <c r="B136" s="233">
        <f>NvsEndTime</f>
        <v>41754.487777777802</v>
      </c>
      <c r="C136" s="233" t="s">
        <v>212</v>
      </c>
    </row>
    <row r="137" spans="2:3" x14ac:dyDescent="0.25">
      <c r="B137" s="226"/>
      <c r="C137" s="573"/>
    </row>
    <row r="138" spans="2:3" x14ac:dyDescent="0.25">
      <c r="B138" s="226"/>
      <c r="C138" s="226"/>
    </row>
    <row r="139" spans="2:3" x14ac:dyDescent="0.25">
      <c r="B139" s="226"/>
      <c r="C139" s="226"/>
    </row>
    <row r="140" spans="2:3" x14ac:dyDescent="0.25">
      <c r="B140" s="226"/>
      <c r="C140" s="226"/>
    </row>
    <row r="141" spans="2:3" x14ac:dyDescent="0.25">
      <c r="B141" s="226"/>
      <c r="C141" s="226"/>
    </row>
    <row r="142" spans="2:3" x14ac:dyDescent="0.25">
      <c r="B142" s="226"/>
      <c r="C142" s="226"/>
    </row>
    <row r="143" spans="2:3" x14ac:dyDescent="0.25">
      <c r="B143" s="226"/>
      <c r="C143" s="226"/>
    </row>
    <row r="144" spans="2:3" x14ac:dyDescent="0.25">
      <c r="B144" s="226"/>
      <c r="C144" s="226"/>
    </row>
    <row r="145" spans="2:3" x14ac:dyDescent="0.25">
      <c r="B145" s="226"/>
      <c r="C145" s="226"/>
    </row>
    <row r="146" spans="2:3" x14ac:dyDescent="0.25">
      <c r="B146" s="226"/>
      <c r="C146" s="226"/>
    </row>
    <row r="147" spans="2:3" x14ac:dyDescent="0.25">
      <c r="B147" s="226"/>
      <c r="C147" s="226"/>
    </row>
    <row r="148" spans="2:3" x14ac:dyDescent="0.25">
      <c r="B148" s="226"/>
      <c r="C148" s="226"/>
    </row>
    <row r="149" spans="2:3" x14ac:dyDescent="0.25">
      <c r="B149" s="226"/>
      <c r="C149" s="226"/>
    </row>
    <row r="150" spans="2:3" x14ac:dyDescent="0.25">
      <c r="B150" s="226"/>
      <c r="C150" s="226"/>
    </row>
    <row r="151" spans="2:3" x14ac:dyDescent="0.25">
      <c r="B151" s="226"/>
      <c r="C151" s="226"/>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AD151"/>
  <sheetViews>
    <sheetView topLeftCell="B2" zoomScale="70" zoomScaleNormal="70" workbookViewId="0">
      <selection activeCell="D85" sqref="D85"/>
    </sheetView>
  </sheetViews>
  <sheetFormatPr defaultColWidth="8.85546875" defaultRowHeight="15.75" x14ac:dyDescent="0.25"/>
  <cols>
    <col min="1" max="1" width="11.28515625" style="1" hidden="1" customWidth="1"/>
    <col min="2" max="2" width="10.28515625" style="2" customWidth="1"/>
    <col min="3" max="3" width="29" style="1" customWidth="1"/>
    <col min="4" max="5" width="12.28515625" style="1" customWidth="1"/>
    <col min="6" max="6" width="12.28515625" style="1" hidden="1" customWidth="1"/>
    <col min="7" max="7" width="19.5703125" style="1" customWidth="1"/>
    <col min="8" max="8" width="6.7109375" style="1" customWidth="1"/>
    <col min="9" max="9" width="15.140625" style="1" customWidth="1"/>
    <col min="10" max="10" width="13.85546875" style="1" customWidth="1"/>
    <col min="11" max="11" width="15.5703125" style="1" bestFit="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28515625" style="1" customWidth="1"/>
    <col min="18" max="18" width="8.85546875" style="1"/>
    <col min="19" max="21" width="0" style="1" hidden="1" customWidth="1"/>
    <col min="22" max="22" width="9" style="1" bestFit="1" customWidth="1"/>
    <col min="23" max="23" width="12.28515625" style="1" bestFit="1" customWidth="1"/>
    <col min="24" max="24" width="12.7109375" style="1" customWidth="1"/>
    <col min="25" max="25" width="8.85546875" style="1"/>
    <col min="26" max="26" width="13.28515625" style="1" bestFit="1" customWidth="1"/>
    <col min="27" max="27" width="9" style="1" bestFit="1" customWidth="1"/>
    <col min="28" max="28" width="14.7109375" style="1" bestFit="1" customWidth="1"/>
    <col min="29" max="29" width="16.85546875" style="1" bestFit="1" customWidth="1"/>
    <col min="30" max="30" width="9" style="1" bestFit="1" customWidth="1"/>
    <col min="31" max="16384" width="8.85546875" style="1"/>
  </cols>
  <sheetData>
    <row r="1" spans="1:30" ht="15.6" hidden="1" customHeight="1" thickBot="1" x14ac:dyDescent="0.3">
      <c r="A1" s="1" t="s">
        <v>0</v>
      </c>
      <c r="D1" s="1" t="s">
        <v>1</v>
      </c>
      <c r="E1" s="1" t="s">
        <v>2</v>
      </c>
      <c r="F1" s="1" t="s">
        <v>3</v>
      </c>
    </row>
    <row r="2" spans="1:30" ht="16.5" thickBot="1" x14ac:dyDescent="0.3">
      <c r="B2" s="4">
        <v>50</v>
      </c>
      <c r="C2" s="560" t="s">
        <v>4</v>
      </c>
      <c r="D2" s="561"/>
      <c r="E2" s="561"/>
      <c r="F2" s="561"/>
      <c r="G2" s="561"/>
      <c r="H2" s="562"/>
      <c r="I2" s="562"/>
      <c r="J2" s="562"/>
      <c r="K2" s="562"/>
      <c r="L2" s="562"/>
      <c r="N2" s="3"/>
      <c r="O2" s="1"/>
      <c r="V2" s="8">
        <f>'2941'!B2</f>
        <v>50</v>
      </c>
      <c r="W2" s="670" t="s">
        <v>4</v>
      </c>
      <c r="X2" s="671"/>
      <c r="Y2" s="672"/>
      <c r="Z2" s="672"/>
      <c r="AA2" s="672"/>
      <c r="AB2" s="672"/>
      <c r="AC2" s="672"/>
      <c r="AD2" s="9"/>
    </row>
    <row r="3" spans="1:30" x14ac:dyDescent="0.25">
      <c r="B3" s="13" t="str">
        <f>"Revenue Estimate Worksheet for "&amp;B124</f>
        <v>Revenue Estimate Worksheet for Palm Beach School for Autism</v>
      </c>
      <c r="C3" s="82"/>
      <c r="D3" s="82"/>
      <c r="E3" s="82"/>
      <c r="F3" s="82"/>
      <c r="G3" s="82"/>
      <c r="H3" s="82"/>
      <c r="I3" s="82"/>
      <c r="J3" s="82"/>
      <c r="K3" s="82"/>
      <c r="L3" s="82"/>
      <c r="M3" s="13"/>
      <c r="N3" s="13"/>
      <c r="O3" s="13"/>
      <c r="P3" s="13"/>
      <c r="Q3" s="13"/>
      <c r="V3" s="610" t="s">
        <v>5</v>
      </c>
      <c r="W3" s="610"/>
      <c r="X3" s="610"/>
      <c r="Y3" s="610"/>
      <c r="Z3" s="610"/>
      <c r="AA3" s="610"/>
      <c r="AB3" s="610"/>
      <c r="AC3" s="610"/>
      <c r="AD3" s="191"/>
    </row>
    <row r="4" spans="1:30" x14ac:dyDescent="0.25">
      <c r="B4" s="2" t="s">
        <v>6</v>
      </c>
      <c r="C4" s="13"/>
      <c r="D4" s="13"/>
      <c r="E4" s="13"/>
      <c r="F4" s="13"/>
      <c r="G4" s="13"/>
      <c r="H4" s="13"/>
      <c r="I4" s="13"/>
      <c r="J4" s="13"/>
      <c r="K4" s="13"/>
      <c r="L4" s="13"/>
      <c r="M4" s="13"/>
      <c r="N4" s="13"/>
      <c r="O4" s="13"/>
      <c r="P4" s="13"/>
      <c r="Q4" s="13"/>
      <c r="V4" s="610" t="str">
        <f>+Based_on_the_Second_Calculation_of_the_FEFP_2010_11</f>
        <v>Based on the Fourth Calculation of the FEFP 2013-14</v>
      </c>
      <c r="W4" s="610"/>
      <c r="X4" s="610"/>
      <c r="Y4" s="610"/>
      <c r="Z4" s="610"/>
      <c r="AA4" s="610"/>
      <c r="AB4" s="610"/>
      <c r="AC4" s="610"/>
      <c r="AD4" s="191"/>
    </row>
    <row r="5" spans="1:30" ht="18.75" customHeight="1" x14ac:dyDescent="0.25">
      <c r="B5" s="16" t="s">
        <v>7</v>
      </c>
      <c r="C5" s="16"/>
      <c r="D5" s="16"/>
      <c r="E5" s="16"/>
      <c r="F5" s="16"/>
      <c r="G5" s="17" t="s">
        <v>8</v>
      </c>
      <c r="H5" s="17"/>
      <c r="I5" s="17"/>
      <c r="J5" s="17"/>
      <c r="K5" s="17"/>
      <c r="L5" s="17"/>
      <c r="M5" s="18"/>
      <c r="N5" s="18"/>
      <c r="O5" s="18"/>
      <c r="P5" s="18"/>
      <c r="Q5" s="18"/>
      <c r="V5" s="611" t="s">
        <v>7</v>
      </c>
      <c r="W5" s="611"/>
      <c r="X5" s="612" t="s">
        <v>8</v>
      </c>
      <c r="Y5" s="612"/>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613" t="s">
        <v>9</v>
      </c>
      <c r="W6" s="613"/>
      <c r="X6" s="613"/>
      <c r="Y6" s="613"/>
      <c r="Z6" s="613"/>
      <c r="AA6" s="613"/>
      <c r="AB6" s="613"/>
      <c r="AC6" s="613"/>
      <c r="AD6" s="22"/>
    </row>
    <row r="7" spans="1:30" ht="18" customHeight="1" x14ac:dyDescent="0.25">
      <c r="B7" s="23" t="s">
        <v>10</v>
      </c>
      <c r="C7" s="23"/>
      <c r="D7" s="23"/>
      <c r="E7" s="23"/>
      <c r="F7" s="23"/>
      <c r="G7" s="563">
        <v>3752.3</v>
      </c>
      <c r="H7" s="563"/>
      <c r="I7" s="23" t="s">
        <v>11</v>
      </c>
      <c r="J7" s="23"/>
      <c r="K7" s="25">
        <v>1.0326</v>
      </c>
      <c r="L7" s="25"/>
      <c r="O7" s="1"/>
      <c r="V7" s="620" t="s">
        <v>10</v>
      </c>
      <c r="W7" s="620"/>
      <c r="X7" s="673">
        <f>'2941'!G7</f>
        <v>3752.3</v>
      </c>
      <c r="Y7" s="673"/>
      <c r="Z7" s="622" t="s">
        <v>11</v>
      </c>
      <c r="AA7" s="622"/>
      <c r="AB7" s="602">
        <f>+K7</f>
        <v>1.0326</v>
      </c>
      <c r="AC7" s="602"/>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603" t="s">
        <v>12</v>
      </c>
      <c r="W8" s="603"/>
      <c r="X8" s="604" t="s">
        <v>15</v>
      </c>
      <c r="Y8" s="604"/>
      <c r="Z8" s="605" t="s">
        <v>16</v>
      </c>
      <c r="AA8" s="605"/>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614" t="s">
        <v>22</v>
      </c>
      <c r="W9" s="614"/>
      <c r="X9" s="615" t="s">
        <v>23</v>
      </c>
      <c r="Y9" s="615"/>
      <c r="Z9" s="616" t="s">
        <v>24</v>
      </c>
      <c r="AA9" s="616"/>
      <c r="AB9" s="43" t="s">
        <v>25</v>
      </c>
      <c r="AC9" s="44" t="s">
        <v>26</v>
      </c>
      <c r="AD9" s="9"/>
    </row>
    <row r="10" spans="1:30" x14ac:dyDescent="0.25">
      <c r="A10" s="1" t="s">
        <v>27</v>
      </c>
      <c r="B10" s="45" t="s">
        <v>28</v>
      </c>
      <c r="C10" s="45"/>
      <c r="D10" s="45">
        <v>0</v>
      </c>
      <c r="E10" s="45">
        <v>0</v>
      </c>
      <c r="F10" s="45">
        <v>0</v>
      </c>
      <c r="G10" s="46">
        <f>D10+E10</f>
        <v>0</v>
      </c>
      <c r="H10" s="47"/>
      <c r="I10" s="48">
        <v>1.125</v>
      </c>
      <c r="J10" s="48"/>
      <c r="K10" s="49">
        <f>ROUND(G10*I10,4)</f>
        <v>0</v>
      </c>
      <c r="L10" s="50">
        <f>ROUND(ROUND(K10*$G$7,4)*($K$7),0)</f>
        <v>0</v>
      </c>
      <c r="N10" s="51">
        <v>5101</v>
      </c>
      <c r="O10" s="564">
        <v>101</v>
      </c>
      <c r="P10" s="53"/>
      <c r="Q10" s="565"/>
      <c r="V10" s="617" t="s">
        <v>28</v>
      </c>
      <c r="W10" s="617"/>
      <c r="X10" s="618">
        <f>IF('2941'!K$84=1,'2941'!G10,0)</f>
        <v>0</v>
      </c>
      <c r="Y10" s="618"/>
      <c r="Z10" s="619">
        <v>1</v>
      </c>
      <c r="AA10" s="619"/>
      <c r="AB10" s="55">
        <f t="shared" ref="AB10:AB25" si="0">ROUND(X10*Z10,4)</f>
        <v>0</v>
      </c>
      <c r="AC10" s="56">
        <f t="shared" ref="AC10:AC25" si="1">ROUND(ROUND(AB10*$X$7,4)*($AB$7),0)</f>
        <v>0</v>
      </c>
      <c r="AD10" s="9">
        <v>1</v>
      </c>
    </row>
    <row r="11" spans="1:30" x14ac:dyDescent="0.25">
      <c r="A11" s="1" t="s">
        <v>29</v>
      </c>
      <c r="B11" s="13" t="s">
        <v>30</v>
      </c>
      <c r="C11" s="13"/>
      <c r="D11" s="13">
        <v>10.97</v>
      </c>
      <c r="E11" s="13">
        <v>9.92</v>
      </c>
      <c r="F11" s="13">
        <v>11.8</v>
      </c>
      <c r="G11" s="46">
        <f>D11+E11</f>
        <v>20.89</v>
      </c>
      <c r="H11" s="47"/>
      <c r="I11" s="57">
        <f>I10</f>
        <v>1.125</v>
      </c>
      <c r="J11" s="57"/>
      <c r="K11" s="49">
        <f t="shared" ref="K11:K25" si="2">ROUND(G11*I11,4)</f>
        <v>23.501300000000001</v>
      </c>
      <c r="L11" s="50">
        <f t="shared" ref="L11:L25" si="3">ROUND(ROUND(K11*$G$7,4)*($K$7),0)</f>
        <v>91059</v>
      </c>
      <c r="M11" s="1" t="str">
        <f>IF(ROUND(G11,2)=ROUND(SUM(G28:G30),2)," ","CHECK 2. PK-3 Lines Below")</f>
        <v xml:space="preserve"> </v>
      </c>
      <c r="N11" s="51">
        <v>5101</v>
      </c>
      <c r="O11" s="58" t="s">
        <v>31</v>
      </c>
      <c r="P11" s="53"/>
      <c r="Q11" s="565"/>
      <c r="V11" s="623" t="s">
        <v>30</v>
      </c>
      <c r="W11" s="623"/>
      <c r="X11" s="618">
        <f>IF('2941'!K$84=1,'2941'!G11,0)</f>
        <v>20.89</v>
      </c>
      <c r="Y11" s="618"/>
      <c r="Z11" s="624">
        <v>1</v>
      </c>
      <c r="AA11" s="624"/>
      <c r="AB11" s="55">
        <f t="shared" si="0"/>
        <v>20.89</v>
      </c>
      <c r="AC11" s="56">
        <f t="shared" si="1"/>
        <v>80941</v>
      </c>
      <c r="AD11" s="9"/>
    </row>
    <row r="12" spans="1:30" x14ac:dyDescent="0.25">
      <c r="A12" s="1" t="s">
        <v>32</v>
      </c>
      <c r="B12" s="13" t="s">
        <v>33</v>
      </c>
      <c r="C12" s="13"/>
      <c r="D12" s="13">
        <v>0</v>
      </c>
      <c r="E12" s="13">
        <v>0</v>
      </c>
      <c r="F12" s="13">
        <v>0</v>
      </c>
      <c r="G12" s="46">
        <f t="shared" ref="G12:G25" si="4">D12+E12</f>
        <v>0</v>
      </c>
      <c r="H12" s="47"/>
      <c r="I12" s="57">
        <v>1</v>
      </c>
      <c r="J12" s="57"/>
      <c r="K12" s="49">
        <f t="shared" si="2"/>
        <v>0</v>
      </c>
      <c r="L12" s="50">
        <f t="shared" si="3"/>
        <v>0</v>
      </c>
      <c r="N12" s="51">
        <v>5102</v>
      </c>
      <c r="O12" s="564">
        <v>102</v>
      </c>
      <c r="P12" s="53"/>
      <c r="Q12" s="565"/>
      <c r="V12" s="623" t="s">
        <v>33</v>
      </c>
      <c r="W12" s="623"/>
      <c r="X12" s="618">
        <f>IF('2941'!K$84=1,'2941'!G12,0)</f>
        <v>0</v>
      </c>
      <c r="Y12" s="618"/>
      <c r="Z12" s="624">
        <v>1</v>
      </c>
      <c r="AA12" s="624"/>
      <c r="AB12" s="55">
        <f t="shared" si="0"/>
        <v>0</v>
      </c>
      <c r="AC12" s="56">
        <f t="shared" si="1"/>
        <v>0</v>
      </c>
      <c r="AD12" s="9"/>
    </row>
    <row r="13" spans="1:30" x14ac:dyDescent="0.25">
      <c r="A13" s="1" t="s">
        <v>34</v>
      </c>
      <c r="B13" s="13" t="s">
        <v>35</v>
      </c>
      <c r="C13" s="13"/>
      <c r="D13" s="13">
        <v>8.02</v>
      </c>
      <c r="E13" s="13">
        <v>6.98</v>
      </c>
      <c r="F13" s="13">
        <v>8.8000000000000007</v>
      </c>
      <c r="G13" s="46">
        <f t="shared" si="4"/>
        <v>15</v>
      </c>
      <c r="H13" s="47"/>
      <c r="I13" s="57">
        <f>I12</f>
        <v>1</v>
      </c>
      <c r="J13" s="57"/>
      <c r="K13" s="49">
        <f t="shared" si="2"/>
        <v>15</v>
      </c>
      <c r="L13" s="50">
        <f t="shared" si="3"/>
        <v>58119</v>
      </c>
      <c r="M13" s="1" t="str">
        <f>IF(ROUND(G13,2)=ROUND(SUM(G31:G33),2)," ","CHECK 2. PK-3 Lines Below")</f>
        <v xml:space="preserve"> </v>
      </c>
      <c r="N13" s="51">
        <v>5102</v>
      </c>
      <c r="O13" s="58" t="s">
        <v>36</v>
      </c>
      <c r="P13" s="53"/>
      <c r="Q13" s="565"/>
      <c r="V13" s="623" t="s">
        <v>35</v>
      </c>
      <c r="W13" s="623"/>
      <c r="X13" s="618">
        <f>IF('2941'!K$84=1,'2941'!G13,0)</f>
        <v>15</v>
      </c>
      <c r="Y13" s="618"/>
      <c r="Z13" s="624">
        <v>1</v>
      </c>
      <c r="AA13" s="624"/>
      <c r="AB13" s="55">
        <f t="shared" si="0"/>
        <v>15</v>
      </c>
      <c r="AC13" s="56">
        <f t="shared" si="1"/>
        <v>58119</v>
      </c>
      <c r="AD13" s="9"/>
    </row>
    <row r="14" spans="1:30" x14ac:dyDescent="0.25">
      <c r="A14" s="1" t="s">
        <v>37</v>
      </c>
      <c r="B14" s="13" t="s">
        <v>38</v>
      </c>
      <c r="C14" s="13"/>
      <c r="D14" s="13">
        <v>0</v>
      </c>
      <c r="E14" s="13">
        <v>0</v>
      </c>
      <c r="F14" s="13">
        <v>0</v>
      </c>
      <c r="G14" s="46">
        <f t="shared" si="4"/>
        <v>0</v>
      </c>
      <c r="H14" s="47"/>
      <c r="I14" s="57">
        <v>1.0109999999999999</v>
      </c>
      <c r="J14" s="57"/>
      <c r="K14" s="49">
        <f t="shared" si="2"/>
        <v>0</v>
      </c>
      <c r="L14" s="50">
        <f t="shared" si="3"/>
        <v>0</v>
      </c>
      <c r="N14" s="51">
        <v>5103</v>
      </c>
      <c r="O14" s="564">
        <v>103</v>
      </c>
      <c r="P14" s="53"/>
      <c r="Q14" s="565"/>
      <c r="V14" s="623" t="s">
        <v>38</v>
      </c>
      <c r="W14" s="623"/>
      <c r="X14" s="618">
        <f>IF('2941'!K$84=1,'2941'!G14,0)</f>
        <v>0</v>
      </c>
      <c r="Y14" s="618"/>
      <c r="Z14" s="624">
        <v>1</v>
      </c>
      <c r="AA14" s="624"/>
      <c r="AB14" s="55">
        <f t="shared" si="0"/>
        <v>0</v>
      </c>
      <c r="AC14" s="56">
        <f t="shared" si="1"/>
        <v>0</v>
      </c>
      <c r="AD14" s="9"/>
    </row>
    <row r="15" spans="1:30" x14ac:dyDescent="0.25">
      <c r="A15" s="1" t="s">
        <v>39</v>
      </c>
      <c r="B15" s="13" t="s">
        <v>40</v>
      </c>
      <c r="C15" s="13"/>
      <c r="D15" s="13">
        <v>1</v>
      </c>
      <c r="E15" s="13">
        <v>1</v>
      </c>
      <c r="F15" s="13">
        <v>0</v>
      </c>
      <c r="G15" s="46">
        <f t="shared" si="4"/>
        <v>2</v>
      </c>
      <c r="H15" s="47"/>
      <c r="I15" s="57">
        <f>I14</f>
        <v>1.0109999999999999</v>
      </c>
      <c r="J15" s="57"/>
      <c r="K15" s="49">
        <f t="shared" si="2"/>
        <v>2.0219999999999998</v>
      </c>
      <c r="L15" s="59">
        <f t="shared" si="3"/>
        <v>7834</v>
      </c>
      <c r="M15" s="1" t="str">
        <f>IF(ROUND(G15,2)=ROUND(SUM(G34:G36),2)," ","CHECK 2. PK-3 Lines Below")</f>
        <v xml:space="preserve"> </v>
      </c>
      <c r="N15" s="51">
        <v>5103</v>
      </c>
      <c r="O15" s="58" t="s">
        <v>41</v>
      </c>
      <c r="P15" s="53"/>
      <c r="Q15" s="565"/>
      <c r="V15" s="623" t="s">
        <v>40</v>
      </c>
      <c r="W15" s="623"/>
      <c r="X15" s="618">
        <f>IF('2941'!K$84=1,'2941'!G15,0)</f>
        <v>2</v>
      </c>
      <c r="Y15" s="618"/>
      <c r="Z15" s="624">
        <v>1</v>
      </c>
      <c r="AA15" s="624"/>
      <c r="AB15" s="55">
        <f t="shared" si="0"/>
        <v>2</v>
      </c>
      <c r="AC15" s="60">
        <f t="shared" si="1"/>
        <v>7749</v>
      </c>
      <c r="AD15" s="9"/>
    </row>
    <row r="16" spans="1:30" x14ac:dyDescent="0.25">
      <c r="A16" s="1" t="s">
        <v>42</v>
      </c>
      <c r="B16" s="13" t="s">
        <v>43</v>
      </c>
      <c r="C16" s="13"/>
      <c r="D16" s="13">
        <v>71.36</v>
      </c>
      <c r="E16" s="13">
        <v>68.459999999999994</v>
      </c>
      <c r="F16" s="13">
        <v>76.89</v>
      </c>
      <c r="G16" s="46">
        <f t="shared" si="4"/>
        <v>139.82</v>
      </c>
      <c r="H16" s="47"/>
      <c r="I16" s="57">
        <v>3.5579999999999998</v>
      </c>
      <c r="J16" s="57"/>
      <c r="K16" s="49">
        <f t="shared" si="2"/>
        <v>497.4796</v>
      </c>
      <c r="L16" s="50">
        <f t="shared" si="3"/>
        <v>1927547</v>
      </c>
      <c r="N16" s="51">
        <v>5101</v>
      </c>
      <c r="O16" s="53">
        <v>254</v>
      </c>
      <c r="P16" s="53"/>
      <c r="Q16" s="565"/>
      <c r="V16" s="623" t="s">
        <v>43</v>
      </c>
      <c r="W16" s="623"/>
      <c r="X16" s="618">
        <f>IF('2941'!K$84=1,'2941'!G16,0)</f>
        <v>139.82</v>
      </c>
      <c r="Y16" s="618"/>
      <c r="Z16" s="624">
        <v>1</v>
      </c>
      <c r="AA16" s="624"/>
      <c r="AB16" s="55">
        <f t="shared" si="0"/>
        <v>139.82</v>
      </c>
      <c r="AC16" s="56">
        <f t="shared" si="1"/>
        <v>541750</v>
      </c>
      <c r="AD16" s="9"/>
    </row>
    <row r="17" spans="1:30" x14ac:dyDescent="0.25">
      <c r="A17" s="1" t="s">
        <v>44</v>
      </c>
      <c r="B17" s="13" t="s">
        <v>45</v>
      </c>
      <c r="C17" s="13"/>
      <c r="D17" s="13">
        <v>0</v>
      </c>
      <c r="E17" s="13">
        <v>0</v>
      </c>
      <c r="F17" s="13">
        <v>76.89</v>
      </c>
      <c r="G17" s="46">
        <f t="shared" si="4"/>
        <v>0</v>
      </c>
      <c r="H17" s="47"/>
      <c r="I17" s="57">
        <f>I16</f>
        <v>3.5579999999999998</v>
      </c>
      <c r="J17" s="57"/>
      <c r="K17" s="49">
        <f t="shared" si="2"/>
        <v>0</v>
      </c>
      <c r="L17" s="50">
        <f t="shared" si="3"/>
        <v>0</v>
      </c>
      <c r="N17" s="51">
        <v>5102</v>
      </c>
      <c r="O17" s="565">
        <v>254</v>
      </c>
      <c r="P17" s="53"/>
      <c r="Q17" s="565"/>
      <c r="V17" s="623" t="s">
        <v>45</v>
      </c>
      <c r="W17" s="623"/>
      <c r="X17" s="618">
        <f>IF('2941'!K$84=1,'2941'!G17,0)</f>
        <v>0</v>
      </c>
      <c r="Y17" s="618"/>
      <c r="Z17" s="624">
        <v>1</v>
      </c>
      <c r="AA17" s="624"/>
      <c r="AB17" s="55">
        <f t="shared" si="0"/>
        <v>0</v>
      </c>
      <c r="AC17" s="56">
        <f t="shared" si="1"/>
        <v>0</v>
      </c>
      <c r="AD17" s="9"/>
    </row>
    <row r="18" spans="1:30" x14ac:dyDescent="0.25">
      <c r="A18" s="1" t="s">
        <v>46</v>
      </c>
      <c r="B18" s="13" t="s">
        <v>47</v>
      </c>
      <c r="C18" s="13"/>
      <c r="D18" s="13">
        <v>0</v>
      </c>
      <c r="E18" s="13">
        <v>0</v>
      </c>
      <c r="F18" s="13">
        <v>0</v>
      </c>
      <c r="G18" s="46">
        <f t="shared" si="4"/>
        <v>0</v>
      </c>
      <c r="H18" s="47"/>
      <c r="I18" s="57">
        <f>I17</f>
        <v>3.5579999999999998</v>
      </c>
      <c r="J18" s="57"/>
      <c r="K18" s="49">
        <f t="shared" si="2"/>
        <v>0</v>
      </c>
      <c r="L18" s="50">
        <f t="shared" si="3"/>
        <v>0</v>
      </c>
      <c r="N18" s="51">
        <v>5103</v>
      </c>
      <c r="O18" s="565">
        <v>254</v>
      </c>
      <c r="P18" s="53"/>
      <c r="Q18" s="565"/>
      <c r="V18" s="623" t="s">
        <v>47</v>
      </c>
      <c r="W18" s="623"/>
      <c r="X18" s="618">
        <f>IF('2941'!K$84=1,'2941'!G18,0)</f>
        <v>0</v>
      </c>
      <c r="Y18" s="618"/>
      <c r="Z18" s="624">
        <v>1</v>
      </c>
      <c r="AA18" s="624"/>
      <c r="AB18" s="55">
        <f t="shared" si="0"/>
        <v>0</v>
      </c>
      <c r="AC18" s="56">
        <f t="shared" si="1"/>
        <v>0</v>
      </c>
      <c r="AD18" s="9"/>
    </row>
    <row r="19" spans="1:30" ht="15" customHeight="1" x14ac:dyDescent="0.25">
      <c r="A19" s="1" t="s">
        <v>48</v>
      </c>
      <c r="B19" s="13" t="s">
        <v>49</v>
      </c>
      <c r="C19" s="13"/>
      <c r="D19" s="13">
        <v>31</v>
      </c>
      <c r="E19" s="13">
        <v>33</v>
      </c>
      <c r="F19" s="13">
        <v>34.1</v>
      </c>
      <c r="G19" s="46">
        <f t="shared" si="4"/>
        <v>64</v>
      </c>
      <c r="H19" s="47"/>
      <c r="I19" s="57">
        <v>5.0890000000000004</v>
      </c>
      <c r="J19" s="57"/>
      <c r="K19" s="49">
        <f t="shared" si="2"/>
        <v>325.69600000000003</v>
      </c>
      <c r="L19" s="50">
        <f t="shared" si="3"/>
        <v>1261950</v>
      </c>
      <c r="N19" s="51">
        <v>5101</v>
      </c>
      <c r="O19" s="53">
        <v>255</v>
      </c>
      <c r="P19" s="53"/>
      <c r="Q19" s="565"/>
      <c r="V19" s="623" t="s">
        <v>49</v>
      </c>
      <c r="W19" s="623"/>
      <c r="X19" s="618">
        <f>IF('2941'!K$84=1,'2941'!G19,0)</f>
        <v>64</v>
      </c>
      <c r="Y19" s="618"/>
      <c r="Z19" s="624">
        <v>1</v>
      </c>
      <c r="AA19" s="624"/>
      <c r="AB19" s="55">
        <f t="shared" si="0"/>
        <v>64</v>
      </c>
      <c r="AC19" s="56">
        <f t="shared" si="1"/>
        <v>247976</v>
      </c>
      <c r="AD19" s="9"/>
    </row>
    <row r="20" spans="1:30" ht="15" customHeight="1" x14ac:dyDescent="0.25">
      <c r="A20" s="1" t="s">
        <v>50</v>
      </c>
      <c r="B20" s="13" t="s">
        <v>51</v>
      </c>
      <c r="C20" s="13"/>
      <c r="D20" s="13">
        <v>0</v>
      </c>
      <c r="E20" s="13">
        <v>0</v>
      </c>
      <c r="F20" s="13">
        <v>34.1</v>
      </c>
      <c r="G20" s="46">
        <f t="shared" si="4"/>
        <v>0</v>
      </c>
      <c r="H20" s="47"/>
      <c r="I20" s="57">
        <f>I19</f>
        <v>5.0890000000000004</v>
      </c>
      <c r="J20" s="57"/>
      <c r="K20" s="49">
        <f t="shared" si="2"/>
        <v>0</v>
      </c>
      <c r="L20" s="50">
        <f t="shared" si="3"/>
        <v>0</v>
      </c>
      <c r="N20" s="51">
        <v>5102</v>
      </c>
      <c r="O20" s="565">
        <v>255</v>
      </c>
      <c r="P20" s="53"/>
      <c r="Q20" s="565"/>
      <c r="V20" s="623" t="s">
        <v>51</v>
      </c>
      <c r="W20" s="623"/>
      <c r="X20" s="618">
        <f>IF('2941'!K$84=1,'2941'!G20,0)</f>
        <v>0</v>
      </c>
      <c r="Y20" s="618"/>
      <c r="Z20" s="624">
        <v>1</v>
      </c>
      <c r="AA20" s="624"/>
      <c r="AB20" s="55">
        <f t="shared" si="0"/>
        <v>0</v>
      </c>
      <c r="AC20" s="56">
        <f t="shared" si="1"/>
        <v>0</v>
      </c>
      <c r="AD20" s="9"/>
    </row>
    <row r="21" spans="1:30" ht="15" customHeight="1" x14ac:dyDescent="0.25">
      <c r="A21" s="1" t="s">
        <v>52</v>
      </c>
      <c r="B21" s="13" t="s">
        <v>53</v>
      </c>
      <c r="C21" s="13"/>
      <c r="D21" s="13">
        <v>0</v>
      </c>
      <c r="E21" s="13">
        <v>0</v>
      </c>
      <c r="F21" s="13">
        <v>0</v>
      </c>
      <c r="G21" s="46">
        <f t="shared" si="4"/>
        <v>0</v>
      </c>
      <c r="H21" s="47"/>
      <c r="I21" s="57">
        <f>I20</f>
        <v>5.0890000000000004</v>
      </c>
      <c r="J21" s="57"/>
      <c r="K21" s="49">
        <f t="shared" si="2"/>
        <v>0</v>
      </c>
      <c r="L21" s="50">
        <f t="shared" si="3"/>
        <v>0</v>
      </c>
      <c r="N21" s="51">
        <v>5103</v>
      </c>
      <c r="O21" s="565">
        <v>255</v>
      </c>
      <c r="P21" s="53"/>
      <c r="Q21" s="565"/>
      <c r="V21" s="623" t="s">
        <v>53</v>
      </c>
      <c r="W21" s="623"/>
      <c r="X21" s="618">
        <f>IF('2941'!K$84=1,'2941'!G21,0)</f>
        <v>0</v>
      </c>
      <c r="Y21" s="618"/>
      <c r="Z21" s="624">
        <v>1</v>
      </c>
      <c r="AA21" s="624"/>
      <c r="AB21" s="55">
        <f t="shared" si="0"/>
        <v>0</v>
      </c>
      <c r="AC21" s="56">
        <f t="shared" si="1"/>
        <v>0</v>
      </c>
      <c r="AD21" s="9"/>
    </row>
    <row r="22" spans="1:30" x14ac:dyDescent="0.25">
      <c r="A22" s="1" t="s">
        <v>54</v>
      </c>
      <c r="B22" s="13" t="s">
        <v>55</v>
      </c>
      <c r="C22" s="13"/>
      <c r="D22" s="13">
        <v>0</v>
      </c>
      <c r="E22" s="13">
        <v>0</v>
      </c>
      <c r="F22" s="13">
        <v>0</v>
      </c>
      <c r="G22" s="46">
        <f t="shared" si="4"/>
        <v>0</v>
      </c>
      <c r="H22" s="47"/>
      <c r="I22" s="57">
        <v>1.145</v>
      </c>
      <c r="J22" s="57"/>
      <c r="K22" s="49">
        <f t="shared" si="2"/>
        <v>0</v>
      </c>
      <c r="L22" s="50">
        <f t="shared" si="3"/>
        <v>0</v>
      </c>
      <c r="N22" s="51">
        <v>5101</v>
      </c>
      <c r="O22" s="564">
        <v>130</v>
      </c>
      <c r="P22" s="53"/>
      <c r="Q22" s="565"/>
      <c r="V22" s="623" t="s">
        <v>55</v>
      </c>
      <c r="W22" s="623"/>
      <c r="X22" s="618">
        <f>IF('2941'!K$84=1,'2941'!G22,0)</f>
        <v>0</v>
      </c>
      <c r="Y22" s="618"/>
      <c r="Z22" s="624">
        <v>1</v>
      </c>
      <c r="AA22" s="624"/>
      <c r="AB22" s="55">
        <f t="shared" si="0"/>
        <v>0</v>
      </c>
      <c r="AC22" s="56">
        <f t="shared" si="1"/>
        <v>0</v>
      </c>
      <c r="AD22" s="9"/>
    </row>
    <row r="23" spans="1:30" x14ac:dyDescent="0.25">
      <c r="A23" s="1" t="s">
        <v>56</v>
      </c>
      <c r="B23" s="13" t="s">
        <v>57</v>
      </c>
      <c r="C23" s="13"/>
      <c r="D23" s="13">
        <v>0</v>
      </c>
      <c r="E23" s="13">
        <v>0</v>
      </c>
      <c r="F23" s="13">
        <v>0</v>
      </c>
      <c r="G23" s="46">
        <f t="shared" si="4"/>
        <v>0</v>
      </c>
      <c r="H23" s="47"/>
      <c r="I23" s="57">
        <f>I22</f>
        <v>1.145</v>
      </c>
      <c r="J23" s="57"/>
      <c r="K23" s="49">
        <f t="shared" si="2"/>
        <v>0</v>
      </c>
      <c r="L23" s="50">
        <f t="shared" si="3"/>
        <v>0</v>
      </c>
      <c r="N23" s="51">
        <v>5102</v>
      </c>
      <c r="O23" s="564">
        <v>130</v>
      </c>
      <c r="P23" s="53"/>
      <c r="Q23" s="565"/>
      <c r="V23" s="623" t="s">
        <v>57</v>
      </c>
      <c r="W23" s="623"/>
      <c r="X23" s="618">
        <f>IF('2941'!K$84=1,'2941'!G23,0)</f>
        <v>0</v>
      </c>
      <c r="Y23" s="618"/>
      <c r="Z23" s="624">
        <v>1</v>
      </c>
      <c r="AA23" s="624"/>
      <c r="AB23" s="55">
        <f t="shared" si="0"/>
        <v>0</v>
      </c>
      <c r="AC23" s="56">
        <f t="shared" si="1"/>
        <v>0</v>
      </c>
      <c r="AD23" s="9"/>
    </row>
    <row r="24" spans="1:30" x14ac:dyDescent="0.25">
      <c r="A24" s="1" t="s">
        <v>58</v>
      </c>
      <c r="B24" s="13" t="s">
        <v>59</v>
      </c>
      <c r="C24" s="13"/>
      <c r="D24" s="13">
        <v>0</v>
      </c>
      <c r="E24" s="13">
        <v>0</v>
      </c>
      <c r="F24" s="13">
        <v>0</v>
      </c>
      <c r="G24" s="46">
        <f t="shared" si="4"/>
        <v>0</v>
      </c>
      <c r="H24" s="47"/>
      <c r="I24" s="57">
        <f>I23</f>
        <v>1.145</v>
      </c>
      <c r="J24" s="57"/>
      <c r="K24" s="49">
        <f t="shared" si="2"/>
        <v>0</v>
      </c>
      <c r="L24" s="50">
        <f t="shared" si="3"/>
        <v>0</v>
      </c>
      <c r="N24" s="51">
        <v>5103</v>
      </c>
      <c r="O24" s="564">
        <v>130</v>
      </c>
      <c r="P24" s="53"/>
      <c r="Q24" s="565"/>
      <c r="V24" s="623" t="s">
        <v>59</v>
      </c>
      <c r="W24" s="623"/>
      <c r="X24" s="618">
        <f>IF('2941'!K$84=1,'2941'!G24,0)</f>
        <v>0</v>
      </c>
      <c r="Y24" s="618"/>
      <c r="Z24" s="624">
        <v>1</v>
      </c>
      <c r="AA24" s="624"/>
      <c r="AB24" s="55">
        <f t="shared" si="0"/>
        <v>0</v>
      </c>
      <c r="AC24" s="56">
        <f t="shared" si="1"/>
        <v>0</v>
      </c>
      <c r="AD24" s="9"/>
    </row>
    <row r="25" spans="1:30" ht="16.5" thickBot="1" x14ac:dyDescent="0.3">
      <c r="A25" s="1" t="s">
        <v>60</v>
      </c>
      <c r="B25" s="13" t="s">
        <v>61</v>
      </c>
      <c r="C25" s="13"/>
      <c r="D25" s="13">
        <v>0</v>
      </c>
      <c r="E25" s="13">
        <v>0</v>
      </c>
      <c r="F25" s="13">
        <v>0</v>
      </c>
      <c r="G25" s="46">
        <f t="shared" si="4"/>
        <v>0</v>
      </c>
      <c r="H25" s="47"/>
      <c r="I25" s="57">
        <v>1.0109999999999999</v>
      </c>
      <c r="J25" s="57"/>
      <c r="K25" s="49">
        <f t="shared" si="2"/>
        <v>0</v>
      </c>
      <c r="L25" s="50">
        <f t="shared" si="3"/>
        <v>0</v>
      </c>
      <c r="N25" s="51">
        <v>5310</v>
      </c>
      <c r="O25" s="564">
        <v>300</v>
      </c>
      <c r="P25" s="53"/>
      <c r="Q25" s="565"/>
      <c r="V25" s="623" t="s">
        <v>61</v>
      </c>
      <c r="W25" s="623"/>
      <c r="X25" s="618">
        <f>IF('2941'!K$84=1,'2941'!G25,0)</f>
        <v>0</v>
      </c>
      <c r="Y25" s="618"/>
      <c r="Z25" s="624">
        <v>1</v>
      </c>
      <c r="AA25" s="624"/>
      <c r="AB25" s="55">
        <f t="shared" si="0"/>
        <v>0</v>
      </c>
      <c r="AC25" s="56">
        <f t="shared" si="1"/>
        <v>0</v>
      </c>
      <c r="AD25" s="9"/>
    </row>
    <row r="26" spans="1:30" ht="20.25" customHeight="1" thickBot="1" x14ac:dyDescent="0.3">
      <c r="B26" s="62" t="s">
        <v>62</v>
      </c>
      <c r="C26" s="62"/>
      <c r="D26" s="63">
        <f t="shared" ref="D26:E26" si="5">SUM(D10:D25)</f>
        <v>122.35</v>
      </c>
      <c r="E26" s="63">
        <f t="shared" si="5"/>
        <v>119.35999999999999</v>
      </c>
      <c r="F26" s="63"/>
      <c r="G26" s="63">
        <f>SUM(G10:G25)</f>
        <v>241.70999999999998</v>
      </c>
      <c r="H26" s="64"/>
      <c r="I26" s="64"/>
      <c r="J26" s="65"/>
      <c r="K26" s="66">
        <f>SUM(K10:K25)</f>
        <v>863.69889999999998</v>
      </c>
      <c r="L26" s="67">
        <f>SUM(L10:L25)</f>
        <v>3346509</v>
      </c>
      <c r="N26" s="565"/>
      <c r="O26" s="68"/>
      <c r="P26" s="565"/>
      <c r="Q26" s="565"/>
      <c r="V26" s="625" t="s">
        <v>62</v>
      </c>
      <c r="W26" s="625"/>
      <c r="X26" s="626">
        <f>SUM(X10:X25)</f>
        <v>241.70999999999998</v>
      </c>
      <c r="Y26" s="626"/>
      <c r="Z26" s="627"/>
      <c r="AA26" s="628"/>
      <c r="AB26" s="69">
        <f>SUM(AB10:AB25)</f>
        <v>241.70999999999998</v>
      </c>
      <c r="AC26" s="70">
        <f>SUM(AC10:AC25)</f>
        <v>936535</v>
      </c>
      <c r="AD26" s="9"/>
    </row>
    <row r="27" spans="1:30" ht="51.75" customHeight="1" x14ac:dyDescent="0.25">
      <c r="B27" s="62" t="s">
        <v>63</v>
      </c>
      <c r="C27" s="62"/>
      <c r="D27" s="71" t="s">
        <v>13</v>
      </c>
      <c r="E27" s="71" t="s">
        <v>14</v>
      </c>
      <c r="F27" s="27"/>
      <c r="G27" s="72" t="s">
        <v>64</v>
      </c>
      <c r="H27" s="73"/>
      <c r="I27" s="74" t="s">
        <v>65</v>
      </c>
      <c r="J27" s="74" t="s">
        <v>66</v>
      </c>
      <c r="K27" s="75" t="s">
        <v>67</v>
      </c>
      <c r="N27" s="565"/>
      <c r="O27" s="68"/>
      <c r="P27" s="565"/>
      <c r="Q27" s="565"/>
      <c r="V27" s="629" t="s">
        <v>63</v>
      </c>
      <c r="W27" s="629"/>
      <c r="X27" s="630" t="s">
        <v>64</v>
      </c>
      <c r="Y27" s="630"/>
      <c r="Z27" s="76" t="s">
        <v>65</v>
      </c>
      <c r="AA27" s="77" t="s">
        <v>66</v>
      </c>
      <c r="AB27" s="78" t="s">
        <v>67</v>
      </c>
      <c r="AC27" s="9"/>
      <c r="AD27" s="9"/>
    </row>
    <row r="28" spans="1:30" ht="15.75" customHeight="1" x14ac:dyDescent="0.25">
      <c r="A28" s="1" t="s">
        <v>68</v>
      </c>
      <c r="B28" s="631" t="s">
        <v>69</v>
      </c>
      <c r="C28" s="632"/>
      <c r="D28" s="13">
        <v>2</v>
      </c>
      <c r="E28" s="13">
        <v>0.47</v>
      </c>
      <c r="F28" s="79">
        <v>0</v>
      </c>
      <c r="G28" s="46">
        <f t="shared" ref="G28:G36" si="6">D28+E28</f>
        <v>2.4699999999999998</v>
      </c>
      <c r="H28" s="80"/>
      <c r="I28" s="81" t="s">
        <v>70</v>
      </c>
      <c r="J28" s="82">
        <v>251</v>
      </c>
      <c r="K28" s="83">
        <v>1047</v>
      </c>
      <c r="L28" s="84">
        <f>ROUND(G28*K28,0)</f>
        <v>2586</v>
      </c>
      <c r="N28" s="552">
        <v>5101</v>
      </c>
      <c r="O28" s="565">
        <v>251</v>
      </c>
      <c r="P28" s="86"/>
      <c r="Q28" s="87"/>
      <c r="V28" s="637" t="s">
        <v>69</v>
      </c>
      <c r="W28" s="637"/>
      <c r="X28" s="638"/>
      <c r="Y28" s="638"/>
      <c r="Z28" s="88" t="s">
        <v>70</v>
      </c>
      <c r="AA28" s="558">
        <v>251</v>
      </c>
      <c r="AB28" s="90">
        <f>+K28</f>
        <v>1047</v>
      </c>
      <c r="AC28" s="91">
        <f t="shared" ref="AC28:AC36" si="7">ROUND(X28*AB28,0)</f>
        <v>0</v>
      </c>
      <c r="AD28" s="9"/>
    </row>
    <row r="29" spans="1:30" x14ac:dyDescent="0.25">
      <c r="A29" s="1" t="s">
        <v>71</v>
      </c>
      <c r="B29" s="633"/>
      <c r="C29" s="634"/>
      <c r="D29" s="13">
        <v>0.5</v>
      </c>
      <c r="E29" s="13">
        <v>0.99</v>
      </c>
      <c r="F29" s="92">
        <v>0</v>
      </c>
      <c r="G29" s="46">
        <f t="shared" si="6"/>
        <v>1.49</v>
      </c>
      <c r="H29" s="80"/>
      <c r="I29" s="82" t="s">
        <v>70</v>
      </c>
      <c r="J29" s="82">
        <v>252</v>
      </c>
      <c r="K29" s="83">
        <v>3380</v>
      </c>
      <c r="L29" s="84">
        <f t="shared" ref="L29:L36" si="8">ROUND(G29*K29,0)</f>
        <v>5036</v>
      </c>
      <c r="N29" s="552">
        <v>5101</v>
      </c>
      <c r="O29" s="565">
        <v>252</v>
      </c>
      <c r="P29" s="86"/>
      <c r="Q29" s="87"/>
      <c r="V29" s="637"/>
      <c r="W29" s="637"/>
      <c r="X29" s="638"/>
      <c r="Y29" s="638"/>
      <c r="Z29" s="558" t="s">
        <v>70</v>
      </c>
      <c r="AA29" s="558">
        <v>252</v>
      </c>
      <c r="AB29" s="90">
        <f t="shared" ref="AB29:AB36" si="9">+K29</f>
        <v>3380</v>
      </c>
      <c r="AC29" s="91">
        <f t="shared" si="7"/>
        <v>0</v>
      </c>
      <c r="AD29" s="9"/>
    </row>
    <row r="30" spans="1:30" x14ac:dyDescent="0.25">
      <c r="A30" s="1" t="s">
        <v>72</v>
      </c>
      <c r="B30" s="633"/>
      <c r="C30" s="634"/>
      <c r="D30" s="13">
        <v>8.4700000000000006</v>
      </c>
      <c r="E30" s="13">
        <v>8.4600000000000009</v>
      </c>
      <c r="F30" s="92">
        <v>15.5</v>
      </c>
      <c r="G30" s="46">
        <f t="shared" si="6"/>
        <v>16.93</v>
      </c>
      <c r="H30" s="80"/>
      <c r="I30" s="82" t="s">
        <v>70</v>
      </c>
      <c r="J30" s="82">
        <v>253</v>
      </c>
      <c r="K30" s="83">
        <v>6896</v>
      </c>
      <c r="L30" s="84">
        <f t="shared" si="8"/>
        <v>116749</v>
      </c>
      <c r="N30" s="552">
        <v>5101</v>
      </c>
      <c r="O30" s="565">
        <v>253</v>
      </c>
      <c r="P30" s="86"/>
      <c r="Q30" s="68"/>
      <c r="V30" s="637"/>
      <c r="W30" s="637"/>
      <c r="X30" s="638"/>
      <c r="Y30" s="638"/>
      <c r="Z30" s="558" t="s">
        <v>70</v>
      </c>
      <c r="AA30" s="558">
        <v>253</v>
      </c>
      <c r="AB30" s="90">
        <f t="shared" si="9"/>
        <v>6896</v>
      </c>
      <c r="AC30" s="91">
        <f t="shared" si="7"/>
        <v>0</v>
      </c>
      <c r="AD30" s="9"/>
    </row>
    <row r="31" spans="1:30" x14ac:dyDescent="0.25">
      <c r="A31" s="1" t="s">
        <v>73</v>
      </c>
      <c r="B31" s="633"/>
      <c r="C31" s="634"/>
      <c r="D31" s="13">
        <v>0.51</v>
      </c>
      <c r="E31" s="13">
        <v>0</v>
      </c>
      <c r="F31" s="92">
        <v>0</v>
      </c>
      <c r="G31" s="46">
        <f t="shared" si="6"/>
        <v>0.51</v>
      </c>
      <c r="H31" s="80"/>
      <c r="I31" s="93" t="s">
        <v>74</v>
      </c>
      <c r="J31" s="82">
        <v>251</v>
      </c>
      <c r="K31" s="83">
        <v>1173</v>
      </c>
      <c r="L31" s="84">
        <f t="shared" si="8"/>
        <v>598</v>
      </c>
      <c r="N31" s="552">
        <v>5102</v>
      </c>
      <c r="O31" s="565">
        <v>251</v>
      </c>
      <c r="P31" s="86"/>
      <c r="Q31" s="68"/>
      <c r="V31" s="637"/>
      <c r="W31" s="637"/>
      <c r="X31" s="638"/>
      <c r="Y31" s="638"/>
      <c r="Z31" s="94" t="s">
        <v>74</v>
      </c>
      <c r="AA31" s="558">
        <v>251</v>
      </c>
      <c r="AB31" s="90">
        <f t="shared" si="9"/>
        <v>1173</v>
      </c>
      <c r="AC31" s="91">
        <f t="shared" si="7"/>
        <v>0</v>
      </c>
      <c r="AD31" s="9"/>
    </row>
    <row r="32" spans="1:30" x14ac:dyDescent="0.25">
      <c r="A32" s="1" t="s">
        <v>75</v>
      </c>
      <c r="B32" s="633"/>
      <c r="C32" s="634"/>
      <c r="D32" s="13">
        <v>0</v>
      </c>
      <c r="E32" s="13">
        <v>0</v>
      </c>
      <c r="F32" s="92">
        <v>0</v>
      </c>
      <c r="G32" s="46">
        <f t="shared" si="6"/>
        <v>0</v>
      </c>
      <c r="H32" s="80"/>
      <c r="I32" s="93" t="s">
        <v>74</v>
      </c>
      <c r="J32" s="82">
        <v>252</v>
      </c>
      <c r="K32" s="83">
        <v>3506</v>
      </c>
      <c r="L32" s="84">
        <f t="shared" si="8"/>
        <v>0</v>
      </c>
      <c r="N32" s="552">
        <v>5102</v>
      </c>
      <c r="O32" s="565">
        <v>252</v>
      </c>
      <c r="P32" s="86"/>
      <c r="Q32" s="565"/>
      <c r="V32" s="637"/>
      <c r="W32" s="637"/>
      <c r="X32" s="638"/>
      <c r="Y32" s="638"/>
      <c r="Z32" s="94" t="s">
        <v>74</v>
      </c>
      <c r="AA32" s="558">
        <v>252</v>
      </c>
      <c r="AB32" s="90">
        <f t="shared" si="9"/>
        <v>3506</v>
      </c>
      <c r="AC32" s="91">
        <f t="shared" si="7"/>
        <v>0</v>
      </c>
      <c r="AD32" s="9"/>
    </row>
    <row r="33" spans="1:30" x14ac:dyDescent="0.25">
      <c r="A33" s="1" t="s">
        <v>76</v>
      </c>
      <c r="B33" s="633"/>
      <c r="C33" s="634"/>
      <c r="D33" s="13">
        <v>7.51</v>
      </c>
      <c r="E33" s="13">
        <v>6.98</v>
      </c>
      <c r="F33" s="92">
        <v>10</v>
      </c>
      <c r="G33" s="46">
        <f t="shared" si="6"/>
        <v>14.49</v>
      </c>
      <c r="H33" s="80"/>
      <c r="I33" s="93" t="s">
        <v>74</v>
      </c>
      <c r="J33" s="82">
        <v>253</v>
      </c>
      <c r="K33" s="83">
        <v>7023</v>
      </c>
      <c r="L33" s="84">
        <f t="shared" si="8"/>
        <v>101763</v>
      </c>
      <c r="N33" s="552">
        <v>5102</v>
      </c>
      <c r="O33" s="565">
        <v>253</v>
      </c>
      <c r="P33" s="86"/>
      <c r="Q33" s="87"/>
      <c r="V33" s="637"/>
      <c r="W33" s="637"/>
      <c r="X33" s="638"/>
      <c r="Y33" s="638"/>
      <c r="Z33" s="94" t="s">
        <v>74</v>
      </c>
      <c r="AA33" s="558">
        <v>253</v>
      </c>
      <c r="AB33" s="90">
        <f t="shared" si="9"/>
        <v>7023</v>
      </c>
      <c r="AC33" s="91">
        <f t="shared" si="7"/>
        <v>0</v>
      </c>
      <c r="AD33" s="9"/>
    </row>
    <row r="34" spans="1:30" x14ac:dyDescent="0.25">
      <c r="A34" s="1" t="s">
        <v>77</v>
      </c>
      <c r="B34" s="633"/>
      <c r="C34" s="634"/>
      <c r="D34" s="13">
        <v>0</v>
      </c>
      <c r="E34" s="13">
        <v>0</v>
      </c>
      <c r="F34" s="92">
        <v>0</v>
      </c>
      <c r="G34" s="46">
        <f t="shared" si="6"/>
        <v>0</v>
      </c>
      <c r="H34" s="80"/>
      <c r="I34" s="93" t="s">
        <v>78</v>
      </c>
      <c r="J34" s="82">
        <v>251</v>
      </c>
      <c r="K34" s="83">
        <v>835</v>
      </c>
      <c r="L34" s="84">
        <f t="shared" si="8"/>
        <v>0</v>
      </c>
      <c r="N34" s="552">
        <v>5103</v>
      </c>
      <c r="O34" s="565">
        <v>251</v>
      </c>
      <c r="P34" s="86"/>
      <c r="Q34" s="87"/>
      <c r="V34" s="637"/>
      <c r="W34" s="637"/>
      <c r="X34" s="638"/>
      <c r="Y34" s="638"/>
      <c r="Z34" s="94" t="s">
        <v>78</v>
      </c>
      <c r="AA34" s="558">
        <v>251</v>
      </c>
      <c r="AB34" s="90">
        <f t="shared" si="9"/>
        <v>835</v>
      </c>
      <c r="AC34" s="91">
        <f t="shared" si="7"/>
        <v>0</v>
      </c>
      <c r="AD34" s="9"/>
    </row>
    <row r="35" spans="1:30" x14ac:dyDescent="0.25">
      <c r="A35" s="1" t="s">
        <v>79</v>
      </c>
      <c r="B35" s="633"/>
      <c r="C35" s="634"/>
      <c r="D35" s="13">
        <v>0</v>
      </c>
      <c r="E35" s="13">
        <v>0</v>
      </c>
      <c r="F35" s="92">
        <v>0</v>
      </c>
      <c r="G35" s="46">
        <f t="shared" si="6"/>
        <v>0</v>
      </c>
      <c r="H35" s="80"/>
      <c r="I35" s="93" t="s">
        <v>78</v>
      </c>
      <c r="J35" s="82">
        <v>252</v>
      </c>
      <c r="K35" s="83">
        <v>3168</v>
      </c>
      <c r="L35" s="84">
        <f t="shared" si="8"/>
        <v>0</v>
      </c>
      <c r="N35" s="552">
        <v>5103</v>
      </c>
      <c r="O35" s="565">
        <v>252</v>
      </c>
      <c r="P35" s="86"/>
      <c r="Q35" s="95"/>
      <c r="V35" s="637"/>
      <c r="W35" s="637"/>
      <c r="X35" s="638"/>
      <c r="Y35" s="638"/>
      <c r="Z35" s="94" t="s">
        <v>78</v>
      </c>
      <c r="AA35" s="558">
        <v>252</v>
      </c>
      <c r="AB35" s="90">
        <f t="shared" si="9"/>
        <v>3168</v>
      </c>
      <c r="AC35" s="91">
        <f t="shared" si="7"/>
        <v>0</v>
      </c>
      <c r="AD35" s="9"/>
    </row>
    <row r="36" spans="1:30" ht="16.5" thickBot="1" x14ac:dyDescent="0.3">
      <c r="A36" s="1" t="s">
        <v>80</v>
      </c>
      <c r="B36" s="635"/>
      <c r="C36" s="636"/>
      <c r="D36" s="13">
        <v>1</v>
      </c>
      <c r="E36" s="13">
        <v>1</v>
      </c>
      <c r="F36" s="92">
        <v>0</v>
      </c>
      <c r="G36" s="46">
        <f t="shared" si="6"/>
        <v>2</v>
      </c>
      <c r="H36" s="80"/>
      <c r="I36" s="93" t="s">
        <v>78</v>
      </c>
      <c r="J36" s="82">
        <v>253</v>
      </c>
      <c r="K36" s="83">
        <v>6685</v>
      </c>
      <c r="L36" s="96">
        <f t="shared" si="8"/>
        <v>13370</v>
      </c>
      <c r="N36" s="552">
        <v>5103</v>
      </c>
      <c r="O36" s="565">
        <v>253</v>
      </c>
      <c r="P36" s="86"/>
      <c r="Q36" s="97"/>
      <c r="V36" s="637"/>
      <c r="W36" s="637"/>
      <c r="X36" s="645"/>
      <c r="Y36" s="645"/>
      <c r="Z36" s="94" t="s">
        <v>78</v>
      </c>
      <c r="AA36" s="558">
        <v>253</v>
      </c>
      <c r="AB36" s="90">
        <f t="shared" si="9"/>
        <v>6685</v>
      </c>
      <c r="AC36" s="98">
        <f t="shared" si="7"/>
        <v>0</v>
      </c>
      <c r="AD36" s="9"/>
    </row>
    <row r="37" spans="1:30" ht="18.75" customHeight="1" x14ac:dyDescent="0.25">
      <c r="B37" s="13" t="s">
        <v>81</v>
      </c>
      <c r="C37" s="13"/>
      <c r="D37" s="63">
        <f t="shared" ref="D37:E37" si="10">SUM(D28:D36)</f>
        <v>19.990000000000002</v>
      </c>
      <c r="E37" s="63">
        <f t="shared" si="10"/>
        <v>17.900000000000002</v>
      </c>
      <c r="F37" s="63"/>
      <c r="G37" s="63">
        <f>SUM(G28:G36)</f>
        <v>37.89</v>
      </c>
      <c r="H37" s="64"/>
      <c r="I37" s="13" t="s">
        <v>82</v>
      </c>
      <c r="J37" s="13"/>
      <c r="K37" s="13"/>
      <c r="L37" s="50">
        <f>SUM(L28:L36)</f>
        <v>240102</v>
      </c>
      <c r="N37" s="565"/>
      <c r="O37" s="68"/>
      <c r="P37" s="565"/>
      <c r="Q37" s="565"/>
      <c r="V37" s="646" t="s">
        <v>81</v>
      </c>
      <c r="W37" s="646"/>
      <c r="X37" s="626">
        <f>SUM(X28:X36)</f>
        <v>0</v>
      </c>
      <c r="Y37" s="626"/>
      <c r="Z37" s="646" t="s">
        <v>82</v>
      </c>
      <c r="AA37" s="646"/>
      <c r="AB37" s="646"/>
      <c r="AC37" s="56">
        <f>SUM(AC28:AC36)</f>
        <v>0</v>
      </c>
      <c r="AD37" s="9"/>
    </row>
    <row r="38" spans="1:30" ht="30.75" customHeight="1" x14ac:dyDescent="0.25">
      <c r="B38" s="99" t="s">
        <v>83</v>
      </c>
      <c r="C38" s="99"/>
      <c r="D38" s="99"/>
      <c r="E38" s="99"/>
      <c r="F38" s="99"/>
      <c r="G38" s="99"/>
      <c r="H38" s="100"/>
      <c r="I38" s="99"/>
      <c r="J38" s="99"/>
      <c r="K38" s="99"/>
      <c r="L38" s="99"/>
      <c r="M38" s="101"/>
      <c r="N38" s="565"/>
      <c r="O38" s="68"/>
      <c r="P38" s="565"/>
      <c r="Q38" s="565"/>
      <c r="V38" s="639" t="s">
        <v>83</v>
      </c>
      <c r="W38" s="639"/>
      <c r="X38" s="639"/>
      <c r="Y38" s="639"/>
      <c r="Z38" s="639"/>
      <c r="AA38" s="639"/>
      <c r="AB38" s="639"/>
      <c r="AC38" s="639"/>
      <c r="AD38" s="102"/>
    </row>
    <row r="39" spans="1:30" ht="15.75" customHeight="1" x14ac:dyDescent="0.25">
      <c r="B39" s="103" t="s">
        <v>84</v>
      </c>
      <c r="C39" s="103"/>
      <c r="D39" s="103"/>
      <c r="E39" s="103"/>
      <c r="F39" s="103"/>
      <c r="G39" s="104">
        <v>34389540</v>
      </c>
      <c r="H39" s="104"/>
      <c r="I39" s="13" t="s">
        <v>85</v>
      </c>
      <c r="J39" s="13"/>
      <c r="K39" s="13"/>
      <c r="L39" s="13"/>
      <c r="O39" s="1"/>
      <c r="V39" s="640" t="s">
        <v>84</v>
      </c>
      <c r="W39" s="640"/>
      <c r="X39" s="641">
        <f>+G39</f>
        <v>34389540</v>
      </c>
      <c r="Y39" s="641"/>
      <c r="Z39" s="642" t="s">
        <v>85</v>
      </c>
      <c r="AA39" s="642"/>
      <c r="AB39" s="642"/>
      <c r="AC39" s="642"/>
      <c r="AD39" s="9"/>
    </row>
    <row r="40" spans="1:30" ht="15.75" customHeight="1" x14ac:dyDescent="0.25">
      <c r="B40" s="566" t="s">
        <v>86</v>
      </c>
      <c r="C40" s="566"/>
      <c r="D40" s="566"/>
      <c r="E40" s="566"/>
      <c r="F40" s="566"/>
      <c r="G40" s="106">
        <v>180284.81</v>
      </c>
      <c r="H40" s="106"/>
      <c r="I40" s="106"/>
      <c r="J40" s="106"/>
      <c r="K40" s="50">
        <f>ROUND(G39/G40,0)</f>
        <v>191</v>
      </c>
      <c r="L40" s="50">
        <f>ROUND(K40*$G$26,0)</f>
        <v>46167</v>
      </c>
      <c r="N40" s="107"/>
      <c r="O40" s="107"/>
      <c r="P40" s="107"/>
      <c r="Q40" s="107"/>
      <c r="V40" s="674" t="s">
        <v>86</v>
      </c>
      <c r="W40" s="674"/>
      <c r="X40" s="644">
        <f>+G40</f>
        <v>180284.81</v>
      </c>
      <c r="Y40" s="644"/>
      <c r="Z40" s="644"/>
      <c r="AA40" s="644"/>
      <c r="AB40" s="56">
        <f>ROUND(X39/X40,0)</f>
        <v>191</v>
      </c>
      <c r="AC40" s="56">
        <f>ROUND(AB40*$X$26,0)</f>
        <v>46167</v>
      </c>
      <c r="AD40" s="9"/>
    </row>
    <row r="41" spans="1:30" ht="15.75" customHeight="1" x14ac:dyDescent="0.25">
      <c r="B41" s="108" t="s">
        <v>87</v>
      </c>
      <c r="C41" s="108"/>
      <c r="D41" s="108"/>
      <c r="E41" s="108"/>
      <c r="F41" s="108"/>
      <c r="G41" s="108"/>
      <c r="H41" s="108"/>
      <c r="I41" s="108"/>
      <c r="J41" s="108"/>
      <c r="K41" s="108"/>
      <c r="L41" s="108"/>
      <c r="N41" s="101"/>
      <c r="O41" s="109"/>
      <c r="P41" s="101"/>
      <c r="Q41" s="101"/>
      <c r="V41" s="652" t="s">
        <v>87</v>
      </c>
      <c r="W41" s="652"/>
      <c r="X41" s="652"/>
      <c r="Y41" s="652"/>
      <c r="Z41" s="652"/>
      <c r="AA41" s="652"/>
      <c r="AB41" s="652"/>
      <c r="AC41" s="652"/>
      <c r="AD41" s="9"/>
    </row>
    <row r="42" spans="1:30" ht="28.5" customHeight="1" x14ac:dyDescent="0.25">
      <c r="B42" s="99" t="s">
        <v>88</v>
      </c>
      <c r="C42" s="99"/>
      <c r="D42" s="99"/>
      <c r="E42" s="99"/>
      <c r="F42" s="99"/>
      <c r="G42" s="99"/>
      <c r="H42" s="99"/>
      <c r="I42" s="99"/>
      <c r="J42" s="99"/>
      <c r="K42" s="99"/>
      <c r="L42" s="99"/>
      <c r="M42" s="107"/>
      <c r="O42" s="1"/>
      <c r="V42" s="639" t="s">
        <v>88</v>
      </c>
      <c r="W42" s="639"/>
      <c r="X42" s="639"/>
      <c r="Y42" s="639"/>
      <c r="Z42" s="639"/>
      <c r="AA42" s="639"/>
      <c r="AB42" s="639"/>
      <c r="AC42" s="639"/>
      <c r="AD42" s="556"/>
    </row>
    <row r="43" spans="1:30" x14ac:dyDescent="0.25">
      <c r="B43" s="103" t="s">
        <v>89</v>
      </c>
      <c r="C43" s="103"/>
      <c r="D43" s="103"/>
      <c r="E43" s="103"/>
      <c r="F43" s="103"/>
      <c r="G43" s="103"/>
      <c r="H43" s="103"/>
      <c r="I43" s="103"/>
      <c r="J43" s="103"/>
      <c r="K43" s="103"/>
      <c r="L43" s="103"/>
      <c r="M43" s="112"/>
      <c r="N43" s="101"/>
      <c r="O43" s="101"/>
      <c r="P43" s="101"/>
      <c r="Q43" s="101"/>
      <c r="V43" s="676" t="s">
        <v>89</v>
      </c>
      <c r="W43" s="676"/>
      <c r="X43" s="676"/>
      <c r="Y43" s="676"/>
      <c r="Z43" s="676"/>
      <c r="AA43" s="676"/>
      <c r="AB43" s="676"/>
      <c r="AC43" s="676"/>
      <c r="AD43" s="113"/>
    </row>
    <row r="44" spans="1:30" ht="24" customHeight="1" x14ac:dyDescent="0.25">
      <c r="B44" s="62" t="s">
        <v>90</v>
      </c>
      <c r="C44" s="62"/>
      <c r="D44" s="62"/>
      <c r="E44" s="62"/>
      <c r="F44" s="62"/>
      <c r="G44" s="62"/>
      <c r="H44" s="62"/>
      <c r="I44" s="62"/>
      <c r="J44" s="62"/>
      <c r="K44" s="62"/>
      <c r="L44" s="114">
        <f>SUM(L26,L37,L40)</f>
        <v>3632778</v>
      </c>
      <c r="O44" s="1"/>
      <c r="V44" s="654" t="s">
        <v>90</v>
      </c>
      <c r="W44" s="654"/>
      <c r="X44" s="654"/>
      <c r="Y44" s="654"/>
      <c r="Z44" s="654"/>
      <c r="AA44" s="654"/>
      <c r="AB44" s="654"/>
      <c r="AC44" s="115">
        <f>SUM(AC26,AC37,AC40)</f>
        <v>982702</v>
      </c>
      <c r="AD44" s="9"/>
    </row>
    <row r="45" spans="1:30" ht="30.75" customHeight="1" x14ac:dyDescent="0.25">
      <c r="B45" s="99" t="s">
        <v>91</v>
      </c>
      <c r="C45" s="99"/>
      <c r="D45" s="99"/>
      <c r="E45" s="99"/>
      <c r="F45" s="99"/>
      <c r="G45" s="99"/>
      <c r="H45" s="99"/>
      <c r="I45" s="99"/>
      <c r="J45" s="99"/>
      <c r="K45" s="99"/>
      <c r="L45" s="99"/>
      <c r="M45" s="116"/>
      <c r="O45" s="1"/>
      <c r="V45" s="639" t="s">
        <v>91</v>
      </c>
      <c r="W45" s="639"/>
      <c r="X45" s="639"/>
      <c r="Y45" s="639"/>
      <c r="Z45" s="639"/>
      <c r="AA45" s="639"/>
      <c r="AB45" s="639"/>
      <c r="AC45" s="639"/>
      <c r="AD45" s="553"/>
    </row>
    <row r="46" spans="1:30" ht="18.75" customHeight="1" x14ac:dyDescent="0.25">
      <c r="B46" s="1"/>
      <c r="C46" s="118" t="s">
        <v>92</v>
      </c>
      <c r="D46" s="118"/>
      <c r="E46" s="118"/>
      <c r="F46" s="118"/>
      <c r="G46" s="118" t="s">
        <v>93</v>
      </c>
      <c r="H46" s="119"/>
      <c r="I46" s="120" t="s">
        <v>94</v>
      </c>
      <c r="J46" s="121"/>
      <c r="K46" s="121"/>
      <c r="L46" s="121"/>
      <c r="M46" s="122"/>
      <c r="O46" s="1"/>
      <c r="V46" s="9"/>
      <c r="W46" s="555" t="s">
        <v>92</v>
      </c>
      <c r="X46" s="655" t="s">
        <v>95</v>
      </c>
      <c r="Y46" s="655"/>
      <c r="Z46" s="656" t="s">
        <v>94</v>
      </c>
      <c r="AA46" s="656"/>
      <c r="AB46" s="656"/>
      <c r="AC46" s="656"/>
      <c r="AD46" s="124"/>
    </row>
    <row r="47" spans="1:30" ht="18.75" customHeight="1" x14ac:dyDescent="0.25">
      <c r="B47" s="107" t="s">
        <v>96</v>
      </c>
      <c r="C47" s="125">
        <f>K10+K11+K16+K19+K22</f>
        <v>846.67690000000005</v>
      </c>
      <c r="D47" s="125"/>
      <c r="E47" s="125"/>
      <c r="F47" s="125"/>
      <c r="G47" s="567">
        <f>K7</f>
        <v>1.0326</v>
      </c>
      <c r="H47" s="567"/>
      <c r="I47" s="127">
        <v>1316.85</v>
      </c>
      <c r="J47" s="128" t="s">
        <v>97</v>
      </c>
      <c r="K47" s="129">
        <f>ROUND(C47*G47*I47,0)</f>
        <v>1151294</v>
      </c>
      <c r="L47" s="130"/>
      <c r="O47" s="1"/>
      <c r="V47" s="556" t="s">
        <v>96</v>
      </c>
      <c r="W47" s="131">
        <f>AB10+AB11+AB16+AB19+AB22</f>
        <v>224.70999999999998</v>
      </c>
      <c r="X47" s="675">
        <f>AB7</f>
        <v>1.0326</v>
      </c>
      <c r="Y47" s="675"/>
      <c r="Z47" s="132">
        <f>+I47</f>
        <v>1316.85</v>
      </c>
      <c r="AA47" s="133" t="s">
        <v>97</v>
      </c>
      <c r="AB47" s="134">
        <f>ROUND(W47*X47*Z47,0)</f>
        <v>305556</v>
      </c>
      <c r="AC47" s="135"/>
      <c r="AD47" s="9"/>
    </row>
    <row r="48" spans="1:30" ht="18" customHeight="1" x14ac:dyDescent="0.25">
      <c r="B48" s="136" t="s">
        <v>74</v>
      </c>
      <c r="C48" s="125">
        <f>K12+K13+K17+K20+K23</f>
        <v>15</v>
      </c>
      <c r="D48" s="125"/>
      <c r="E48" s="125"/>
      <c r="F48" s="125"/>
      <c r="G48" s="567">
        <f>K7</f>
        <v>1.0326</v>
      </c>
      <c r="H48" s="567"/>
      <c r="I48" s="127">
        <v>898.23</v>
      </c>
      <c r="J48" s="128" t="s">
        <v>97</v>
      </c>
      <c r="K48" s="129">
        <f>ROUND(C48*G48*I48,0)</f>
        <v>13913</v>
      </c>
      <c r="L48" s="62"/>
      <c r="O48" s="1"/>
      <c r="V48" s="137" t="s">
        <v>74</v>
      </c>
      <c r="W48" s="131">
        <f>AB12+AB13+AB17+AB20+AB23</f>
        <v>15</v>
      </c>
      <c r="X48" s="675">
        <f>AB7</f>
        <v>1.0326</v>
      </c>
      <c r="Y48" s="675"/>
      <c r="Z48" s="132">
        <f>+I48</f>
        <v>898.23</v>
      </c>
      <c r="AA48" s="133" t="s">
        <v>97</v>
      </c>
      <c r="AB48" s="134">
        <f>ROUND(W48*X48*Z48,0)</f>
        <v>13913</v>
      </c>
      <c r="AC48" s="138"/>
      <c r="AD48" s="9"/>
    </row>
    <row r="49" spans="2:30" ht="19.5" customHeight="1" thickBot="1" x14ac:dyDescent="0.3">
      <c r="B49" s="139" t="s">
        <v>78</v>
      </c>
      <c r="C49" s="140">
        <f>K14+K15+K18+K21+K24+K25</f>
        <v>2.0219999999999998</v>
      </c>
      <c r="D49" s="125"/>
      <c r="E49" s="125"/>
      <c r="F49" s="125"/>
      <c r="G49" s="567">
        <f>K7</f>
        <v>1.0326</v>
      </c>
      <c r="H49" s="567"/>
      <c r="I49" s="127">
        <v>900.39</v>
      </c>
      <c r="J49" s="128" t="s">
        <v>97</v>
      </c>
      <c r="K49" s="129">
        <f>ROUND(C49*G49*I49,0)</f>
        <v>1880</v>
      </c>
      <c r="L49" s="62"/>
      <c r="M49" s="112"/>
      <c r="N49" s="141"/>
      <c r="O49" s="142"/>
      <c r="P49" s="101"/>
      <c r="Q49" s="143"/>
      <c r="V49" s="144" t="s">
        <v>78</v>
      </c>
      <c r="W49" s="145">
        <f>AB14+AB15+AB18+AB21+AB24+AB25</f>
        <v>2</v>
      </c>
      <c r="X49" s="675">
        <f>AB7</f>
        <v>1.0326</v>
      </c>
      <c r="Y49" s="675"/>
      <c r="Z49" s="132">
        <f>+I49</f>
        <v>900.39</v>
      </c>
      <c r="AA49" s="133" t="s">
        <v>97</v>
      </c>
      <c r="AB49" s="134">
        <f>ROUND(W49*X49*Z49,0)</f>
        <v>1859</v>
      </c>
      <c r="AC49" s="138"/>
      <c r="AD49" s="113"/>
    </row>
    <row r="50" spans="2:30" ht="24" customHeight="1" thickBot="1" x14ac:dyDescent="0.3">
      <c r="B50" s="146" t="s">
        <v>98</v>
      </c>
      <c r="C50" s="147">
        <f>SUM(C47:C49)</f>
        <v>863.69890000000009</v>
      </c>
      <c r="D50" s="148"/>
      <c r="E50" s="149"/>
      <c r="F50" s="149"/>
      <c r="G50" s="150" t="s">
        <v>99</v>
      </c>
      <c r="H50" s="150"/>
      <c r="I50" s="150"/>
      <c r="J50" s="150"/>
      <c r="K50" s="150"/>
      <c r="L50" s="50">
        <f>IF(B2=75,0,K49+K48+K47)</f>
        <v>1167087</v>
      </c>
      <c r="N50" s="3"/>
      <c r="O50" s="1"/>
      <c r="V50" s="554" t="s">
        <v>98</v>
      </c>
      <c r="W50" s="152">
        <f>SUM(W47:W49)</f>
        <v>241.70999999999998</v>
      </c>
      <c r="X50" s="648" t="s">
        <v>99</v>
      </c>
      <c r="Y50" s="649"/>
      <c r="Z50" s="649"/>
      <c r="AA50" s="649"/>
      <c r="AB50" s="649"/>
      <c r="AC50" s="56">
        <f>IF(V2=75,0,AB49+AB48+AB47)</f>
        <v>321328</v>
      </c>
      <c r="AD50" s="9"/>
    </row>
    <row r="51" spans="2:30" ht="19.5" customHeight="1" x14ac:dyDescent="0.25">
      <c r="B51" s="153" t="s">
        <v>100</v>
      </c>
      <c r="C51" s="153"/>
      <c r="D51" s="153"/>
      <c r="E51" s="153"/>
      <c r="F51" s="153"/>
      <c r="G51" s="153"/>
      <c r="H51" s="153"/>
      <c r="I51" s="153"/>
      <c r="J51" s="153"/>
      <c r="K51" s="153"/>
      <c r="L51" s="153"/>
      <c r="M51" s="574"/>
      <c r="N51" s="101"/>
      <c r="O51" s="1"/>
      <c r="V51" s="650" t="s">
        <v>100</v>
      </c>
      <c r="W51" s="650"/>
      <c r="X51" s="650"/>
      <c r="Y51" s="650"/>
      <c r="Z51" s="650"/>
      <c r="AA51" s="650"/>
      <c r="AB51" s="650"/>
      <c r="AC51" s="650"/>
      <c r="AD51" s="154"/>
    </row>
    <row r="52" spans="2:30" ht="27.75" customHeight="1" x14ac:dyDescent="0.25">
      <c r="B52" s="13" t="s">
        <v>101</v>
      </c>
      <c r="C52" s="13"/>
      <c r="D52" s="13"/>
      <c r="E52" s="13"/>
      <c r="F52" s="13"/>
      <c r="G52" s="13"/>
      <c r="H52" s="13"/>
      <c r="I52" s="13"/>
      <c r="J52" s="13"/>
      <c r="K52" s="13"/>
      <c r="L52" s="13"/>
      <c r="O52" s="1"/>
      <c r="V52" s="651" t="s">
        <v>101</v>
      </c>
      <c r="W52" s="651"/>
      <c r="X52" s="651"/>
      <c r="Y52" s="651"/>
      <c r="Z52" s="651"/>
      <c r="AA52" s="651"/>
      <c r="AB52" s="651"/>
      <c r="AC52" s="651"/>
      <c r="AD52" s="9"/>
    </row>
    <row r="53" spans="2:30" x14ac:dyDescent="0.25">
      <c r="B53" s="13" t="s">
        <v>102</v>
      </c>
      <c r="C53" s="13"/>
      <c r="D53" s="13"/>
      <c r="E53" s="13"/>
      <c r="F53" s="13"/>
      <c r="G53" s="155">
        <f>K26</f>
        <v>863.69889999999998</v>
      </c>
      <c r="H53" s="57" t="s">
        <v>103</v>
      </c>
      <c r="I53" s="57"/>
      <c r="J53" s="156">
        <v>197823.77</v>
      </c>
      <c r="K53" s="156"/>
      <c r="L53" s="156"/>
      <c r="N53" s="3"/>
      <c r="O53" s="1"/>
      <c r="V53" s="657" t="s">
        <v>102</v>
      </c>
      <c r="W53" s="657"/>
      <c r="X53" s="157">
        <f>AB26</f>
        <v>241.70999999999998</v>
      </c>
      <c r="Y53" s="658" t="s">
        <v>103</v>
      </c>
      <c r="Z53" s="658"/>
      <c r="AA53" s="659">
        <f>+J53</f>
        <v>197823.77</v>
      </c>
      <c r="AB53" s="659"/>
      <c r="AC53" s="659"/>
      <c r="AD53" s="9"/>
    </row>
    <row r="54" spans="2:30" x14ac:dyDescent="0.25">
      <c r="B54" s="13" t="s">
        <v>104</v>
      </c>
      <c r="C54" s="13"/>
      <c r="D54" s="13"/>
      <c r="E54" s="13"/>
      <c r="F54" s="13"/>
      <c r="G54" s="13"/>
      <c r="H54" s="13"/>
      <c r="I54" s="13"/>
      <c r="J54" s="13"/>
      <c r="K54" s="158">
        <f>ROUND(G53/J53,6)</f>
        <v>4.3660000000000001E-3</v>
      </c>
      <c r="L54" s="158"/>
      <c r="N54" s="101"/>
      <c r="O54" s="1"/>
      <c r="V54" s="657" t="s">
        <v>104</v>
      </c>
      <c r="W54" s="657"/>
      <c r="X54" s="657"/>
      <c r="Y54" s="657"/>
      <c r="Z54" s="657"/>
      <c r="AA54" s="657"/>
      <c r="AB54" s="660">
        <f>ROUND(X53/AA53,6)</f>
        <v>1.222E-3</v>
      </c>
      <c r="AC54" s="660"/>
      <c r="AD54" s="9"/>
    </row>
    <row r="55" spans="2:30" ht="24" customHeight="1" x14ac:dyDescent="0.25">
      <c r="B55" s="13" t="s">
        <v>105</v>
      </c>
      <c r="C55" s="13"/>
      <c r="D55" s="13"/>
      <c r="E55" s="13"/>
      <c r="F55" s="13"/>
      <c r="G55" s="13"/>
      <c r="H55" s="13"/>
      <c r="I55" s="13"/>
      <c r="J55" s="13"/>
      <c r="K55" s="13"/>
      <c r="L55" s="13"/>
      <c r="O55" s="1"/>
      <c r="V55" s="651" t="s">
        <v>105</v>
      </c>
      <c r="W55" s="651"/>
      <c r="X55" s="651"/>
      <c r="Y55" s="651"/>
      <c r="Z55" s="651"/>
      <c r="AA55" s="651"/>
      <c r="AB55" s="651"/>
      <c r="AC55" s="651"/>
      <c r="AD55" s="9"/>
    </row>
    <row r="56" spans="2:30" x14ac:dyDescent="0.25">
      <c r="B56" s="13" t="s">
        <v>106</v>
      </c>
      <c r="C56" s="13"/>
      <c r="D56" s="13"/>
      <c r="E56" s="13"/>
      <c r="F56" s="13"/>
      <c r="G56" s="159">
        <f>G26</f>
        <v>241.70999999999998</v>
      </c>
      <c r="H56" s="57" t="s">
        <v>107</v>
      </c>
      <c r="I56" s="57"/>
      <c r="J56" s="156">
        <f>+G40</f>
        <v>180284.81</v>
      </c>
      <c r="K56" s="156"/>
      <c r="L56" s="156"/>
      <c r="O56" s="1"/>
      <c r="V56" s="657" t="s">
        <v>106</v>
      </c>
      <c r="W56" s="657"/>
      <c r="X56" s="160">
        <f>X26</f>
        <v>241.70999999999998</v>
      </c>
      <c r="Y56" s="658" t="s">
        <v>107</v>
      </c>
      <c r="Z56" s="658"/>
      <c r="AA56" s="659">
        <f>+J56</f>
        <v>180284.81</v>
      </c>
      <c r="AB56" s="659"/>
      <c r="AC56" s="659"/>
      <c r="AD56" s="9"/>
    </row>
    <row r="57" spans="2:30" x14ac:dyDescent="0.25">
      <c r="B57" s="13" t="s">
        <v>108</v>
      </c>
      <c r="C57" s="13"/>
      <c r="D57" s="13"/>
      <c r="E57" s="13"/>
      <c r="F57" s="13"/>
      <c r="G57" s="13"/>
      <c r="H57" s="13"/>
      <c r="I57" s="13"/>
      <c r="J57" s="13"/>
      <c r="K57" s="158">
        <f>ROUND(G56/J56,6)</f>
        <v>1.341E-3</v>
      </c>
      <c r="L57" s="158"/>
      <c r="O57" s="1"/>
      <c r="V57" s="657" t="s">
        <v>108</v>
      </c>
      <c r="W57" s="657"/>
      <c r="X57" s="657"/>
      <c r="Y57" s="657"/>
      <c r="Z57" s="657"/>
      <c r="AA57" s="657"/>
      <c r="AB57" s="660">
        <f>ROUND(X56/AA56,6)</f>
        <v>1.341E-3</v>
      </c>
      <c r="AC57" s="660"/>
      <c r="AD57" s="9"/>
    </row>
    <row r="58" spans="2:30" ht="20.25" customHeight="1" x14ac:dyDescent="0.25">
      <c r="B58" s="161" t="s">
        <v>109</v>
      </c>
      <c r="C58" s="161"/>
      <c r="D58" s="161"/>
      <c r="E58" s="161"/>
      <c r="F58" s="161"/>
      <c r="G58" s="161"/>
      <c r="H58" s="161"/>
      <c r="I58" s="161"/>
      <c r="J58" s="161"/>
      <c r="K58" s="161"/>
      <c r="L58" s="161"/>
      <c r="N58" s="18"/>
      <c r="O58" s="18"/>
      <c r="V58" s="629" t="s">
        <v>110</v>
      </c>
      <c r="W58" s="629"/>
      <c r="X58" s="629"/>
      <c r="Y58" s="661">
        <f>X65+X64+X62+X61+X60</f>
        <v>4123852</v>
      </c>
      <c r="Z58" s="661"/>
      <c r="AA58" s="557" t="s">
        <v>111</v>
      </c>
      <c r="AB58" s="163">
        <f>AB54</f>
        <v>1.222E-3</v>
      </c>
      <c r="AC58" s="56">
        <f>ROUND(Y58*AB58,0)</f>
        <v>5039</v>
      </c>
      <c r="AD58" s="9"/>
    </row>
    <row r="59" spans="2:30" x14ac:dyDescent="0.25">
      <c r="B59" s="62" t="s">
        <v>110</v>
      </c>
      <c r="C59" s="62"/>
      <c r="D59" s="62"/>
      <c r="E59" s="62"/>
      <c r="F59" s="62"/>
      <c r="G59" s="62"/>
      <c r="H59" s="164" t="s">
        <v>22</v>
      </c>
      <c r="I59" s="129">
        <v>4123852</v>
      </c>
      <c r="J59" s="165" t="s">
        <v>111</v>
      </c>
      <c r="K59" s="166">
        <f>K54</f>
        <v>4.3660000000000001E-3</v>
      </c>
      <c r="L59" s="50">
        <f>ROUND(I59*K59,0)</f>
        <v>18005</v>
      </c>
      <c r="O59" s="1"/>
      <c r="P59" s="165"/>
      <c r="Q59" s="165"/>
      <c r="V59" s="662" t="s">
        <v>112</v>
      </c>
      <c r="W59" s="662"/>
      <c r="X59" s="662"/>
      <c r="Y59" s="662"/>
      <c r="Z59" s="662"/>
      <c r="AA59" s="662"/>
      <c r="AB59" s="662"/>
      <c r="AC59" s="662"/>
      <c r="AD59" s="9"/>
    </row>
    <row r="60" spans="2:30" x14ac:dyDescent="0.25">
      <c r="B60" s="62" t="s">
        <v>112</v>
      </c>
      <c r="C60" s="62"/>
      <c r="D60" s="62"/>
      <c r="E60" s="62"/>
      <c r="F60" s="62"/>
      <c r="G60" s="62"/>
      <c r="H60" s="62"/>
      <c r="I60" s="62"/>
      <c r="J60" s="62"/>
      <c r="K60" s="62"/>
      <c r="L60" s="62"/>
      <c r="O60" s="1"/>
      <c r="P60" s="165"/>
      <c r="Q60" s="165"/>
      <c r="V60" s="663" t="s">
        <v>113</v>
      </c>
      <c r="W60" s="663"/>
      <c r="X60" s="664">
        <f>+G61</f>
        <v>0</v>
      </c>
      <c r="Y60" s="664"/>
      <c r="Z60" s="664"/>
      <c r="AA60" s="664"/>
      <c r="AB60" s="664"/>
      <c r="AC60" s="664"/>
      <c r="AD60" s="9"/>
    </row>
    <row r="61" spans="2:30" ht="15" customHeight="1" x14ac:dyDescent="0.25">
      <c r="B61" s="167" t="s">
        <v>113</v>
      </c>
      <c r="C61" s="62"/>
      <c r="D61" s="62"/>
      <c r="E61" s="62"/>
      <c r="F61" s="62"/>
      <c r="G61" s="168">
        <v>0</v>
      </c>
      <c r="H61" s="168"/>
      <c r="I61" s="168"/>
      <c r="J61" s="168"/>
      <c r="K61" s="168"/>
      <c r="L61" s="168"/>
      <c r="O61" s="1"/>
      <c r="P61" s="165"/>
      <c r="Q61" s="165"/>
      <c r="V61" s="663" t="s">
        <v>114</v>
      </c>
      <c r="W61" s="663"/>
      <c r="X61" s="664">
        <f>+G62</f>
        <v>0</v>
      </c>
      <c r="Y61" s="664"/>
      <c r="Z61" s="664"/>
      <c r="AA61" s="664"/>
      <c r="AB61" s="664"/>
      <c r="AC61" s="664"/>
      <c r="AD61" s="9"/>
    </row>
    <row r="62" spans="2:30" ht="13.5" customHeight="1" x14ac:dyDescent="0.25">
      <c r="B62" s="167" t="s">
        <v>114</v>
      </c>
      <c r="C62" s="62"/>
      <c r="D62" s="62"/>
      <c r="E62" s="62"/>
      <c r="F62" s="62"/>
      <c r="G62" s="168">
        <v>0</v>
      </c>
      <c r="H62" s="168"/>
      <c r="I62" s="168"/>
      <c r="J62" s="168"/>
      <c r="K62" s="168"/>
      <c r="L62" s="168"/>
      <c r="N62" s="165"/>
      <c r="O62" s="165"/>
      <c r="P62" s="165"/>
      <c r="Q62" s="165"/>
      <c r="V62" s="663" t="s">
        <v>115</v>
      </c>
      <c r="W62" s="663"/>
      <c r="X62" s="664">
        <v>0</v>
      </c>
      <c r="Y62" s="664"/>
      <c r="Z62" s="664"/>
      <c r="AA62" s="664"/>
      <c r="AB62" s="664"/>
      <c r="AC62" s="664"/>
      <c r="AD62" s="9"/>
    </row>
    <row r="63" spans="2:30" ht="13.5" hidden="1" customHeight="1" x14ac:dyDescent="0.25">
      <c r="B63" s="62" t="s">
        <v>115</v>
      </c>
      <c r="C63" s="62"/>
      <c r="D63" s="62"/>
      <c r="E63" s="62"/>
      <c r="F63" s="62"/>
      <c r="G63" s="168">
        <v>0</v>
      </c>
      <c r="H63" s="168"/>
      <c r="I63" s="168"/>
      <c r="J63" s="168"/>
      <c r="K63" s="168"/>
      <c r="L63" s="168"/>
      <c r="O63" s="1"/>
      <c r="P63" s="165"/>
      <c r="Q63" s="165"/>
      <c r="V63" s="662" t="s">
        <v>116</v>
      </c>
      <c r="W63" s="662"/>
      <c r="X63" s="662"/>
      <c r="Y63" s="662"/>
      <c r="Z63" s="662"/>
      <c r="AA63" s="662"/>
      <c r="AB63" s="662"/>
      <c r="AC63" s="662"/>
      <c r="AD63" s="553"/>
    </row>
    <row r="64" spans="2:30" ht="13.5" customHeight="1" x14ac:dyDescent="0.25">
      <c r="B64" s="62" t="s">
        <v>116</v>
      </c>
      <c r="C64" s="62"/>
      <c r="D64" s="62"/>
      <c r="E64" s="62"/>
      <c r="F64" s="62"/>
      <c r="G64" s="62"/>
      <c r="H64" s="62"/>
      <c r="I64" s="62"/>
      <c r="J64" s="62"/>
      <c r="K64" s="62"/>
      <c r="L64" s="62"/>
      <c r="M64" s="116"/>
      <c r="N64" s="18"/>
      <c r="O64" s="1"/>
      <c r="V64" s="663" t="s">
        <v>117</v>
      </c>
      <c r="W64" s="663"/>
      <c r="X64" s="664">
        <f>+G65</f>
        <v>4123852</v>
      </c>
      <c r="Y64" s="664"/>
      <c r="Z64" s="664"/>
      <c r="AA64" s="664"/>
      <c r="AB64" s="664"/>
      <c r="AC64" s="664"/>
      <c r="AD64" s="9"/>
    </row>
    <row r="65" spans="1:30" ht="12.75" customHeight="1" x14ac:dyDescent="0.25">
      <c r="B65" s="167" t="s">
        <v>117</v>
      </c>
      <c r="C65" s="62"/>
      <c r="D65" s="62"/>
      <c r="E65" s="62"/>
      <c r="F65" s="62"/>
      <c r="G65" s="168">
        <f>+I59</f>
        <v>4123852</v>
      </c>
      <c r="H65" s="168"/>
      <c r="I65" s="168"/>
      <c r="J65" s="168"/>
      <c r="K65" s="168"/>
      <c r="L65" s="168"/>
      <c r="O65" s="1"/>
      <c r="V65" s="663" t="s">
        <v>118</v>
      </c>
      <c r="W65" s="663"/>
      <c r="X65" s="664">
        <f>+G66</f>
        <v>0</v>
      </c>
      <c r="Y65" s="664"/>
      <c r="Z65" s="664"/>
      <c r="AA65" s="664"/>
      <c r="AB65" s="664"/>
      <c r="AC65" s="664"/>
      <c r="AD65" s="20"/>
    </row>
    <row r="66" spans="1:30" ht="15" customHeight="1" x14ac:dyDescent="0.25">
      <c r="B66" s="167" t="s">
        <v>118</v>
      </c>
      <c r="C66" s="62"/>
      <c r="D66" s="62"/>
      <c r="E66" s="62"/>
      <c r="F66" s="62"/>
      <c r="G66" s="168">
        <v>0</v>
      </c>
      <c r="H66" s="168"/>
      <c r="I66" s="168"/>
      <c r="J66" s="168"/>
      <c r="K66" s="168"/>
      <c r="L66" s="168"/>
      <c r="M66" s="18"/>
      <c r="N66" s="3"/>
      <c r="O66" s="169"/>
      <c r="P66" s="169"/>
      <c r="Q66" s="169"/>
      <c r="V66" s="651" t="s">
        <v>119</v>
      </c>
      <c r="W66" s="651"/>
      <c r="X66" s="651"/>
      <c r="Y66" s="661">
        <f>+I67</f>
        <v>96774526</v>
      </c>
      <c r="Z66" s="661"/>
      <c r="AA66" s="557" t="s">
        <v>111</v>
      </c>
      <c r="AB66" s="163">
        <f>AB54</f>
        <v>1.222E-3</v>
      </c>
      <c r="AC66" s="56">
        <f>ROUND(Y66*AB66,0)</f>
        <v>118258</v>
      </c>
      <c r="AD66" s="9"/>
    </row>
    <row r="67" spans="1:30" ht="20.25" customHeight="1" x14ac:dyDescent="0.25">
      <c r="B67" s="13" t="s">
        <v>119</v>
      </c>
      <c r="C67" s="13"/>
      <c r="D67" s="13"/>
      <c r="E67" s="13"/>
      <c r="F67" s="13"/>
      <c r="H67" s="164" t="s">
        <v>25</v>
      </c>
      <c r="I67" s="129">
        <v>96774526</v>
      </c>
      <c r="J67" s="165" t="s">
        <v>111</v>
      </c>
      <c r="K67" s="166">
        <f>K54</f>
        <v>4.3660000000000001E-3</v>
      </c>
      <c r="L67" s="50">
        <f>ROUND(I67*K67,0)</f>
        <v>422518</v>
      </c>
      <c r="O67" s="1"/>
      <c r="V67" s="651" t="s">
        <v>120</v>
      </c>
      <c r="W67" s="651"/>
      <c r="X67" s="651"/>
      <c r="Y67" s="651"/>
      <c r="Z67" s="651"/>
      <c r="AA67" s="651"/>
      <c r="AB67" s="651"/>
      <c r="AC67" s="651"/>
      <c r="AD67" s="9"/>
    </row>
    <row r="68" spans="1:30" ht="20.25" customHeight="1" x14ac:dyDescent="0.25">
      <c r="B68" s="13" t="s">
        <v>120</v>
      </c>
      <c r="C68" s="13"/>
      <c r="D68" s="13"/>
      <c r="E68" s="13"/>
      <c r="F68" s="13"/>
      <c r="H68" s="13"/>
      <c r="I68" s="13"/>
      <c r="J68" s="82"/>
      <c r="K68" s="13"/>
      <c r="L68" s="13"/>
      <c r="O68" s="1"/>
      <c r="V68" s="667" t="s">
        <v>121</v>
      </c>
      <c r="W68" s="667"/>
      <c r="X68" s="667"/>
      <c r="Y68" s="661">
        <f>+I69</f>
        <v>0</v>
      </c>
      <c r="Z68" s="661"/>
      <c r="AA68" s="557" t="s">
        <v>111</v>
      </c>
      <c r="AB68" s="163">
        <f>AB57</f>
        <v>1.341E-3</v>
      </c>
      <c r="AC68" s="56">
        <f>ROUND(Y68*AB68,0)</f>
        <v>0</v>
      </c>
      <c r="AD68" s="9"/>
    </row>
    <row r="69" spans="1:30" ht="15" customHeight="1" x14ac:dyDescent="0.25">
      <c r="B69" s="170" t="s">
        <v>121</v>
      </c>
      <c r="C69" s="13"/>
      <c r="D69" s="13"/>
      <c r="E69" s="13"/>
      <c r="F69" s="13"/>
      <c r="H69" s="164" t="s">
        <v>23</v>
      </c>
      <c r="I69" s="129">
        <v>0</v>
      </c>
      <c r="J69" s="165" t="s">
        <v>111</v>
      </c>
      <c r="K69" s="166">
        <f>K57</f>
        <v>1.341E-3</v>
      </c>
      <c r="L69" s="50">
        <f>ROUND(I69*K69,0)</f>
        <v>0</v>
      </c>
      <c r="O69" s="1"/>
      <c r="V69" s="651" t="s">
        <v>122</v>
      </c>
      <c r="W69" s="651"/>
      <c r="X69" s="651"/>
      <c r="Y69" s="668">
        <f>+I70</f>
        <v>-3460775</v>
      </c>
      <c r="Z69" s="668"/>
      <c r="AA69" s="557" t="s">
        <v>111</v>
      </c>
      <c r="AB69" s="163">
        <f>AB54</f>
        <v>1.222E-3</v>
      </c>
      <c r="AC69" s="56">
        <f>ROUND(Y69*AB69,0)</f>
        <v>-4229</v>
      </c>
      <c r="AD69" s="9"/>
    </row>
    <row r="70" spans="1:30" ht="20.25" customHeight="1" x14ac:dyDescent="0.25">
      <c r="B70" s="13" t="s">
        <v>122</v>
      </c>
      <c r="C70" s="13"/>
      <c r="D70" s="13"/>
      <c r="E70" s="13"/>
      <c r="F70" s="13"/>
      <c r="H70" s="164" t="s">
        <v>22</v>
      </c>
      <c r="I70" s="129">
        <v>-3460775</v>
      </c>
      <c r="J70" s="165" t="s">
        <v>111</v>
      </c>
      <c r="K70" s="166">
        <f>K54</f>
        <v>4.3660000000000001E-3</v>
      </c>
      <c r="L70" s="50">
        <f>ROUND(I70*K70,0)</f>
        <v>-15110</v>
      </c>
      <c r="O70" s="1"/>
      <c r="V70" s="651" t="s">
        <v>123</v>
      </c>
      <c r="W70" s="651"/>
      <c r="X70" s="651"/>
      <c r="Y70" s="665">
        <f>+I71</f>
        <v>1874788</v>
      </c>
      <c r="Z70" s="665"/>
      <c r="AA70" s="557" t="s">
        <v>111</v>
      </c>
      <c r="AB70" s="163">
        <f>AB54</f>
        <v>1.222E-3</v>
      </c>
      <c r="AC70" s="56">
        <f>ROUND(Y70*AB70,0)</f>
        <v>2291</v>
      </c>
      <c r="AD70" s="9"/>
    </row>
    <row r="71" spans="1:30" ht="20.25" customHeight="1" x14ac:dyDescent="0.25">
      <c r="B71" s="13" t="s">
        <v>123</v>
      </c>
      <c r="C71" s="13"/>
      <c r="D71" s="13"/>
      <c r="E71" s="13"/>
      <c r="F71" s="13"/>
      <c r="H71" s="164" t="s">
        <v>22</v>
      </c>
      <c r="I71" s="129">
        <v>1874788</v>
      </c>
      <c r="J71" s="165" t="s">
        <v>111</v>
      </c>
      <c r="K71" s="166">
        <f>K54</f>
        <v>4.3660000000000001E-3</v>
      </c>
      <c r="L71" s="50">
        <f>ROUND(I71*K71,0)</f>
        <v>8185</v>
      </c>
      <c r="O71" s="1"/>
      <c r="V71" s="651" t="s">
        <v>124</v>
      </c>
      <c r="W71" s="651"/>
      <c r="X71" s="651"/>
      <c r="Y71" s="665">
        <f>+I72</f>
        <v>14223298</v>
      </c>
      <c r="Z71" s="665"/>
      <c r="AA71" s="557" t="s">
        <v>111</v>
      </c>
      <c r="AB71" s="163">
        <f>AB57</f>
        <v>1.341E-3</v>
      </c>
      <c r="AC71" s="56">
        <f>ROUND(Y71*AB71,0)</f>
        <v>19073</v>
      </c>
      <c r="AD71" s="9"/>
    </row>
    <row r="72" spans="1:30" ht="21" customHeight="1" x14ac:dyDescent="0.25">
      <c r="B72" s="13" t="s">
        <v>124</v>
      </c>
      <c r="C72" s="13"/>
      <c r="D72" s="13"/>
      <c r="E72" s="13"/>
      <c r="F72" s="13"/>
      <c r="H72" s="164" t="s">
        <v>23</v>
      </c>
      <c r="I72" s="171">
        <v>14223298</v>
      </c>
      <c r="J72" s="165" t="s">
        <v>111</v>
      </c>
      <c r="K72" s="166">
        <f>K57</f>
        <v>1.341E-3</v>
      </c>
      <c r="L72" s="50">
        <f>ROUND(I72*K72,0)</f>
        <v>19073</v>
      </c>
      <c r="O72" s="1"/>
      <c r="V72" s="623" t="s">
        <v>125</v>
      </c>
      <c r="W72" s="623"/>
      <c r="X72" s="623"/>
      <c r="Y72" s="623"/>
      <c r="Z72" s="623"/>
      <c r="AA72" s="623"/>
      <c r="AB72" s="623"/>
      <c r="AC72" s="60"/>
      <c r="AD72" s="9"/>
    </row>
    <row r="73" spans="1:30" ht="17.25" customHeight="1" x14ac:dyDescent="0.25">
      <c r="B73" s="13" t="s">
        <v>125</v>
      </c>
      <c r="C73" s="13"/>
      <c r="D73" s="13"/>
      <c r="E73" s="13"/>
      <c r="F73" s="13"/>
      <c r="H73" s="13"/>
      <c r="I73" s="13"/>
      <c r="J73" s="82"/>
      <c r="K73" s="13"/>
      <c r="L73" s="59"/>
      <c r="O73" s="1"/>
      <c r="V73" s="651" t="s">
        <v>126</v>
      </c>
      <c r="W73" s="651"/>
      <c r="X73" s="651"/>
      <c r="Y73" s="651"/>
      <c r="Z73" s="651"/>
      <c r="AA73" s="651"/>
      <c r="AB73" s="651"/>
      <c r="AC73" s="651"/>
      <c r="AD73" s="9"/>
    </row>
    <row r="74" spans="1:30" ht="31.5" x14ac:dyDescent="0.25">
      <c r="B74" s="13" t="s">
        <v>126</v>
      </c>
      <c r="C74" s="13"/>
      <c r="D74" s="27" t="s">
        <v>13</v>
      </c>
      <c r="E74" s="27" t="s">
        <v>14</v>
      </c>
      <c r="F74" s="27"/>
      <c r="H74" s="164" t="s">
        <v>26</v>
      </c>
      <c r="I74" s="172"/>
      <c r="J74" s="164"/>
      <c r="K74" s="172"/>
      <c r="L74" s="112"/>
      <c r="O74" s="1"/>
      <c r="V74" s="666" t="s">
        <v>127</v>
      </c>
      <c r="W74" s="666"/>
      <c r="X74" s="173" t="s">
        <v>128</v>
      </c>
      <c r="Y74" s="174"/>
      <c r="Z74" s="175">
        <f>+I75</f>
        <v>185</v>
      </c>
      <c r="AA74" s="559" t="s">
        <v>129</v>
      </c>
      <c r="AB74" s="177">
        <f>+K75</f>
        <v>361</v>
      </c>
      <c r="AC74" s="56">
        <f>ROUND(AB74*Z74,0)</f>
        <v>66785</v>
      </c>
      <c r="AD74" s="9"/>
    </row>
    <row r="75" spans="1:30" ht="19.5" customHeight="1" x14ac:dyDescent="0.25">
      <c r="A75" s="1" t="s">
        <v>130</v>
      </c>
      <c r="B75" s="178" t="s">
        <v>127</v>
      </c>
      <c r="C75" s="179" t="s">
        <v>128</v>
      </c>
      <c r="D75" s="178">
        <v>185</v>
      </c>
      <c r="E75" s="178">
        <v>185</v>
      </c>
      <c r="F75" s="178">
        <v>0</v>
      </c>
      <c r="G75" s="180">
        <f>IF(E75=0,D75,E75)</f>
        <v>185</v>
      </c>
      <c r="H75" s="181"/>
      <c r="I75" s="182">
        <f>AVERAGE(G75,D75)</f>
        <v>185</v>
      </c>
      <c r="J75" s="183" t="s">
        <v>129</v>
      </c>
      <c r="K75" s="184">
        <v>361</v>
      </c>
      <c r="L75" s="50">
        <f>ROUND(K75*I75,0)</f>
        <v>66785</v>
      </c>
      <c r="N75" s="1">
        <v>7802</v>
      </c>
      <c r="O75" s="1">
        <v>0</v>
      </c>
      <c r="V75" s="666" t="s">
        <v>127</v>
      </c>
      <c r="W75" s="666"/>
      <c r="X75" s="173" t="s">
        <v>131</v>
      </c>
      <c r="Y75" s="185"/>
      <c r="Z75" s="186"/>
      <c r="AA75" s="559" t="s">
        <v>129</v>
      </c>
      <c r="AB75" s="187">
        <f>+K76</f>
        <v>1358</v>
      </c>
      <c r="AC75" s="56">
        <f>ROUND(AB75*Z75,0)</f>
        <v>0</v>
      </c>
      <c r="AD75" s="9"/>
    </row>
    <row r="76" spans="1:30" ht="19.5" customHeight="1" x14ac:dyDescent="0.25">
      <c r="A76" s="1" t="s">
        <v>132</v>
      </c>
      <c r="B76" s="178" t="s">
        <v>127</v>
      </c>
      <c r="C76" s="179" t="s">
        <v>131</v>
      </c>
      <c r="D76" s="178">
        <v>0</v>
      </c>
      <c r="E76" s="178">
        <v>0</v>
      </c>
      <c r="F76" s="178">
        <v>0</v>
      </c>
      <c r="G76" s="180">
        <f>IF(E76=0,D76,E76)</f>
        <v>0</v>
      </c>
      <c r="H76" s="181"/>
      <c r="I76" s="182">
        <f>AVERAGE(G76,D76)</f>
        <v>0</v>
      </c>
      <c r="J76" s="183" t="s">
        <v>129</v>
      </c>
      <c r="K76" s="188">
        <v>1358</v>
      </c>
      <c r="L76" s="50">
        <f>ROUND(K76*I76,0)</f>
        <v>0</v>
      </c>
      <c r="N76" s="1">
        <v>7802</v>
      </c>
      <c r="O76" s="1">
        <v>110</v>
      </c>
      <c r="V76" s="651" t="s">
        <v>133</v>
      </c>
      <c r="W76" s="651"/>
      <c r="X76" s="651"/>
      <c r="Y76" s="661">
        <f>+I77</f>
        <v>33305823</v>
      </c>
      <c r="Z76" s="661"/>
      <c r="AA76" s="559" t="s">
        <v>129</v>
      </c>
      <c r="AB76" s="163">
        <f>AB54</f>
        <v>1.222E-3</v>
      </c>
      <c r="AC76" s="56">
        <f>ROUND(Y76*AB76,0)</f>
        <v>40700</v>
      </c>
      <c r="AD76" s="9"/>
    </row>
    <row r="77" spans="1:30" ht="26.25" customHeight="1" x14ac:dyDescent="0.25">
      <c r="B77" s="13" t="s">
        <v>133</v>
      </c>
      <c r="C77" s="13"/>
      <c r="D77" s="13"/>
      <c r="E77" s="13"/>
      <c r="F77" s="13"/>
      <c r="H77" s="164" t="s">
        <v>134</v>
      </c>
      <c r="I77" s="189">
        <v>33305823</v>
      </c>
      <c r="J77" s="165" t="s">
        <v>111</v>
      </c>
      <c r="K77" s="166">
        <f>K54</f>
        <v>4.3660000000000001E-3</v>
      </c>
      <c r="L77" s="50">
        <f>ROUND(I77*K77,0)</f>
        <v>145413</v>
      </c>
      <c r="O77" s="1"/>
      <c r="V77" s="651" t="str">
        <f>+B78</f>
        <v>15.  Additional Allocation (WFTE share)</v>
      </c>
      <c r="W77" s="651"/>
      <c r="X77" s="651"/>
      <c r="Y77" s="661">
        <f>+I78</f>
        <v>680688</v>
      </c>
      <c r="Z77" s="661"/>
      <c r="AA77" s="559" t="s">
        <v>129</v>
      </c>
      <c r="AB77" s="163">
        <f>AB54</f>
        <v>1.222E-3</v>
      </c>
      <c r="AC77" s="56">
        <f>ROUND(Y77*AB77,0)</f>
        <v>832</v>
      </c>
      <c r="AD77" s="9"/>
    </row>
    <row r="78" spans="1:30" ht="26.25" customHeight="1" x14ac:dyDescent="0.25">
      <c r="B78" s="669" t="s">
        <v>135</v>
      </c>
      <c r="C78" s="669"/>
      <c r="D78" s="669"/>
      <c r="E78" s="13"/>
      <c r="F78" s="13"/>
      <c r="H78" s="164" t="s">
        <v>136</v>
      </c>
      <c r="I78" s="190">
        <v>680688</v>
      </c>
      <c r="J78" s="165" t="s">
        <v>111</v>
      </c>
      <c r="K78" s="166">
        <f>K54</f>
        <v>4.3660000000000001E-3</v>
      </c>
      <c r="L78" s="50">
        <f>ROUND(I78*K78,0)</f>
        <v>2972</v>
      </c>
      <c r="O78" s="1"/>
      <c r="V78" s="651" t="str">
        <f t="shared" ref="V78:V79" si="11">+B79</f>
        <v>16.  Florida Teachers Lead Program Stipend</v>
      </c>
      <c r="W78" s="651"/>
      <c r="X78" s="651"/>
      <c r="Y78" s="191"/>
      <c r="Z78" s="191"/>
      <c r="AA78" s="191"/>
      <c r="AB78" s="191"/>
      <c r="AC78" s="134"/>
      <c r="AD78" s="9"/>
    </row>
    <row r="79" spans="1:30" ht="21" customHeight="1" x14ac:dyDescent="0.25">
      <c r="B79" s="669" t="s">
        <v>137</v>
      </c>
      <c r="C79" s="669"/>
      <c r="D79" s="669"/>
      <c r="E79" s="13"/>
      <c r="F79" s="13"/>
      <c r="H79" s="164"/>
      <c r="I79" s="172"/>
      <c r="J79" s="172"/>
      <c r="K79" s="172"/>
      <c r="L79" s="129"/>
      <c r="N79" s="192"/>
      <c r="O79" s="1"/>
      <c r="Q79" s="164"/>
      <c r="V79" s="651" t="str">
        <f t="shared" si="11"/>
        <v>17.  Food Service Allocation</v>
      </c>
      <c r="W79" s="651"/>
      <c r="X79" s="651"/>
      <c r="Y79" s="191"/>
      <c r="Z79" s="191"/>
      <c r="AA79" s="191"/>
      <c r="AB79" s="191"/>
      <c r="AC79" s="193"/>
      <c r="AD79" s="9"/>
    </row>
    <row r="80" spans="1:30" ht="21" customHeight="1" x14ac:dyDescent="0.25">
      <c r="B80" s="669" t="s">
        <v>138</v>
      </c>
      <c r="C80" s="669"/>
      <c r="D80" s="669"/>
      <c r="E80" s="13"/>
      <c r="F80" s="13"/>
      <c r="H80" s="194" t="s">
        <v>139</v>
      </c>
      <c r="I80" s="195"/>
      <c r="J80" s="195"/>
      <c r="K80" s="195"/>
      <c r="L80" s="196"/>
      <c r="N80" s="197"/>
      <c r="O80" s="1"/>
      <c r="Q80" s="164"/>
      <c r="V80" s="191"/>
      <c r="W80" s="191"/>
      <c r="X80" s="191"/>
      <c r="Y80" s="191"/>
      <c r="Z80" s="191"/>
      <c r="AA80" s="191"/>
      <c r="AB80" s="191"/>
      <c r="AC80" s="193"/>
      <c r="AD80" s="9"/>
    </row>
    <row r="81" spans="1:30" ht="21" customHeight="1" thickBot="1" x14ac:dyDescent="0.3">
      <c r="B81" s="13"/>
      <c r="C81" s="13"/>
      <c r="D81" s="13"/>
      <c r="E81" s="13"/>
      <c r="F81" s="13"/>
      <c r="G81" s="13"/>
      <c r="H81" s="13"/>
      <c r="I81" s="13"/>
      <c r="J81" s="13"/>
      <c r="K81" s="13"/>
      <c r="L81" s="196"/>
      <c r="M81" s="198"/>
      <c r="N81" s="197"/>
      <c r="O81" s="1"/>
      <c r="Q81" s="164"/>
      <c r="V81" s="191" t="s">
        <v>140</v>
      </c>
      <c r="W81" s="191"/>
      <c r="X81" s="191"/>
      <c r="Y81" s="191"/>
      <c r="Z81" s="191"/>
      <c r="AA81" s="191"/>
      <c r="AB81" s="191"/>
      <c r="AC81" s="199">
        <f>SUM(AC44:AC80)</f>
        <v>1552779</v>
      </c>
      <c r="AD81" s="200"/>
    </row>
    <row r="82" spans="1:30" ht="22.5" customHeight="1" thickTop="1" thickBot="1" x14ac:dyDescent="0.3">
      <c r="B82" s="13" t="s">
        <v>141</v>
      </c>
      <c r="C82" s="13"/>
      <c r="D82" s="13"/>
      <c r="E82" s="13"/>
      <c r="F82" s="13"/>
      <c r="G82" s="13"/>
      <c r="H82" s="13"/>
      <c r="I82" s="13"/>
      <c r="J82" s="13"/>
      <c r="K82" s="13"/>
      <c r="L82" s="201">
        <f>SUM(L44:L81)</f>
        <v>5467706</v>
      </c>
      <c r="M82" s="202"/>
      <c r="N82" s="203"/>
      <c r="O82" s="1"/>
      <c r="Q82" s="164"/>
      <c r="V82" s="191"/>
      <c r="W82" s="191"/>
      <c r="X82" s="191"/>
      <c r="Y82" s="191"/>
      <c r="Z82" s="191"/>
      <c r="AA82" s="191"/>
      <c r="AB82" s="191"/>
      <c r="AC82" s="204"/>
      <c r="AD82" s="200"/>
    </row>
    <row r="83" spans="1:30" ht="27.75" customHeight="1" thickTop="1" x14ac:dyDescent="0.25">
      <c r="B83" s="13" t="s">
        <v>142</v>
      </c>
      <c r="C83" s="13"/>
      <c r="D83" s="13"/>
      <c r="E83" s="13"/>
      <c r="F83" s="13"/>
      <c r="G83" s="13"/>
      <c r="H83" s="13"/>
      <c r="I83" s="13"/>
      <c r="J83" s="13"/>
      <c r="K83" s="82" t="s">
        <v>143</v>
      </c>
      <c r="L83" s="205" t="s">
        <v>144</v>
      </c>
      <c r="M83" s="202"/>
      <c r="N83" s="203"/>
      <c r="O83" s="1"/>
      <c r="Q83" s="164"/>
      <c r="V83" s="9" t="s">
        <v>145</v>
      </c>
      <c r="W83" s="9"/>
      <c r="X83" s="9"/>
      <c r="Y83" s="9"/>
      <c r="Z83" s="9"/>
      <c r="AA83" s="9"/>
      <c r="AB83" s="9"/>
      <c r="AC83" s="9"/>
      <c r="AD83" s="9"/>
    </row>
    <row r="84" spans="1:30" ht="18.75" customHeight="1" thickBot="1" x14ac:dyDescent="0.3">
      <c r="B84" s="13" t="s">
        <v>146</v>
      </c>
      <c r="C84" s="13"/>
      <c r="D84" s="13"/>
      <c r="E84" s="13"/>
      <c r="F84" s="13"/>
      <c r="G84" s="13"/>
      <c r="H84" s="13"/>
      <c r="I84" s="13"/>
      <c r="J84" s="13"/>
      <c r="K84" s="207">
        <f>IF(G26=0,"",IF((G11+G13+SUM(G15:G21))/G26&gt;0.75,1,""))</f>
        <v>1</v>
      </c>
      <c r="L84" s="201">
        <f>'2941'!AC81</f>
        <v>1552779</v>
      </c>
      <c r="M84" s="202"/>
      <c r="N84" s="203"/>
      <c r="O84" s="1"/>
      <c r="Q84" s="164"/>
      <c r="V84" s="191" t="s">
        <v>147</v>
      </c>
      <c r="W84" s="191"/>
      <c r="X84" s="191"/>
      <c r="Y84" s="191"/>
      <c r="Z84" s="191"/>
      <c r="AA84" s="191"/>
      <c r="AB84" s="191"/>
      <c r="AC84" s="191"/>
      <c r="AD84" s="9"/>
    </row>
    <row r="85" spans="1:30" ht="18.75" customHeight="1" thickTop="1" x14ac:dyDescent="0.25">
      <c r="B85" s="13"/>
      <c r="C85" s="13"/>
      <c r="D85" s="13"/>
      <c r="E85" s="13"/>
      <c r="F85" s="13"/>
      <c r="G85" s="13"/>
      <c r="H85" s="13"/>
      <c r="I85" s="13"/>
      <c r="J85" s="13"/>
      <c r="M85" s="202"/>
      <c r="N85" s="203"/>
      <c r="O85" s="1"/>
      <c r="Q85" s="164"/>
      <c r="V85" s="191" t="s">
        <v>148</v>
      </c>
      <c r="W85" s="191"/>
      <c r="X85" s="191"/>
      <c r="Y85" s="191"/>
      <c r="Z85" s="191"/>
      <c r="AA85" s="191"/>
      <c r="AB85" s="191"/>
      <c r="AC85" s="191"/>
      <c r="AD85" s="9"/>
    </row>
    <row r="86" spans="1:30" ht="18.75" customHeight="1" x14ac:dyDescent="0.25">
      <c r="B86" s="2" t="s">
        <v>149</v>
      </c>
      <c r="C86" s="13"/>
      <c r="D86" s="13"/>
      <c r="E86" s="13"/>
      <c r="F86" s="13"/>
      <c r="G86" s="13"/>
      <c r="H86" s="13"/>
      <c r="I86" s="13"/>
      <c r="J86" s="209" t="s">
        <v>150</v>
      </c>
      <c r="K86" s="210">
        <f>IF(K84=1,L84,L82)</f>
        <v>1552779</v>
      </c>
      <c r="L86" s="211">
        <f>IF(G26=0,0,IF(G26&gt;250,-(((250/G26)*K86)*IF(M86="H",0.02,0.05)),IF(M86="H",-0.02*K86,-0.05*K86)))</f>
        <v>-77638.95</v>
      </c>
      <c r="M86" s="212" t="str">
        <f>IF(B123="2801","H",IF(B123="2911","H",IF(B123="3382","H"," ")))</f>
        <v xml:space="preserve"> </v>
      </c>
      <c r="N86" s="203"/>
      <c r="O86" s="1"/>
      <c r="Q86" s="164"/>
      <c r="V86" s="191" t="s">
        <v>151</v>
      </c>
      <c r="W86" s="191"/>
      <c r="X86" s="191"/>
      <c r="Y86" s="191"/>
      <c r="Z86" s="191"/>
      <c r="AA86" s="191"/>
      <c r="AB86" s="191"/>
      <c r="AC86" s="191"/>
      <c r="AD86" s="9"/>
    </row>
    <row r="87" spans="1:30" ht="18.75" customHeight="1" x14ac:dyDescent="0.25">
      <c r="B87" s="2" t="s">
        <v>152</v>
      </c>
      <c r="C87" s="13"/>
      <c r="D87" s="13"/>
      <c r="E87" s="13"/>
      <c r="F87" s="13"/>
      <c r="G87" s="13"/>
      <c r="H87" s="13"/>
      <c r="I87" s="13"/>
      <c r="J87" s="13"/>
      <c r="K87" s="213"/>
      <c r="L87" s="205">
        <f>L82+L86</f>
        <v>5390067.0499999998</v>
      </c>
      <c r="M87" s="202"/>
      <c r="N87" s="203"/>
      <c r="O87" s="1"/>
      <c r="Q87" s="164"/>
      <c r="V87" s="198"/>
      <c r="W87" s="198"/>
      <c r="X87" s="198"/>
      <c r="Y87" s="198"/>
      <c r="Z87" s="198"/>
      <c r="AA87" s="198"/>
      <c r="AB87" s="198"/>
      <c r="AC87" s="198"/>
      <c r="AD87" s="198"/>
    </row>
    <row r="88" spans="1:30" x14ac:dyDescent="0.25">
      <c r="V88" s="198"/>
      <c r="W88" s="198"/>
      <c r="X88" s="198"/>
      <c r="Y88" s="198"/>
      <c r="Z88" s="198"/>
      <c r="AA88" s="198"/>
      <c r="AB88" s="198"/>
      <c r="AC88" s="198"/>
      <c r="AD88" s="568"/>
    </row>
    <row r="89" spans="1:30" ht="18.75" customHeight="1" x14ac:dyDescent="0.25">
      <c r="A89" s="1" t="s">
        <v>153</v>
      </c>
      <c r="B89" s="13" t="s">
        <v>154</v>
      </c>
      <c r="C89" s="13"/>
      <c r="D89" s="13">
        <v>2357563</v>
      </c>
      <c r="E89" s="13">
        <v>502642</v>
      </c>
      <c r="F89" s="13">
        <v>4344407</v>
      </c>
      <c r="G89" s="13"/>
      <c r="H89" s="13"/>
      <c r="I89" s="13"/>
      <c r="J89" s="13"/>
      <c r="K89" s="213"/>
      <c r="L89" s="84">
        <f>-F89-553049</f>
        <v>-4897456</v>
      </c>
      <c r="M89" s="202"/>
      <c r="N89" s="203"/>
      <c r="O89" s="1"/>
      <c r="Q89" s="164"/>
      <c r="V89" s="198">
        <v>2801</v>
      </c>
      <c r="W89" s="198"/>
      <c r="X89" s="198"/>
      <c r="Y89" s="198"/>
      <c r="Z89" s="198"/>
      <c r="AA89" s="198"/>
      <c r="AB89" s="198"/>
      <c r="AC89" s="198"/>
      <c r="AD89" s="198"/>
    </row>
    <row r="90" spans="1:30" ht="18.75" customHeight="1" x14ac:dyDescent="0.25">
      <c r="B90" s="13" t="s">
        <v>155</v>
      </c>
      <c r="C90" s="13"/>
      <c r="D90" s="13"/>
      <c r="E90" s="13"/>
      <c r="F90" s="13"/>
      <c r="G90" s="13"/>
      <c r="H90" s="13"/>
      <c r="I90" s="13"/>
      <c r="J90" s="13"/>
      <c r="K90" s="213"/>
      <c r="L90" s="205">
        <f>L87+L89</f>
        <v>492611.04999999981</v>
      </c>
      <c r="M90" s="202"/>
      <c r="N90" s="203"/>
      <c r="O90" s="1"/>
      <c r="Q90" s="164"/>
      <c r="V90" s="198">
        <v>2911</v>
      </c>
      <c r="W90" s="569"/>
      <c r="X90" s="569"/>
      <c r="Y90" s="569"/>
      <c r="Z90" s="569"/>
      <c r="AA90" s="569"/>
      <c r="AB90" s="569"/>
      <c r="AC90" s="569"/>
      <c r="AD90" s="198"/>
    </row>
    <row r="91" spans="1:30" ht="18.75" customHeight="1" x14ac:dyDescent="0.25">
      <c r="B91" s="13" t="s">
        <v>156</v>
      </c>
      <c r="C91" s="13"/>
      <c r="D91" s="13"/>
      <c r="E91" s="13"/>
      <c r="F91" s="13"/>
      <c r="G91" s="13"/>
      <c r="H91" s="13"/>
      <c r="I91" s="13"/>
      <c r="J91" s="13"/>
      <c r="K91" s="213"/>
      <c r="L91" s="205">
        <v>1</v>
      </c>
      <c r="M91" s="202"/>
      <c r="N91" s="203"/>
      <c r="O91" s="1"/>
      <c r="Q91" s="164"/>
      <c r="V91" s="198">
        <v>3382</v>
      </c>
      <c r="W91" s="569"/>
      <c r="X91" s="569"/>
      <c r="Y91" s="569"/>
      <c r="Z91" s="569"/>
      <c r="AA91" s="569"/>
      <c r="AB91" s="569"/>
      <c r="AC91" s="569"/>
      <c r="AD91" s="198"/>
    </row>
    <row r="92" spans="1:30" ht="18.75" customHeight="1" thickBot="1" x14ac:dyDescent="0.3">
      <c r="B92" s="13" t="s">
        <v>157</v>
      </c>
      <c r="C92" s="13"/>
      <c r="D92" s="13"/>
      <c r="E92" s="13"/>
      <c r="F92" s="13"/>
      <c r="G92" s="13"/>
      <c r="H92" s="13"/>
      <c r="I92" s="13"/>
      <c r="J92" s="13"/>
      <c r="K92" s="213"/>
      <c r="L92" s="217">
        <f>L90/L91</f>
        <v>492611.04999999981</v>
      </c>
      <c r="M92" s="202"/>
      <c r="N92" s="203"/>
      <c r="O92" s="1"/>
      <c r="Q92" s="164"/>
      <c r="V92" s="570"/>
      <c r="W92" s="570"/>
      <c r="X92" s="570"/>
      <c r="Y92" s="570"/>
      <c r="Z92" s="570"/>
      <c r="AA92" s="570"/>
      <c r="AB92" s="570"/>
      <c r="AC92" s="570"/>
    </row>
    <row r="93" spans="1:30" ht="18.75" customHeight="1" thickTop="1" x14ac:dyDescent="0.25">
      <c r="V93" s="570"/>
      <c r="W93" s="570"/>
      <c r="X93" s="570"/>
      <c r="Y93" s="570"/>
      <c r="Z93" s="570"/>
      <c r="AA93" s="570"/>
      <c r="AB93" s="570"/>
      <c r="AC93" s="570"/>
      <c r="AD93" s="198"/>
    </row>
    <row r="94" spans="1:30" ht="18.75" customHeight="1" thickBot="1" x14ac:dyDescent="0.3">
      <c r="B94" s="221" t="s">
        <v>158</v>
      </c>
      <c r="C94" s="13"/>
      <c r="D94" s="13"/>
      <c r="E94" s="13"/>
      <c r="G94" s="13"/>
      <c r="H94" s="13"/>
      <c r="I94" s="13"/>
      <c r="J94" s="13"/>
      <c r="L94" s="222">
        <f>IF(M86="H",(K86*0.02)+L86,(K86*0.05)+L86)</f>
        <v>0</v>
      </c>
      <c r="M94" s="202"/>
      <c r="V94" s="571"/>
      <c r="W94" s="571"/>
      <c r="X94" s="571"/>
      <c r="Y94" s="571"/>
      <c r="Z94" s="571"/>
      <c r="AA94" s="571"/>
      <c r="AB94" s="571"/>
      <c r="AC94" s="571"/>
      <c r="AD94" s="198"/>
    </row>
    <row r="95" spans="1:30" ht="21.75" customHeight="1" thickTop="1" x14ac:dyDescent="0.25">
      <c r="B95" s="13" t="s">
        <v>159</v>
      </c>
      <c r="C95" s="13"/>
      <c r="D95" s="13"/>
      <c r="E95" s="13"/>
      <c r="F95" s="13"/>
      <c r="G95" s="13"/>
      <c r="H95" s="13"/>
      <c r="I95" s="13"/>
      <c r="J95" s="13"/>
      <c r="K95" s="13"/>
      <c r="L95" s="13"/>
      <c r="V95" s="571"/>
      <c r="W95" s="571"/>
      <c r="X95" s="571"/>
      <c r="Y95" s="571"/>
      <c r="Z95" s="571"/>
      <c r="AA95" s="571"/>
      <c r="AB95" s="571"/>
      <c r="AC95" s="571"/>
      <c r="AD95" s="198"/>
    </row>
    <row r="96" spans="1:30" x14ac:dyDescent="0.25">
      <c r="B96" s="225"/>
      <c r="V96" s="571"/>
      <c r="W96" s="571"/>
      <c r="X96" s="571"/>
      <c r="Y96" s="571"/>
      <c r="Z96" s="571"/>
      <c r="AA96" s="571"/>
      <c r="AB96" s="571"/>
      <c r="AC96" s="571"/>
    </row>
    <row r="97" spans="2:30" x14ac:dyDescent="0.25">
      <c r="B97" s="225"/>
      <c r="V97" s="571"/>
      <c r="W97" s="571"/>
      <c r="X97" s="571"/>
      <c r="Y97" s="571"/>
      <c r="Z97" s="571"/>
      <c r="AA97" s="571"/>
      <c r="AB97" s="571"/>
      <c r="AC97" s="571"/>
    </row>
    <row r="98" spans="2:30" hidden="1" x14ac:dyDescent="0.25">
      <c r="B98" s="226" t="s">
        <v>160</v>
      </c>
      <c r="C98" s="227"/>
      <c r="V98" s="572"/>
      <c r="W98" s="572"/>
      <c r="X98" s="572"/>
      <c r="Y98" s="572"/>
      <c r="Z98" s="572"/>
      <c r="AA98" s="572"/>
      <c r="AB98" s="572"/>
      <c r="AC98" s="572"/>
    </row>
    <row r="99" spans="2:30" hidden="1" x14ac:dyDescent="0.25">
      <c r="B99" s="229"/>
      <c r="C99" s="227"/>
      <c r="V99" s="225"/>
      <c r="W99" s="13"/>
      <c r="X99" s="13"/>
      <c r="Y99" s="13"/>
      <c r="Z99" s="13"/>
      <c r="AA99" s="13"/>
      <c r="AB99" s="13"/>
      <c r="AC99" s="13"/>
    </row>
    <row r="100" spans="2:30" hidden="1" x14ac:dyDescent="0.25">
      <c r="B100" s="230" t="s">
        <v>161</v>
      </c>
      <c r="C100" s="226" t="s">
        <v>162</v>
      </c>
      <c r="V100" s="225"/>
    </row>
    <row r="101" spans="2:30" hidden="1" x14ac:dyDescent="0.25">
      <c r="B101" s="230" t="s">
        <v>163</v>
      </c>
      <c r="C101" s="226" t="s">
        <v>164</v>
      </c>
      <c r="V101" s="225"/>
    </row>
    <row r="102" spans="2:30" hidden="1" x14ac:dyDescent="0.25">
      <c r="B102" s="230" t="s">
        <v>165</v>
      </c>
      <c r="C102" s="226" t="s">
        <v>166</v>
      </c>
      <c r="V102" s="225"/>
      <c r="W102" s="231"/>
      <c r="X102" s="231"/>
      <c r="Y102" s="231"/>
      <c r="Z102" s="231"/>
      <c r="AA102" s="231"/>
      <c r="AB102" s="231"/>
      <c r="AC102" s="231"/>
      <c r="AD102" s="231"/>
    </row>
    <row r="103" spans="2:30" hidden="1" x14ac:dyDescent="0.25">
      <c r="B103" s="230" t="s">
        <v>167</v>
      </c>
      <c r="C103" s="226" t="s">
        <v>168</v>
      </c>
      <c r="V103" s="225"/>
    </row>
    <row r="104" spans="2:30" hidden="1" x14ac:dyDescent="0.25">
      <c r="B104" s="232"/>
      <c r="C104" s="226" t="s">
        <v>169</v>
      </c>
      <c r="V104" s="225"/>
    </row>
    <row r="105" spans="2:30" hidden="1" x14ac:dyDescent="0.25">
      <c r="B105" s="230" t="s">
        <v>170</v>
      </c>
      <c r="C105" s="226" t="s">
        <v>171</v>
      </c>
      <c r="V105" s="225"/>
    </row>
    <row r="106" spans="2:30" hidden="1" x14ac:dyDescent="0.25">
      <c r="B106" s="230" t="s">
        <v>172</v>
      </c>
      <c r="C106" s="226" t="s">
        <v>173</v>
      </c>
      <c r="V106" s="225"/>
    </row>
    <row r="107" spans="2:30" hidden="1" x14ac:dyDescent="0.25">
      <c r="B107" s="230" t="s">
        <v>245</v>
      </c>
      <c r="C107" s="226" t="s">
        <v>175</v>
      </c>
      <c r="V107" s="225"/>
    </row>
    <row r="108" spans="2:30" hidden="1" x14ac:dyDescent="0.25">
      <c r="B108" s="230" t="s">
        <v>176</v>
      </c>
      <c r="C108" s="226" t="s">
        <v>177</v>
      </c>
      <c r="V108" s="225"/>
    </row>
    <row r="109" spans="2:30" hidden="1" x14ac:dyDescent="0.25">
      <c r="B109" s="230" t="s">
        <v>178</v>
      </c>
      <c r="C109" s="226" t="s">
        <v>179</v>
      </c>
      <c r="V109" s="225"/>
    </row>
    <row r="110" spans="2:30" hidden="1" x14ac:dyDescent="0.25">
      <c r="B110" s="232"/>
      <c r="C110" s="226"/>
      <c r="V110" s="225"/>
    </row>
    <row r="111" spans="2:30" hidden="1" x14ac:dyDescent="0.25">
      <c r="B111" s="230" t="s">
        <v>180</v>
      </c>
      <c r="C111" s="226" t="s">
        <v>181</v>
      </c>
      <c r="V111" s="225"/>
    </row>
    <row r="112" spans="2:30" hidden="1" x14ac:dyDescent="0.25">
      <c r="B112" s="230" t="s">
        <v>180</v>
      </c>
      <c r="C112" s="226" t="s">
        <v>182</v>
      </c>
    </row>
    <row r="113" spans="2:3" hidden="1" x14ac:dyDescent="0.25">
      <c r="B113" s="230" t="s">
        <v>183</v>
      </c>
      <c r="C113" s="226" t="s">
        <v>184</v>
      </c>
    </row>
    <row r="114" spans="2:3" hidden="1" x14ac:dyDescent="0.25">
      <c r="B114" s="230" t="s">
        <v>185</v>
      </c>
      <c r="C114" s="226" t="s">
        <v>186</v>
      </c>
    </row>
    <row r="115" spans="2:3" hidden="1" x14ac:dyDescent="0.25">
      <c r="B115" s="230" t="s">
        <v>183</v>
      </c>
      <c r="C115" s="226" t="s">
        <v>187</v>
      </c>
    </row>
    <row r="116" spans="2:3" hidden="1" x14ac:dyDescent="0.25">
      <c r="B116" s="230" t="s">
        <v>188</v>
      </c>
      <c r="C116" s="226" t="s">
        <v>189</v>
      </c>
    </row>
    <row r="117" spans="2:3" hidden="1" x14ac:dyDescent="0.25">
      <c r="B117" s="230" t="s">
        <v>190</v>
      </c>
      <c r="C117" s="226" t="s">
        <v>191</v>
      </c>
    </row>
    <row r="118" spans="2:3" hidden="1" x14ac:dyDescent="0.25">
      <c r="B118" s="232" t="s">
        <v>192</v>
      </c>
      <c r="C118" s="226" t="s">
        <v>193</v>
      </c>
    </row>
    <row r="119" spans="2:3" hidden="1" x14ac:dyDescent="0.25">
      <c r="B119" s="232"/>
      <c r="C119" s="226"/>
    </row>
    <row r="120" spans="2:3" hidden="1" x14ac:dyDescent="0.25">
      <c r="B120" s="230" t="s">
        <v>161</v>
      </c>
      <c r="C120" s="226" t="s">
        <v>194</v>
      </c>
    </row>
    <row r="121" spans="2:3" hidden="1" x14ac:dyDescent="0.25">
      <c r="B121" s="230" t="s">
        <v>195</v>
      </c>
      <c r="C121" s="226" t="s">
        <v>196</v>
      </c>
    </row>
    <row r="122" spans="2:3" hidden="1" x14ac:dyDescent="0.25">
      <c r="B122" s="230" t="s">
        <v>197</v>
      </c>
      <c r="C122" s="226" t="s">
        <v>198</v>
      </c>
    </row>
    <row r="123" spans="2:3" hidden="1" x14ac:dyDescent="0.25">
      <c r="B123" s="230" t="s">
        <v>246</v>
      </c>
      <c r="C123" s="226" t="s">
        <v>200</v>
      </c>
    </row>
    <row r="124" spans="2:3" hidden="1" x14ac:dyDescent="0.25">
      <c r="B124" s="230" t="s">
        <v>247</v>
      </c>
      <c r="C124" s="226" t="s">
        <v>202</v>
      </c>
    </row>
    <row r="125" spans="2:3" hidden="1" x14ac:dyDescent="0.25">
      <c r="B125" s="230" t="s">
        <v>203</v>
      </c>
      <c r="C125" s="226" t="s">
        <v>204</v>
      </c>
    </row>
    <row r="126" spans="2:3" hidden="1" x14ac:dyDescent="0.25">
      <c r="B126" s="230" t="s">
        <v>203</v>
      </c>
      <c r="C126" s="226" t="s">
        <v>205</v>
      </c>
    </row>
    <row r="127" spans="2:3" hidden="1" x14ac:dyDescent="0.25">
      <c r="B127" s="230" t="s">
        <v>203</v>
      </c>
      <c r="C127" s="226" t="s">
        <v>206</v>
      </c>
    </row>
    <row r="128" spans="2:3" hidden="1" x14ac:dyDescent="0.25">
      <c r="B128" s="230" t="s">
        <v>203</v>
      </c>
      <c r="C128" s="226" t="s">
        <v>207</v>
      </c>
    </row>
    <row r="129" spans="2:3" hidden="1" x14ac:dyDescent="0.25">
      <c r="B129" s="230" t="s">
        <v>167</v>
      </c>
      <c r="C129" s="226" t="s">
        <v>208</v>
      </c>
    </row>
    <row r="130" spans="2:3" hidden="1" x14ac:dyDescent="0.25">
      <c r="B130" s="230" t="s">
        <v>209</v>
      </c>
      <c r="C130" s="226" t="s">
        <v>210</v>
      </c>
    </row>
    <row r="131" spans="2:3" hidden="1" x14ac:dyDescent="0.25">
      <c r="B131" s="230" t="s">
        <v>203</v>
      </c>
      <c r="C131" s="226" t="s">
        <v>211</v>
      </c>
    </row>
    <row r="132" spans="2:3" hidden="1" x14ac:dyDescent="0.25">
      <c r="B132" s="226"/>
      <c r="C132" s="226"/>
    </row>
    <row r="133" spans="2:3" hidden="1" x14ac:dyDescent="0.25">
      <c r="B133" s="226"/>
      <c r="C133" s="226"/>
    </row>
    <row r="134" spans="2:3" hidden="1" x14ac:dyDescent="0.25">
      <c r="B134" s="232"/>
      <c r="C134" s="232"/>
    </row>
    <row r="135" spans="2:3" hidden="1" x14ac:dyDescent="0.25">
      <c r="B135" s="232">
        <f>NvsElapsedTime</f>
        <v>1.15740695036948E-5</v>
      </c>
      <c r="C135" s="232"/>
    </row>
    <row r="136" spans="2:3" hidden="1" x14ac:dyDescent="0.25">
      <c r="B136" s="233">
        <f>NvsEndTime</f>
        <v>41754.487789351799</v>
      </c>
      <c r="C136" s="233" t="s">
        <v>212</v>
      </c>
    </row>
    <row r="137" spans="2:3" x14ac:dyDescent="0.25">
      <c r="B137" s="226"/>
      <c r="C137" s="573"/>
    </row>
    <row r="138" spans="2:3" x14ac:dyDescent="0.25">
      <c r="B138" s="226"/>
      <c r="C138" s="226"/>
    </row>
    <row r="139" spans="2:3" x14ac:dyDescent="0.25">
      <c r="B139" s="226"/>
      <c r="C139" s="226"/>
    </row>
    <row r="140" spans="2:3" x14ac:dyDescent="0.25">
      <c r="B140" s="226"/>
      <c r="C140" s="226"/>
    </row>
    <row r="141" spans="2:3" x14ac:dyDescent="0.25">
      <c r="B141" s="226"/>
      <c r="C141" s="226"/>
    </row>
    <row r="142" spans="2:3" x14ac:dyDescent="0.25">
      <c r="B142" s="226"/>
      <c r="C142" s="226"/>
    </row>
    <row r="143" spans="2:3" x14ac:dyDescent="0.25">
      <c r="B143" s="226"/>
      <c r="C143" s="226"/>
    </row>
    <row r="144" spans="2:3" x14ac:dyDescent="0.25">
      <c r="B144" s="226"/>
      <c r="C144" s="226"/>
    </row>
    <row r="145" spans="2:3" x14ac:dyDescent="0.25">
      <c r="B145" s="226"/>
      <c r="C145" s="226"/>
    </row>
    <row r="146" spans="2:3" x14ac:dyDescent="0.25">
      <c r="B146" s="226"/>
      <c r="C146" s="226"/>
    </row>
    <row r="147" spans="2:3" x14ac:dyDescent="0.25">
      <c r="B147" s="226"/>
      <c r="C147" s="226"/>
    </row>
    <row r="148" spans="2:3" x14ac:dyDescent="0.25">
      <c r="B148" s="226"/>
      <c r="C148" s="226"/>
    </row>
    <row r="149" spans="2:3" x14ac:dyDescent="0.25">
      <c r="B149" s="226"/>
      <c r="C149" s="226"/>
    </row>
    <row r="150" spans="2:3" x14ac:dyDescent="0.25">
      <c r="B150" s="226"/>
      <c r="C150" s="226"/>
    </row>
    <row r="151" spans="2:3" x14ac:dyDescent="0.25">
      <c r="B151" s="226"/>
      <c r="C151" s="226"/>
    </row>
  </sheetData>
  <mergeCells count="151">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9:W9"/>
    <mergeCell ref="X9:Y9"/>
    <mergeCell ref="Z9:AA9"/>
    <mergeCell ref="V10:W10"/>
    <mergeCell ref="X10:Y10"/>
    <mergeCell ref="Z10:AA10"/>
    <mergeCell ref="V7:W7"/>
    <mergeCell ref="X7:Y7"/>
    <mergeCell ref="Z7:AA7"/>
    <mergeCell ref="AB7:AC7"/>
    <mergeCell ref="V8:W8"/>
    <mergeCell ref="X8:Y8"/>
    <mergeCell ref="Z8:AA8"/>
    <mergeCell ref="W2:AC2"/>
    <mergeCell ref="V3:AC3"/>
    <mergeCell ref="V4:AC4"/>
    <mergeCell ref="V5:W5"/>
    <mergeCell ref="X5:Y5"/>
    <mergeCell ref="V6:AC6"/>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51"/>
  <sheetViews>
    <sheetView topLeftCell="C2" zoomScale="70" zoomScaleNormal="70" workbookViewId="0">
      <selection activeCell="E29" sqref="E29"/>
    </sheetView>
  </sheetViews>
  <sheetFormatPr defaultColWidth="8.85546875" defaultRowHeight="15.75" x14ac:dyDescent="0.25"/>
  <cols>
    <col min="1" max="1" width="11.28515625" style="1" hidden="1" customWidth="1"/>
    <col min="2" max="2" width="10.28515625" style="2" customWidth="1"/>
    <col min="3" max="3" width="29" style="1" customWidth="1"/>
    <col min="4" max="5" width="12.28515625" style="1" customWidth="1"/>
    <col min="6" max="6" width="12.28515625" style="1" hidden="1" customWidth="1"/>
    <col min="7" max="7" width="19" style="1" customWidth="1"/>
    <col min="8" max="8" width="6.7109375" style="1" customWidth="1"/>
    <col min="9" max="9" width="18.28515625" style="1" customWidth="1"/>
    <col min="10" max="10" width="14.5703125" style="1" customWidth="1"/>
    <col min="11" max="11" width="15.5703125" style="1" bestFit="1" customWidth="1"/>
    <col min="12" max="12" width="19" style="1" customWidth="1"/>
    <col min="13" max="13" width="12.5703125" style="1" customWidth="1"/>
    <col min="14" max="14" width="10.5703125" style="1" hidden="1" customWidth="1"/>
    <col min="15" max="15" width="10.5703125" style="3" hidden="1" customWidth="1"/>
    <col min="16" max="16" width="35" style="1" hidden="1" customWidth="1"/>
    <col min="17" max="17" width="7.28515625" style="1" customWidth="1"/>
    <col min="18" max="18" width="8.85546875" style="1"/>
    <col min="19" max="21" width="0" style="1" hidden="1" customWidth="1"/>
    <col min="22" max="22" width="8.85546875" style="1"/>
    <col min="23" max="23" width="14.140625" style="1" bestFit="1" customWidth="1"/>
    <col min="24" max="24" width="12.7109375" style="1" customWidth="1"/>
    <col min="25" max="25" width="8.85546875" style="1"/>
    <col min="26" max="26" width="13.28515625" style="1" bestFit="1" customWidth="1"/>
    <col min="27" max="27" width="9" style="1" bestFit="1" customWidth="1"/>
    <col min="28" max="28" width="14.140625" style="1" bestFit="1" customWidth="1"/>
    <col min="29" max="29" width="17.7109375" style="1" bestFit="1" customWidth="1"/>
    <col min="30" max="16384" width="8.85546875" style="1"/>
  </cols>
  <sheetData>
    <row r="1" spans="1:30" ht="15.6" hidden="1" customHeight="1" thickBot="1" x14ac:dyDescent="0.3">
      <c r="A1" s="1" t="s">
        <v>0</v>
      </c>
      <c r="D1" s="1" t="s">
        <v>1</v>
      </c>
      <c r="E1" s="1" t="s">
        <v>2</v>
      </c>
      <c r="F1" s="1" t="s">
        <v>3</v>
      </c>
    </row>
    <row r="2" spans="1:30" ht="16.5" thickBot="1" x14ac:dyDescent="0.3">
      <c r="B2" s="4">
        <v>50</v>
      </c>
      <c r="C2" s="560" t="s">
        <v>4</v>
      </c>
      <c r="D2" s="561"/>
      <c r="E2" s="561"/>
      <c r="F2" s="561"/>
      <c r="G2" s="561"/>
      <c r="H2" s="562"/>
      <c r="I2" s="562"/>
      <c r="J2" s="562"/>
      <c r="K2" s="562"/>
      <c r="L2" s="562"/>
      <c r="N2" s="3"/>
      <c r="O2" s="1"/>
      <c r="V2" s="8">
        <f>'2941 June final'!B2</f>
        <v>50</v>
      </c>
      <c r="W2" s="670" t="s">
        <v>4</v>
      </c>
      <c r="X2" s="671"/>
      <c r="Y2" s="672"/>
      <c r="Z2" s="672"/>
      <c r="AA2" s="672"/>
      <c r="AB2" s="672"/>
      <c r="AC2" s="672"/>
      <c r="AD2" s="9"/>
    </row>
    <row r="3" spans="1:30" x14ac:dyDescent="0.25">
      <c r="B3" s="13" t="str">
        <f>"Revenue Estimate Worksheet for "&amp;B124</f>
        <v>Revenue Estimate Worksheet for Palm Beach School for Autism</v>
      </c>
      <c r="C3" s="82"/>
      <c r="D3" s="82"/>
      <c r="E3" s="82"/>
      <c r="F3" s="82"/>
      <c r="G3" s="82"/>
      <c r="H3" s="82"/>
      <c r="I3" s="82"/>
      <c r="J3" s="82"/>
      <c r="K3" s="82"/>
      <c r="L3" s="82"/>
      <c r="M3" s="13"/>
      <c r="N3" s="13"/>
      <c r="O3" s="13"/>
      <c r="P3" s="13"/>
      <c r="Q3" s="13"/>
      <c r="V3" s="610" t="s">
        <v>5</v>
      </c>
      <c r="W3" s="610"/>
      <c r="X3" s="610"/>
      <c r="Y3" s="610"/>
      <c r="Z3" s="610"/>
      <c r="AA3" s="610"/>
      <c r="AB3" s="610"/>
      <c r="AC3" s="610"/>
      <c r="AD3" s="191"/>
    </row>
    <row r="4" spans="1:30" x14ac:dyDescent="0.25">
      <c r="B4" s="2" t="s">
        <v>6</v>
      </c>
      <c r="C4" s="13"/>
      <c r="D4" s="13"/>
      <c r="E4" s="13"/>
      <c r="F4" s="13"/>
      <c r="G4" s="13"/>
      <c r="H4" s="13"/>
      <c r="I4" s="13"/>
      <c r="J4" s="13"/>
      <c r="K4" s="13"/>
      <c r="L4" s="13"/>
      <c r="M4" s="13"/>
      <c r="N4" s="13"/>
      <c r="O4" s="13"/>
      <c r="P4" s="13"/>
      <c r="Q4" s="13"/>
      <c r="V4" s="610" t="str">
        <f>+Based_on_the_Second_Calculation_of_the_FEFP_2010_11</f>
        <v>Based on the Fourth Calculation of the FEFP 2013-14</v>
      </c>
      <c r="W4" s="610"/>
      <c r="X4" s="610"/>
      <c r="Y4" s="610"/>
      <c r="Z4" s="610"/>
      <c r="AA4" s="610"/>
      <c r="AB4" s="610"/>
      <c r="AC4" s="610"/>
      <c r="AD4" s="191"/>
    </row>
    <row r="5" spans="1:30" ht="18.75" customHeight="1" x14ac:dyDescent="0.25">
      <c r="B5" s="16" t="s">
        <v>7</v>
      </c>
      <c r="C5" s="16"/>
      <c r="D5" s="16"/>
      <c r="E5" s="16"/>
      <c r="F5" s="16"/>
      <c r="G5" s="17" t="s">
        <v>8</v>
      </c>
      <c r="H5" s="17"/>
      <c r="I5" s="17"/>
      <c r="J5" s="17"/>
      <c r="K5" s="17"/>
      <c r="L5" s="17"/>
      <c r="M5" s="18"/>
      <c r="N5" s="18"/>
      <c r="O5" s="18"/>
      <c r="P5" s="18"/>
      <c r="Q5" s="18"/>
      <c r="V5" s="611" t="s">
        <v>7</v>
      </c>
      <c r="W5" s="611"/>
      <c r="X5" s="612" t="s">
        <v>8</v>
      </c>
      <c r="Y5" s="612"/>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613" t="s">
        <v>9</v>
      </c>
      <c r="W6" s="613"/>
      <c r="X6" s="613"/>
      <c r="Y6" s="613"/>
      <c r="Z6" s="613"/>
      <c r="AA6" s="613"/>
      <c r="AB6" s="613"/>
      <c r="AC6" s="613"/>
      <c r="AD6" s="22"/>
    </row>
    <row r="7" spans="1:30" ht="18" customHeight="1" x14ac:dyDescent="0.25">
      <c r="B7" s="23" t="s">
        <v>10</v>
      </c>
      <c r="C7" s="23"/>
      <c r="D7" s="23"/>
      <c r="E7" s="23"/>
      <c r="F7" s="23"/>
      <c r="G7" s="563">
        <v>3752.3</v>
      </c>
      <c r="H7" s="563"/>
      <c r="I7" s="23" t="s">
        <v>11</v>
      </c>
      <c r="J7" s="23"/>
      <c r="K7" s="25">
        <v>1.0326</v>
      </c>
      <c r="L7" s="25"/>
      <c r="O7" s="1"/>
      <c r="V7" s="620" t="s">
        <v>10</v>
      </c>
      <c r="W7" s="620"/>
      <c r="X7" s="673">
        <f>'2941 June final'!G7</f>
        <v>3752.3</v>
      </c>
      <c r="Y7" s="673"/>
      <c r="Z7" s="622" t="s">
        <v>11</v>
      </c>
      <c r="AA7" s="622"/>
      <c r="AB7" s="602">
        <f>+K7</f>
        <v>1.0326</v>
      </c>
      <c r="AC7" s="602"/>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603" t="s">
        <v>12</v>
      </c>
      <c r="W8" s="603"/>
      <c r="X8" s="604" t="s">
        <v>15</v>
      </c>
      <c r="Y8" s="604"/>
      <c r="Z8" s="605" t="s">
        <v>16</v>
      </c>
      <c r="AA8" s="605"/>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614" t="s">
        <v>22</v>
      </c>
      <c r="W9" s="614"/>
      <c r="X9" s="615" t="s">
        <v>23</v>
      </c>
      <c r="Y9" s="615"/>
      <c r="Z9" s="616" t="s">
        <v>24</v>
      </c>
      <c r="AA9" s="616"/>
      <c r="AB9" s="43" t="s">
        <v>25</v>
      </c>
      <c r="AC9" s="44" t="s">
        <v>26</v>
      </c>
      <c r="AD9" s="9"/>
    </row>
    <row r="10" spans="1:30" x14ac:dyDescent="0.25">
      <c r="A10" s="1" t="s">
        <v>27</v>
      </c>
      <c r="B10" s="45" t="s">
        <v>28</v>
      </c>
      <c r="C10" s="45"/>
      <c r="D10" s="45">
        <v>0</v>
      </c>
      <c r="E10" s="45">
        <v>0</v>
      </c>
      <c r="F10" s="45">
        <v>0</v>
      </c>
      <c r="G10" s="46">
        <f>D10+E10</f>
        <v>0</v>
      </c>
      <c r="H10" s="47"/>
      <c r="I10" s="48">
        <v>1.125</v>
      </c>
      <c r="J10" s="48"/>
      <c r="K10" s="49">
        <f>ROUND(G10*I10,4)</f>
        <v>0</v>
      </c>
      <c r="L10" s="50">
        <f>ROUND(ROUND(K10*$G$7,4)*($K$7),0)</f>
        <v>0</v>
      </c>
      <c r="N10" s="51">
        <v>5101</v>
      </c>
      <c r="O10" s="564">
        <v>101</v>
      </c>
      <c r="P10" s="53"/>
      <c r="Q10" s="565"/>
      <c r="V10" s="617" t="s">
        <v>28</v>
      </c>
      <c r="W10" s="617"/>
      <c r="X10" s="618">
        <f>IF('2941 June final'!K$84=1,'2941 June final'!G10,0)</f>
        <v>0</v>
      </c>
      <c r="Y10" s="618"/>
      <c r="Z10" s="619">
        <v>1</v>
      </c>
      <c r="AA10" s="619"/>
      <c r="AB10" s="55">
        <f t="shared" ref="AB10:AB25" si="0">ROUND(X10*Z10,4)</f>
        <v>0</v>
      </c>
      <c r="AC10" s="56">
        <f t="shared" ref="AC10:AC25" si="1">ROUND(ROUND(AB10*$X$7,4)*($AB$7),0)</f>
        <v>0</v>
      </c>
      <c r="AD10" s="9">
        <v>1</v>
      </c>
    </row>
    <row r="11" spans="1:30" x14ac:dyDescent="0.25">
      <c r="A11" s="1" t="s">
        <v>29</v>
      </c>
      <c r="B11" s="13" t="s">
        <v>30</v>
      </c>
      <c r="C11" s="13"/>
      <c r="D11" s="13">
        <v>10.97</v>
      </c>
      <c r="E11" s="13">
        <v>9.93</v>
      </c>
      <c r="F11" s="13">
        <v>11.8</v>
      </c>
      <c r="G11" s="46">
        <f>D11+E11</f>
        <v>20.9</v>
      </c>
      <c r="H11" s="47"/>
      <c r="I11" s="57">
        <f>I10</f>
        <v>1.125</v>
      </c>
      <c r="J11" s="57"/>
      <c r="K11" s="49">
        <f t="shared" ref="K11:K25" si="2">ROUND(G11*I11,4)</f>
        <v>23.512499999999999</v>
      </c>
      <c r="L11" s="50">
        <f t="shared" ref="L11:L25" si="3">ROUND(ROUND(K11*$G$7,4)*($K$7),0)</f>
        <v>91102</v>
      </c>
      <c r="M11" s="1" t="str">
        <f>IF(ROUND(G11,2)=ROUND(SUM(G28:G30),2)," ","CHECK 2. PK-3 Lines Below")</f>
        <v xml:space="preserve"> </v>
      </c>
      <c r="N11" s="51">
        <v>5101</v>
      </c>
      <c r="O11" s="58" t="s">
        <v>31</v>
      </c>
      <c r="P11" s="53"/>
      <c r="Q11" s="565"/>
      <c r="V11" s="623" t="s">
        <v>30</v>
      </c>
      <c r="W11" s="623"/>
      <c r="X11" s="618">
        <f>IF('2941 June final'!K$84=1,'2941 June final'!G11,0)</f>
        <v>20.9</v>
      </c>
      <c r="Y11" s="618"/>
      <c r="Z11" s="624">
        <v>1</v>
      </c>
      <c r="AA11" s="624"/>
      <c r="AB11" s="55">
        <f t="shared" si="0"/>
        <v>20.9</v>
      </c>
      <c r="AC11" s="56">
        <f t="shared" si="1"/>
        <v>80980</v>
      </c>
      <c r="AD11" s="9"/>
    </row>
    <row r="12" spans="1:30" x14ac:dyDescent="0.25">
      <c r="A12" s="1" t="s">
        <v>32</v>
      </c>
      <c r="B12" s="13" t="s">
        <v>33</v>
      </c>
      <c r="C12" s="13"/>
      <c r="D12" s="13">
        <v>0</v>
      </c>
      <c r="E12" s="13">
        <v>0</v>
      </c>
      <c r="F12" s="13">
        <v>0</v>
      </c>
      <c r="G12" s="46">
        <f t="shared" ref="G12:G25" si="4">D12+E12</f>
        <v>0</v>
      </c>
      <c r="H12" s="47"/>
      <c r="I12" s="57">
        <v>1</v>
      </c>
      <c r="J12" s="57"/>
      <c r="K12" s="49">
        <f t="shared" si="2"/>
        <v>0</v>
      </c>
      <c r="L12" s="50">
        <f t="shared" si="3"/>
        <v>0</v>
      </c>
      <c r="N12" s="51">
        <v>5102</v>
      </c>
      <c r="O12" s="564">
        <v>102</v>
      </c>
      <c r="P12" s="53"/>
      <c r="Q12" s="565"/>
      <c r="V12" s="623" t="s">
        <v>33</v>
      </c>
      <c r="W12" s="623"/>
      <c r="X12" s="618">
        <f>IF('2941 June final'!K$84=1,'2941 June final'!G12,0)</f>
        <v>0</v>
      </c>
      <c r="Y12" s="618"/>
      <c r="Z12" s="624">
        <v>1</v>
      </c>
      <c r="AA12" s="624"/>
      <c r="AB12" s="55">
        <f t="shared" si="0"/>
        <v>0</v>
      </c>
      <c r="AC12" s="56">
        <f t="shared" si="1"/>
        <v>0</v>
      </c>
      <c r="AD12" s="9"/>
    </row>
    <row r="13" spans="1:30" x14ac:dyDescent="0.25">
      <c r="A13" s="1" t="s">
        <v>34</v>
      </c>
      <c r="B13" s="13" t="s">
        <v>35</v>
      </c>
      <c r="C13" s="13"/>
      <c r="D13" s="13">
        <v>8.01</v>
      </c>
      <c r="E13" s="13">
        <v>6.98</v>
      </c>
      <c r="F13" s="13">
        <v>8.8000000000000007</v>
      </c>
      <c r="G13" s="46">
        <f t="shared" si="4"/>
        <v>14.99</v>
      </c>
      <c r="H13" s="47"/>
      <c r="I13" s="57">
        <f>I12</f>
        <v>1</v>
      </c>
      <c r="J13" s="57"/>
      <c r="K13" s="49">
        <f t="shared" si="2"/>
        <v>14.99</v>
      </c>
      <c r="L13" s="50">
        <f t="shared" si="3"/>
        <v>58081</v>
      </c>
      <c r="M13" s="1" t="str">
        <f>IF(ROUND(G13,2)=ROUND(SUM(G31:G33),2)," ","CHECK 2. PK-3 Lines Below")</f>
        <v xml:space="preserve"> </v>
      </c>
      <c r="N13" s="51">
        <v>5102</v>
      </c>
      <c r="O13" s="58" t="s">
        <v>36</v>
      </c>
      <c r="P13" s="53"/>
      <c r="Q13" s="565"/>
      <c r="V13" s="623" t="s">
        <v>35</v>
      </c>
      <c r="W13" s="623"/>
      <c r="X13" s="618">
        <f>IF('2941 June final'!K$84=1,'2941 June final'!G13,0)</f>
        <v>14.99</v>
      </c>
      <c r="Y13" s="618"/>
      <c r="Z13" s="624">
        <v>1</v>
      </c>
      <c r="AA13" s="624"/>
      <c r="AB13" s="55">
        <f t="shared" si="0"/>
        <v>14.99</v>
      </c>
      <c r="AC13" s="56">
        <f t="shared" si="1"/>
        <v>58081</v>
      </c>
      <c r="AD13" s="9"/>
    </row>
    <row r="14" spans="1:30" x14ac:dyDescent="0.25">
      <c r="A14" s="1" t="s">
        <v>37</v>
      </c>
      <c r="B14" s="13" t="s">
        <v>38</v>
      </c>
      <c r="C14" s="13"/>
      <c r="D14" s="13">
        <v>0</v>
      </c>
      <c r="E14" s="13">
        <v>0</v>
      </c>
      <c r="F14" s="13">
        <v>0</v>
      </c>
      <c r="G14" s="46">
        <f t="shared" si="4"/>
        <v>0</v>
      </c>
      <c r="H14" s="47"/>
      <c r="I14" s="57">
        <v>1.0109999999999999</v>
      </c>
      <c r="J14" s="57"/>
      <c r="K14" s="49">
        <f t="shared" si="2"/>
        <v>0</v>
      </c>
      <c r="L14" s="50">
        <f t="shared" si="3"/>
        <v>0</v>
      </c>
      <c r="N14" s="51">
        <v>5103</v>
      </c>
      <c r="O14" s="564">
        <v>103</v>
      </c>
      <c r="P14" s="53"/>
      <c r="Q14" s="565"/>
      <c r="V14" s="623" t="s">
        <v>38</v>
      </c>
      <c r="W14" s="623"/>
      <c r="X14" s="618">
        <f>IF('2941 June final'!K$84=1,'2941 June final'!G14,0)</f>
        <v>0</v>
      </c>
      <c r="Y14" s="618"/>
      <c r="Z14" s="624">
        <v>1</v>
      </c>
      <c r="AA14" s="624"/>
      <c r="AB14" s="55">
        <f t="shared" si="0"/>
        <v>0</v>
      </c>
      <c r="AC14" s="56">
        <f t="shared" si="1"/>
        <v>0</v>
      </c>
      <c r="AD14" s="9"/>
    </row>
    <row r="15" spans="1:30" x14ac:dyDescent="0.25">
      <c r="A15" s="1" t="s">
        <v>39</v>
      </c>
      <c r="B15" s="13" t="s">
        <v>40</v>
      </c>
      <c r="C15" s="13"/>
      <c r="D15" s="13">
        <v>1</v>
      </c>
      <c r="E15" s="13">
        <v>1</v>
      </c>
      <c r="F15" s="13">
        <v>0</v>
      </c>
      <c r="G15" s="46">
        <f t="shared" si="4"/>
        <v>2</v>
      </c>
      <c r="H15" s="47"/>
      <c r="I15" s="57">
        <f>I14</f>
        <v>1.0109999999999999</v>
      </c>
      <c r="J15" s="57"/>
      <c r="K15" s="49">
        <f t="shared" si="2"/>
        <v>2.0219999999999998</v>
      </c>
      <c r="L15" s="59">
        <f t="shared" si="3"/>
        <v>7834</v>
      </c>
      <c r="M15" s="1" t="str">
        <f>IF(ROUND(G15,2)=ROUND(SUM(G34:G36),2)," ","CHECK 2. PK-3 Lines Below")</f>
        <v xml:space="preserve"> </v>
      </c>
      <c r="N15" s="51">
        <v>5103</v>
      </c>
      <c r="O15" s="58" t="s">
        <v>41</v>
      </c>
      <c r="P15" s="53"/>
      <c r="Q15" s="565"/>
      <c r="V15" s="623" t="s">
        <v>40</v>
      </c>
      <c r="W15" s="623"/>
      <c r="X15" s="618">
        <f>IF('2941 June final'!K$84=1,'2941 June final'!G15,0)</f>
        <v>2</v>
      </c>
      <c r="Y15" s="618"/>
      <c r="Z15" s="624">
        <v>1</v>
      </c>
      <c r="AA15" s="624"/>
      <c r="AB15" s="55">
        <f t="shared" si="0"/>
        <v>2</v>
      </c>
      <c r="AC15" s="60">
        <f t="shared" si="1"/>
        <v>7749</v>
      </c>
      <c r="AD15" s="9"/>
    </row>
    <row r="16" spans="1:30" x14ac:dyDescent="0.25">
      <c r="A16" s="1" t="s">
        <v>42</v>
      </c>
      <c r="B16" s="13" t="s">
        <v>43</v>
      </c>
      <c r="C16" s="13"/>
      <c r="D16" s="13">
        <v>40.86</v>
      </c>
      <c r="E16" s="13">
        <v>39.5</v>
      </c>
      <c r="F16" s="13">
        <v>76.89</v>
      </c>
      <c r="G16" s="46">
        <f t="shared" si="4"/>
        <v>80.36</v>
      </c>
      <c r="H16" s="47"/>
      <c r="I16" s="57">
        <v>3.5579999999999998</v>
      </c>
      <c r="J16" s="57"/>
      <c r="K16" s="49">
        <f t="shared" si="2"/>
        <v>285.92090000000002</v>
      </c>
      <c r="L16" s="50">
        <f t="shared" si="3"/>
        <v>1107836</v>
      </c>
      <c r="N16" s="51">
        <v>5101</v>
      </c>
      <c r="O16" s="53">
        <v>254</v>
      </c>
      <c r="P16" s="53"/>
      <c r="Q16" s="565"/>
      <c r="V16" s="623" t="s">
        <v>43</v>
      </c>
      <c r="W16" s="623"/>
      <c r="X16" s="618">
        <f>IF('2941 June final'!K$84=1,'2941 June final'!G16,0)</f>
        <v>80.36</v>
      </c>
      <c r="Y16" s="618"/>
      <c r="Z16" s="624">
        <v>1</v>
      </c>
      <c r="AA16" s="624"/>
      <c r="AB16" s="55">
        <f t="shared" si="0"/>
        <v>80.36</v>
      </c>
      <c r="AC16" s="56">
        <f t="shared" si="1"/>
        <v>311365</v>
      </c>
      <c r="AD16" s="9"/>
    </row>
    <row r="17" spans="1:30" x14ac:dyDescent="0.25">
      <c r="A17" s="1" t="s">
        <v>44</v>
      </c>
      <c r="B17" s="13" t="s">
        <v>45</v>
      </c>
      <c r="C17" s="13"/>
      <c r="D17" s="13">
        <v>27</v>
      </c>
      <c r="E17" s="13">
        <v>25.96</v>
      </c>
      <c r="F17" s="13">
        <v>76.89</v>
      </c>
      <c r="G17" s="46">
        <f t="shared" si="4"/>
        <v>52.96</v>
      </c>
      <c r="H17" s="47"/>
      <c r="I17" s="57">
        <f>I16</f>
        <v>3.5579999999999998</v>
      </c>
      <c r="J17" s="57"/>
      <c r="K17" s="49">
        <f t="shared" si="2"/>
        <v>188.43170000000001</v>
      </c>
      <c r="L17" s="50">
        <f t="shared" si="3"/>
        <v>730102</v>
      </c>
      <c r="N17" s="51">
        <v>5102</v>
      </c>
      <c r="O17" s="565">
        <v>254</v>
      </c>
      <c r="P17" s="53"/>
      <c r="Q17" s="565"/>
      <c r="V17" s="623" t="s">
        <v>45</v>
      </c>
      <c r="W17" s="623"/>
      <c r="X17" s="618">
        <f>IF('2941 June final'!K$84=1,'2941 June final'!G17,0)</f>
        <v>52.96</v>
      </c>
      <c r="Y17" s="618"/>
      <c r="Z17" s="624">
        <v>1</v>
      </c>
      <c r="AA17" s="624"/>
      <c r="AB17" s="55">
        <f t="shared" si="0"/>
        <v>52.96</v>
      </c>
      <c r="AC17" s="56">
        <f t="shared" si="1"/>
        <v>205200</v>
      </c>
      <c r="AD17" s="9"/>
    </row>
    <row r="18" spans="1:30" x14ac:dyDescent="0.25">
      <c r="A18" s="1" t="s">
        <v>46</v>
      </c>
      <c r="B18" s="13" t="s">
        <v>47</v>
      </c>
      <c r="C18" s="13"/>
      <c r="D18" s="13">
        <v>3.5</v>
      </c>
      <c r="E18" s="13">
        <v>3</v>
      </c>
      <c r="F18" s="13">
        <v>0</v>
      </c>
      <c r="G18" s="46">
        <f t="shared" si="4"/>
        <v>6.5</v>
      </c>
      <c r="H18" s="47"/>
      <c r="I18" s="57">
        <f>I17</f>
        <v>3.5579999999999998</v>
      </c>
      <c r="J18" s="57"/>
      <c r="K18" s="49">
        <f t="shared" si="2"/>
        <v>23.126999999999999</v>
      </c>
      <c r="L18" s="50">
        <f t="shared" si="3"/>
        <v>89608</v>
      </c>
      <c r="N18" s="51">
        <v>5103</v>
      </c>
      <c r="O18" s="565">
        <v>254</v>
      </c>
      <c r="P18" s="53"/>
      <c r="Q18" s="565"/>
      <c r="V18" s="623" t="s">
        <v>47</v>
      </c>
      <c r="W18" s="623"/>
      <c r="X18" s="618">
        <f>IF('2941 June final'!K$84=1,'2941 June final'!G18,0)</f>
        <v>6.5</v>
      </c>
      <c r="Y18" s="618"/>
      <c r="Z18" s="624">
        <v>1</v>
      </c>
      <c r="AA18" s="624"/>
      <c r="AB18" s="55">
        <f t="shared" si="0"/>
        <v>6.5</v>
      </c>
      <c r="AC18" s="56">
        <f t="shared" si="1"/>
        <v>25185</v>
      </c>
      <c r="AD18" s="9"/>
    </row>
    <row r="19" spans="1:30" ht="15" customHeight="1" x14ac:dyDescent="0.25">
      <c r="A19" s="1" t="s">
        <v>48</v>
      </c>
      <c r="B19" s="13" t="s">
        <v>49</v>
      </c>
      <c r="C19" s="13"/>
      <c r="D19" s="13">
        <v>13</v>
      </c>
      <c r="E19" s="13">
        <v>15.5</v>
      </c>
      <c r="F19" s="13">
        <v>34.1</v>
      </c>
      <c r="G19" s="46">
        <f t="shared" si="4"/>
        <v>28.5</v>
      </c>
      <c r="H19" s="47"/>
      <c r="I19" s="57">
        <v>5.0890000000000004</v>
      </c>
      <c r="J19" s="57"/>
      <c r="K19" s="49">
        <f t="shared" si="2"/>
        <v>145.03649999999999</v>
      </c>
      <c r="L19" s="50">
        <f t="shared" si="3"/>
        <v>561962</v>
      </c>
      <c r="N19" s="51">
        <v>5101</v>
      </c>
      <c r="O19" s="53">
        <v>255</v>
      </c>
      <c r="P19" s="53"/>
      <c r="Q19" s="565"/>
      <c r="V19" s="623" t="s">
        <v>49</v>
      </c>
      <c r="W19" s="623"/>
      <c r="X19" s="618">
        <f>IF('2941 June final'!K$84=1,'2941 June final'!G19,0)</f>
        <v>28.5</v>
      </c>
      <c r="Y19" s="618"/>
      <c r="Z19" s="624">
        <v>1</v>
      </c>
      <c r="AA19" s="624"/>
      <c r="AB19" s="55">
        <f t="shared" si="0"/>
        <v>28.5</v>
      </c>
      <c r="AC19" s="56">
        <f t="shared" si="1"/>
        <v>110427</v>
      </c>
      <c r="AD19" s="9"/>
    </row>
    <row r="20" spans="1:30" ht="15" customHeight="1" x14ac:dyDescent="0.25">
      <c r="A20" s="1" t="s">
        <v>50</v>
      </c>
      <c r="B20" s="13" t="s">
        <v>51</v>
      </c>
      <c r="C20" s="13"/>
      <c r="D20" s="13">
        <v>16.5</v>
      </c>
      <c r="E20" s="13">
        <v>16</v>
      </c>
      <c r="F20" s="13">
        <v>34.1</v>
      </c>
      <c r="G20" s="46">
        <f t="shared" si="4"/>
        <v>32.5</v>
      </c>
      <c r="H20" s="47"/>
      <c r="I20" s="57">
        <f>I19</f>
        <v>5.0890000000000004</v>
      </c>
      <c r="J20" s="57"/>
      <c r="K20" s="49">
        <f t="shared" si="2"/>
        <v>165.39250000000001</v>
      </c>
      <c r="L20" s="50">
        <f t="shared" si="3"/>
        <v>640834</v>
      </c>
      <c r="N20" s="51">
        <v>5102</v>
      </c>
      <c r="O20" s="565">
        <v>255</v>
      </c>
      <c r="P20" s="53"/>
      <c r="Q20" s="565"/>
      <c r="V20" s="623" t="s">
        <v>51</v>
      </c>
      <c r="W20" s="623"/>
      <c r="X20" s="618">
        <f>IF('2941 June final'!K$84=1,'2941 June final'!G20,0)</f>
        <v>32.5</v>
      </c>
      <c r="Y20" s="618"/>
      <c r="Z20" s="624">
        <v>1</v>
      </c>
      <c r="AA20" s="624"/>
      <c r="AB20" s="55">
        <f t="shared" si="0"/>
        <v>32.5</v>
      </c>
      <c r="AC20" s="56">
        <f t="shared" si="1"/>
        <v>125925</v>
      </c>
      <c r="AD20" s="9"/>
    </row>
    <row r="21" spans="1:30" ht="15" customHeight="1" x14ac:dyDescent="0.25">
      <c r="A21" s="1" t="s">
        <v>52</v>
      </c>
      <c r="B21" s="13" t="s">
        <v>53</v>
      </c>
      <c r="C21" s="13"/>
      <c r="D21" s="13">
        <v>1.5</v>
      </c>
      <c r="E21" s="13">
        <v>1.5</v>
      </c>
      <c r="F21" s="13">
        <v>0</v>
      </c>
      <c r="G21" s="46">
        <f t="shared" si="4"/>
        <v>3</v>
      </c>
      <c r="H21" s="47"/>
      <c r="I21" s="57">
        <f>I20</f>
        <v>5.0890000000000004</v>
      </c>
      <c r="J21" s="57"/>
      <c r="K21" s="49">
        <f t="shared" si="2"/>
        <v>15.266999999999999</v>
      </c>
      <c r="L21" s="50">
        <f t="shared" si="3"/>
        <v>59154</v>
      </c>
      <c r="N21" s="51">
        <v>5103</v>
      </c>
      <c r="O21" s="565">
        <v>255</v>
      </c>
      <c r="P21" s="53"/>
      <c r="Q21" s="565"/>
      <c r="V21" s="623" t="s">
        <v>53</v>
      </c>
      <c r="W21" s="623"/>
      <c r="X21" s="618">
        <f>IF('2941 June final'!K$84=1,'2941 June final'!G21,0)</f>
        <v>3</v>
      </c>
      <c r="Y21" s="618"/>
      <c r="Z21" s="624">
        <v>1</v>
      </c>
      <c r="AA21" s="624"/>
      <c r="AB21" s="55">
        <f t="shared" si="0"/>
        <v>3</v>
      </c>
      <c r="AC21" s="56">
        <f t="shared" si="1"/>
        <v>11624</v>
      </c>
      <c r="AD21" s="9"/>
    </row>
    <row r="22" spans="1:30" x14ac:dyDescent="0.25">
      <c r="A22" s="1" t="s">
        <v>54</v>
      </c>
      <c r="B22" s="13" t="s">
        <v>55</v>
      </c>
      <c r="C22" s="13"/>
      <c r="D22" s="13">
        <v>0</v>
      </c>
      <c r="E22" s="13">
        <v>0</v>
      </c>
      <c r="F22" s="13">
        <v>0</v>
      </c>
      <c r="G22" s="46">
        <f t="shared" si="4"/>
        <v>0</v>
      </c>
      <c r="H22" s="47"/>
      <c r="I22" s="57">
        <v>1.145</v>
      </c>
      <c r="J22" s="57"/>
      <c r="K22" s="49">
        <f t="shared" si="2"/>
        <v>0</v>
      </c>
      <c r="L22" s="50">
        <f t="shared" si="3"/>
        <v>0</v>
      </c>
      <c r="N22" s="51">
        <v>5101</v>
      </c>
      <c r="O22" s="564">
        <v>130</v>
      </c>
      <c r="P22" s="53"/>
      <c r="Q22" s="565"/>
      <c r="V22" s="623" t="s">
        <v>55</v>
      </c>
      <c r="W22" s="623"/>
      <c r="X22" s="618">
        <f>IF('2941 June final'!K$84=1,'2941 June final'!G22,0)</f>
        <v>0</v>
      </c>
      <c r="Y22" s="618"/>
      <c r="Z22" s="624">
        <v>1</v>
      </c>
      <c r="AA22" s="624"/>
      <c r="AB22" s="55">
        <f t="shared" si="0"/>
        <v>0</v>
      </c>
      <c r="AC22" s="56">
        <f t="shared" si="1"/>
        <v>0</v>
      </c>
      <c r="AD22" s="9"/>
    </row>
    <row r="23" spans="1:30" x14ac:dyDescent="0.25">
      <c r="A23" s="1" t="s">
        <v>56</v>
      </c>
      <c r="B23" s="13" t="s">
        <v>57</v>
      </c>
      <c r="C23" s="13"/>
      <c r="D23" s="13">
        <v>0</v>
      </c>
      <c r="E23" s="13">
        <v>0</v>
      </c>
      <c r="F23" s="13">
        <v>0</v>
      </c>
      <c r="G23" s="46">
        <f t="shared" si="4"/>
        <v>0</v>
      </c>
      <c r="H23" s="47"/>
      <c r="I23" s="57">
        <f>I22</f>
        <v>1.145</v>
      </c>
      <c r="J23" s="57"/>
      <c r="K23" s="49">
        <f t="shared" si="2"/>
        <v>0</v>
      </c>
      <c r="L23" s="50">
        <f t="shared" si="3"/>
        <v>0</v>
      </c>
      <c r="N23" s="51">
        <v>5102</v>
      </c>
      <c r="O23" s="564">
        <v>130</v>
      </c>
      <c r="P23" s="53"/>
      <c r="Q23" s="565"/>
      <c r="V23" s="623" t="s">
        <v>57</v>
      </c>
      <c r="W23" s="623"/>
      <c r="X23" s="618">
        <f>IF('2941 June final'!K$84=1,'2941 June final'!G23,0)</f>
        <v>0</v>
      </c>
      <c r="Y23" s="618"/>
      <c r="Z23" s="624">
        <v>1</v>
      </c>
      <c r="AA23" s="624"/>
      <c r="AB23" s="55">
        <f t="shared" si="0"/>
        <v>0</v>
      </c>
      <c r="AC23" s="56">
        <f t="shared" si="1"/>
        <v>0</v>
      </c>
      <c r="AD23" s="9"/>
    </row>
    <row r="24" spans="1:30" x14ac:dyDescent="0.25">
      <c r="A24" s="1" t="s">
        <v>58</v>
      </c>
      <c r="B24" s="13" t="s">
        <v>59</v>
      </c>
      <c r="C24" s="13"/>
      <c r="D24" s="13">
        <v>0</v>
      </c>
      <c r="E24" s="13">
        <v>0</v>
      </c>
      <c r="F24" s="13">
        <v>0</v>
      </c>
      <c r="G24" s="46">
        <f t="shared" si="4"/>
        <v>0</v>
      </c>
      <c r="H24" s="47"/>
      <c r="I24" s="57">
        <f>I23</f>
        <v>1.145</v>
      </c>
      <c r="J24" s="57"/>
      <c r="K24" s="49">
        <f t="shared" si="2"/>
        <v>0</v>
      </c>
      <c r="L24" s="50">
        <f t="shared" si="3"/>
        <v>0</v>
      </c>
      <c r="N24" s="51">
        <v>5103</v>
      </c>
      <c r="O24" s="564">
        <v>130</v>
      </c>
      <c r="P24" s="53"/>
      <c r="Q24" s="565"/>
      <c r="V24" s="623" t="s">
        <v>59</v>
      </c>
      <c r="W24" s="623"/>
      <c r="X24" s="618">
        <f>IF('2941 June final'!K$84=1,'2941 June final'!G24,0)</f>
        <v>0</v>
      </c>
      <c r="Y24" s="618"/>
      <c r="Z24" s="624">
        <v>1</v>
      </c>
      <c r="AA24" s="624"/>
      <c r="AB24" s="55">
        <f t="shared" si="0"/>
        <v>0</v>
      </c>
      <c r="AC24" s="56">
        <f t="shared" si="1"/>
        <v>0</v>
      </c>
      <c r="AD24" s="9"/>
    </row>
    <row r="25" spans="1:30" ht="16.5" thickBot="1" x14ac:dyDescent="0.3">
      <c r="A25" s="1" t="s">
        <v>60</v>
      </c>
      <c r="B25" s="13" t="s">
        <v>61</v>
      </c>
      <c r="C25" s="13"/>
      <c r="D25" s="13">
        <v>0</v>
      </c>
      <c r="E25" s="13">
        <v>0</v>
      </c>
      <c r="F25" s="13">
        <v>0</v>
      </c>
      <c r="G25" s="46">
        <f t="shared" si="4"/>
        <v>0</v>
      </c>
      <c r="H25" s="47"/>
      <c r="I25" s="57">
        <v>1.0109999999999999</v>
      </c>
      <c r="J25" s="57"/>
      <c r="K25" s="49">
        <f t="shared" si="2"/>
        <v>0</v>
      </c>
      <c r="L25" s="50">
        <f t="shared" si="3"/>
        <v>0</v>
      </c>
      <c r="N25" s="51">
        <v>5310</v>
      </c>
      <c r="O25" s="564">
        <v>300</v>
      </c>
      <c r="P25" s="53"/>
      <c r="Q25" s="565"/>
      <c r="V25" s="623" t="s">
        <v>61</v>
      </c>
      <c r="W25" s="623"/>
      <c r="X25" s="618">
        <f>IF('2941 June final'!K$84=1,'2941 June final'!G25,0)</f>
        <v>0</v>
      </c>
      <c r="Y25" s="618"/>
      <c r="Z25" s="624">
        <v>1</v>
      </c>
      <c r="AA25" s="624"/>
      <c r="AB25" s="55">
        <f t="shared" si="0"/>
        <v>0</v>
      </c>
      <c r="AC25" s="56">
        <f t="shared" si="1"/>
        <v>0</v>
      </c>
      <c r="AD25" s="9"/>
    </row>
    <row r="26" spans="1:30" ht="20.25" customHeight="1" thickBot="1" x14ac:dyDescent="0.3">
      <c r="B26" s="62" t="s">
        <v>62</v>
      </c>
      <c r="C26" s="62"/>
      <c r="D26" s="63">
        <f t="shared" ref="D26:E26" si="5">SUM(D10:D25)</f>
        <v>122.34</v>
      </c>
      <c r="E26" s="63">
        <f t="shared" si="5"/>
        <v>119.37</v>
      </c>
      <c r="F26" s="63"/>
      <c r="G26" s="63">
        <f>SUM(G10:G25)</f>
        <v>241.71</v>
      </c>
      <c r="H26" s="64"/>
      <c r="I26" s="64"/>
      <c r="J26" s="65"/>
      <c r="K26" s="66">
        <f>SUM(K10:K25)</f>
        <v>863.70010000000013</v>
      </c>
      <c r="L26" s="67">
        <f>SUM(L10:L25)</f>
        <v>3346513</v>
      </c>
      <c r="N26" s="565"/>
      <c r="O26" s="68"/>
      <c r="P26" s="565"/>
      <c r="Q26" s="565"/>
      <c r="V26" s="625" t="s">
        <v>62</v>
      </c>
      <c r="W26" s="625"/>
      <c r="X26" s="626">
        <f>SUM(X10:X25)</f>
        <v>241.71</v>
      </c>
      <c r="Y26" s="626"/>
      <c r="Z26" s="627"/>
      <c r="AA26" s="628"/>
      <c r="AB26" s="69">
        <f>SUM(AB10:AB25)</f>
        <v>241.71</v>
      </c>
      <c r="AC26" s="70">
        <f>SUM(AC10:AC25)</f>
        <v>936536</v>
      </c>
      <c r="AD26" s="9"/>
    </row>
    <row r="27" spans="1:30" ht="51.75" customHeight="1" x14ac:dyDescent="0.25">
      <c r="B27" s="62" t="s">
        <v>63</v>
      </c>
      <c r="C27" s="62"/>
      <c r="D27" s="71" t="s">
        <v>13</v>
      </c>
      <c r="E27" s="71" t="s">
        <v>14</v>
      </c>
      <c r="F27" s="27"/>
      <c r="G27" s="72" t="s">
        <v>64</v>
      </c>
      <c r="H27" s="73"/>
      <c r="I27" s="74" t="s">
        <v>65</v>
      </c>
      <c r="J27" s="74" t="s">
        <v>66</v>
      </c>
      <c r="K27" s="75" t="s">
        <v>67</v>
      </c>
      <c r="N27" s="565"/>
      <c r="O27" s="68"/>
      <c r="P27" s="565"/>
      <c r="Q27" s="565"/>
      <c r="V27" s="629" t="s">
        <v>63</v>
      </c>
      <c r="W27" s="629"/>
      <c r="X27" s="630" t="s">
        <v>64</v>
      </c>
      <c r="Y27" s="630"/>
      <c r="Z27" s="76" t="s">
        <v>65</v>
      </c>
      <c r="AA27" s="77" t="s">
        <v>66</v>
      </c>
      <c r="AB27" s="78" t="s">
        <v>67</v>
      </c>
      <c r="AC27" s="9"/>
      <c r="AD27" s="9"/>
    </row>
    <row r="28" spans="1:30" ht="15.75" customHeight="1" x14ac:dyDescent="0.25">
      <c r="A28" s="1" t="s">
        <v>68</v>
      </c>
      <c r="B28" s="631" t="s">
        <v>69</v>
      </c>
      <c r="C28" s="632"/>
      <c r="D28" s="13">
        <v>2</v>
      </c>
      <c r="E28" s="13">
        <v>0.48</v>
      </c>
      <c r="F28" s="79">
        <v>0</v>
      </c>
      <c r="G28" s="46">
        <f t="shared" ref="G28:G36" si="6">D28+E28</f>
        <v>2.48</v>
      </c>
      <c r="H28" s="80"/>
      <c r="I28" s="81" t="s">
        <v>70</v>
      </c>
      <c r="J28" s="82">
        <v>251</v>
      </c>
      <c r="K28" s="83">
        <v>1047</v>
      </c>
      <c r="L28" s="84">
        <f>ROUND(G28*K28,0)</f>
        <v>2597</v>
      </c>
      <c r="N28" s="552">
        <v>5101</v>
      </c>
      <c r="O28" s="565">
        <v>251</v>
      </c>
      <c r="P28" s="86"/>
      <c r="Q28" s="87"/>
      <c r="V28" s="637" t="s">
        <v>69</v>
      </c>
      <c r="W28" s="637"/>
      <c r="X28" s="638"/>
      <c r="Y28" s="638"/>
      <c r="Z28" s="88" t="s">
        <v>70</v>
      </c>
      <c r="AA28" s="558">
        <v>251</v>
      </c>
      <c r="AB28" s="90">
        <f>+K28</f>
        <v>1047</v>
      </c>
      <c r="AC28" s="91">
        <f t="shared" ref="AC28:AC36" si="7">ROUND(X28*AB28,0)</f>
        <v>0</v>
      </c>
      <c r="AD28" s="9"/>
    </row>
    <row r="29" spans="1:30" x14ac:dyDescent="0.25">
      <c r="A29" s="1" t="s">
        <v>71</v>
      </c>
      <c r="B29" s="633"/>
      <c r="C29" s="634"/>
      <c r="D29" s="13">
        <v>0.5</v>
      </c>
      <c r="E29" s="13">
        <v>0.99</v>
      </c>
      <c r="F29" s="92">
        <v>0</v>
      </c>
      <c r="G29" s="46">
        <f t="shared" si="6"/>
        <v>1.49</v>
      </c>
      <c r="H29" s="80"/>
      <c r="I29" s="82" t="s">
        <v>70</v>
      </c>
      <c r="J29" s="82">
        <v>252</v>
      </c>
      <c r="K29" s="83">
        <v>3380</v>
      </c>
      <c r="L29" s="84">
        <f t="shared" ref="L29:L36" si="8">ROUND(G29*K29,0)</f>
        <v>5036</v>
      </c>
      <c r="N29" s="552">
        <v>5101</v>
      </c>
      <c r="O29" s="565">
        <v>252</v>
      </c>
      <c r="P29" s="86"/>
      <c r="Q29" s="87"/>
      <c r="V29" s="637"/>
      <c r="W29" s="637"/>
      <c r="X29" s="638"/>
      <c r="Y29" s="638"/>
      <c r="Z29" s="558" t="s">
        <v>70</v>
      </c>
      <c r="AA29" s="558">
        <v>252</v>
      </c>
      <c r="AB29" s="90">
        <f t="shared" ref="AB29:AB36" si="9">+K29</f>
        <v>3380</v>
      </c>
      <c r="AC29" s="91">
        <f t="shared" si="7"/>
        <v>0</v>
      </c>
      <c r="AD29" s="9"/>
    </row>
    <row r="30" spans="1:30" x14ac:dyDescent="0.25">
      <c r="A30" s="1" t="s">
        <v>72</v>
      </c>
      <c r="B30" s="633"/>
      <c r="C30" s="634"/>
      <c r="D30" s="13">
        <v>8.4700000000000006</v>
      </c>
      <c r="E30" s="13">
        <v>8.4600000000000009</v>
      </c>
      <c r="F30" s="92">
        <v>15.5</v>
      </c>
      <c r="G30" s="46">
        <f t="shared" si="6"/>
        <v>16.93</v>
      </c>
      <c r="H30" s="80"/>
      <c r="I30" s="82" t="s">
        <v>70</v>
      </c>
      <c r="J30" s="82">
        <v>253</v>
      </c>
      <c r="K30" s="83">
        <v>6896</v>
      </c>
      <c r="L30" s="84">
        <f t="shared" si="8"/>
        <v>116749</v>
      </c>
      <c r="N30" s="552">
        <v>5101</v>
      </c>
      <c r="O30" s="565">
        <v>253</v>
      </c>
      <c r="P30" s="86"/>
      <c r="Q30" s="68"/>
      <c r="V30" s="637"/>
      <c r="W30" s="637"/>
      <c r="X30" s="638"/>
      <c r="Y30" s="638"/>
      <c r="Z30" s="558" t="s">
        <v>70</v>
      </c>
      <c r="AA30" s="558">
        <v>253</v>
      </c>
      <c r="AB30" s="90">
        <f t="shared" si="9"/>
        <v>6896</v>
      </c>
      <c r="AC30" s="91">
        <f t="shared" si="7"/>
        <v>0</v>
      </c>
      <c r="AD30" s="9"/>
    </row>
    <row r="31" spans="1:30" x14ac:dyDescent="0.25">
      <c r="A31" s="1" t="s">
        <v>73</v>
      </c>
      <c r="B31" s="633"/>
      <c r="C31" s="634"/>
      <c r="D31" s="13">
        <v>0.5</v>
      </c>
      <c r="E31" s="13">
        <v>0</v>
      </c>
      <c r="F31" s="92">
        <v>0</v>
      </c>
      <c r="G31" s="46">
        <f t="shared" si="6"/>
        <v>0.5</v>
      </c>
      <c r="H31" s="80"/>
      <c r="I31" s="93" t="s">
        <v>74</v>
      </c>
      <c r="J31" s="82">
        <v>251</v>
      </c>
      <c r="K31" s="83">
        <v>1173</v>
      </c>
      <c r="L31" s="84">
        <f t="shared" si="8"/>
        <v>587</v>
      </c>
      <c r="N31" s="552">
        <v>5102</v>
      </c>
      <c r="O31" s="565">
        <v>251</v>
      </c>
      <c r="P31" s="86"/>
      <c r="Q31" s="68"/>
      <c r="V31" s="637"/>
      <c r="W31" s="637"/>
      <c r="X31" s="638"/>
      <c r="Y31" s="638"/>
      <c r="Z31" s="94" t="s">
        <v>74</v>
      </c>
      <c r="AA31" s="558">
        <v>251</v>
      </c>
      <c r="AB31" s="90">
        <f t="shared" si="9"/>
        <v>1173</v>
      </c>
      <c r="AC31" s="91">
        <f t="shared" si="7"/>
        <v>0</v>
      </c>
      <c r="AD31" s="9"/>
    </row>
    <row r="32" spans="1:30" x14ac:dyDescent="0.25">
      <c r="A32" s="1" t="s">
        <v>75</v>
      </c>
      <c r="B32" s="633"/>
      <c r="C32" s="634"/>
      <c r="D32" s="13">
        <v>0</v>
      </c>
      <c r="E32" s="13">
        <v>0</v>
      </c>
      <c r="F32" s="92">
        <v>0</v>
      </c>
      <c r="G32" s="46">
        <f t="shared" si="6"/>
        <v>0</v>
      </c>
      <c r="H32" s="80"/>
      <c r="I32" s="93" t="s">
        <v>74</v>
      </c>
      <c r="J32" s="82">
        <v>252</v>
      </c>
      <c r="K32" s="83">
        <v>3506</v>
      </c>
      <c r="L32" s="84">
        <f t="shared" si="8"/>
        <v>0</v>
      </c>
      <c r="N32" s="552">
        <v>5102</v>
      </c>
      <c r="O32" s="565">
        <v>252</v>
      </c>
      <c r="P32" s="86"/>
      <c r="Q32" s="565"/>
      <c r="V32" s="637"/>
      <c r="W32" s="637"/>
      <c r="X32" s="638"/>
      <c r="Y32" s="638"/>
      <c r="Z32" s="94" t="s">
        <v>74</v>
      </c>
      <c r="AA32" s="558">
        <v>252</v>
      </c>
      <c r="AB32" s="90">
        <f t="shared" si="9"/>
        <v>3506</v>
      </c>
      <c r="AC32" s="91">
        <f t="shared" si="7"/>
        <v>0</v>
      </c>
      <c r="AD32" s="9"/>
    </row>
    <row r="33" spans="1:30" x14ac:dyDescent="0.25">
      <c r="A33" s="1" t="s">
        <v>76</v>
      </c>
      <c r="B33" s="633"/>
      <c r="C33" s="634"/>
      <c r="D33" s="13">
        <v>7.51</v>
      </c>
      <c r="E33" s="13">
        <v>6.98</v>
      </c>
      <c r="F33" s="92">
        <v>10</v>
      </c>
      <c r="G33" s="46">
        <f t="shared" si="6"/>
        <v>14.49</v>
      </c>
      <c r="H33" s="80"/>
      <c r="I33" s="93" t="s">
        <v>74</v>
      </c>
      <c r="J33" s="82">
        <v>253</v>
      </c>
      <c r="K33" s="83">
        <v>7023</v>
      </c>
      <c r="L33" s="84">
        <f t="shared" si="8"/>
        <v>101763</v>
      </c>
      <c r="N33" s="552">
        <v>5102</v>
      </c>
      <c r="O33" s="565">
        <v>253</v>
      </c>
      <c r="P33" s="86"/>
      <c r="Q33" s="87"/>
      <c r="V33" s="637"/>
      <c r="W33" s="637"/>
      <c r="X33" s="638"/>
      <c r="Y33" s="638"/>
      <c r="Z33" s="94" t="s">
        <v>74</v>
      </c>
      <c r="AA33" s="558">
        <v>253</v>
      </c>
      <c r="AB33" s="90">
        <f t="shared" si="9"/>
        <v>7023</v>
      </c>
      <c r="AC33" s="91">
        <f t="shared" si="7"/>
        <v>0</v>
      </c>
      <c r="AD33" s="9"/>
    </row>
    <row r="34" spans="1:30" x14ac:dyDescent="0.25">
      <c r="A34" s="1" t="s">
        <v>77</v>
      </c>
      <c r="B34" s="633"/>
      <c r="C34" s="634"/>
      <c r="D34" s="13">
        <v>0</v>
      </c>
      <c r="E34" s="13">
        <v>0</v>
      </c>
      <c r="F34" s="92">
        <v>0</v>
      </c>
      <c r="G34" s="46">
        <f t="shared" si="6"/>
        <v>0</v>
      </c>
      <c r="H34" s="80"/>
      <c r="I34" s="93" t="s">
        <v>78</v>
      </c>
      <c r="J34" s="82">
        <v>251</v>
      </c>
      <c r="K34" s="83">
        <v>835</v>
      </c>
      <c r="L34" s="84">
        <f t="shared" si="8"/>
        <v>0</v>
      </c>
      <c r="N34" s="552">
        <v>5103</v>
      </c>
      <c r="O34" s="565">
        <v>251</v>
      </c>
      <c r="P34" s="86"/>
      <c r="Q34" s="87"/>
      <c r="V34" s="637"/>
      <c r="W34" s="637"/>
      <c r="X34" s="638"/>
      <c r="Y34" s="638"/>
      <c r="Z34" s="94" t="s">
        <v>78</v>
      </c>
      <c r="AA34" s="558">
        <v>251</v>
      </c>
      <c r="AB34" s="90">
        <f t="shared" si="9"/>
        <v>835</v>
      </c>
      <c r="AC34" s="91">
        <f t="shared" si="7"/>
        <v>0</v>
      </c>
      <c r="AD34" s="9"/>
    </row>
    <row r="35" spans="1:30" x14ac:dyDescent="0.25">
      <c r="A35" s="1" t="s">
        <v>79</v>
      </c>
      <c r="B35" s="633"/>
      <c r="C35" s="634"/>
      <c r="D35" s="13">
        <v>0</v>
      </c>
      <c r="E35" s="13">
        <v>0</v>
      </c>
      <c r="F35" s="92">
        <v>0</v>
      </c>
      <c r="G35" s="46">
        <f t="shared" si="6"/>
        <v>0</v>
      </c>
      <c r="H35" s="80"/>
      <c r="I35" s="93" t="s">
        <v>78</v>
      </c>
      <c r="J35" s="82">
        <v>252</v>
      </c>
      <c r="K35" s="83">
        <v>3168</v>
      </c>
      <c r="L35" s="84">
        <f t="shared" si="8"/>
        <v>0</v>
      </c>
      <c r="N35" s="552">
        <v>5103</v>
      </c>
      <c r="O35" s="565">
        <v>252</v>
      </c>
      <c r="P35" s="86"/>
      <c r="Q35" s="95"/>
      <c r="V35" s="637"/>
      <c r="W35" s="637"/>
      <c r="X35" s="638"/>
      <c r="Y35" s="638"/>
      <c r="Z35" s="94" t="s">
        <v>78</v>
      </c>
      <c r="AA35" s="558">
        <v>252</v>
      </c>
      <c r="AB35" s="90">
        <f t="shared" si="9"/>
        <v>3168</v>
      </c>
      <c r="AC35" s="91">
        <f t="shared" si="7"/>
        <v>0</v>
      </c>
      <c r="AD35" s="9"/>
    </row>
    <row r="36" spans="1:30" ht="16.5" thickBot="1" x14ac:dyDescent="0.3">
      <c r="A36" s="1" t="s">
        <v>80</v>
      </c>
      <c r="B36" s="635"/>
      <c r="C36" s="636"/>
      <c r="D36" s="13">
        <v>1</v>
      </c>
      <c r="E36" s="13">
        <v>1</v>
      </c>
      <c r="F36" s="92">
        <v>0</v>
      </c>
      <c r="G36" s="46">
        <f t="shared" si="6"/>
        <v>2</v>
      </c>
      <c r="H36" s="80"/>
      <c r="I36" s="93" t="s">
        <v>78</v>
      </c>
      <c r="J36" s="82">
        <v>253</v>
      </c>
      <c r="K36" s="83">
        <v>6685</v>
      </c>
      <c r="L36" s="96">
        <f t="shared" si="8"/>
        <v>13370</v>
      </c>
      <c r="N36" s="552">
        <v>5103</v>
      </c>
      <c r="O36" s="565">
        <v>253</v>
      </c>
      <c r="P36" s="86"/>
      <c r="Q36" s="97"/>
      <c r="V36" s="637"/>
      <c r="W36" s="637"/>
      <c r="X36" s="645"/>
      <c r="Y36" s="645"/>
      <c r="Z36" s="94" t="s">
        <v>78</v>
      </c>
      <c r="AA36" s="558">
        <v>253</v>
      </c>
      <c r="AB36" s="90">
        <f t="shared" si="9"/>
        <v>6685</v>
      </c>
      <c r="AC36" s="98">
        <f t="shared" si="7"/>
        <v>0</v>
      </c>
      <c r="AD36" s="9"/>
    </row>
    <row r="37" spans="1:30" ht="18.75" customHeight="1" x14ac:dyDescent="0.25">
      <c r="B37" s="13" t="s">
        <v>81</v>
      </c>
      <c r="C37" s="13"/>
      <c r="D37" s="63">
        <f t="shared" ref="D37:E37" si="10">SUM(D28:D36)</f>
        <v>19.98</v>
      </c>
      <c r="E37" s="63">
        <f t="shared" si="10"/>
        <v>17.910000000000004</v>
      </c>
      <c r="F37" s="63"/>
      <c r="G37" s="63">
        <f>SUM(G28:G36)</f>
        <v>37.89</v>
      </c>
      <c r="H37" s="64"/>
      <c r="I37" s="13" t="s">
        <v>82</v>
      </c>
      <c r="J37" s="13"/>
      <c r="K37" s="13"/>
      <c r="L37" s="50">
        <f>SUM(L28:L36)</f>
        <v>240102</v>
      </c>
      <c r="N37" s="565"/>
      <c r="O37" s="68"/>
      <c r="P37" s="565"/>
      <c r="Q37" s="565"/>
      <c r="V37" s="646" t="s">
        <v>81</v>
      </c>
      <c r="W37" s="646"/>
      <c r="X37" s="626">
        <f>SUM(X28:X36)</f>
        <v>0</v>
      </c>
      <c r="Y37" s="626"/>
      <c r="Z37" s="646" t="s">
        <v>82</v>
      </c>
      <c r="AA37" s="646"/>
      <c r="AB37" s="646"/>
      <c r="AC37" s="56">
        <f>SUM(AC28:AC36)</f>
        <v>0</v>
      </c>
      <c r="AD37" s="9"/>
    </row>
    <row r="38" spans="1:30" ht="30.75" customHeight="1" x14ac:dyDescent="0.25">
      <c r="B38" s="99" t="s">
        <v>83</v>
      </c>
      <c r="C38" s="99"/>
      <c r="D38" s="99"/>
      <c r="E38" s="99"/>
      <c r="F38" s="99"/>
      <c r="G38" s="99"/>
      <c r="H38" s="100"/>
      <c r="I38" s="99"/>
      <c r="J38" s="99"/>
      <c r="K38" s="99"/>
      <c r="L38" s="99"/>
      <c r="M38" s="101"/>
      <c r="N38" s="565"/>
      <c r="O38" s="68"/>
      <c r="P38" s="565"/>
      <c r="Q38" s="565"/>
      <c r="V38" s="639" t="s">
        <v>83</v>
      </c>
      <c r="W38" s="639"/>
      <c r="X38" s="639"/>
      <c r="Y38" s="639"/>
      <c r="Z38" s="639"/>
      <c r="AA38" s="639"/>
      <c r="AB38" s="639"/>
      <c r="AC38" s="639"/>
      <c r="AD38" s="102"/>
    </row>
    <row r="39" spans="1:30" ht="15.75" customHeight="1" x14ac:dyDescent="0.25">
      <c r="B39" s="103" t="s">
        <v>84</v>
      </c>
      <c r="C39" s="103"/>
      <c r="D39" s="103"/>
      <c r="E39" s="103"/>
      <c r="F39" s="103"/>
      <c r="G39" s="104">
        <v>34389540</v>
      </c>
      <c r="H39" s="104"/>
      <c r="I39" s="13" t="s">
        <v>85</v>
      </c>
      <c r="J39" s="13"/>
      <c r="K39" s="13"/>
      <c r="L39" s="13"/>
      <c r="O39" s="1"/>
      <c r="V39" s="640" t="s">
        <v>84</v>
      </c>
      <c r="W39" s="640"/>
      <c r="X39" s="641">
        <f>+G39</f>
        <v>34389540</v>
      </c>
      <c r="Y39" s="641"/>
      <c r="Z39" s="642" t="s">
        <v>85</v>
      </c>
      <c r="AA39" s="642"/>
      <c r="AB39" s="642"/>
      <c r="AC39" s="642"/>
      <c r="AD39" s="9"/>
    </row>
    <row r="40" spans="1:30" ht="15.75" customHeight="1" x14ac:dyDescent="0.25">
      <c r="B40" s="566" t="s">
        <v>86</v>
      </c>
      <c r="C40" s="566"/>
      <c r="D40" s="566"/>
      <c r="E40" s="566"/>
      <c r="F40" s="566"/>
      <c r="G40" s="106">
        <v>180284.81</v>
      </c>
      <c r="H40" s="106"/>
      <c r="I40" s="106"/>
      <c r="J40" s="106"/>
      <c r="K40" s="50">
        <f>ROUND(G39/G40,0)</f>
        <v>191</v>
      </c>
      <c r="L40" s="50">
        <f>ROUND(K40*$G$26,0)</f>
        <v>46167</v>
      </c>
      <c r="N40" s="107"/>
      <c r="O40" s="107"/>
      <c r="P40" s="107"/>
      <c r="Q40" s="107"/>
      <c r="V40" s="674" t="s">
        <v>86</v>
      </c>
      <c r="W40" s="674"/>
      <c r="X40" s="644">
        <f>+G40</f>
        <v>180284.81</v>
      </c>
      <c r="Y40" s="644"/>
      <c r="Z40" s="644"/>
      <c r="AA40" s="644"/>
      <c r="AB40" s="56">
        <f>ROUND(X39/X40,0)</f>
        <v>191</v>
      </c>
      <c r="AC40" s="56">
        <f>ROUND(AB40*$X$26,0)</f>
        <v>46167</v>
      </c>
      <c r="AD40" s="9"/>
    </row>
    <row r="41" spans="1:30" ht="15.75" customHeight="1" x14ac:dyDescent="0.25">
      <c r="B41" s="108" t="s">
        <v>87</v>
      </c>
      <c r="C41" s="108"/>
      <c r="D41" s="108"/>
      <c r="E41" s="108"/>
      <c r="F41" s="108"/>
      <c r="G41" s="108"/>
      <c r="H41" s="108"/>
      <c r="I41" s="108"/>
      <c r="J41" s="108"/>
      <c r="K41" s="108"/>
      <c r="L41" s="108"/>
      <c r="N41" s="101"/>
      <c r="O41" s="109"/>
      <c r="P41" s="101"/>
      <c r="Q41" s="101"/>
      <c r="V41" s="652" t="s">
        <v>87</v>
      </c>
      <c r="W41" s="652"/>
      <c r="X41" s="652"/>
      <c r="Y41" s="652"/>
      <c r="Z41" s="652"/>
      <c r="AA41" s="652"/>
      <c r="AB41" s="652"/>
      <c r="AC41" s="652"/>
      <c r="AD41" s="9"/>
    </row>
    <row r="42" spans="1:30" ht="28.5" customHeight="1" x14ac:dyDescent="0.25">
      <c r="B42" s="99" t="s">
        <v>88</v>
      </c>
      <c r="C42" s="99"/>
      <c r="D42" s="99"/>
      <c r="E42" s="99"/>
      <c r="F42" s="99"/>
      <c r="G42" s="99"/>
      <c r="H42" s="99"/>
      <c r="I42" s="99"/>
      <c r="J42" s="99"/>
      <c r="K42" s="99"/>
      <c r="L42" s="99"/>
      <c r="M42" s="107"/>
      <c r="O42" s="1"/>
      <c r="V42" s="639" t="s">
        <v>88</v>
      </c>
      <c r="W42" s="639"/>
      <c r="X42" s="639"/>
      <c r="Y42" s="639"/>
      <c r="Z42" s="639"/>
      <c r="AA42" s="639"/>
      <c r="AB42" s="639"/>
      <c r="AC42" s="639"/>
      <c r="AD42" s="556"/>
    </row>
    <row r="43" spans="1:30" x14ac:dyDescent="0.25">
      <c r="B43" s="103" t="s">
        <v>89</v>
      </c>
      <c r="C43" s="103"/>
      <c r="D43" s="103"/>
      <c r="E43" s="103"/>
      <c r="F43" s="103"/>
      <c r="G43" s="103"/>
      <c r="H43" s="103"/>
      <c r="I43" s="103"/>
      <c r="J43" s="103"/>
      <c r="K43" s="103"/>
      <c r="L43" s="103"/>
      <c r="M43" s="112"/>
      <c r="N43" s="101"/>
      <c r="O43" s="101"/>
      <c r="P43" s="101"/>
      <c r="Q43" s="101"/>
      <c r="V43" s="676" t="s">
        <v>89</v>
      </c>
      <c r="W43" s="676"/>
      <c r="X43" s="676"/>
      <c r="Y43" s="676"/>
      <c r="Z43" s="676"/>
      <c r="AA43" s="676"/>
      <c r="AB43" s="676"/>
      <c r="AC43" s="676"/>
      <c r="AD43" s="113"/>
    </row>
    <row r="44" spans="1:30" ht="24" customHeight="1" x14ac:dyDescent="0.25">
      <c r="B44" s="62" t="s">
        <v>90</v>
      </c>
      <c r="C44" s="62"/>
      <c r="D44" s="62"/>
      <c r="E44" s="62"/>
      <c r="F44" s="62"/>
      <c r="G44" s="62"/>
      <c r="H44" s="62"/>
      <c r="I44" s="62"/>
      <c r="J44" s="62"/>
      <c r="K44" s="62"/>
      <c r="L44" s="114">
        <f>SUM(L26,L37,L40)</f>
        <v>3632782</v>
      </c>
      <c r="O44" s="1"/>
      <c r="V44" s="654" t="s">
        <v>90</v>
      </c>
      <c r="W44" s="654"/>
      <c r="X44" s="654"/>
      <c r="Y44" s="654"/>
      <c r="Z44" s="654"/>
      <c r="AA44" s="654"/>
      <c r="AB44" s="654"/>
      <c r="AC44" s="115">
        <f>SUM(AC26,AC37,AC40)</f>
        <v>982703</v>
      </c>
      <c r="AD44" s="9"/>
    </row>
    <row r="45" spans="1:30" ht="30.75" customHeight="1" x14ac:dyDescent="0.25">
      <c r="B45" s="99" t="s">
        <v>91</v>
      </c>
      <c r="C45" s="99"/>
      <c r="D45" s="99"/>
      <c r="E45" s="99"/>
      <c r="F45" s="99"/>
      <c r="G45" s="99"/>
      <c r="H45" s="99"/>
      <c r="I45" s="99"/>
      <c r="J45" s="99"/>
      <c r="K45" s="99"/>
      <c r="L45" s="99"/>
      <c r="M45" s="116"/>
      <c r="O45" s="1"/>
      <c r="V45" s="639" t="s">
        <v>91</v>
      </c>
      <c r="W45" s="639"/>
      <c r="X45" s="639"/>
      <c r="Y45" s="639"/>
      <c r="Z45" s="639"/>
      <c r="AA45" s="639"/>
      <c r="AB45" s="639"/>
      <c r="AC45" s="639"/>
      <c r="AD45" s="553"/>
    </row>
    <row r="46" spans="1:30" ht="18.75" customHeight="1" x14ac:dyDescent="0.25">
      <c r="B46" s="1"/>
      <c r="C46" s="118" t="s">
        <v>92</v>
      </c>
      <c r="D46" s="118"/>
      <c r="E46" s="118"/>
      <c r="F46" s="118"/>
      <c r="G46" s="118" t="s">
        <v>93</v>
      </c>
      <c r="H46" s="119"/>
      <c r="I46" s="120" t="s">
        <v>94</v>
      </c>
      <c r="J46" s="121"/>
      <c r="K46" s="121"/>
      <c r="L46" s="121"/>
      <c r="M46" s="122"/>
      <c r="O46" s="1"/>
      <c r="V46" s="9"/>
      <c r="W46" s="555" t="s">
        <v>92</v>
      </c>
      <c r="X46" s="655" t="s">
        <v>95</v>
      </c>
      <c r="Y46" s="655"/>
      <c r="Z46" s="656" t="s">
        <v>94</v>
      </c>
      <c r="AA46" s="656"/>
      <c r="AB46" s="656"/>
      <c r="AC46" s="656"/>
      <c r="AD46" s="124"/>
    </row>
    <row r="47" spans="1:30" ht="18.75" customHeight="1" x14ac:dyDescent="0.25">
      <c r="B47" s="107" t="s">
        <v>96</v>
      </c>
      <c r="C47" s="125">
        <f>K10+K11+K16+K19+K22</f>
        <v>454.4699</v>
      </c>
      <c r="D47" s="125"/>
      <c r="E47" s="125"/>
      <c r="F47" s="125"/>
      <c r="G47" s="567">
        <f>K7</f>
        <v>1.0326</v>
      </c>
      <c r="H47" s="567"/>
      <c r="I47" s="127">
        <v>1316.85</v>
      </c>
      <c r="J47" s="128" t="s">
        <v>97</v>
      </c>
      <c r="K47" s="129">
        <f>ROUND(C47*G47*I47,0)</f>
        <v>617979</v>
      </c>
      <c r="L47" s="130"/>
      <c r="O47" s="1"/>
      <c r="V47" s="556" t="s">
        <v>96</v>
      </c>
      <c r="W47" s="131">
        <f>AB10+AB11+AB16+AB19+AB22</f>
        <v>129.76</v>
      </c>
      <c r="X47" s="675">
        <f>AB7</f>
        <v>1.0326</v>
      </c>
      <c r="Y47" s="675"/>
      <c r="Z47" s="132">
        <f>+I47</f>
        <v>1316.85</v>
      </c>
      <c r="AA47" s="133" t="s">
        <v>97</v>
      </c>
      <c r="AB47" s="134">
        <f>ROUND(W47*X47*Z47,0)</f>
        <v>176445</v>
      </c>
      <c r="AC47" s="135"/>
      <c r="AD47" s="9"/>
    </row>
    <row r="48" spans="1:30" ht="18" customHeight="1" x14ac:dyDescent="0.25">
      <c r="B48" s="136" t="s">
        <v>74</v>
      </c>
      <c r="C48" s="125">
        <f>K12+K13+K17+K20+K23</f>
        <v>368.81420000000003</v>
      </c>
      <c r="D48" s="125"/>
      <c r="E48" s="125"/>
      <c r="F48" s="125"/>
      <c r="G48" s="567">
        <f>K7</f>
        <v>1.0326</v>
      </c>
      <c r="H48" s="567"/>
      <c r="I48" s="127">
        <v>898.23</v>
      </c>
      <c r="J48" s="128" t="s">
        <v>97</v>
      </c>
      <c r="K48" s="129">
        <f>ROUND(C48*G48*I48,0)</f>
        <v>342080</v>
      </c>
      <c r="L48" s="62"/>
      <c r="O48" s="1"/>
      <c r="V48" s="137" t="s">
        <v>74</v>
      </c>
      <c r="W48" s="131">
        <f>AB12+AB13+AB17+AB20+AB23</f>
        <v>100.45</v>
      </c>
      <c r="X48" s="675">
        <f>AB7</f>
        <v>1.0326</v>
      </c>
      <c r="Y48" s="675"/>
      <c r="Z48" s="132">
        <f>+I48</f>
        <v>898.23</v>
      </c>
      <c r="AA48" s="133" t="s">
        <v>97</v>
      </c>
      <c r="AB48" s="134">
        <f>ROUND(W48*X48*Z48,0)</f>
        <v>93169</v>
      </c>
      <c r="AC48" s="138"/>
      <c r="AD48" s="9"/>
    </row>
    <row r="49" spans="2:30" ht="19.5" customHeight="1" thickBot="1" x14ac:dyDescent="0.3">
      <c r="B49" s="139" t="s">
        <v>78</v>
      </c>
      <c r="C49" s="140">
        <f>K14+K15+K18+K21+K24+K25</f>
        <v>40.415999999999997</v>
      </c>
      <c r="D49" s="125"/>
      <c r="E49" s="125"/>
      <c r="F49" s="125"/>
      <c r="G49" s="567">
        <f>K7</f>
        <v>1.0326</v>
      </c>
      <c r="H49" s="567"/>
      <c r="I49" s="127">
        <v>900.39</v>
      </c>
      <c r="J49" s="128" t="s">
        <v>97</v>
      </c>
      <c r="K49" s="129">
        <f>ROUND(C49*G49*I49,0)</f>
        <v>37576</v>
      </c>
      <c r="L49" s="62"/>
      <c r="M49" s="112"/>
      <c r="N49" s="141"/>
      <c r="O49" s="142"/>
      <c r="P49" s="101"/>
      <c r="Q49" s="143"/>
      <c r="V49" s="144" t="s">
        <v>78</v>
      </c>
      <c r="W49" s="145">
        <f>AB14+AB15+AB18+AB21+AB24+AB25</f>
        <v>11.5</v>
      </c>
      <c r="X49" s="675">
        <f>AB7</f>
        <v>1.0326</v>
      </c>
      <c r="Y49" s="675"/>
      <c r="Z49" s="132">
        <f>+I49</f>
        <v>900.39</v>
      </c>
      <c r="AA49" s="133" t="s">
        <v>97</v>
      </c>
      <c r="AB49" s="134">
        <f>ROUND(W49*X49*Z49,0)</f>
        <v>10692</v>
      </c>
      <c r="AC49" s="138"/>
      <c r="AD49" s="113"/>
    </row>
    <row r="50" spans="2:30" ht="24" customHeight="1" thickBot="1" x14ac:dyDescent="0.3">
      <c r="B50" s="146" t="s">
        <v>98</v>
      </c>
      <c r="C50" s="147">
        <f>SUM(C47:C49)</f>
        <v>863.70010000000002</v>
      </c>
      <c r="D50" s="148"/>
      <c r="E50" s="149"/>
      <c r="F50" s="149"/>
      <c r="G50" s="150" t="s">
        <v>99</v>
      </c>
      <c r="H50" s="150"/>
      <c r="I50" s="150"/>
      <c r="J50" s="150"/>
      <c r="K50" s="150"/>
      <c r="L50" s="50">
        <f>IF(B2=75,0,K49+K48+K47)</f>
        <v>997635</v>
      </c>
      <c r="N50" s="3"/>
      <c r="O50" s="1"/>
      <c r="V50" s="554" t="s">
        <v>98</v>
      </c>
      <c r="W50" s="152">
        <f>SUM(W47:W49)</f>
        <v>241.70999999999998</v>
      </c>
      <c r="X50" s="648" t="s">
        <v>99</v>
      </c>
      <c r="Y50" s="649"/>
      <c r="Z50" s="649"/>
      <c r="AA50" s="649"/>
      <c r="AB50" s="649"/>
      <c r="AC50" s="56">
        <f>IF(V2=75,0,AB49+AB48+AB47)</f>
        <v>280306</v>
      </c>
      <c r="AD50" s="9"/>
    </row>
    <row r="51" spans="2:30" ht="19.5" customHeight="1" x14ac:dyDescent="0.25">
      <c r="B51" s="153" t="s">
        <v>100</v>
      </c>
      <c r="C51" s="153"/>
      <c r="D51" s="153"/>
      <c r="E51" s="153"/>
      <c r="F51" s="153"/>
      <c r="G51" s="153"/>
      <c r="H51" s="153"/>
      <c r="I51" s="153"/>
      <c r="J51" s="153"/>
      <c r="K51" s="153"/>
      <c r="L51" s="153"/>
      <c r="M51" s="141"/>
      <c r="N51" s="101"/>
      <c r="O51" s="1"/>
      <c r="V51" s="650" t="s">
        <v>100</v>
      </c>
      <c r="W51" s="650"/>
      <c r="X51" s="650"/>
      <c r="Y51" s="650"/>
      <c r="Z51" s="650"/>
      <c r="AA51" s="650"/>
      <c r="AB51" s="650"/>
      <c r="AC51" s="650"/>
      <c r="AD51" s="154"/>
    </row>
    <row r="52" spans="2:30" ht="27.75" customHeight="1" x14ac:dyDescent="0.25">
      <c r="B52" s="13" t="s">
        <v>101</v>
      </c>
      <c r="C52" s="13"/>
      <c r="D52" s="13"/>
      <c r="E52" s="13"/>
      <c r="F52" s="13"/>
      <c r="G52" s="13"/>
      <c r="H52" s="13"/>
      <c r="I52" s="13"/>
      <c r="J52" s="13"/>
      <c r="K52" s="13"/>
      <c r="L52" s="13"/>
      <c r="O52" s="1"/>
      <c r="V52" s="651" t="s">
        <v>101</v>
      </c>
      <c r="W52" s="651"/>
      <c r="X52" s="651"/>
      <c r="Y52" s="651"/>
      <c r="Z52" s="651"/>
      <c r="AA52" s="651"/>
      <c r="AB52" s="651"/>
      <c r="AC52" s="651"/>
      <c r="AD52" s="9"/>
    </row>
    <row r="53" spans="2:30" x14ac:dyDescent="0.25">
      <c r="B53" s="13" t="s">
        <v>102</v>
      </c>
      <c r="C53" s="13"/>
      <c r="D53" s="13"/>
      <c r="E53" s="13"/>
      <c r="F53" s="13"/>
      <c r="G53" s="155">
        <f>K26</f>
        <v>863.70010000000013</v>
      </c>
      <c r="H53" s="57" t="s">
        <v>103</v>
      </c>
      <c r="I53" s="57"/>
      <c r="J53" s="156">
        <v>197823.77</v>
      </c>
      <c r="K53" s="156"/>
      <c r="L53" s="156"/>
      <c r="N53" s="3"/>
      <c r="O53" s="1"/>
      <c r="V53" s="657" t="s">
        <v>102</v>
      </c>
      <c r="W53" s="657"/>
      <c r="X53" s="157">
        <f>AB26</f>
        <v>241.71</v>
      </c>
      <c r="Y53" s="658" t="s">
        <v>103</v>
      </c>
      <c r="Z53" s="658"/>
      <c r="AA53" s="659">
        <f>+J53</f>
        <v>197823.77</v>
      </c>
      <c r="AB53" s="659"/>
      <c r="AC53" s="659"/>
      <c r="AD53" s="9"/>
    </row>
    <row r="54" spans="2:30" x14ac:dyDescent="0.25">
      <c r="B54" s="13" t="s">
        <v>104</v>
      </c>
      <c r="C54" s="13"/>
      <c r="D54" s="13"/>
      <c r="E54" s="13"/>
      <c r="F54" s="13"/>
      <c r="G54" s="13"/>
      <c r="H54" s="13"/>
      <c r="I54" s="13"/>
      <c r="J54" s="13"/>
      <c r="K54" s="158">
        <f>ROUND(G53/J53,6)</f>
        <v>4.3660000000000001E-3</v>
      </c>
      <c r="L54" s="158"/>
      <c r="N54" s="101"/>
      <c r="O54" s="1"/>
      <c r="V54" s="657" t="s">
        <v>104</v>
      </c>
      <c r="W54" s="657"/>
      <c r="X54" s="657"/>
      <c r="Y54" s="657"/>
      <c r="Z54" s="657"/>
      <c r="AA54" s="657"/>
      <c r="AB54" s="660">
        <f>ROUND(X53/AA53,6)</f>
        <v>1.222E-3</v>
      </c>
      <c r="AC54" s="660"/>
      <c r="AD54" s="9"/>
    </row>
    <row r="55" spans="2:30" ht="24" customHeight="1" x14ac:dyDescent="0.25">
      <c r="B55" s="13" t="s">
        <v>105</v>
      </c>
      <c r="C55" s="13"/>
      <c r="D55" s="13"/>
      <c r="E55" s="13"/>
      <c r="F55" s="13"/>
      <c r="G55" s="13"/>
      <c r="H55" s="13"/>
      <c r="I55" s="13"/>
      <c r="J55" s="13"/>
      <c r="K55" s="13"/>
      <c r="L55" s="13"/>
      <c r="O55" s="1"/>
      <c r="V55" s="651" t="s">
        <v>105</v>
      </c>
      <c r="W55" s="651"/>
      <c r="X55" s="651"/>
      <c r="Y55" s="651"/>
      <c r="Z55" s="651"/>
      <c r="AA55" s="651"/>
      <c r="AB55" s="651"/>
      <c r="AC55" s="651"/>
      <c r="AD55" s="9"/>
    </row>
    <row r="56" spans="2:30" x14ac:dyDescent="0.25">
      <c r="B56" s="13" t="s">
        <v>106</v>
      </c>
      <c r="C56" s="13"/>
      <c r="D56" s="13"/>
      <c r="E56" s="13"/>
      <c r="F56" s="13"/>
      <c r="G56" s="159">
        <f>G26</f>
        <v>241.71</v>
      </c>
      <c r="H56" s="57" t="s">
        <v>107</v>
      </c>
      <c r="I56" s="57"/>
      <c r="J56" s="156">
        <f>+G40</f>
        <v>180284.81</v>
      </c>
      <c r="K56" s="156"/>
      <c r="L56" s="156"/>
      <c r="O56" s="1"/>
      <c r="V56" s="657" t="s">
        <v>106</v>
      </c>
      <c r="W56" s="657"/>
      <c r="X56" s="160">
        <f>X26</f>
        <v>241.71</v>
      </c>
      <c r="Y56" s="658" t="s">
        <v>107</v>
      </c>
      <c r="Z56" s="658"/>
      <c r="AA56" s="659">
        <f>+J56</f>
        <v>180284.81</v>
      </c>
      <c r="AB56" s="659"/>
      <c r="AC56" s="659"/>
      <c r="AD56" s="9"/>
    </row>
    <row r="57" spans="2:30" x14ac:dyDescent="0.25">
      <c r="B57" s="13" t="s">
        <v>108</v>
      </c>
      <c r="C57" s="13"/>
      <c r="D57" s="13"/>
      <c r="E57" s="13"/>
      <c r="F57" s="13"/>
      <c r="G57" s="13"/>
      <c r="H57" s="13"/>
      <c r="I57" s="13"/>
      <c r="J57" s="13"/>
      <c r="K57" s="158">
        <f>ROUND(G56/J56,6)</f>
        <v>1.341E-3</v>
      </c>
      <c r="L57" s="158"/>
      <c r="O57" s="1"/>
      <c r="V57" s="657" t="s">
        <v>108</v>
      </c>
      <c r="W57" s="657"/>
      <c r="X57" s="657"/>
      <c r="Y57" s="657"/>
      <c r="Z57" s="657"/>
      <c r="AA57" s="657"/>
      <c r="AB57" s="660">
        <f>ROUND(X56/AA56,6)</f>
        <v>1.341E-3</v>
      </c>
      <c r="AC57" s="660"/>
      <c r="AD57" s="9"/>
    </row>
    <row r="58" spans="2:30" ht="20.25" customHeight="1" x14ac:dyDescent="0.25">
      <c r="B58" s="161" t="s">
        <v>109</v>
      </c>
      <c r="C58" s="161"/>
      <c r="D58" s="161"/>
      <c r="E58" s="161"/>
      <c r="F58" s="161"/>
      <c r="G58" s="161"/>
      <c r="H58" s="161"/>
      <c r="I58" s="161"/>
      <c r="J58" s="161"/>
      <c r="K58" s="161"/>
      <c r="L58" s="161"/>
      <c r="N58" s="18"/>
      <c r="O58" s="18"/>
      <c r="V58" s="629" t="s">
        <v>110</v>
      </c>
      <c r="W58" s="629"/>
      <c r="X58" s="629"/>
      <c r="Y58" s="661">
        <f>X65+X64+X62+X61+X60</f>
        <v>4123852</v>
      </c>
      <c r="Z58" s="661"/>
      <c r="AA58" s="557" t="s">
        <v>111</v>
      </c>
      <c r="AB58" s="163">
        <f>AB54</f>
        <v>1.222E-3</v>
      </c>
      <c r="AC58" s="56">
        <f>ROUND(Y58*AB58,0)</f>
        <v>5039</v>
      </c>
      <c r="AD58" s="9"/>
    </row>
    <row r="59" spans="2:30" x14ac:dyDescent="0.25">
      <c r="B59" s="62" t="s">
        <v>110</v>
      </c>
      <c r="C59" s="62"/>
      <c r="D59" s="62"/>
      <c r="E59" s="62"/>
      <c r="F59" s="62"/>
      <c r="G59" s="62"/>
      <c r="H59" s="164" t="s">
        <v>22</v>
      </c>
      <c r="I59" s="129">
        <v>4123852</v>
      </c>
      <c r="J59" s="165" t="s">
        <v>111</v>
      </c>
      <c r="K59" s="166">
        <f>K54</f>
        <v>4.3660000000000001E-3</v>
      </c>
      <c r="L59" s="50">
        <f>ROUND(I59*K59,0)</f>
        <v>18005</v>
      </c>
      <c r="O59" s="1"/>
      <c r="P59" s="165"/>
      <c r="Q59" s="165"/>
      <c r="V59" s="662" t="s">
        <v>112</v>
      </c>
      <c r="W59" s="662"/>
      <c r="X59" s="662"/>
      <c r="Y59" s="662"/>
      <c r="Z59" s="662"/>
      <c r="AA59" s="662"/>
      <c r="AB59" s="662"/>
      <c r="AC59" s="662"/>
      <c r="AD59" s="9"/>
    </row>
    <row r="60" spans="2:30" x14ac:dyDescent="0.25">
      <c r="B60" s="62" t="s">
        <v>112</v>
      </c>
      <c r="C60" s="62"/>
      <c r="D60" s="62"/>
      <c r="E60" s="62"/>
      <c r="F60" s="62"/>
      <c r="G60" s="62"/>
      <c r="H60" s="62"/>
      <c r="I60" s="62"/>
      <c r="J60" s="62"/>
      <c r="K60" s="62"/>
      <c r="L60" s="62"/>
      <c r="O60" s="1"/>
      <c r="P60" s="165"/>
      <c r="Q60" s="165"/>
      <c r="V60" s="663" t="s">
        <v>113</v>
      </c>
      <c r="W60" s="663"/>
      <c r="X60" s="664">
        <f>+G61</f>
        <v>0</v>
      </c>
      <c r="Y60" s="664"/>
      <c r="Z60" s="664"/>
      <c r="AA60" s="664"/>
      <c r="AB60" s="664"/>
      <c r="AC60" s="664"/>
      <c r="AD60" s="9"/>
    </row>
    <row r="61" spans="2:30" ht="15" customHeight="1" x14ac:dyDescent="0.25">
      <c r="B61" s="167" t="s">
        <v>113</v>
      </c>
      <c r="C61" s="62"/>
      <c r="D61" s="62"/>
      <c r="E61" s="62"/>
      <c r="F61" s="62"/>
      <c r="G61" s="168">
        <v>0</v>
      </c>
      <c r="H61" s="168"/>
      <c r="I61" s="168"/>
      <c r="J61" s="168"/>
      <c r="K61" s="168"/>
      <c r="L61" s="168"/>
      <c r="O61" s="1"/>
      <c r="P61" s="165"/>
      <c r="Q61" s="165"/>
      <c r="V61" s="663" t="s">
        <v>114</v>
      </c>
      <c r="W61" s="663"/>
      <c r="X61" s="664">
        <f>+G62</f>
        <v>0</v>
      </c>
      <c r="Y61" s="664"/>
      <c r="Z61" s="664"/>
      <c r="AA61" s="664"/>
      <c r="AB61" s="664"/>
      <c r="AC61" s="664"/>
      <c r="AD61" s="9"/>
    </row>
    <row r="62" spans="2:30" ht="13.5" customHeight="1" x14ac:dyDescent="0.25">
      <c r="B62" s="167" t="s">
        <v>114</v>
      </c>
      <c r="C62" s="62"/>
      <c r="D62" s="62"/>
      <c r="E62" s="62"/>
      <c r="F62" s="62"/>
      <c r="G62" s="168">
        <v>0</v>
      </c>
      <c r="H62" s="168"/>
      <c r="I62" s="168"/>
      <c r="J62" s="168"/>
      <c r="K62" s="168"/>
      <c r="L62" s="168"/>
      <c r="N62" s="165"/>
      <c r="O62" s="165"/>
      <c r="P62" s="165"/>
      <c r="Q62" s="165"/>
      <c r="V62" s="663" t="s">
        <v>115</v>
      </c>
      <c r="W62" s="663"/>
      <c r="X62" s="664">
        <v>0</v>
      </c>
      <c r="Y62" s="664"/>
      <c r="Z62" s="664"/>
      <c r="AA62" s="664"/>
      <c r="AB62" s="664"/>
      <c r="AC62" s="664"/>
      <c r="AD62" s="9"/>
    </row>
    <row r="63" spans="2:30" ht="13.5" hidden="1" customHeight="1" x14ac:dyDescent="0.25">
      <c r="B63" s="62" t="s">
        <v>115</v>
      </c>
      <c r="C63" s="62"/>
      <c r="D63" s="62"/>
      <c r="E63" s="62"/>
      <c r="F63" s="62"/>
      <c r="G63" s="168">
        <v>0</v>
      </c>
      <c r="H63" s="168"/>
      <c r="I63" s="168"/>
      <c r="J63" s="168"/>
      <c r="K63" s="168"/>
      <c r="L63" s="168"/>
      <c r="O63" s="1"/>
      <c r="P63" s="165"/>
      <c r="Q63" s="165"/>
      <c r="V63" s="662" t="s">
        <v>116</v>
      </c>
      <c r="W63" s="662"/>
      <c r="X63" s="662"/>
      <c r="Y63" s="662"/>
      <c r="Z63" s="662"/>
      <c r="AA63" s="662"/>
      <c r="AB63" s="662"/>
      <c r="AC63" s="662"/>
      <c r="AD63" s="553"/>
    </row>
    <row r="64" spans="2:30" ht="13.5" customHeight="1" x14ac:dyDescent="0.25">
      <c r="B64" s="62" t="s">
        <v>116</v>
      </c>
      <c r="C64" s="62"/>
      <c r="D64" s="62"/>
      <c r="E64" s="62"/>
      <c r="F64" s="62"/>
      <c r="G64" s="62"/>
      <c r="H64" s="62"/>
      <c r="I64" s="62"/>
      <c r="J64" s="62"/>
      <c r="K64" s="62"/>
      <c r="L64" s="62"/>
      <c r="M64" s="116"/>
      <c r="N64" s="18"/>
      <c r="O64" s="1"/>
      <c r="V64" s="663" t="s">
        <v>117</v>
      </c>
      <c r="W64" s="663"/>
      <c r="X64" s="664">
        <f>+G65</f>
        <v>4123852</v>
      </c>
      <c r="Y64" s="664"/>
      <c r="Z64" s="664"/>
      <c r="AA64" s="664"/>
      <c r="AB64" s="664"/>
      <c r="AC64" s="664"/>
      <c r="AD64" s="9"/>
    </row>
    <row r="65" spans="1:30" ht="12.75" customHeight="1" x14ac:dyDescent="0.25">
      <c r="B65" s="167" t="s">
        <v>117</v>
      </c>
      <c r="C65" s="62"/>
      <c r="D65" s="62"/>
      <c r="E65" s="62"/>
      <c r="F65" s="62"/>
      <c r="G65" s="168">
        <f>+I59</f>
        <v>4123852</v>
      </c>
      <c r="H65" s="168"/>
      <c r="I65" s="168"/>
      <c r="J65" s="168"/>
      <c r="K65" s="168"/>
      <c r="L65" s="168"/>
      <c r="O65" s="1"/>
      <c r="V65" s="663" t="s">
        <v>118</v>
      </c>
      <c r="W65" s="663"/>
      <c r="X65" s="664">
        <f>+G66</f>
        <v>0</v>
      </c>
      <c r="Y65" s="664"/>
      <c r="Z65" s="664"/>
      <c r="AA65" s="664"/>
      <c r="AB65" s="664"/>
      <c r="AC65" s="664"/>
      <c r="AD65" s="20"/>
    </row>
    <row r="66" spans="1:30" ht="15" customHeight="1" x14ac:dyDescent="0.25">
      <c r="B66" s="167" t="s">
        <v>118</v>
      </c>
      <c r="C66" s="62"/>
      <c r="D66" s="62"/>
      <c r="E66" s="62"/>
      <c r="F66" s="62"/>
      <c r="G66" s="168">
        <v>0</v>
      </c>
      <c r="H66" s="168"/>
      <c r="I66" s="168"/>
      <c r="J66" s="168"/>
      <c r="K66" s="168"/>
      <c r="L66" s="168"/>
      <c r="M66" s="18"/>
      <c r="N66" s="3"/>
      <c r="O66" s="169"/>
      <c r="P66" s="169"/>
      <c r="Q66" s="169"/>
      <c r="V66" s="651" t="s">
        <v>119</v>
      </c>
      <c r="W66" s="651"/>
      <c r="X66" s="651"/>
      <c r="Y66" s="661">
        <f>+I67</f>
        <v>96774526</v>
      </c>
      <c r="Z66" s="661"/>
      <c r="AA66" s="557" t="s">
        <v>111</v>
      </c>
      <c r="AB66" s="163">
        <f>AB54</f>
        <v>1.222E-3</v>
      </c>
      <c r="AC66" s="56">
        <f>ROUND(Y66*AB66,0)</f>
        <v>118258</v>
      </c>
      <c r="AD66" s="9"/>
    </row>
    <row r="67" spans="1:30" ht="20.25" customHeight="1" x14ac:dyDescent="0.25">
      <c r="B67" s="13" t="s">
        <v>119</v>
      </c>
      <c r="C67" s="13"/>
      <c r="D67" s="13"/>
      <c r="E67" s="13"/>
      <c r="F67" s="13"/>
      <c r="H67" s="164" t="s">
        <v>25</v>
      </c>
      <c r="I67" s="129">
        <v>96774526</v>
      </c>
      <c r="J67" s="165" t="s">
        <v>111</v>
      </c>
      <c r="K67" s="166">
        <f>K54</f>
        <v>4.3660000000000001E-3</v>
      </c>
      <c r="L67" s="50">
        <f>ROUND(I67*K67,0)</f>
        <v>422518</v>
      </c>
      <c r="O67" s="1"/>
      <c r="V67" s="651" t="s">
        <v>120</v>
      </c>
      <c r="W67" s="651"/>
      <c r="X67" s="651"/>
      <c r="Y67" s="651"/>
      <c r="Z67" s="651"/>
      <c r="AA67" s="651"/>
      <c r="AB67" s="651"/>
      <c r="AC67" s="651"/>
      <c r="AD67" s="9"/>
    </row>
    <row r="68" spans="1:30" ht="20.25" customHeight="1" x14ac:dyDescent="0.25">
      <c r="B68" s="13" t="s">
        <v>120</v>
      </c>
      <c r="C68" s="13"/>
      <c r="D68" s="13"/>
      <c r="E68" s="13"/>
      <c r="F68" s="13"/>
      <c r="H68" s="13"/>
      <c r="I68" s="13"/>
      <c r="J68" s="82"/>
      <c r="K68" s="13"/>
      <c r="L68" s="13"/>
      <c r="O68" s="1"/>
      <c r="V68" s="667" t="s">
        <v>121</v>
      </c>
      <c r="W68" s="667"/>
      <c r="X68" s="667"/>
      <c r="Y68" s="661">
        <f>+I69</f>
        <v>0</v>
      </c>
      <c r="Z68" s="661"/>
      <c r="AA68" s="557" t="s">
        <v>111</v>
      </c>
      <c r="AB68" s="163">
        <f>AB57</f>
        <v>1.341E-3</v>
      </c>
      <c r="AC68" s="56">
        <f>ROUND(Y68*AB68,0)</f>
        <v>0</v>
      </c>
      <c r="AD68" s="9"/>
    </row>
    <row r="69" spans="1:30" ht="15" customHeight="1" x14ac:dyDescent="0.25">
      <c r="B69" s="170" t="s">
        <v>121</v>
      </c>
      <c r="C69" s="13"/>
      <c r="D69" s="13"/>
      <c r="E69" s="13"/>
      <c r="F69" s="13"/>
      <c r="H69" s="164" t="s">
        <v>23</v>
      </c>
      <c r="I69" s="129">
        <v>0</v>
      </c>
      <c r="J69" s="165" t="s">
        <v>111</v>
      </c>
      <c r="K69" s="166">
        <f>K57</f>
        <v>1.341E-3</v>
      </c>
      <c r="L69" s="50">
        <f>ROUND(I69*K69,0)</f>
        <v>0</v>
      </c>
      <c r="O69" s="1"/>
      <c r="V69" s="651" t="s">
        <v>122</v>
      </c>
      <c r="W69" s="651"/>
      <c r="X69" s="651"/>
      <c r="Y69" s="668">
        <f>+I70</f>
        <v>-3460775</v>
      </c>
      <c r="Z69" s="668"/>
      <c r="AA69" s="557" t="s">
        <v>111</v>
      </c>
      <c r="AB69" s="163">
        <f>AB54</f>
        <v>1.222E-3</v>
      </c>
      <c r="AC69" s="56">
        <f>ROUND(Y69*AB69,0)</f>
        <v>-4229</v>
      </c>
      <c r="AD69" s="9"/>
    </row>
    <row r="70" spans="1:30" ht="20.25" customHeight="1" x14ac:dyDescent="0.25">
      <c r="B70" s="13" t="s">
        <v>122</v>
      </c>
      <c r="C70" s="13"/>
      <c r="D70" s="13"/>
      <c r="E70" s="13"/>
      <c r="F70" s="13"/>
      <c r="H70" s="164" t="s">
        <v>22</v>
      </c>
      <c r="I70" s="129">
        <v>-3460775</v>
      </c>
      <c r="J70" s="165" t="s">
        <v>111</v>
      </c>
      <c r="K70" s="166">
        <f>K54</f>
        <v>4.3660000000000001E-3</v>
      </c>
      <c r="L70" s="50">
        <f>ROUND(I70*K70,0)</f>
        <v>-15110</v>
      </c>
      <c r="O70" s="1"/>
      <c r="V70" s="651" t="s">
        <v>123</v>
      </c>
      <c r="W70" s="651"/>
      <c r="X70" s="651"/>
      <c r="Y70" s="665">
        <f>+I71</f>
        <v>1874788</v>
      </c>
      <c r="Z70" s="665"/>
      <c r="AA70" s="557" t="s">
        <v>111</v>
      </c>
      <c r="AB70" s="163">
        <f>AB54</f>
        <v>1.222E-3</v>
      </c>
      <c r="AC70" s="56">
        <f>ROUND(Y70*AB70,0)</f>
        <v>2291</v>
      </c>
      <c r="AD70" s="9"/>
    </row>
    <row r="71" spans="1:30" ht="20.25" customHeight="1" x14ac:dyDescent="0.25">
      <c r="B71" s="13" t="s">
        <v>123</v>
      </c>
      <c r="C71" s="13"/>
      <c r="D71" s="13"/>
      <c r="E71" s="13"/>
      <c r="F71" s="13"/>
      <c r="H71" s="164" t="s">
        <v>22</v>
      </c>
      <c r="I71" s="129">
        <v>1874788</v>
      </c>
      <c r="J71" s="165" t="s">
        <v>111</v>
      </c>
      <c r="K71" s="166">
        <f>K54</f>
        <v>4.3660000000000001E-3</v>
      </c>
      <c r="L71" s="50">
        <f>ROUND(I71*K71,0)</f>
        <v>8185</v>
      </c>
      <c r="O71" s="1"/>
      <c r="V71" s="651" t="s">
        <v>124</v>
      </c>
      <c r="W71" s="651"/>
      <c r="X71" s="651"/>
      <c r="Y71" s="665">
        <f>+I72</f>
        <v>14223298</v>
      </c>
      <c r="Z71" s="665"/>
      <c r="AA71" s="557" t="s">
        <v>111</v>
      </c>
      <c r="AB71" s="163">
        <f>AB57</f>
        <v>1.341E-3</v>
      </c>
      <c r="AC71" s="56">
        <f>ROUND(Y71*AB71,0)</f>
        <v>19073</v>
      </c>
      <c r="AD71" s="9"/>
    </row>
    <row r="72" spans="1:30" ht="21" customHeight="1" x14ac:dyDescent="0.25">
      <c r="B72" s="13" t="s">
        <v>124</v>
      </c>
      <c r="C72" s="13"/>
      <c r="D72" s="13"/>
      <c r="E72" s="13"/>
      <c r="F72" s="13"/>
      <c r="H72" s="164" t="s">
        <v>23</v>
      </c>
      <c r="I72" s="171">
        <v>14223298</v>
      </c>
      <c r="J72" s="165" t="s">
        <v>111</v>
      </c>
      <c r="K72" s="166">
        <f>K57</f>
        <v>1.341E-3</v>
      </c>
      <c r="L72" s="50">
        <f>ROUND(I72*K72,0)</f>
        <v>19073</v>
      </c>
      <c r="O72" s="1"/>
      <c r="V72" s="623" t="s">
        <v>125</v>
      </c>
      <c r="W72" s="623"/>
      <c r="X72" s="623"/>
      <c r="Y72" s="623"/>
      <c r="Z72" s="623"/>
      <c r="AA72" s="623"/>
      <c r="AB72" s="623"/>
      <c r="AC72" s="60"/>
      <c r="AD72" s="9"/>
    </row>
    <row r="73" spans="1:30" ht="17.25" customHeight="1" x14ac:dyDescent="0.25">
      <c r="B73" s="13" t="s">
        <v>125</v>
      </c>
      <c r="C73" s="13"/>
      <c r="D73" s="13"/>
      <c r="E73" s="13"/>
      <c r="F73" s="13"/>
      <c r="H73" s="13"/>
      <c r="I73" s="13"/>
      <c r="J73" s="82"/>
      <c r="K73" s="13"/>
      <c r="L73" s="59"/>
      <c r="O73" s="1"/>
      <c r="V73" s="651" t="s">
        <v>126</v>
      </c>
      <c r="W73" s="651"/>
      <c r="X73" s="651"/>
      <c r="Y73" s="651"/>
      <c r="Z73" s="651"/>
      <c r="AA73" s="651"/>
      <c r="AB73" s="651"/>
      <c r="AC73" s="651"/>
      <c r="AD73" s="9"/>
    </row>
    <row r="74" spans="1:30" ht="31.5" x14ac:dyDescent="0.25">
      <c r="B74" s="13" t="s">
        <v>126</v>
      </c>
      <c r="C74" s="13"/>
      <c r="D74" s="27" t="s">
        <v>13</v>
      </c>
      <c r="E74" s="27" t="s">
        <v>14</v>
      </c>
      <c r="F74" s="27"/>
      <c r="H74" s="164" t="s">
        <v>26</v>
      </c>
      <c r="I74" s="172"/>
      <c r="J74" s="164"/>
      <c r="K74" s="172"/>
      <c r="L74" s="112"/>
      <c r="O74" s="1"/>
      <c r="V74" s="666" t="s">
        <v>127</v>
      </c>
      <c r="W74" s="666"/>
      <c r="X74" s="173" t="s">
        <v>128</v>
      </c>
      <c r="Y74" s="174"/>
      <c r="Z74" s="175">
        <f>+I75</f>
        <v>185</v>
      </c>
      <c r="AA74" s="559" t="s">
        <v>129</v>
      </c>
      <c r="AB74" s="177">
        <f>+K75</f>
        <v>361</v>
      </c>
      <c r="AC74" s="56">
        <f>ROUND(AB74*Z74,0)</f>
        <v>66785</v>
      </c>
      <c r="AD74" s="9"/>
    </row>
    <row r="75" spans="1:30" ht="19.5" customHeight="1" x14ac:dyDescent="0.25">
      <c r="A75" s="1" t="s">
        <v>130</v>
      </c>
      <c r="B75" s="178" t="s">
        <v>127</v>
      </c>
      <c r="C75" s="179" t="s">
        <v>128</v>
      </c>
      <c r="D75" s="178">
        <v>185</v>
      </c>
      <c r="E75" s="178">
        <v>185</v>
      </c>
      <c r="F75" s="178">
        <v>0</v>
      </c>
      <c r="G75" s="180">
        <f>IF(E75=0,D75,E75)</f>
        <v>185</v>
      </c>
      <c r="H75" s="181"/>
      <c r="I75" s="182">
        <f>AVERAGE(G75,D75)</f>
        <v>185</v>
      </c>
      <c r="J75" s="183" t="s">
        <v>129</v>
      </c>
      <c r="K75" s="184">
        <v>361</v>
      </c>
      <c r="L75" s="50">
        <f>ROUND(K75*I75,0)</f>
        <v>66785</v>
      </c>
      <c r="N75" s="1">
        <v>7802</v>
      </c>
      <c r="O75" s="1">
        <v>0</v>
      </c>
      <c r="V75" s="666" t="s">
        <v>127</v>
      </c>
      <c r="W75" s="666"/>
      <c r="X75" s="173" t="s">
        <v>131</v>
      </c>
      <c r="Y75" s="185"/>
      <c r="Z75" s="186"/>
      <c r="AA75" s="559" t="s">
        <v>129</v>
      </c>
      <c r="AB75" s="187">
        <f>+K76</f>
        <v>1358</v>
      </c>
      <c r="AC75" s="56">
        <f>ROUND(AB75*Z75,0)</f>
        <v>0</v>
      </c>
      <c r="AD75" s="9"/>
    </row>
    <row r="76" spans="1:30" ht="19.5" customHeight="1" x14ac:dyDescent="0.25">
      <c r="A76" s="1" t="s">
        <v>132</v>
      </c>
      <c r="B76" s="178" t="s">
        <v>127</v>
      </c>
      <c r="C76" s="179" t="s">
        <v>131</v>
      </c>
      <c r="D76" s="178">
        <v>0</v>
      </c>
      <c r="E76" s="178">
        <v>0</v>
      </c>
      <c r="F76" s="178">
        <v>0</v>
      </c>
      <c r="G76" s="180">
        <f>IF(E76=0,D76,E76)</f>
        <v>0</v>
      </c>
      <c r="H76" s="181"/>
      <c r="I76" s="182">
        <f>AVERAGE(G76,D76)</f>
        <v>0</v>
      </c>
      <c r="J76" s="183" t="s">
        <v>129</v>
      </c>
      <c r="K76" s="188">
        <v>1358</v>
      </c>
      <c r="L76" s="50">
        <f>ROUND(K76*I76,0)</f>
        <v>0</v>
      </c>
      <c r="N76" s="1">
        <v>7802</v>
      </c>
      <c r="O76" s="1">
        <v>110</v>
      </c>
      <c r="V76" s="651" t="s">
        <v>133</v>
      </c>
      <c r="W76" s="651"/>
      <c r="X76" s="651"/>
      <c r="Y76" s="661">
        <f>+I77</f>
        <v>33305823</v>
      </c>
      <c r="Z76" s="661"/>
      <c r="AA76" s="559" t="s">
        <v>129</v>
      </c>
      <c r="AB76" s="163">
        <f>AB54</f>
        <v>1.222E-3</v>
      </c>
      <c r="AC76" s="56">
        <f>ROUND(Y76*AB76,0)</f>
        <v>40700</v>
      </c>
      <c r="AD76" s="9"/>
    </row>
    <row r="77" spans="1:30" ht="26.25" customHeight="1" x14ac:dyDescent="0.25">
      <c r="B77" s="13" t="s">
        <v>133</v>
      </c>
      <c r="C77" s="13"/>
      <c r="D77" s="13"/>
      <c r="E77" s="13"/>
      <c r="F77" s="13"/>
      <c r="H77" s="164" t="s">
        <v>134</v>
      </c>
      <c r="I77" s="189">
        <v>33305823</v>
      </c>
      <c r="J77" s="165" t="s">
        <v>111</v>
      </c>
      <c r="K77" s="166">
        <f>K54</f>
        <v>4.3660000000000001E-3</v>
      </c>
      <c r="L77" s="50">
        <f>ROUND(I77*K77,0)</f>
        <v>145413</v>
      </c>
      <c r="O77" s="1"/>
      <c r="V77" s="651" t="str">
        <f>+B78</f>
        <v>15.  Additional Allocation (WFTE share)</v>
      </c>
      <c r="W77" s="651"/>
      <c r="X77" s="651"/>
      <c r="Y77" s="661">
        <f>+I78</f>
        <v>680688</v>
      </c>
      <c r="Z77" s="661"/>
      <c r="AA77" s="559" t="s">
        <v>129</v>
      </c>
      <c r="AB77" s="163">
        <f>AB54</f>
        <v>1.222E-3</v>
      </c>
      <c r="AC77" s="56">
        <f>ROUND(Y77*AB77,0)</f>
        <v>832</v>
      </c>
      <c r="AD77" s="9"/>
    </row>
    <row r="78" spans="1:30" ht="26.25" customHeight="1" x14ac:dyDescent="0.25">
      <c r="B78" s="669" t="s">
        <v>135</v>
      </c>
      <c r="C78" s="669"/>
      <c r="D78" s="669"/>
      <c r="E78" s="13"/>
      <c r="F78" s="13"/>
      <c r="H78" s="164" t="s">
        <v>136</v>
      </c>
      <c r="I78" s="190">
        <v>680688</v>
      </c>
      <c r="J78" s="165" t="s">
        <v>111</v>
      </c>
      <c r="K78" s="166">
        <f>K54</f>
        <v>4.3660000000000001E-3</v>
      </c>
      <c r="L78" s="50">
        <f>ROUND(I78*K78,0)</f>
        <v>2972</v>
      </c>
      <c r="O78" s="1"/>
      <c r="V78" s="651" t="str">
        <f t="shared" ref="V78:V79" si="11">+B79</f>
        <v>16.  Florida Teachers Lead Program Stipend</v>
      </c>
      <c r="W78" s="651"/>
      <c r="X78" s="651"/>
      <c r="Y78" s="191"/>
      <c r="Z78" s="191"/>
      <c r="AA78" s="191"/>
      <c r="AB78" s="191"/>
      <c r="AC78" s="134"/>
      <c r="AD78" s="9"/>
    </row>
    <row r="79" spans="1:30" ht="21" customHeight="1" x14ac:dyDescent="0.25">
      <c r="B79" s="669" t="s">
        <v>137</v>
      </c>
      <c r="C79" s="669"/>
      <c r="D79" s="669"/>
      <c r="E79" s="13"/>
      <c r="F79" s="13"/>
      <c r="H79" s="164"/>
      <c r="I79" s="172"/>
      <c r="J79" s="172"/>
      <c r="K79" s="172"/>
      <c r="L79" s="129"/>
      <c r="N79" s="192"/>
      <c r="O79" s="1"/>
      <c r="Q79" s="164"/>
      <c r="V79" s="651" t="str">
        <f t="shared" si="11"/>
        <v>17.  Food Service Allocation</v>
      </c>
      <c r="W79" s="651"/>
      <c r="X79" s="651"/>
      <c r="Y79" s="191"/>
      <c r="Z79" s="191"/>
      <c r="AA79" s="191"/>
      <c r="AB79" s="191"/>
      <c r="AC79" s="193"/>
      <c r="AD79" s="9"/>
    </row>
    <row r="80" spans="1:30" ht="21" customHeight="1" x14ac:dyDescent="0.25">
      <c r="B80" s="669" t="s">
        <v>138</v>
      </c>
      <c r="C80" s="669"/>
      <c r="D80" s="669"/>
      <c r="E80" s="13"/>
      <c r="F80" s="13"/>
      <c r="H80" s="194" t="s">
        <v>139</v>
      </c>
      <c r="I80" s="195"/>
      <c r="J80" s="195"/>
      <c r="K80" s="195"/>
      <c r="L80" s="196"/>
      <c r="N80" s="197"/>
      <c r="O80" s="1"/>
      <c r="Q80" s="164"/>
      <c r="V80" s="191"/>
      <c r="W80" s="191"/>
      <c r="X80" s="191"/>
      <c r="Y80" s="191"/>
      <c r="Z80" s="191"/>
      <c r="AA80" s="191"/>
      <c r="AB80" s="191"/>
      <c r="AC80" s="193"/>
      <c r="AD80" s="9"/>
    </row>
    <row r="81" spans="1:30" ht="21" customHeight="1" thickBot="1" x14ac:dyDescent="0.3">
      <c r="B81" s="13"/>
      <c r="C81" s="13"/>
      <c r="D81" s="13"/>
      <c r="E81" s="13"/>
      <c r="F81" s="13"/>
      <c r="G81" s="13"/>
      <c r="H81" s="13"/>
      <c r="I81" s="13"/>
      <c r="J81" s="13"/>
      <c r="K81" s="13"/>
      <c r="L81" s="196"/>
      <c r="M81" s="198"/>
      <c r="N81" s="197"/>
      <c r="O81" s="1"/>
      <c r="Q81" s="164"/>
      <c r="V81" s="191" t="s">
        <v>140</v>
      </c>
      <c r="W81" s="191"/>
      <c r="X81" s="191"/>
      <c r="Y81" s="191"/>
      <c r="Z81" s="191"/>
      <c r="AA81" s="191"/>
      <c r="AB81" s="191"/>
      <c r="AC81" s="199">
        <f>SUM(AC44:AC80)</f>
        <v>1511758</v>
      </c>
      <c r="AD81" s="200"/>
    </row>
    <row r="82" spans="1:30" ht="22.5" customHeight="1" thickTop="1" thickBot="1" x14ac:dyDescent="0.3">
      <c r="B82" s="13" t="s">
        <v>141</v>
      </c>
      <c r="C82" s="13"/>
      <c r="D82" s="13"/>
      <c r="E82" s="13"/>
      <c r="F82" s="13"/>
      <c r="G82" s="13"/>
      <c r="H82" s="13"/>
      <c r="I82" s="13"/>
      <c r="J82" s="13"/>
      <c r="K82" s="13"/>
      <c r="L82" s="201">
        <f>SUM(L44:L81)</f>
        <v>5298258</v>
      </c>
      <c r="M82" s="202"/>
      <c r="N82" s="203"/>
      <c r="O82" s="1"/>
      <c r="Q82" s="164"/>
      <c r="V82" s="191"/>
      <c r="W82" s="191"/>
      <c r="X82" s="191"/>
      <c r="Y82" s="191"/>
      <c r="Z82" s="191"/>
      <c r="AA82" s="191"/>
      <c r="AB82" s="191"/>
      <c r="AC82" s="204"/>
      <c r="AD82" s="200"/>
    </row>
    <row r="83" spans="1:30" ht="27.75" customHeight="1" thickTop="1" x14ac:dyDescent="0.25">
      <c r="B83" s="13" t="s">
        <v>142</v>
      </c>
      <c r="C83" s="13"/>
      <c r="D83" s="13"/>
      <c r="E83" s="13"/>
      <c r="F83" s="13"/>
      <c r="G83" s="13"/>
      <c r="H83" s="13"/>
      <c r="I83" s="13"/>
      <c r="J83" s="13"/>
      <c r="K83" s="82" t="s">
        <v>143</v>
      </c>
      <c r="L83" s="205" t="s">
        <v>144</v>
      </c>
      <c r="M83" s="202"/>
      <c r="N83" s="203"/>
      <c r="O83" s="1"/>
      <c r="Q83" s="164"/>
      <c r="V83" s="9" t="s">
        <v>145</v>
      </c>
      <c r="W83" s="9"/>
      <c r="X83" s="9"/>
      <c r="Y83" s="9"/>
      <c r="Z83" s="9"/>
      <c r="AA83" s="9"/>
      <c r="AB83" s="9"/>
      <c r="AC83" s="9"/>
      <c r="AD83" s="9"/>
    </row>
    <row r="84" spans="1:30" ht="18.75" customHeight="1" thickBot="1" x14ac:dyDescent="0.3">
      <c r="B84" s="13" t="s">
        <v>146</v>
      </c>
      <c r="C84" s="13"/>
      <c r="D84" s="13"/>
      <c r="E84" s="13"/>
      <c r="F84" s="13"/>
      <c r="G84" s="13"/>
      <c r="H84" s="13"/>
      <c r="I84" s="13"/>
      <c r="J84" s="13"/>
      <c r="K84" s="207">
        <f>IF(G26=0,"",IF((G11+G13+SUM(G15:G21))/G26&gt;0.75,1,""))</f>
        <v>1</v>
      </c>
      <c r="L84" s="201">
        <f>'2941 June final'!AC81</f>
        <v>1511758</v>
      </c>
      <c r="M84" s="202"/>
      <c r="N84" s="203"/>
      <c r="O84" s="1"/>
      <c r="Q84" s="164"/>
      <c r="V84" s="191" t="s">
        <v>147</v>
      </c>
      <c r="W84" s="191"/>
      <c r="X84" s="191"/>
      <c r="Y84" s="191"/>
      <c r="Z84" s="191"/>
      <c r="AA84" s="191"/>
      <c r="AB84" s="191"/>
      <c r="AC84" s="191"/>
      <c r="AD84" s="9"/>
    </row>
    <row r="85" spans="1:30" ht="18.75" customHeight="1" thickTop="1" x14ac:dyDescent="0.25">
      <c r="B85" s="13"/>
      <c r="C85" s="13"/>
      <c r="D85" s="13"/>
      <c r="E85" s="13"/>
      <c r="F85" s="13"/>
      <c r="G85" s="13"/>
      <c r="H85" s="13"/>
      <c r="I85" s="13"/>
      <c r="J85" s="13"/>
      <c r="M85" s="202"/>
      <c r="N85" s="203"/>
      <c r="O85" s="1"/>
      <c r="Q85" s="164"/>
      <c r="V85" s="191" t="s">
        <v>148</v>
      </c>
      <c r="W85" s="191"/>
      <c r="X85" s="191"/>
      <c r="Y85" s="191"/>
      <c r="Z85" s="191"/>
      <c r="AA85" s="191"/>
      <c r="AB85" s="191"/>
      <c r="AC85" s="191"/>
      <c r="AD85" s="9"/>
    </row>
    <row r="86" spans="1:30" ht="18.75" customHeight="1" x14ac:dyDescent="0.25">
      <c r="B86" s="2" t="s">
        <v>149</v>
      </c>
      <c r="C86" s="13"/>
      <c r="D86" s="13"/>
      <c r="E86" s="13"/>
      <c r="F86" s="13"/>
      <c r="G86" s="13"/>
      <c r="H86" s="13"/>
      <c r="I86" s="13"/>
      <c r="J86" s="209" t="s">
        <v>150</v>
      </c>
      <c r="K86" s="210">
        <f>IF(K84=1,L84,L82)</f>
        <v>1511758</v>
      </c>
      <c r="L86" s="211">
        <f>IF(G26=0,0,IF(G26&gt;250,-(((250/G26)*K86)*IF(M86="H",0.02,0.05)),IF(M86="H",-0.02*K86,-0.05*K86)))</f>
        <v>-75587.900000000009</v>
      </c>
      <c r="M86" s="212" t="str">
        <f>IF(B123="2801","H",IF(B123="2911","H",IF(B123="3382","H"," ")))</f>
        <v xml:space="preserve"> </v>
      </c>
      <c r="N86" s="203"/>
      <c r="O86" s="1"/>
      <c r="Q86" s="164"/>
      <c r="V86" s="191" t="s">
        <v>151</v>
      </c>
      <c r="W86" s="191"/>
      <c r="X86" s="191"/>
      <c r="Y86" s="191"/>
      <c r="Z86" s="191"/>
      <c r="AA86" s="191"/>
      <c r="AB86" s="191"/>
      <c r="AC86" s="191"/>
      <c r="AD86" s="9"/>
    </row>
    <row r="87" spans="1:30" ht="18.75" customHeight="1" x14ac:dyDescent="0.25">
      <c r="B87" s="2" t="s">
        <v>152</v>
      </c>
      <c r="C87" s="13"/>
      <c r="D87" s="13"/>
      <c r="E87" s="13"/>
      <c r="F87" s="13"/>
      <c r="G87" s="13"/>
      <c r="H87" s="13"/>
      <c r="I87" s="13"/>
      <c r="J87" s="13"/>
      <c r="K87" s="213"/>
      <c r="L87" s="205">
        <f>L82+L86</f>
        <v>5222670.0999999996</v>
      </c>
      <c r="M87" s="202"/>
      <c r="N87" s="203"/>
      <c r="O87" s="1"/>
      <c r="Q87" s="164"/>
      <c r="V87" s="198"/>
      <c r="W87" s="198"/>
      <c r="X87" s="198"/>
      <c r="Y87" s="198"/>
      <c r="Z87" s="198"/>
      <c r="AA87" s="198"/>
      <c r="AB87" s="198"/>
      <c r="AC87" s="198"/>
      <c r="AD87" s="198"/>
    </row>
    <row r="88" spans="1:30" x14ac:dyDescent="0.25">
      <c r="V88" s="198"/>
      <c r="W88" s="198"/>
      <c r="X88" s="198"/>
      <c r="Y88" s="198"/>
      <c r="Z88" s="198"/>
      <c r="AA88" s="198"/>
      <c r="AB88" s="198"/>
      <c r="AC88" s="198"/>
      <c r="AD88" s="568"/>
    </row>
    <row r="89" spans="1:30" ht="18.75" customHeight="1" x14ac:dyDescent="0.25">
      <c r="A89" s="1" t="s">
        <v>153</v>
      </c>
      <c r="B89" s="13" t="s">
        <v>154</v>
      </c>
      <c r="C89" s="13"/>
      <c r="D89" s="13">
        <v>2357563</v>
      </c>
      <c r="E89" s="13">
        <v>502642</v>
      </c>
      <c r="F89" s="13">
        <v>4344407</v>
      </c>
      <c r="G89" s="13"/>
      <c r="H89" s="13"/>
      <c r="I89" s="13"/>
      <c r="J89" s="13"/>
      <c r="K89" s="213"/>
      <c r="L89" s="84">
        <v>-5390067.0499999998</v>
      </c>
      <c r="M89" s="202"/>
      <c r="N89" s="203"/>
      <c r="O89" s="1"/>
      <c r="Q89" s="164"/>
      <c r="V89" s="198">
        <v>2801</v>
      </c>
      <c r="W89" s="198"/>
      <c r="X89" s="198"/>
      <c r="Y89" s="198"/>
      <c r="Z89" s="198"/>
      <c r="AA89" s="198"/>
      <c r="AB89" s="198"/>
      <c r="AC89" s="198"/>
      <c r="AD89" s="198"/>
    </row>
    <row r="90" spans="1:30" ht="18.75" customHeight="1" x14ac:dyDescent="0.25">
      <c r="B90" s="13" t="s">
        <v>155</v>
      </c>
      <c r="C90" s="13"/>
      <c r="D90" s="13"/>
      <c r="E90" s="13"/>
      <c r="F90" s="13"/>
      <c r="G90" s="13"/>
      <c r="H90" s="13"/>
      <c r="I90" s="13"/>
      <c r="J90" s="13"/>
      <c r="K90" s="213"/>
      <c r="L90" s="205">
        <f>L87+L89</f>
        <v>-167396.95000000019</v>
      </c>
      <c r="M90" s="202"/>
      <c r="N90" s="203"/>
      <c r="O90" s="1"/>
      <c r="Q90" s="164"/>
      <c r="V90" s="198">
        <v>2911</v>
      </c>
      <c r="W90" s="569"/>
      <c r="X90" s="569"/>
      <c r="Y90" s="569"/>
      <c r="Z90" s="569"/>
      <c r="AA90" s="569"/>
      <c r="AB90" s="569"/>
      <c r="AC90" s="569"/>
      <c r="AD90" s="198"/>
    </row>
    <row r="91" spans="1:30" ht="18.75" customHeight="1" x14ac:dyDescent="0.25">
      <c r="B91" s="13" t="s">
        <v>156</v>
      </c>
      <c r="C91" s="13"/>
      <c r="D91" s="13"/>
      <c r="E91" s="13"/>
      <c r="F91" s="13"/>
      <c r="G91" s="13"/>
      <c r="H91" s="13"/>
      <c r="I91" s="13"/>
      <c r="J91" s="13"/>
      <c r="K91" s="213"/>
      <c r="L91" s="205">
        <v>1</v>
      </c>
      <c r="M91" s="202"/>
      <c r="N91" s="203"/>
      <c r="O91" s="1"/>
      <c r="Q91" s="164"/>
      <c r="V91" s="198">
        <v>3382</v>
      </c>
      <c r="W91" s="569"/>
      <c r="X91" s="569"/>
      <c r="Y91" s="569"/>
      <c r="Z91" s="569"/>
      <c r="AA91" s="569"/>
      <c r="AB91" s="569"/>
      <c r="AC91" s="569"/>
      <c r="AD91" s="198"/>
    </row>
    <row r="92" spans="1:30" ht="18.75" customHeight="1" thickBot="1" x14ac:dyDescent="0.3">
      <c r="B92" s="13" t="s">
        <v>434</v>
      </c>
      <c r="C92" s="13"/>
      <c r="D92" s="13"/>
      <c r="E92" s="13"/>
      <c r="F92" s="13"/>
      <c r="G92" s="13"/>
      <c r="H92" s="13"/>
      <c r="I92" s="13"/>
      <c r="J92" s="13"/>
      <c r="K92" s="213"/>
      <c r="L92" s="217">
        <f>L90/L91</f>
        <v>-167396.95000000019</v>
      </c>
      <c r="M92" s="202"/>
      <c r="N92" s="203"/>
      <c r="O92" s="1"/>
      <c r="Q92" s="164"/>
      <c r="V92" s="570"/>
      <c r="W92" s="570"/>
      <c r="X92" s="570"/>
      <c r="Y92" s="570"/>
      <c r="Z92" s="570"/>
      <c r="AA92" s="570"/>
      <c r="AB92" s="570"/>
      <c r="AC92" s="570"/>
    </row>
    <row r="93" spans="1:30" ht="18.75" customHeight="1" thickTop="1" x14ac:dyDescent="0.25">
      <c r="V93" s="570"/>
      <c r="W93" s="570"/>
      <c r="X93" s="570"/>
      <c r="Y93" s="570"/>
      <c r="Z93" s="570"/>
      <c r="AA93" s="570"/>
      <c r="AB93" s="570"/>
      <c r="AC93" s="570"/>
      <c r="AD93" s="198"/>
    </row>
    <row r="94" spans="1:30" ht="18.75" customHeight="1" thickBot="1" x14ac:dyDescent="0.3">
      <c r="B94" s="221" t="s">
        <v>158</v>
      </c>
      <c r="C94" s="13"/>
      <c r="D94" s="13"/>
      <c r="E94" s="13"/>
      <c r="G94" s="13"/>
      <c r="H94" s="13"/>
      <c r="I94" s="13"/>
      <c r="J94" s="13"/>
      <c r="L94" s="222">
        <f>IF(M86="H",(K86*0.02)+L86,(K86*0.05)+L86)</f>
        <v>0</v>
      </c>
      <c r="M94" s="202"/>
      <c r="V94" s="571"/>
      <c r="W94" s="571"/>
      <c r="X94" s="571"/>
      <c r="Y94" s="571"/>
      <c r="Z94" s="571"/>
      <c r="AA94" s="571"/>
      <c r="AB94" s="571"/>
      <c r="AC94" s="571"/>
      <c r="AD94" s="198"/>
    </row>
    <row r="95" spans="1:30" ht="21.75" customHeight="1" thickTop="1" x14ac:dyDescent="0.25">
      <c r="B95" s="13" t="s">
        <v>159</v>
      </c>
      <c r="C95" s="13"/>
      <c r="D95" s="13"/>
      <c r="E95" s="13"/>
      <c r="F95" s="13"/>
      <c r="G95" s="13"/>
      <c r="H95" s="13"/>
      <c r="I95" s="13"/>
      <c r="J95" s="13"/>
      <c r="K95" s="13"/>
      <c r="L95" s="13"/>
      <c r="V95" s="571"/>
      <c r="W95" s="571"/>
      <c r="X95" s="571"/>
      <c r="Y95" s="571"/>
      <c r="Z95" s="571"/>
      <c r="AA95" s="571"/>
      <c r="AB95" s="571"/>
      <c r="AC95" s="571"/>
      <c r="AD95" s="198"/>
    </row>
    <row r="96" spans="1:30" x14ac:dyDescent="0.25">
      <c r="B96" s="225"/>
      <c r="V96" s="571"/>
      <c r="W96" s="571"/>
      <c r="X96" s="571"/>
      <c r="Y96" s="571"/>
      <c r="Z96" s="571"/>
      <c r="AA96" s="571"/>
      <c r="AB96" s="571"/>
      <c r="AC96" s="571"/>
    </row>
    <row r="97" spans="2:30" x14ac:dyDescent="0.25">
      <c r="B97" s="225"/>
      <c r="V97" s="571"/>
      <c r="W97" s="571"/>
      <c r="X97" s="571"/>
      <c r="Y97" s="571"/>
      <c r="Z97" s="571"/>
      <c r="AA97" s="571"/>
      <c r="AB97" s="571"/>
      <c r="AC97" s="571"/>
    </row>
    <row r="98" spans="2:30" hidden="1" x14ac:dyDescent="0.25">
      <c r="B98" s="226" t="s">
        <v>160</v>
      </c>
      <c r="C98" s="227"/>
      <c r="V98" s="572"/>
      <c r="W98" s="572"/>
      <c r="X98" s="572"/>
      <c r="Y98" s="572"/>
      <c r="Z98" s="572"/>
      <c r="AA98" s="572"/>
      <c r="AB98" s="572"/>
      <c r="AC98" s="572"/>
    </row>
    <row r="99" spans="2:30" hidden="1" x14ac:dyDescent="0.25">
      <c r="B99" s="229"/>
      <c r="C99" s="227"/>
      <c r="V99" s="225"/>
      <c r="W99" s="13"/>
      <c r="X99" s="13"/>
      <c r="Y99" s="13"/>
      <c r="Z99" s="13"/>
      <c r="AA99" s="13"/>
      <c r="AB99" s="13"/>
      <c r="AC99" s="13"/>
    </row>
    <row r="100" spans="2:30" hidden="1" x14ac:dyDescent="0.25">
      <c r="B100" s="230" t="s">
        <v>161</v>
      </c>
      <c r="C100" s="226" t="s">
        <v>162</v>
      </c>
      <c r="V100" s="225"/>
    </row>
    <row r="101" spans="2:30" hidden="1" x14ac:dyDescent="0.25">
      <c r="B101" s="230" t="s">
        <v>163</v>
      </c>
      <c r="C101" s="226" t="s">
        <v>164</v>
      </c>
      <c r="V101" s="225"/>
    </row>
    <row r="102" spans="2:30" hidden="1" x14ac:dyDescent="0.25">
      <c r="B102" s="230" t="s">
        <v>165</v>
      </c>
      <c r="C102" s="226" t="s">
        <v>166</v>
      </c>
      <c r="V102" s="225"/>
      <c r="W102" s="231"/>
      <c r="X102" s="231"/>
      <c r="Y102" s="231"/>
      <c r="Z102" s="231"/>
      <c r="AA102" s="231"/>
      <c r="AB102" s="231"/>
      <c r="AC102" s="231"/>
      <c r="AD102" s="231"/>
    </row>
    <row r="103" spans="2:30" hidden="1" x14ac:dyDescent="0.25">
      <c r="B103" s="230" t="s">
        <v>167</v>
      </c>
      <c r="C103" s="226" t="s">
        <v>168</v>
      </c>
      <c r="V103" s="225"/>
    </row>
    <row r="104" spans="2:30" hidden="1" x14ac:dyDescent="0.25">
      <c r="B104" s="232"/>
      <c r="C104" s="226" t="s">
        <v>169</v>
      </c>
      <c r="V104" s="225"/>
    </row>
    <row r="105" spans="2:30" hidden="1" x14ac:dyDescent="0.25">
      <c r="B105" s="230" t="s">
        <v>170</v>
      </c>
      <c r="C105" s="226" t="s">
        <v>171</v>
      </c>
      <c r="V105" s="225"/>
    </row>
    <row r="106" spans="2:30" hidden="1" x14ac:dyDescent="0.25">
      <c r="B106" s="230" t="s">
        <v>172</v>
      </c>
      <c r="C106" s="226" t="s">
        <v>173</v>
      </c>
      <c r="V106" s="225"/>
    </row>
    <row r="107" spans="2:30" hidden="1" x14ac:dyDescent="0.25">
      <c r="B107" s="230" t="s">
        <v>245</v>
      </c>
      <c r="C107" s="226" t="s">
        <v>175</v>
      </c>
      <c r="V107" s="225"/>
    </row>
    <row r="108" spans="2:30" hidden="1" x14ac:dyDescent="0.25">
      <c r="B108" s="230" t="s">
        <v>176</v>
      </c>
      <c r="C108" s="226" t="s">
        <v>177</v>
      </c>
      <c r="V108" s="225"/>
    </row>
    <row r="109" spans="2:30" hidden="1" x14ac:dyDescent="0.25">
      <c r="B109" s="230" t="s">
        <v>178</v>
      </c>
      <c r="C109" s="226" t="s">
        <v>179</v>
      </c>
      <c r="V109" s="225"/>
    </row>
    <row r="110" spans="2:30" hidden="1" x14ac:dyDescent="0.25">
      <c r="B110" s="232"/>
      <c r="C110" s="226"/>
      <c r="V110" s="225"/>
    </row>
    <row r="111" spans="2:30" hidden="1" x14ac:dyDescent="0.25">
      <c r="B111" s="230" t="s">
        <v>180</v>
      </c>
      <c r="C111" s="226" t="s">
        <v>181</v>
      </c>
      <c r="V111" s="225"/>
    </row>
    <row r="112" spans="2:30" hidden="1" x14ac:dyDescent="0.25">
      <c r="B112" s="230" t="s">
        <v>180</v>
      </c>
      <c r="C112" s="226" t="s">
        <v>182</v>
      </c>
    </row>
    <row r="113" spans="2:3" hidden="1" x14ac:dyDescent="0.25">
      <c r="B113" s="230" t="s">
        <v>183</v>
      </c>
      <c r="C113" s="226" t="s">
        <v>184</v>
      </c>
    </row>
    <row r="114" spans="2:3" hidden="1" x14ac:dyDescent="0.25">
      <c r="B114" s="230" t="s">
        <v>185</v>
      </c>
      <c r="C114" s="226" t="s">
        <v>186</v>
      </c>
    </row>
    <row r="115" spans="2:3" hidden="1" x14ac:dyDescent="0.25">
      <c r="B115" s="230" t="s">
        <v>183</v>
      </c>
      <c r="C115" s="226" t="s">
        <v>187</v>
      </c>
    </row>
    <row r="116" spans="2:3" hidden="1" x14ac:dyDescent="0.25">
      <c r="B116" s="230" t="s">
        <v>188</v>
      </c>
      <c r="C116" s="226" t="s">
        <v>189</v>
      </c>
    </row>
    <row r="117" spans="2:3" hidden="1" x14ac:dyDescent="0.25">
      <c r="B117" s="230" t="s">
        <v>190</v>
      </c>
      <c r="C117" s="226" t="s">
        <v>191</v>
      </c>
    </row>
    <row r="118" spans="2:3" hidden="1" x14ac:dyDescent="0.25">
      <c r="B118" s="232" t="s">
        <v>192</v>
      </c>
      <c r="C118" s="226" t="s">
        <v>193</v>
      </c>
    </row>
    <row r="119" spans="2:3" hidden="1" x14ac:dyDescent="0.25">
      <c r="B119" s="232"/>
      <c r="C119" s="226"/>
    </row>
    <row r="120" spans="2:3" hidden="1" x14ac:dyDescent="0.25">
      <c r="B120" s="230" t="s">
        <v>161</v>
      </c>
      <c r="C120" s="226" t="s">
        <v>194</v>
      </c>
    </row>
    <row r="121" spans="2:3" hidden="1" x14ac:dyDescent="0.25">
      <c r="B121" s="230" t="s">
        <v>195</v>
      </c>
      <c r="C121" s="226" t="s">
        <v>196</v>
      </c>
    </row>
    <row r="122" spans="2:3" hidden="1" x14ac:dyDescent="0.25">
      <c r="B122" s="230" t="s">
        <v>197</v>
      </c>
      <c r="C122" s="226" t="s">
        <v>198</v>
      </c>
    </row>
    <row r="123" spans="2:3" hidden="1" x14ac:dyDescent="0.25">
      <c r="B123" s="230" t="s">
        <v>246</v>
      </c>
      <c r="C123" s="226" t="s">
        <v>200</v>
      </c>
    </row>
    <row r="124" spans="2:3" hidden="1" x14ac:dyDescent="0.25">
      <c r="B124" s="230" t="s">
        <v>247</v>
      </c>
      <c r="C124" s="226" t="s">
        <v>202</v>
      </c>
    </row>
    <row r="125" spans="2:3" hidden="1" x14ac:dyDescent="0.25">
      <c r="B125" s="230" t="s">
        <v>203</v>
      </c>
      <c r="C125" s="226" t="s">
        <v>204</v>
      </c>
    </row>
    <row r="126" spans="2:3" hidden="1" x14ac:dyDescent="0.25">
      <c r="B126" s="230" t="s">
        <v>203</v>
      </c>
      <c r="C126" s="226" t="s">
        <v>205</v>
      </c>
    </row>
    <row r="127" spans="2:3" hidden="1" x14ac:dyDescent="0.25">
      <c r="B127" s="230" t="s">
        <v>203</v>
      </c>
      <c r="C127" s="226" t="s">
        <v>206</v>
      </c>
    </row>
    <row r="128" spans="2:3" hidden="1" x14ac:dyDescent="0.25">
      <c r="B128" s="230" t="s">
        <v>203</v>
      </c>
      <c r="C128" s="226" t="s">
        <v>207</v>
      </c>
    </row>
    <row r="129" spans="2:3" hidden="1" x14ac:dyDescent="0.25">
      <c r="B129" s="230" t="s">
        <v>167</v>
      </c>
      <c r="C129" s="226" t="s">
        <v>208</v>
      </c>
    </row>
    <row r="130" spans="2:3" hidden="1" x14ac:dyDescent="0.25">
      <c r="B130" s="230" t="s">
        <v>209</v>
      </c>
      <c r="C130" s="226" t="s">
        <v>210</v>
      </c>
    </row>
    <row r="131" spans="2:3" hidden="1" x14ac:dyDescent="0.25">
      <c r="B131" s="230" t="s">
        <v>203</v>
      </c>
      <c r="C131" s="226" t="s">
        <v>211</v>
      </c>
    </row>
    <row r="132" spans="2:3" hidden="1" x14ac:dyDescent="0.25">
      <c r="B132" s="226"/>
      <c r="C132" s="226"/>
    </row>
    <row r="133" spans="2:3" hidden="1" x14ac:dyDescent="0.25">
      <c r="B133" s="226"/>
      <c r="C133" s="226"/>
    </row>
    <row r="134" spans="2:3" hidden="1" x14ac:dyDescent="0.25">
      <c r="B134" s="232"/>
      <c r="C134" s="232"/>
    </row>
    <row r="135" spans="2:3" hidden="1" x14ac:dyDescent="0.25">
      <c r="B135" s="232">
        <f>NvsElapsedTime</f>
        <v>1.15740695036948E-5</v>
      </c>
      <c r="C135" s="232"/>
    </row>
    <row r="136" spans="2:3" hidden="1" x14ac:dyDescent="0.25">
      <c r="B136" s="233">
        <f>NvsEndTime</f>
        <v>41754.487789351799</v>
      </c>
      <c r="C136" s="233" t="s">
        <v>212</v>
      </c>
    </row>
    <row r="137" spans="2:3" x14ac:dyDescent="0.25">
      <c r="B137" s="226"/>
      <c r="C137" s="573"/>
    </row>
    <row r="138" spans="2:3" x14ac:dyDescent="0.25">
      <c r="B138" s="226"/>
      <c r="C138" s="226"/>
    </row>
    <row r="139" spans="2:3" x14ac:dyDescent="0.25">
      <c r="B139" s="226"/>
      <c r="C139" s="226"/>
    </row>
    <row r="140" spans="2:3" x14ac:dyDescent="0.25">
      <c r="B140" s="226"/>
      <c r="C140" s="226"/>
    </row>
    <row r="141" spans="2:3" x14ac:dyDescent="0.25">
      <c r="B141" s="226"/>
      <c r="C141" s="226"/>
    </row>
    <row r="142" spans="2:3" x14ac:dyDescent="0.25">
      <c r="B142" s="226"/>
      <c r="C142" s="226"/>
    </row>
    <row r="143" spans="2:3" x14ac:dyDescent="0.25">
      <c r="B143" s="226"/>
      <c r="C143" s="226"/>
    </row>
    <row r="144" spans="2:3" x14ac:dyDescent="0.25">
      <c r="B144" s="226"/>
      <c r="C144" s="226"/>
    </row>
    <row r="145" spans="2:3" x14ac:dyDescent="0.25">
      <c r="B145" s="226"/>
      <c r="C145" s="226"/>
    </row>
    <row r="146" spans="2:3" x14ac:dyDescent="0.25">
      <c r="B146" s="226"/>
      <c r="C146" s="226"/>
    </row>
    <row r="147" spans="2:3" x14ac:dyDescent="0.25">
      <c r="B147" s="226"/>
      <c r="C147" s="226"/>
    </row>
    <row r="148" spans="2:3" x14ac:dyDescent="0.25">
      <c r="B148" s="226"/>
      <c r="C148" s="226"/>
    </row>
    <row r="149" spans="2:3" x14ac:dyDescent="0.25">
      <c r="B149" s="226"/>
      <c r="C149" s="226"/>
    </row>
    <row r="150" spans="2:3" x14ac:dyDescent="0.25">
      <c r="B150" s="226"/>
      <c r="C150" s="226"/>
    </row>
    <row r="151" spans="2:3" x14ac:dyDescent="0.25">
      <c r="B151" s="226"/>
      <c r="C151" s="226"/>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AD151"/>
  <sheetViews>
    <sheetView topLeftCell="B80" zoomScale="70" zoomScaleNormal="70" workbookViewId="0">
      <selection activeCell="B2" sqref="B2"/>
    </sheetView>
  </sheetViews>
  <sheetFormatPr defaultColWidth="8.85546875" defaultRowHeight="15.75" x14ac:dyDescent="0.25"/>
  <cols>
    <col min="1" max="1" width="11.28515625" style="1" hidden="1" customWidth="1"/>
    <col min="2" max="2" width="10.28515625" style="2" customWidth="1"/>
    <col min="3" max="3" width="29" style="1" customWidth="1"/>
    <col min="4" max="5" width="12.28515625" style="1" customWidth="1"/>
    <col min="6" max="6" width="12.28515625" style="1" hidden="1" customWidth="1"/>
    <col min="7" max="7" width="15.28515625" style="1" customWidth="1"/>
    <col min="8" max="8" width="6.7109375" style="1" customWidth="1"/>
    <col min="9" max="9" width="12.5703125" style="1" customWidth="1"/>
    <col min="10" max="10" width="12.85546875" style="1" customWidth="1"/>
    <col min="11" max="11" width="13" style="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28515625" style="1" customWidth="1"/>
    <col min="18" max="18" width="8.85546875" style="1"/>
    <col min="19" max="21" width="0" style="1" hidden="1" customWidth="1"/>
    <col min="22" max="23" width="8.85546875" style="1"/>
    <col min="24" max="24" width="12.7109375" style="1" customWidth="1"/>
    <col min="25" max="25" width="8.85546875" style="1"/>
    <col min="26" max="26" width="13.140625" style="1" bestFit="1" customWidth="1"/>
    <col min="27" max="27" width="8.85546875" style="1"/>
    <col min="28" max="28" width="13.140625" style="1" bestFit="1" customWidth="1"/>
    <col min="29" max="29" width="15.5703125" style="1" bestFit="1" customWidth="1"/>
    <col min="30" max="16384" width="8.85546875" style="1"/>
  </cols>
  <sheetData>
    <row r="1" spans="1:30" ht="15.6"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7"/>
      <c r="N2" s="3"/>
      <c r="O2" s="1"/>
      <c r="V2" s="8">
        <f>'3083'!B2</f>
        <v>50</v>
      </c>
      <c r="W2" s="606" t="s">
        <v>4</v>
      </c>
      <c r="X2" s="607"/>
      <c r="Y2" s="608"/>
      <c r="Z2" s="608"/>
      <c r="AA2" s="608"/>
      <c r="AB2" s="608"/>
      <c r="AC2" s="608"/>
      <c r="AD2" s="9"/>
    </row>
    <row r="3" spans="1:30" ht="20.25" x14ac:dyDescent="0.3">
      <c r="B3" s="10" t="str">
        <f>"Revenue Estimate Worksheet for "&amp;B124</f>
        <v>Revenue Estimate Worksheet for Renaissance Learning Academy</v>
      </c>
      <c r="C3" s="11"/>
      <c r="D3" s="11"/>
      <c r="E3" s="11"/>
      <c r="F3" s="11"/>
      <c r="G3" s="11"/>
      <c r="H3" s="11"/>
      <c r="I3" s="11"/>
      <c r="J3" s="11"/>
      <c r="K3" s="11"/>
      <c r="L3" s="11"/>
      <c r="M3" s="10"/>
      <c r="N3" s="10"/>
      <c r="O3" s="10"/>
      <c r="P3" s="10"/>
      <c r="Q3" s="10"/>
      <c r="V3" s="609" t="s">
        <v>5</v>
      </c>
      <c r="W3" s="609"/>
      <c r="X3" s="609"/>
      <c r="Y3" s="609"/>
      <c r="Z3" s="609"/>
      <c r="AA3" s="609"/>
      <c r="AB3" s="609"/>
      <c r="AC3" s="609"/>
      <c r="AD3" s="12"/>
    </row>
    <row r="4" spans="1:30" ht="18.75" x14ac:dyDescent="0.3">
      <c r="B4" s="2" t="s">
        <v>6</v>
      </c>
      <c r="C4" s="13"/>
      <c r="D4" s="13"/>
      <c r="E4" s="13"/>
      <c r="F4" s="13"/>
      <c r="G4" s="13"/>
      <c r="H4" s="13"/>
      <c r="I4" s="13"/>
      <c r="J4" s="13"/>
      <c r="K4" s="13"/>
      <c r="L4" s="13"/>
      <c r="M4" s="14"/>
      <c r="N4" s="14"/>
      <c r="O4" s="14"/>
      <c r="P4" s="14"/>
      <c r="Q4" s="14"/>
      <c r="V4" s="610" t="str">
        <f>+Based_on_the_Second_Calculation_of_the_FEFP_2010_11</f>
        <v>Based on the Fourth Calculation of the FEFP 2013-14</v>
      </c>
      <c r="W4" s="610"/>
      <c r="X4" s="610"/>
      <c r="Y4" s="610"/>
      <c r="Z4" s="610"/>
      <c r="AA4" s="610"/>
      <c r="AB4" s="610"/>
      <c r="AC4" s="610"/>
      <c r="AD4" s="15"/>
    </row>
    <row r="5" spans="1:30" ht="18.75" customHeight="1" x14ac:dyDescent="0.25">
      <c r="B5" s="16" t="s">
        <v>7</v>
      </c>
      <c r="C5" s="16"/>
      <c r="D5" s="16"/>
      <c r="E5" s="16"/>
      <c r="F5" s="16"/>
      <c r="G5" s="17" t="s">
        <v>8</v>
      </c>
      <c r="H5" s="17"/>
      <c r="I5" s="17"/>
      <c r="J5" s="17"/>
      <c r="K5" s="17"/>
      <c r="L5" s="17"/>
      <c r="M5" s="18"/>
      <c r="N5" s="18"/>
      <c r="O5" s="18"/>
      <c r="P5" s="18"/>
      <c r="Q5" s="18"/>
      <c r="V5" s="611" t="s">
        <v>7</v>
      </c>
      <c r="W5" s="611"/>
      <c r="X5" s="612" t="s">
        <v>8</v>
      </c>
      <c r="Y5" s="612"/>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613" t="s">
        <v>9</v>
      </c>
      <c r="W6" s="613"/>
      <c r="X6" s="613"/>
      <c r="Y6" s="613"/>
      <c r="Z6" s="613"/>
      <c r="AA6" s="613"/>
      <c r="AB6" s="613"/>
      <c r="AC6" s="613"/>
      <c r="AD6" s="22"/>
    </row>
    <row r="7" spans="1:30" ht="18" customHeight="1" x14ac:dyDescent="0.25">
      <c r="B7" s="23" t="s">
        <v>10</v>
      </c>
      <c r="C7" s="23"/>
      <c r="D7" s="23"/>
      <c r="E7" s="23"/>
      <c r="F7" s="23"/>
      <c r="G7" s="24">
        <v>3752.3</v>
      </c>
      <c r="H7" s="24"/>
      <c r="I7" s="23" t="s">
        <v>11</v>
      </c>
      <c r="J7" s="23"/>
      <c r="K7" s="25">
        <v>1.0326</v>
      </c>
      <c r="L7" s="25"/>
      <c r="O7" s="1"/>
      <c r="V7" s="620" t="s">
        <v>10</v>
      </c>
      <c r="W7" s="620"/>
      <c r="X7" s="621">
        <f>'3083'!G7</f>
        <v>3752.3</v>
      </c>
      <c r="Y7" s="621"/>
      <c r="Z7" s="622" t="s">
        <v>11</v>
      </c>
      <c r="AA7" s="622"/>
      <c r="AB7" s="602">
        <f>+K7</f>
        <v>1.0326</v>
      </c>
      <c r="AC7" s="602"/>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603" t="s">
        <v>12</v>
      </c>
      <c r="W8" s="603"/>
      <c r="X8" s="604" t="s">
        <v>15</v>
      </c>
      <c r="Y8" s="604"/>
      <c r="Z8" s="605" t="s">
        <v>16</v>
      </c>
      <c r="AA8" s="605"/>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614" t="s">
        <v>22</v>
      </c>
      <c r="W9" s="614"/>
      <c r="X9" s="615" t="s">
        <v>23</v>
      </c>
      <c r="Y9" s="615"/>
      <c r="Z9" s="616" t="s">
        <v>24</v>
      </c>
      <c r="AA9" s="616"/>
      <c r="AB9" s="43" t="s">
        <v>25</v>
      </c>
      <c r="AC9" s="44" t="s">
        <v>26</v>
      </c>
      <c r="AD9" s="9"/>
    </row>
    <row r="10" spans="1:30" x14ac:dyDescent="0.25">
      <c r="A10" s="1" t="s">
        <v>27</v>
      </c>
      <c r="B10" s="45" t="s">
        <v>28</v>
      </c>
      <c r="C10" s="45"/>
      <c r="D10" s="45">
        <v>0</v>
      </c>
      <c r="E10" s="45">
        <v>0</v>
      </c>
      <c r="F10" s="45">
        <v>0</v>
      </c>
      <c r="G10" s="46">
        <f>D10+E10</f>
        <v>0</v>
      </c>
      <c r="H10" s="47"/>
      <c r="I10" s="48">
        <v>1.125</v>
      </c>
      <c r="J10" s="48"/>
      <c r="K10" s="49">
        <f>ROUND(G10*I10,4)</f>
        <v>0</v>
      </c>
      <c r="L10" s="50">
        <f>ROUND(ROUND(K10*$G$7,4)*($K$7),0)</f>
        <v>0</v>
      </c>
      <c r="N10" s="51">
        <v>5101</v>
      </c>
      <c r="O10" s="52">
        <v>101</v>
      </c>
      <c r="P10" s="53"/>
      <c r="Q10" s="54"/>
      <c r="V10" s="617" t="s">
        <v>28</v>
      </c>
      <c r="W10" s="617"/>
      <c r="X10" s="618">
        <f>IF('3083'!K$84=1,'3083'!G10,0)</f>
        <v>0</v>
      </c>
      <c r="Y10" s="618"/>
      <c r="Z10" s="619">
        <v>1</v>
      </c>
      <c r="AA10" s="619"/>
      <c r="AB10" s="55">
        <f t="shared" ref="AB10:AB25" si="0">ROUND(X10*Z10,4)</f>
        <v>0</v>
      </c>
      <c r="AC10" s="56">
        <f t="shared" ref="AC10:AC25" si="1">ROUND(ROUND(AB10*$X$7,4)*($AB$7),0)</f>
        <v>0</v>
      </c>
      <c r="AD10" s="9">
        <v>1</v>
      </c>
    </row>
    <row r="11" spans="1:30" x14ac:dyDescent="0.25">
      <c r="A11" s="1" t="s">
        <v>29</v>
      </c>
      <c r="B11" s="13" t="s">
        <v>30</v>
      </c>
      <c r="C11" s="13"/>
      <c r="D11" s="13">
        <v>0</v>
      </c>
      <c r="E11" s="13">
        <v>0</v>
      </c>
      <c r="F11" s="13">
        <v>0</v>
      </c>
      <c r="G11" s="46">
        <f t="shared" ref="G11:G25" si="2">D11+E11</f>
        <v>0</v>
      </c>
      <c r="H11" s="47"/>
      <c r="I11" s="57">
        <f>I10</f>
        <v>1.125</v>
      </c>
      <c r="J11" s="57"/>
      <c r="K11" s="49">
        <f t="shared" ref="K11:K25" si="3">ROUND(G11*I11,4)</f>
        <v>0</v>
      </c>
      <c r="L11" s="50">
        <f t="shared" ref="L11:L25" si="4">ROUND(ROUND(K11*$G$7,4)*($K$7),0)</f>
        <v>0</v>
      </c>
      <c r="M11" s="1" t="str">
        <f>IF(ROUND(G11,2)=ROUND(SUM(G28:G30),2)," ","CHECK 2. PK-3 Lines Below")</f>
        <v xml:space="preserve"> </v>
      </c>
      <c r="N11" s="51">
        <v>5101</v>
      </c>
      <c r="O11" s="58" t="s">
        <v>31</v>
      </c>
      <c r="P11" s="53"/>
      <c r="Q11" s="54"/>
      <c r="V11" s="623" t="s">
        <v>30</v>
      </c>
      <c r="W11" s="623"/>
      <c r="X11" s="618">
        <f>IF('3083'!K$84=1,'3083'!G11,0)</f>
        <v>0</v>
      </c>
      <c r="Y11" s="618"/>
      <c r="Z11" s="624">
        <v>1</v>
      </c>
      <c r="AA11" s="624"/>
      <c r="AB11" s="55">
        <f t="shared" si="0"/>
        <v>0</v>
      </c>
      <c r="AC11" s="56">
        <f t="shared" si="1"/>
        <v>0</v>
      </c>
      <c r="AD11" s="9"/>
    </row>
    <row r="12" spans="1:30" x14ac:dyDescent="0.25">
      <c r="A12" s="1" t="s">
        <v>32</v>
      </c>
      <c r="B12" s="13" t="s">
        <v>33</v>
      </c>
      <c r="C12" s="13"/>
      <c r="D12" s="13">
        <v>0</v>
      </c>
      <c r="E12" s="13">
        <v>0</v>
      </c>
      <c r="F12" s="13">
        <v>0</v>
      </c>
      <c r="G12" s="46">
        <f t="shared" si="2"/>
        <v>0</v>
      </c>
      <c r="H12" s="47"/>
      <c r="I12" s="57">
        <v>1</v>
      </c>
      <c r="J12" s="57"/>
      <c r="K12" s="49">
        <f t="shared" si="3"/>
        <v>0</v>
      </c>
      <c r="L12" s="50">
        <f t="shared" si="4"/>
        <v>0</v>
      </c>
      <c r="N12" s="51">
        <v>5102</v>
      </c>
      <c r="O12" s="52">
        <v>102</v>
      </c>
      <c r="P12" s="53"/>
      <c r="Q12" s="54"/>
      <c r="V12" s="623" t="s">
        <v>33</v>
      </c>
      <c r="W12" s="623"/>
      <c r="X12" s="618">
        <f>IF('3083'!K$84=1,'3083'!G12,0)</f>
        <v>0</v>
      </c>
      <c r="Y12" s="618"/>
      <c r="Z12" s="624">
        <v>1</v>
      </c>
      <c r="AA12" s="624"/>
      <c r="AB12" s="55">
        <f t="shared" si="0"/>
        <v>0</v>
      </c>
      <c r="AC12" s="56">
        <f t="shared" si="1"/>
        <v>0</v>
      </c>
      <c r="AD12" s="9"/>
    </row>
    <row r="13" spans="1:30" x14ac:dyDescent="0.25">
      <c r="A13" s="1" t="s">
        <v>34</v>
      </c>
      <c r="B13" s="13" t="s">
        <v>35</v>
      </c>
      <c r="C13" s="13"/>
      <c r="D13" s="13">
        <v>0</v>
      </c>
      <c r="E13" s="13">
        <v>0</v>
      </c>
      <c r="F13" s="13">
        <v>0</v>
      </c>
      <c r="G13" s="46">
        <f t="shared" si="2"/>
        <v>0</v>
      </c>
      <c r="H13" s="47"/>
      <c r="I13" s="57">
        <f>I12</f>
        <v>1</v>
      </c>
      <c r="J13" s="57"/>
      <c r="K13" s="49">
        <f t="shared" si="3"/>
        <v>0</v>
      </c>
      <c r="L13" s="50">
        <f t="shared" si="4"/>
        <v>0</v>
      </c>
      <c r="M13" s="1" t="str">
        <f>IF(ROUND(G13,2)=ROUND(SUM(G31:G33),2)," ","CHECK 2. PK-3 Lines Below")</f>
        <v xml:space="preserve"> </v>
      </c>
      <c r="N13" s="51">
        <v>5102</v>
      </c>
      <c r="O13" s="58" t="s">
        <v>36</v>
      </c>
      <c r="P13" s="53"/>
      <c r="Q13" s="54"/>
      <c r="V13" s="623" t="s">
        <v>35</v>
      </c>
      <c r="W13" s="623"/>
      <c r="X13" s="618">
        <f>IF('3083'!K$84=1,'3083'!G13,0)</f>
        <v>0</v>
      </c>
      <c r="Y13" s="618"/>
      <c r="Z13" s="624">
        <v>1</v>
      </c>
      <c r="AA13" s="624"/>
      <c r="AB13" s="55">
        <f t="shared" si="0"/>
        <v>0</v>
      </c>
      <c r="AC13" s="56">
        <f t="shared" si="1"/>
        <v>0</v>
      </c>
      <c r="AD13" s="9"/>
    </row>
    <row r="14" spans="1:30" x14ac:dyDescent="0.25">
      <c r="A14" s="1" t="s">
        <v>37</v>
      </c>
      <c r="B14" s="13" t="s">
        <v>38</v>
      </c>
      <c r="C14" s="13"/>
      <c r="D14" s="13">
        <v>0</v>
      </c>
      <c r="E14" s="13">
        <v>0</v>
      </c>
      <c r="F14" s="13">
        <v>0</v>
      </c>
      <c r="G14" s="46">
        <f t="shared" si="2"/>
        <v>0</v>
      </c>
      <c r="H14" s="47"/>
      <c r="I14" s="57">
        <v>1.0109999999999999</v>
      </c>
      <c r="J14" s="57"/>
      <c r="K14" s="49">
        <f t="shared" si="3"/>
        <v>0</v>
      </c>
      <c r="L14" s="50">
        <f t="shared" si="4"/>
        <v>0</v>
      </c>
      <c r="N14" s="51">
        <v>5103</v>
      </c>
      <c r="O14" s="52">
        <v>103</v>
      </c>
      <c r="P14" s="53"/>
      <c r="Q14" s="54"/>
      <c r="V14" s="623" t="s">
        <v>38</v>
      </c>
      <c r="W14" s="623"/>
      <c r="X14" s="618">
        <f>IF('3083'!K$84=1,'3083'!G14,0)</f>
        <v>0</v>
      </c>
      <c r="Y14" s="618"/>
      <c r="Z14" s="624">
        <v>1</v>
      </c>
      <c r="AA14" s="624"/>
      <c r="AB14" s="55">
        <f t="shared" si="0"/>
        <v>0</v>
      </c>
      <c r="AC14" s="56">
        <f t="shared" si="1"/>
        <v>0</v>
      </c>
      <c r="AD14" s="9"/>
    </row>
    <row r="15" spans="1:30" x14ac:dyDescent="0.25">
      <c r="A15" s="1" t="s">
        <v>39</v>
      </c>
      <c r="B15" s="13" t="s">
        <v>40</v>
      </c>
      <c r="C15" s="13"/>
      <c r="D15" s="13">
        <v>9.44</v>
      </c>
      <c r="E15" s="13">
        <v>8.3699999999999992</v>
      </c>
      <c r="F15" s="13">
        <v>9.98</v>
      </c>
      <c r="G15" s="46">
        <f t="shared" si="2"/>
        <v>17.809999999999999</v>
      </c>
      <c r="H15" s="47"/>
      <c r="I15" s="57">
        <f>I14</f>
        <v>1.0109999999999999</v>
      </c>
      <c r="J15" s="57"/>
      <c r="K15" s="49">
        <f t="shared" si="3"/>
        <v>18.0059</v>
      </c>
      <c r="L15" s="59">
        <f t="shared" si="4"/>
        <v>69766</v>
      </c>
      <c r="M15" s="1" t="str">
        <f>IF(ROUND(G15,2)=ROUND(SUM(G34:G36),2)," ","CHECK 2. PK-3 Lines Below")</f>
        <v xml:space="preserve"> </v>
      </c>
      <c r="N15" s="51">
        <v>5103</v>
      </c>
      <c r="O15" s="58" t="s">
        <v>41</v>
      </c>
      <c r="P15" s="53"/>
      <c r="Q15" s="54"/>
      <c r="V15" s="623" t="s">
        <v>40</v>
      </c>
      <c r="W15" s="623"/>
      <c r="X15" s="618">
        <f>IF('3083'!K$84=1,'3083'!G15,0)</f>
        <v>17.809999999999999</v>
      </c>
      <c r="Y15" s="618"/>
      <c r="Z15" s="624">
        <v>1</v>
      </c>
      <c r="AA15" s="624"/>
      <c r="AB15" s="55">
        <f t="shared" si="0"/>
        <v>17.809999999999999</v>
      </c>
      <c r="AC15" s="60">
        <f t="shared" si="1"/>
        <v>69007</v>
      </c>
      <c r="AD15" s="9"/>
    </row>
    <row r="16" spans="1:30" x14ac:dyDescent="0.25">
      <c r="A16" s="1" t="s">
        <v>42</v>
      </c>
      <c r="B16" s="13" t="s">
        <v>43</v>
      </c>
      <c r="C16" s="13"/>
      <c r="D16" s="13">
        <v>0</v>
      </c>
      <c r="E16" s="13">
        <v>0</v>
      </c>
      <c r="F16" s="13">
        <v>0</v>
      </c>
      <c r="G16" s="46">
        <f t="shared" si="2"/>
        <v>0</v>
      </c>
      <c r="H16" s="47"/>
      <c r="I16" s="57">
        <v>3.5579999999999998</v>
      </c>
      <c r="J16" s="57"/>
      <c r="K16" s="49">
        <f t="shared" si="3"/>
        <v>0</v>
      </c>
      <c r="L16" s="50">
        <f t="shared" si="4"/>
        <v>0</v>
      </c>
      <c r="N16" s="51">
        <v>5101</v>
      </c>
      <c r="O16" s="53">
        <v>254</v>
      </c>
      <c r="P16" s="53"/>
      <c r="Q16" s="54"/>
      <c r="V16" s="623" t="s">
        <v>43</v>
      </c>
      <c r="W16" s="623"/>
      <c r="X16" s="618">
        <f>IF('3083'!K$84=1,'3083'!G16,0)</f>
        <v>0</v>
      </c>
      <c r="Y16" s="618"/>
      <c r="Z16" s="624">
        <v>1</v>
      </c>
      <c r="AA16" s="624"/>
      <c r="AB16" s="55">
        <f t="shared" si="0"/>
        <v>0</v>
      </c>
      <c r="AC16" s="56">
        <f t="shared" si="1"/>
        <v>0</v>
      </c>
      <c r="AD16" s="9"/>
    </row>
    <row r="17" spans="1:30" x14ac:dyDescent="0.25">
      <c r="A17" s="1" t="s">
        <v>44</v>
      </c>
      <c r="B17" s="13" t="s">
        <v>45</v>
      </c>
      <c r="C17" s="13"/>
      <c r="D17" s="13">
        <v>0</v>
      </c>
      <c r="E17" s="13">
        <v>0</v>
      </c>
      <c r="F17" s="13">
        <v>0</v>
      </c>
      <c r="G17" s="46">
        <f t="shared" si="2"/>
        <v>0</v>
      </c>
      <c r="H17" s="47"/>
      <c r="I17" s="57">
        <f>I16</f>
        <v>3.5579999999999998</v>
      </c>
      <c r="J17" s="57"/>
      <c r="K17" s="49">
        <f t="shared" si="3"/>
        <v>0</v>
      </c>
      <c r="L17" s="50">
        <f t="shared" si="4"/>
        <v>0</v>
      </c>
      <c r="N17" s="51">
        <v>5102</v>
      </c>
      <c r="O17" s="54">
        <v>254</v>
      </c>
      <c r="P17" s="53"/>
      <c r="Q17" s="54"/>
      <c r="V17" s="623" t="s">
        <v>45</v>
      </c>
      <c r="W17" s="623"/>
      <c r="X17" s="618">
        <f>IF('3083'!K$84=1,'3083'!G17,0)</f>
        <v>0</v>
      </c>
      <c r="Y17" s="618"/>
      <c r="Z17" s="624">
        <v>1</v>
      </c>
      <c r="AA17" s="624"/>
      <c r="AB17" s="55">
        <f t="shared" si="0"/>
        <v>0</v>
      </c>
      <c r="AC17" s="56">
        <f t="shared" si="1"/>
        <v>0</v>
      </c>
      <c r="AD17" s="9"/>
    </row>
    <row r="18" spans="1:30" x14ac:dyDescent="0.25">
      <c r="A18" s="1" t="s">
        <v>46</v>
      </c>
      <c r="B18" s="13" t="s">
        <v>47</v>
      </c>
      <c r="C18" s="13"/>
      <c r="D18" s="13">
        <v>21.5</v>
      </c>
      <c r="E18" s="13">
        <v>22.47</v>
      </c>
      <c r="F18" s="13">
        <v>22.6</v>
      </c>
      <c r="G18" s="46">
        <f t="shared" si="2"/>
        <v>43.97</v>
      </c>
      <c r="H18" s="47"/>
      <c r="I18" s="57">
        <f>I17</f>
        <v>3.5579999999999998</v>
      </c>
      <c r="J18" s="57"/>
      <c r="K18" s="49">
        <f t="shared" si="3"/>
        <v>156.4453</v>
      </c>
      <c r="L18" s="50">
        <f t="shared" si="4"/>
        <v>606167</v>
      </c>
      <c r="N18" s="51">
        <v>5103</v>
      </c>
      <c r="O18" s="54">
        <v>254</v>
      </c>
      <c r="P18" s="53"/>
      <c r="Q18" s="54"/>
      <c r="V18" s="623" t="s">
        <v>47</v>
      </c>
      <c r="W18" s="623"/>
      <c r="X18" s="618">
        <f>IF('3083'!K$84=1,'3083'!G18,0)</f>
        <v>43.97</v>
      </c>
      <c r="Y18" s="618"/>
      <c r="Z18" s="624">
        <v>1</v>
      </c>
      <c r="AA18" s="624"/>
      <c r="AB18" s="55">
        <f t="shared" si="0"/>
        <v>43.97</v>
      </c>
      <c r="AC18" s="56">
        <f t="shared" si="1"/>
        <v>170367</v>
      </c>
      <c r="AD18" s="9"/>
    </row>
    <row r="19" spans="1:30" ht="15" customHeight="1" x14ac:dyDescent="0.25">
      <c r="A19" s="1" t="s">
        <v>48</v>
      </c>
      <c r="B19" s="13" t="s">
        <v>49</v>
      </c>
      <c r="C19" s="13"/>
      <c r="D19" s="13">
        <v>0</v>
      </c>
      <c r="E19" s="13">
        <v>0</v>
      </c>
      <c r="F19" s="13">
        <v>0</v>
      </c>
      <c r="G19" s="46">
        <f t="shared" si="2"/>
        <v>0</v>
      </c>
      <c r="H19" s="47"/>
      <c r="I19" s="57">
        <v>5.0890000000000004</v>
      </c>
      <c r="J19" s="57"/>
      <c r="K19" s="49">
        <f t="shared" si="3"/>
        <v>0</v>
      </c>
      <c r="L19" s="50">
        <f t="shared" si="4"/>
        <v>0</v>
      </c>
      <c r="N19" s="51">
        <v>5101</v>
      </c>
      <c r="O19" s="53">
        <v>255</v>
      </c>
      <c r="P19" s="53"/>
      <c r="Q19" s="54"/>
      <c r="V19" s="623" t="s">
        <v>49</v>
      </c>
      <c r="W19" s="623"/>
      <c r="X19" s="618">
        <f>IF('3083'!K$84=1,'3083'!G19,0)</f>
        <v>0</v>
      </c>
      <c r="Y19" s="618"/>
      <c r="Z19" s="624">
        <v>1</v>
      </c>
      <c r="AA19" s="624"/>
      <c r="AB19" s="55">
        <f t="shared" si="0"/>
        <v>0</v>
      </c>
      <c r="AC19" s="56">
        <f t="shared" si="1"/>
        <v>0</v>
      </c>
      <c r="AD19" s="9"/>
    </row>
    <row r="20" spans="1:30" ht="15" customHeight="1" x14ac:dyDescent="0.25">
      <c r="A20" s="1" t="s">
        <v>50</v>
      </c>
      <c r="B20" s="13" t="s">
        <v>51</v>
      </c>
      <c r="C20" s="13"/>
      <c r="D20" s="13">
        <v>0</v>
      </c>
      <c r="E20" s="13">
        <v>0</v>
      </c>
      <c r="F20" s="13">
        <v>0</v>
      </c>
      <c r="G20" s="46">
        <f t="shared" si="2"/>
        <v>0</v>
      </c>
      <c r="H20" s="47"/>
      <c r="I20" s="57">
        <f>I19</f>
        <v>5.0890000000000004</v>
      </c>
      <c r="J20" s="57"/>
      <c r="K20" s="49">
        <f t="shared" si="3"/>
        <v>0</v>
      </c>
      <c r="L20" s="50">
        <f t="shared" si="4"/>
        <v>0</v>
      </c>
      <c r="N20" s="51">
        <v>5102</v>
      </c>
      <c r="O20" s="54">
        <v>255</v>
      </c>
      <c r="P20" s="53"/>
      <c r="Q20" s="54"/>
      <c r="V20" s="623" t="s">
        <v>51</v>
      </c>
      <c r="W20" s="623"/>
      <c r="X20" s="618">
        <f>IF('3083'!K$84=1,'3083'!G20,0)</f>
        <v>0</v>
      </c>
      <c r="Y20" s="618"/>
      <c r="Z20" s="624">
        <v>1</v>
      </c>
      <c r="AA20" s="624"/>
      <c r="AB20" s="55">
        <f t="shared" si="0"/>
        <v>0</v>
      </c>
      <c r="AC20" s="56">
        <f t="shared" si="1"/>
        <v>0</v>
      </c>
      <c r="AD20" s="9"/>
    </row>
    <row r="21" spans="1:30" ht="15" customHeight="1" x14ac:dyDescent="0.25">
      <c r="A21" s="1" t="s">
        <v>52</v>
      </c>
      <c r="B21" s="13" t="s">
        <v>53</v>
      </c>
      <c r="C21" s="13"/>
      <c r="D21" s="13">
        <v>13.47</v>
      </c>
      <c r="E21" s="13">
        <v>14.53</v>
      </c>
      <c r="F21" s="13">
        <v>14.18</v>
      </c>
      <c r="G21" s="46">
        <f t="shared" si="2"/>
        <v>28</v>
      </c>
      <c r="H21" s="47"/>
      <c r="I21" s="57">
        <f>I20</f>
        <v>5.0890000000000004</v>
      </c>
      <c r="J21" s="57"/>
      <c r="K21" s="49">
        <f t="shared" si="3"/>
        <v>142.49199999999999</v>
      </c>
      <c r="L21" s="50">
        <f t="shared" si="4"/>
        <v>552103</v>
      </c>
      <c r="N21" s="51">
        <v>5103</v>
      </c>
      <c r="O21" s="54">
        <v>255</v>
      </c>
      <c r="P21" s="53"/>
      <c r="Q21" s="54"/>
      <c r="V21" s="623" t="s">
        <v>53</v>
      </c>
      <c r="W21" s="623"/>
      <c r="X21" s="618">
        <f>IF('3083'!K$84=1,'3083'!G21,0)</f>
        <v>28</v>
      </c>
      <c r="Y21" s="618"/>
      <c r="Z21" s="624">
        <v>1</v>
      </c>
      <c r="AA21" s="624"/>
      <c r="AB21" s="55">
        <f t="shared" si="0"/>
        <v>28</v>
      </c>
      <c r="AC21" s="56">
        <f t="shared" si="1"/>
        <v>108489</v>
      </c>
      <c r="AD21" s="9"/>
    </row>
    <row r="22" spans="1:30" x14ac:dyDescent="0.25">
      <c r="A22" s="1" t="s">
        <v>54</v>
      </c>
      <c r="B22" s="13" t="s">
        <v>55</v>
      </c>
      <c r="C22" s="13"/>
      <c r="D22" s="13">
        <v>0</v>
      </c>
      <c r="E22" s="13">
        <v>0</v>
      </c>
      <c r="F22" s="13">
        <v>0</v>
      </c>
      <c r="G22" s="46">
        <f t="shared" si="2"/>
        <v>0</v>
      </c>
      <c r="H22" s="47"/>
      <c r="I22" s="57">
        <v>1.145</v>
      </c>
      <c r="J22" s="57"/>
      <c r="K22" s="49">
        <f t="shared" si="3"/>
        <v>0</v>
      </c>
      <c r="L22" s="50">
        <f t="shared" si="4"/>
        <v>0</v>
      </c>
      <c r="N22" s="51">
        <v>5101</v>
      </c>
      <c r="O22" s="52">
        <v>130</v>
      </c>
      <c r="P22" s="53"/>
      <c r="Q22" s="54"/>
      <c r="V22" s="623" t="s">
        <v>55</v>
      </c>
      <c r="W22" s="623"/>
      <c r="X22" s="618">
        <f>IF('3083'!K$84=1,'3083'!G22,0)</f>
        <v>0</v>
      </c>
      <c r="Y22" s="618"/>
      <c r="Z22" s="624">
        <v>1</v>
      </c>
      <c r="AA22" s="624"/>
      <c r="AB22" s="55">
        <f t="shared" si="0"/>
        <v>0</v>
      </c>
      <c r="AC22" s="56">
        <f t="shared" si="1"/>
        <v>0</v>
      </c>
      <c r="AD22" s="9"/>
    </row>
    <row r="23" spans="1:30" x14ac:dyDescent="0.25">
      <c r="A23" s="1" t="s">
        <v>56</v>
      </c>
      <c r="B23" s="13" t="s">
        <v>57</v>
      </c>
      <c r="C23" s="13"/>
      <c r="D23" s="13">
        <v>0</v>
      </c>
      <c r="E23" s="13">
        <v>0</v>
      </c>
      <c r="F23" s="13">
        <v>0</v>
      </c>
      <c r="G23" s="46">
        <f t="shared" si="2"/>
        <v>0</v>
      </c>
      <c r="H23" s="47"/>
      <c r="I23" s="57">
        <f>I22</f>
        <v>1.145</v>
      </c>
      <c r="J23" s="57"/>
      <c r="K23" s="49">
        <f t="shared" si="3"/>
        <v>0</v>
      </c>
      <c r="L23" s="50">
        <f t="shared" si="4"/>
        <v>0</v>
      </c>
      <c r="N23" s="51">
        <v>5102</v>
      </c>
      <c r="O23" s="52">
        <v>130</v>
      </c>
      <c r="P23" s="53"/>
      <c r="Q23" s="54"/>
      <c r="V23" s="623" t="s">
        <v>57</v>
      </c>
      <c r="W23" s="623"/>
      <c r="X23" s="618">
        <f>IF('3083'!K$84=1,'3083'!G23,0)</f>
        <v>0</v>
      </c>
      <c r="Y23" s="618"/>
      <c r="Z23" s="624">
        <v>1</v>
      </c>
      <c r="AA23" s="624"/>
      <c r="AB23" s="55">
        <f t="shared" si="0"/>
        <v>0</v>
      </c>
      <c r="AC23" s="56">
        <f t="shared" si="1"/>
        <v>0</v>
      </c>
      <c r="AD23" s="9"/>
    </row>
    <row r="24" spans="1:30" x14ac:dyDescent="0.25">
      <c r="A24" s="1" t="s">
        <v>58</v>
      </c>
      <c r="B24" s="13" t="s">
        <v>59</v>
      </c>
      <c r="C24" s="13"/>
      <c r="D24" s="13">
        <v>0</v>
      </c>
      <c r="E24" s="13">
        <v>0</v>
      </c>
      <c r="F24" s="13">
        <v>0</v>
      </c>
      <c r="G24" s="46">
        <f t="shared" si="2"/>
        <v>0</v>
      </c>
      <c r="H24" s="47"/>
      <c r="I24" s="57">
        <f>I23</f>
        <v>1.145</v>
      </c>
      <c r="J24" s="57"/>
      <c r="K24" s="49">
        <f t="shared" si="3"/>
        <v>0</v>
      </c>
      <c r="L24" s="50">
        <f t="shared" si="4"/>
        <v>0</v>
      </c>
      <c r="N24" s="51">
        <v>5103</v>
      </c>
      <c r="O24" s="52">
        <v>130</v>
      </c>
      <c r="P24" s="53"/>
      <c r="Q24" s="54"/>
      <c r="V24" s="623" t="s">
        <v>59</v>
      </c>
      <c r="W24" s="623"/>
      <c r="X24" s="618">
        <f>IF('3083'!K$84=1,'3083'!G24,0)</f>
        <v>0</v>
      </c>
      <c r="Y24" s="618"/>
      <c r="Z24" s="624">
        <v>1</v>
      </c>
      <c r="AA24" s="624"/>
      <c r="AB24" s="55">
        <f t="shared" si="0"/>
        <v>0</v>
      </c>
      <c r="AC24" s="56">
        <f t="shared" si="1"/>
        <v>0</v>
      </c>
      <c r="AD24" s="9"/>
    </row>
    <row r="25" spans="1:30" ht="16.5" thickBot="1" x14ac:dyDescent="0.3">
      <c r="A25" s="1" t="s">
        <v>60</v>
      </c>
      <c r="B25" s="13" t="s">
        <v>61</v>
      </c>
      <c r="C25" s="13"/>
      <c r="D25" s="13">
        <v>0</v>
      </c>
      <c r="E25" s="13">
        <v>0</v>
      </c>
      <c r="F25" s="13">
        <v>0</v>
      </c>
      <c r="G25" s="46">
        <f t="shared" si="2"/>
        <v>0</v>
      </c>
      <c r="H25" s="47"/>
      <c r="I25" s="57">
        <v>1.0109999999999999</v>
      </c>
      <c r="J25" s="57"/>
      <c r="K25" s="49">
        <f t="shared" si="3"/>
        <v>0</v>
      </c>
      <c r="L25" s="50">
        <f t="shared" si="4"/>
        <v>0</v>
      </c>
      <c r="N25" s="51">
        <v>5310</v>
      </c>
      <c r="O25" s="52">
        <v>300</v>
      </c>
      <c r="P25" s="53"/>
      <c r="Q25" s="54"/>
      <c r="V25" s="623" t="s">
        <v>61</v>
      </c>
      <c r="W25" s="623"/>
      <c r="X25" s="618">
        <f>IF('3083'!K$84=1,'3083'!G25,0)</f>
        <v>0</v>
      </c>
      <c r="Y25" s="618"/>
      <c r="Z25" s="624">
        <v>1</v>
      </c>
      <c r="AA25" s="624"/>
      <c r="AB25" s="55">
        <f t="shared" si="0"/>
        <v>0</v>
      </c>
      <c r="AC25" s="56">
        <f t="shared" si="1"/>
        <v>0</v>
      </c>
      <c r="AD25" s="9"/>
    </row>
    <row r="26" spans="1:30" ht="20.25" customHeight="1" thickBot="1" x14ac:dyDescent="0.3">
      <c r="B26" s="62" t="s">
        <v>62</v>
      </c>
      <c r="C26" s="62"/>
      <c r="D26" s="63">
        <f t="shared" ref="D26:E26" si="5">SUM(D10:D25)</f>
        <v>44.41</v>
      </c>
      <c r="E26" s="63">
        <f t="shared" si="5"/>
        <v>45.37</v>
      </c>
      <c r="F26" s="63"/>
      <c r="G26" s="63">
        <f>SUM(G10:G25)</f>
        <v>89.78</v>
      </c>
      <c r="H26" s="64"/>
      <c r="I26" s="64"/>
      <c r="J26" s="65"/>
      <c r="K26" s="66">
        <f>SUM(K10:K25)</f>
        <v>316.94319999999999</v>
      </c>
      <c r="L26" s="67">
        <f>SUM(L10:L25)</f>
        <v>1228036</v>
      </c>
      <c r="N26" s="54"/>
      <c r="O26" s="68"/>
      <c r="P26" s="54"/>
      <c r="Q26" s="54"/>
      <c r="V26" s="625" t="s">
        <v>62</v>
      </c>
      <c r="W26" s="625"/>
      <c r="X26" s="626">
        <f>SUM(X10:X25)</f>
        <v>89.78</v>
      </c>
      <c r="Y26" s="626"/>
      <c r="Z26" s="627"/>
      <c r="AA26" s="628"/>
      <c r="AB26" s="69">
        <f>SUM(AB10:AB25)</f>
        <v>89.78</v>
      </c>
      <c r="AC26" s="70">
        <f>SUM(AC10:AC25)</f>
        <v>347863</v>
      </c>
      <c r="AD26" s="9"/>
    </row>
    <row r="27" spans="1:30" ht="51.75" customHeight="1" x14ac:dyDescent="0.25">
      <c r="B27" s="62" t="s">
        <v>63</v>
      </c>
      <c r="C27" s="62"/>
      <c r="D27" s="71" t="s">
        <v>13</v>
      </c>
      <c r="E27" s="71" t="s">
        <v>14</v>
      </c>
      <c r="F27" s="27"/>
      <c r="G27" s="72" t="s">
        <v>64</v>
      </c>
      <c r="H27" s="73"/>
      <c r="I27" s="74" t="s">
        <v>65</v>
      </c>
      <c r="J27" s="74" t="s">
        <v>66</v>
      </c>
      <c r="K27" s="75" t="s">
        <v>67</v>
      </c>
      <c r="N27" s="54"/>
      <c r="O27" s="68"/>
      <c r="P27" s="54"/>
      <c r="Q27" s="54"/>
      <c r="V27" s="629" t="s">
        <v>63</v>
      </c>
      <c r="W27" s="629"/>
      <c r="X27" s="630" t="s">
        <v>64</v>
      </c>
      <c r="Y27" s="630"/>
      <c r="Z27" s="76" t="s">
        <v>65</v>
      </c>
      <c r="AA27" s="77" t="s">
        <v>66</v>
      </c>
      <c r="AB27" s="78" t="s">
        <v>67</v>
      </c>
      <c r="AC27" s="9"/>
      <c r="AD27" s="9"/>
    </row>
    <row r="28" spans="1:30" ht="15.75" customHeight="1" x14ac:dyDescent="0.25">
      <c r="A28" s="1" t="s">
        <v>68</v>
      </c>
      <c r="B28" s="631" t="s">
        <v>69</v>
      </c>
      <c r="C28" s="632"/>
      <c r="D28" s="13">
        <v>0</v>
      </c>
      <c r="E28" s="13">
        <v>0</v>
      </c>
      <c r="F28" s="79">
        <v>0</v>
      </c>
      <c r="G28" s="46">
        <f t="shared" ref="G28:G36" si="6">D28+E28</f>
        <v>0</v>
      </c>
      <c r="H28" s="80"/>
      <c r="I28" s="81" t="s">
        <v>70</v>
      </c>
      <c r="J28" s="82">
        <v>251</v>
      </c>
      <c r="K28" s="83">
        <v>1047</v>
      </c>
      <c r="L28" s="84">
        <f>ROUND(G28*K28,0)</f>
        <v>0</v>
      </c>
      <c r="N28" s="85">
        <v>5101</v>
      </c>
      <c r="O28" s="54">
        <v>251</v>
      </c>
      <c r="P28" s="86"/>
      <c r="Q28" s="87"/>
      <c r="V28" s="637" t="s">
        <v>69</v>
      </c>
      <c r="W28" s="637"/>
      <c r="X28" s="638"/>
      <c r="Y28" s="638"/>
      <c r="Z28" s="88" t="s">
        <v>70</v>
      </c>
      <c r="AA28" s="89">
        <v>251</v>
      </c>
      <c r="AB28" s="90">
        <f>+K28</f>
        <v>1047</v>
      </c>
      <c r="AC28" s="91">
        <f t="shared" ref="AC28:AC36" si="7">ROUND(X28*AB28,0)</f>
        <v>0</v>
      </c>
      <c r="AD28" s="9"/>
    </row>
    <row r="29" spans="1:30" x14ac:dyDescent="0.25">
      <c r="A29" s="1" t="s">
        <v>71</v>
      </c>
      <c r="B29" s="633"/>
      <c r="C29" s="634"/>
      <c r="D29" s="13">
        <v>0</v>
      </c>
      <c r="E29" s="13">
        <v>0</v>
      </c>
      <c r="F29" s="92">
        <v>0</v>
      </c>
      <c r="G29" s="46">
        <f t="shared" si="6"/>
        <v>0</v>
      </c>
      <c r="H29" s="80"/>
      <c r="I29" s="82" t="s">
        <v>70</v>
      </c>
      <c r="J29" s="82">
        <v>252</v>
      </c>
      <c r="K29" s="83">
        <v>3380</v>
      </c>
      <c r="L29" s="84">
        <f t="shared" ref="L29:L36" si="8">ROUND(G29*K29,0)</f>
        <v>0</v>
      </c>
      <c r="N29" s="85">
        <v>5101</v>
      </c>
      <c r="O29" s="54">
        <v>252</v>
      </c>
      <c r="P29" s="86"/>
      <c r="Q29" s="87"/>
      <c r="V29" s="637"/>
      <c r="W29" s="637"/>
      <c r="X29" s="638"/>
      <c r="Y29" s="638"/>
      <c r="Z29" s="89" t="s">
        <v>70</v>
      </c>
      <c r="AA29" s="89">
        <v>252</v>
      </c>
      <c r="AB29" s="90">
        <f t="shared" ref="AB29:AB36" si="9">+K29</f>
        <v>3380</v>
      </c>
      <c r="AC29" s="91">
        <f t="shared" si="7"/>
        <v>0</v>
      </c>
      <c r="AD29" s="9"/>
    </row>
    <row r="30" spans="1:30" x14ac:dyDescent="0.25">
      <c r="A30" s="1" t="s">
        <v>72</v>
      </c>
      <c r="B30" s="633"/>
      <c r="C30" s="634"/>
      <c r="D30" s="13">
        <v>0</v>
      </c>
      <c r="E30" s="13">
        <v>0</v>
      </c>
      <c r="F30" s="92">
        <v>0</v>
      </c>
      <c r="G30" s="46">
        <f t="shared" si="6"/>
        <v>0</v>
      </c>
      <c r="H30" s="80"/>
      <c r="I30" s="82" t="s">
        <v>70</v>
      </c>
      <c r="J30" s="82">
        <v>253</v>
      </c>
      <c r="K30" s="83">
        <v>6896</v>
      </c>
      <c r="L30" s="84">
        <f t="shared" si="8"/>
        <v>0</v>
      </c>
      <c r="N30" s="85">
        <v>5101</v>
      </c>
      <c r="O30" s="54">
        <v>253</v>
      </c>
      <c r="P30" s="86"/>
      <c r="Q30" s="68"/>
      <c r="V30" s="637"/>
      <c r="W30" s="637"/>
      <c r="X30" s="638"/>
      <c r="Y30" s="638"/>
      <c r="Z30" s="89" t="s">
        <v>70</v>
      </c>
      <c r="AA30" s="89">
        <v>253</v>
      </c>
      <c r="AB30" s="90">
        <f t="shared" si="9"/>
        <v>6896</v>
      </c>
      <c r="AC30" s="91">
        <f t="shared" si="7"/>
        <v>0</v>
      </c>
      <c r="AD30" s="9"/>
    </row>
    <row r="31" spans="1:30" x14ac:dyDescent="0.25">
      <c r="A31" s="1" t="s">
        <v>73</v>
      </c>
      <c r="B31" s="633"/>
      <c r="C31" s="634"/>
      <c r="D31" s="13">
        <v>0</v>
      </c>
      <c r="E31" s="13">
        <v>0</v>
      </c>
      <c r="F31" s="92">
        <v>0</v>
      </c>
      <c r="G31" s="46">
        <f t="shared" si="6"/>
        <v>0</v>
      </c>
      <c r="H31" s="80"/>
      <c r="I31" s="93" t="s">
        <v>74</v>
      </c>
      <c r="J31" s="82">
        <v>251</v>
      </c>
      <c r="K31" s="83">
        <v>1173</v>
      </c>
      <c r="L31" s="84">
        <f t="shared" si="8"/>
        <v>0</v>
      </c>
      <c r="N31" s="85">
        <v>5102</v>
      </c>
      <c r="O31" s="54">
        <v>251</v>
      </c>
      <c r="P31" s="86"/>
      <c r="Q31" s="68"/>
      <c r="V31" s="637"/>
      <c r="W31" s="637"/>
      <c r="X31" s="638"/>
      <c r="Y31" s="638"/>
      <c r="Z31" s="94" t="s">
        <v>74</v>
      </c>
      <c r="AA31" s="89">
        <v>251</v>
      </c>
      <c r="AB31" s="90">
        <f t="shared" si="9"/>
        <v>1173</v>
      </c>
      <c r="AC31" s="91">
        <f t="shared" si="7"/>
        <v>0</v>
      </c>
      <c r="AD31" s="9"/>
    </row>
    <row r="32" spans="1:30" x14ac:dyDescent="0.25">
      <c r="A32" s="1" t="s">
        <v>75</v>
      </c>
      <c r="B32" s="633"/>
      <c r="C32" s="634"/>
      <c r="D32" s="13">
        <v>0</v>
      </c>
      <c r="E32" s="13">
        <v>0</v>
      </c>
      <c r="F32" s="92">
        <v>0</v>
      </c>
      <c r="G32" s="46">
        <f t="shared" si="6"/>
        <v>0</v>
      </c>
      <c r="H32" s="80"/>
      <c r="I32" s="93" t="s">
        <v>74</v>
      </c>
      <c r="J32" s="82">
        <v>252</v>
      </c>
      <c r="K32" s="83">
        <v>3506</v>
      </c>
      <c r="L32" s="84">
        <f t="shared" si="8"/>
        <v>0</v>
      </c>
      <c r="N32" s="85">
        <v>5102</v>
      </c>
      <c r="O32" s="54">
        <v>252</v>
      </c>
      <c r="P32" s="86"/>
      <c r="Q32" s="54"/>
      <c r="V32" s="637"/>
      <c r="W32" s="637"/>
      <c r="X32" s="638"/>
      <c r="Y32" s="638"/>
      <c r="Z32" s="94" t="s">
        <v>74</v>
      </c>
      <c r="AA32" s="89">
        <v>252</v>
      </c>
      <c r="AB32" s="90">
        <f t="shared" si="9"/>
        <v>3506</v>
      </c>
      <c r="AC32" s="91">
        <f t="shared" si="7"/>
        <v>0</v>
      </c>
      <c r="AD32" s="9"/>
    </row>
    <row r="33" spans="1:30" x14ac:dyDescent="0.25">
      <c r="A33" s="1" t="s">
        <v>76</v>
      </c>
      <c r="B33" s="633"/>
      <c r="C33" s="634"/>
      <c r="D33" s="13">
        <v>0</v>
      </c>
      <c r="E33" s="13">
        <v>0</v>
      </c>
      <c r="F33" s="92">
        <v>0</v>
      </c>
      <c r="G33" s="46">
        <f t="shared" si="6"/>
        <v>0</v>
      </c>
      <c r="H33" s="80"/>
      <c r="I33" s="93" t="s">
        <v>74</v>
      </c>
      <c r="J33" s="82">
        <v>253</v>
      </c>
      <c r="K33" s="83">
        <v>7023</v>
      </c>
      <c r="L33" s="84">
        <f t="shared" si="8"/>
        <v>0</v>
      </c>
      <c r="N33" s="85">
        <v>5102</v>
      </c>
      <c r="O33" s="54">
        <v>253</v>
      </c>
      <c r="P33" s="86"/>
      <c r="Q33" s="87"/>
      <c r="V33" s="637"/>
      <c r="W33" s="637"/>
      <c r="X33" s="638"/>
      <c r="Y33" s="638"/>
      <c r="Z33" s="94" t="s">
        <v>74</v>
      </c>
      <c r="AA33" s="89">
        <v>253</v>
      </c>
      <c r="AB33" s="90">
        <f t="shared" si="9"/>
        <v>7023</v>
      </c>
      <c r="AC33" s="91">
        <f t="shared" si="7"/>
        <v>0</v>
      </c>
      <c r="AD33" s="9"/>
    </row>
    <row r="34" spans="1:30" x14ac:dyDescent="0.25">
      <c r="A34" s="1" t="s">
        <v>77</v>
      </c>
      <c r="B34" s="633"/>
      <c r="C34" s="634"/>
      <c r="D34" s="13">
        <v>0</v>
      </c>
      <c r="E34" s="13">
        <v>0</v>
      </c>
      <c r="F34" s="92">
        <v>0</v>
      </c>
      <c r="G34" s="46">
        <f t="shared" si="6"/>
        <v>0</v>
      </c>
      <c r="H34" s="80"/>
      <c r="I34" s="93" t="s">
        <v>78</v>
      </c>
      <c r="J34" s="82">
        <v>251</v>
      </c>
      <c r="K34" s="83">
        <v>835</v>
      </c>
      <c r="L34" s="84">
        <f t="shared" si="8"/>
        <v>0</v>
      </c>
      <c r="N34" s="85">
        <v>5103</v>
      </c>
      <c r="O34" s="54">
        <v>251</v>
      </c>
      <c r="P34" s="86"/>
      <c r="Q34" s="87"/>
      <c r="V34" s="637"/>
      <c r="W34" s="637"/>
      <c r="X34" s="638"/>
      <c r="Y34" s="638"/>
      <c r="Z34" s="94" t="s">
        <v>78</v>
      </c>
      <c r="AA34" s="89">
        <v>251</v>
      </c>
      <c r="AB34" s="90">
        <f t="shared" si="9"/>
        <v>835</v>
      </c>
      <c r="AC34" s="91">
        <f t="shared" si="7"/>
        <v>0</v>
      </c>
      <c r="AD34" s="9"/>
    </row>
    <row r="35" spans="1:30" x14ac:dyDescent="0.25">
      <c r="A35" s="1" t="s">
        <v>79</v>
      </c>
      <c r="B35" s="633"/>
      <c r="C35" s="634"/>
      <c r="D35" s="13">
        <v>0.5</v>
      </c>
      <c r="E35" s="13">
        <v>0.97</v>
      </c>
      <c r="F35" s="92">
        <v>0</v>
      </c>
      <c r="G35" s="46">
        <f t="shared" si="6"/>
        <v>1.47</v>
      </c>
      <c r="H35" s="80"/>
      <c r="I35" s="93" t="s">
        <v>78</v>
      </c>
      <c r="J35" s="82">
        <v>252</v>
      </c>
      <c r="K35" s="83">
        <v>3168</v>
      </c>
      <c r="L35" s="84">
        <f t="shared" si="8"/>
        <v>4657</v>
      </c>
      <c r="N35" s="85">
        <v>5103</v>
      </c>
      <c r="O35" s="54">
        <v>252</v>
      </c>
      <c r="P35" s="86"/>
      <c r="Q35" s="95"/>
      <c r="V35" s="637"/>
      <c r="W35" s="637"/>
      <c r="X35" s="638"/>
      <c r="Y35" s="638"/>
      <c r="Z35" s="94" t="s">
        <v>78</v>
      </c>
      <c r="AA35" s="89">
        <v>252</v>
      </c>
      <c r="AB35" s="90">
        <f t="shared" si="9"/>
        <v>3168</v>
      </c>
      <c r="AC35" s="91">
        <f t="shared" si="7"/>
        <v>0</v>
      </c>
      <c r="AD35" s="9"/>
    </row>
    <row r="36" spans="1:30" ht="16.5" thickBot="1" x14ac:dyDescent="0.3">
      <c r="A36" s="1" t="s">
        <v>80</v>
      </c>
      <c r="B36" s="635"/>
      <c r="C36" s="636"/>
      <c r="D36" s="13">
        <v>8.94</v>
      </c>
      <c r="E36" s="13">
        <v>7.4</v>
      </c>
      <c r="F36" s="92">
        <v>11</v>
      </c>
      <c r="G36" s="46">
        <f t="shared" si="6"/>
        <v>16.34</v>
      </c>
      <c r="H36" s="80"/>
      <c r="I36" s="93" t="s">
        <v>78</v>
      </c>
      <c r="J36" s="82">
        <v>253</v>
      </c>
      <c r="K36" s="83">
        <v>6685</v>
      </c>
      <c r="L36" s="96">
        <f t="shared" si="8"/>
        <v>109233</v>
      </c>
      <c r="N36" s="85">
        <v>5103</v>
      </c>
      <c r="O36" s="54">
        <v>253</v>
      </c>
      <c r="P36" s="86"/>
      <c r="Q36" s="97"/>
      <c r="V36" s="637"/>
      <c r="W36" s="637"/>
      <c r="X36" s="645"/>
      <c r="Y36" s="645"/>
      <c r="Z36" s="94" t="s">
        <v>78</v>
      </c>
      <c r="AA36" s="89">
        <v>253</v>
      </c>
      <c r="AB36" s="90">
        <f t="shared" si="9"/>
        <v>6685</v>
      </c>
      <c r="AC36" s="98">
        <f t="shared" si="7"/>
        <v>0</v>
      </c>
      <c r="AD36" s="9"/>
    </row>
    <row r="37" spans="1:30" ht="18.75" customHeight="1" x14ac:dyDescent="0.25">
      <c r="B37" s="13" t="s">
        <v>81</v>
      </c>
      <c r="C37" s="13"/>
      <c r="D37" s="63">
        <f t="shared" ref="D37:E37" si="10">SUM(D28:D36)</f>
        <v>9.44</v>
      </c>
      <c r="E37" s="63">
        <f t="shared" si="10"/>
        <v>8.370000000000001</v>
      </c>
      <c r="F37" s="63"/>
      <c r="G37" s="63">
        <f>SUM(G28:G36)</f>
        <v>17.809999999999999</v>
      </c>
      <c r="H37" s="64"/>
      <c r="I37" s="13" t="s">
        <v>82</v>
      </c>
      <c r="J37" s="13"/>
      <c r="K37" s="13"/>
      <c r="L37" s="50">
        <f>SUM(L28:L36)</f>
        <v>113890</v>
      </c>
      <c r="N37" s="54"/>
      <c r="O37" s="68"/>
      <c r="P37" s="54"/>
      <c r="Q37" s="54"/>
      <c r="V37" s="646" t="s">
        <v>81</v>
      </c>
      <c r="W37" s="646"/>
      <c r="X37" s="626">
        <f>SUM(X28:X36)</f>
        <v>0</v>
      </c>
      <c r="Y37" s="626"/>
      <c r="Z37" s="646" t="s">
        <v>82</v>
      </c>
      <c r="AA37" s="646"/>
      <c r="AB37" s="646"/>
      <c r="AC37" s="56">
        <f>SUM(AC28:AC36)</f>
        <v>0</v>
      </c>
      <c r="AD37" s="9"/>
    </row>
    <row r="38" spans="1:30" ht="30.75" customHeight="1" x14ac:dyDescent="0.25">
      <c r="B38" s="99" t="s">
        <v>83</v>
      </c>
      <c r="C38" s="99"/>
      <c r="D38" s="99"/>
      <c r="E38" s="99"/>
      <c r="F38" s="99"/>
      <c r="G38" s="99"/>
      <c r="H38" s="100"/>
      <c r="I38" s="99"/>
      <c r="J38" s="99"/>
      <c r="K38" s="99"/>
      <c r="L38" s="99"/>
      <c r="M38" s="101"/>
      <c r="N38" s="54"/>
      <c r="O38" s="68"/>
      <c r="P38" s="54"/>
      <c r="Q38" s="54"/>
      <c r="V38" s="639" t="s">
        <v>83</v>
      </c>
      <c r="W38" s="639"/>
      <c r="X38" s="639"/>
      <c r="Y38" s="639"/>
      <c r="Z38" s="639"/>
      <c r="AA38" s="639"/>
      <c r="AB38" s="639"/>
      <c r="AC38" s="639"/>
      <c r="AD38" s="102"/>
    </row>
    <row r="39" spans="1:30" ht="15.75" customHeight="1" x14ac:dyDescent="0.25">
      <c r="B39" s="103" t="s">
        <v>84</v>
      </c>
      <c r="C39" s="103"/>
      <c r="D39" s="103"/>
      <c r="E39" s="103"/>
      <c r="F39" s="103"/>
      <c r="G39" s="104">
        <v>34389540</v>
      </c>
      <c r="H39" s="104"/>
      <c r="I39" s="13" t="s">
        <v>85</v>
      </c>
      <c r="J39" s="13"/>
      <c r="K39" s="13"/>
      <c r="L39" s="13"/>
      <c r="O39" s="1"/>
      <c r="V39" s="640" t="s">
        <v>84</v>
      </c>
      <c r="W39" s="640"/>
      <c r="X39" s="641">
        <f>+G39</f>
        <v>34389540</v>
      </c>
      <c r="Y39" s="641"/>
      <c r="Z39" s="642" t="s">
        <v>85</v>
      </c>
      <c r="AA39" s="642"/>
      <c r="AB39" s="642"/>
      <c r="AC39" s="642"/>
      <c r="AD39" s="9"/>
    </row>
    <row r="40" spans="1:30" ht="15.75" customHeight="1" x14ac:dyDescent="0.25">
      <c r="B40" s="105" t="s">
        <v>86</v>
      </c>
      <c r="C40" s="105"/>
      <c r="D40" s="105"/>
      <c r="E40" s="105"/>
      <c r="F40" s="105"/>
      <c r="G40" s="106">
        <v>180284.81</v>
      </c>
      <c r="H40" s="106"/>
      <c r="I40" s="106"/>
      <c r="J40" s="106"/>
      <c r="K40" s="50">
        <f>ROUND(G39/G40,0)</f>
        <v>191</v>
      </c>
      <c r="L40" s="50">
        <f>ROUND(K40*$G$26,0)</f>
        <v>17148</v>
      </c>
      <c r="N40" s="107"/>
      <c r="O40" s="107"/>
      <c r="P40" s="107"/>
      <c r="Q40" s="107"/>
      <c r="V40" s="643" t="s">
        <v>86</v>
      </c>
      <c r="W40" s="643"/>
      <c r="X40" s="644">
        <f>+G40</f>
        <v>180284.81</v>
      </c>
      <c r="Y40" s="644"/>
      <c r="Z40" s="644"/>
      <c r="AA40" s="644"/>
      <c r="AB40" s="56">
        <f>ROUND(X39/X40,0)</f>
        <v>191</v>
      </c>
      <c r="AC40" s="56">
        <f>ROUND(AB40*$X$26,0)</f>
        <v>17148</v>
      </c>
      <c r="AD40" s="9"/>
    </row>
    <row r="41" spans="1:30" ht="15.75" customHeight="1" x14ac:dyDescent="0.25">
      <c r="B41" s="108" t="s">
        <v>87</v>
      </c>
      <c r="C41" s="108"/>
      <c r="D41" s="108"/>
      <c r="E41" s="108"/>
      <c r="F41" s="108"/>
      <c r="G41" s="108"/>
      <c r="H41" s="108"/>
      <c r="I41" s="108"/>
      <c r="J41" s="108"/>
      <c r="K41" s="108"/>
      <c r="L41" s="108"/>
      <c r="N41" s="101"/>
      <c r="O41" s="109"/>
      <c r="P41" s="101"/>
      <c r="Q41" s="101"/>
      <c r="V41" s="652" t="s">
        <v>87</v>
      </c>
      <c r="W41" s="652"/>
      <c r="X41" s="652"/>
      <c r="Y41" s="652"/>
      <c r="Z41" s="652"/>
      <c r="AA41" s="652"/>
      <c r="AB41" s="652"/>
      <c r="AC41" s="652"/>
      <c r="AD41" s="9"/>
    </row>
    <row r="42" spans="1:30" ht="28.5" customHeight="1" x14ac:dyDescent="0.25">
      <c r="B42" s="99" t="s">
        <v>88</v>
      </c>
      <c r="C42" s="99"/>
      <c r="D42" s="99"/>
      <c r="E42" s="99"/>
      <c r="F42" s="99"/>
      <c r="G42" s="99"/>
      <c r="H42" s="99"/>
      <c r="I42" s="99"/>
      <c r="J42" s="99"/>
      <c r="K42" s="99"/>
      <c r="L42" s="99"/>
      <c r="M42" s="107"/>
      <c r="O42" s="1"/>
      <c r="V42" s="639" t="s">
        <v>88</v>
      </c>
      <c r="W42" s="639"/>
      <c r="X42" s="639"/>
      <c r="Y42" s="639"/>
      <c r="Z42" s="639"/>
      <c r="AA42" s="639"/>
      <c r="AB42" s="639"/>
      <c r="AC42" s="639"/>
      <c r="AD42" s="110"/>
    </row>
    <row r="43" spans="1:30" x14ac:dyDescent="0.25">
      <c r="B43" s="111" t="s">
        <v>89</v>
      </c>
      <c r="C43" s="111"/>
      <c r="D43" s="111"/>
      <c r="E43" s="111"/>
      <c r="F43" s="111"/>
      <c r="G43" s="111"/>
      <c r="H43" s="111"/>
      <c r="I43" s="111"/>
      <c r="J43" s="111"/>
      <c r="K43" s="111"/>
      <c r="L43" s="111"/>
      <c r="M43" s="112"/>
      <c r="N43" s="101"/>
      <c r="O43" s="101"/>
      <c r="P43" s="101"/>
      <c r="Q43" s="101"/>
      <c r="V43" s="653" t="s">
        <v>89</v>
      </c>
      <c r="W43" s="653"/>
      <c r="X43" s="653"/>
      <c r="Y43" s="653"/>
      <c r="Z43" s="653"/>
      <c r="AA43" s="653"/>
      <c r="AB43" s="653"/>
      <c r="AC43" s="653"/>
      <c r="AD43" s="113"/>
    </row>
    <row r="44" spans="1:30" ht="24" customHeight="1" x14ac:dyDescent="0.25">
      <c r="B44" s="62" t="s">
        <v>90</v>
      </c>
      <c r="C44" s="62"/>
      <c r="D44" s="62"/>
      <c r="E44" s="62"/>
      <c r="F44" s="62"/>
      <c r="G44" s="62"/>
      <c r="H44" s="62"/>
      <c r="I44" s="62"/>
      <c r="J44" s="62"/>
      <c r="K44" s="62"/>
      <c r="L44" s="114">
        <f>SUM(L26,L37,L40)</f>
        <v>1359074</v>
      </c>
      <c r="O44" s="1"/>
      <c r="V44" s="654" t="s">
        <v>90</v>
      </c>
      <c r="W44" s="654"/>
      <c r="X44" s="654"/>
      <c r="Y44" s="654"/>
      <c r="Z44" s="654"/>
      <c r="AA44" s="654"/>
      <c r="AB44" s="654"/>
      <c r="AC44" s="115">
        <f>SUM(AC26,AC37,AC40)</f>
        <v>365011</v>
      </c>
      <c r="AD44" s="9"/>
    </row>
    <row r="45" spans="1:30" ht="30.75" customHeight="1" x14ac:dyDescent="0.25">
      <c r="B45" s="99" t="s">
        <v>91</v>
      </c>
      <c r="C45" s="99"/>
      <c r="D45" s="99"/>
      <c r="E45" s="99"/>
      <c r="F45" s="99"/>
      <c r="G45" s="99"/>
      <c r="H45" s="99"/>
      <c r="I45" s="99"/>
      <c r="J45" s="99"/>
      <c r="K45" s="99"/>
      <c r="L45" s="99"/>
      <c r="M45" s="116"/>
      <c r="O45" s="1"/>
      <c r="V45" s="639" t="s">
        <v>91</v>
      </c>
      <c r="W45" s="639"/>
      <c r="X45" s="639"/>
      <c r="Y45" s="639"/>
      <c r="Z45" s="639"/>
      <c r="AA45" s="639"/>
      <c r="AB45" s="639"/>
      <c r="AC45" s="639"/>
      <c r="AD45" s="117"/>
    </row>
    <row r="46" spans="1:30" ht="18.75" customHeight="1" x14ac:dyDescent="0.25">
      <c r="B46" s="1"/>
      <c r="C46" s="118" t="s">
        <v>92</v>
      </c>
      <c r="D46" s="118"/>
      <c r="E46" s="118"/>
      <c r="F46" s="118"/>
      <c r="G46" s="118" t="s">
        <v>93</v>
      </c>
      <c r="H46" s="119"/>
      <c r="I46" s="120" t="s">
        <v>94</v>
      </c>
      <c r="J46" s="121"/>
      <c r="K46" s="121"/>
      <c r="L46" s="121"/>
      <c r="M46" s="122"/>
      <c r="O46" s="1"/>
      <c r="V46" s="9"/>
      <c r="W46" s="123" t="s">
        <v>92</v>
      </c>
      <c r="X46" s="655" t="s">
        <v>95</v>
      </c>
      <c r="Y46" s="655"/>
      <c r="Z46" s="656" t="s">
        <v>94</v>
      </c>
      <c r="AA46" s="656"/>
      <c r="AB46" s="656"/>
      <c r="AC46" s="656"/>
      <c r="AD46" s="124"/>
    </row>
    <row r="47" spans="1:30" ht="18.75" customHeight="1" x14ac:dyDescent="0.25">
      <c r="B47" s="107" t="s">
        <v>96</v>
      </c>
      <c r="C47" s="125">
        <f>K10+K11+K16+K19+K22</f>
        <v>0</v>
      </c>
      <c r="D47" s="125"/>
      <c r="E47" s="125"/>
      <c r="F47" s="125"/>
      <c r="G47" s="126">
        <f>K7</f>
        <v>1.0326</v>
      </c>
      <c r="H47" s="126"/>
      <c r="I47" s="127">
        <v>1316.85</v>
      </c>
      <c r="J47" s="128" t="s">
        <v>97</v>
      </c>
      <c r="K47" s="129">
        <f>ROUND(C47*G47*I47,0)</f>
        <v>0</v>
      </c>
      <c r="L47" s="130"/>
      <c r="O47" s="1"/>
      <c r="V47" s="110" t="s">
        <v>96</v>
      </c>
      <c r="W47" s="131">
        <f>AB10+AB11+AB16+AB19+AB22</f>
        <v>0</v>
      </c>
      <c r="X47" s="647">
        <f>AB7</f>
        <v>1.0326</v>
      </c>
      <c r="Y47" s="647"/>
      <c r="Z47" s="132">
        <f>+I47</f>
        <v>1316.85</v>
      </c>
      <c r="AA47" s="133" t="s">
        <v>97</v>
      </c>
      <c r="AB47" s="134">
        <f>ROUND(W47*X47*Z47,0)</f>
        <v>0</v>
      </c>
      <c r="AC47" s="135"/>
      <c r="AD47" s="9"/>
    </row>
    <row r="48" spans="1:30" ht="18" customHeight="1" x14ac:dyDescent="0.25">
      <c r="B48" s="136" t="s">
        <v>74</v>
      </c>
      <c r="C48" s="125">
        <f>K12+K13+K17+K20+K23</f>
        <v>0</v>
      </c>
      <c r="D48" s="125"/>
      <c r="E48" s="125"/>
      <c r="F48" s="125"/>
      <c r="G48" s="126">
        <f>K7</f>
        <v>1.0326</v>
      </c>
      <c r="H48" s="126"/>
      <c r="I48" s="127">
        <v>898.23</v>
      </c>
      <c r="J48" s="128" t="s">
        <v>97</v>
      </c>
      <c r="K48" s="129">
        <f>ROUND(C48*G48*I48,0)</f>
        <v>0</v>
      </c>
      <c r="L48" s="62"/>
      <c r="O48" s="1"/>
      <c r="V48" s="137" t="s">
        <v>74</v>
      </c>
      <c r="W48" s="131">
        <f>AB12+AB13+AB17+AB20+AB23</f>
        <v>0</v>
      </c>
      <c r="X48" s="647">
        <f>AB7</f>
        <v>1.0326</v>
      </c>
      <c r="Y48" s="647"/>
      <c r="Z48" s="132">
        <f>+I48</f>
        <v>898.23</v>
      </c>
      <c r="AA48" s="133" t="s">
        <v>97</v>
      </c>
      <c r="AB48" s="134">
        <f>ROUND(W48*X48*Z48,0)</f>
        <v>0</v>
      </c>
      <c r="AC48" s="138"/>
      <c r="AD48" s="9"/>
    </row>
    <row r="49" spans="2:30" ht="19.5" customHeight="1" thickBot="1" x14ac:dyDescent="0.3">
      <c r="B49" s="139" t="s">
        <v>78</v>
      </c>
      <c r="C49" s="140">
        <f>K14+K15+K18+K21+K24+K25</f>
        <v>316.94319999999999</v>
      </c>
      <c r="D49" s="125"/>
      <c r="E49" s="125"/>
      <c r="F49" s="125"/>
      <c r="G49" s="126">
        <f>K7</f>
        <v>1.0326</v>
      </c>
      <c r="H49" s="126"/>
      <c r="I49" s="127">
        <v>900.39</v>
      </c>
      <c r="J49" s="128" t="s">
        <v>97</v>
      </c>
      <c r="K49" s="129">
        <f>ROUND(C49*G49*I49,0)</f>
        <v>294676</v>
      </c>
      <c r="L49" s="62"/>
      <c r="M49" s="112"/>
      <c r="N49" s="141"/>
      <c r="O49" s="142"/>
      <c r="P49" s="101"/>
      <c r="Q49" s="143"/>
      <c r="V49" s="144" t="s">
        <v>78</v>
      </c>
      <c r="W49" s="145">
        <f>AB14+AB15+AB18+AB21+AB24+AB25</f>
        <v>89.78</v>
      </c>
      <c r="X49" s="647">
        <f>AB7</f>
        <v>1.0326</v>
      </c>
      <c r="Y49" s="647"/>
      <c r="Z49" s="132">
        <f>+I49</f>
        <v>900.39</v>
      </c>
      <c r="AA49" s="133" t="s">
        <v>97</v>
      </c>
      <c r="AB49" s="134">
        <f>ROUND(W49*X49*Z49,0)</f>
        <v>83472</v>
      </c>
      <c r="AC49" s="138"/>
      <c r="AD49" s="113"/>
    </row>
    <row r="50" spans="2:30" ht="24" customHeight="1" thickBot="1" x14ac:dyDescent="0.3">
      <c r="B50" s="146" t="s">
        <v>98</v>
      </c>
      <c r="C50" s="147">
        <f>SUM(C47:C49)</f>
        <v>316.94319999999999</v>
      </c>
      <c r="D50" s="148"/>
      <c r="E50" s="149"/>
      <c r="F50" s="149"/>
      <c r="G50" s="150" t="s">
        <v>99</v>
      </c>
      <c r="H50" s="150"/>
      <c r="I50" s="150"/>
      <c r="J50" s="150"/>
      <c r="K50" s="150"/>
      <c r="L50" s="50">
        <f>IF(B2=75,0,K49+K48+K47)</f>
        <v>294676</v>
      </c>
      <c r="N50" s="3"/>
      <c r="O50" s="1"/>
      <c r="V50" s="151" t="s">
        <v>98</v>
      </c>
      <c r="W50" s="152">
        <f>SUM(W47:W49)</f>
        <v>89.78</v>
      </c>
      <c r="X50" s="648" t="s">
        <v>99</v>
      </c>
      <c r="Y50" s="649"/>
      <c r="Z50" s="649"/>
      <c r="AA50" s="649"/>
      <c r="AB50" s="649"/>
      <c r="AC50" s="56">
        <f>IF(V2=75,0,AB49+AB48+AB47)</f>
        <v>83472</v>
      </c>
      <c r="AD50" s="9"/>
    </row>
    <row r="51" spans="2:30" ht="19.5" customHeight="1" x14ac:dyDescent="0.25">
      <c r="B51" s="153" t="s">
        <v>100</v>
      </c>
      <c r="C51" s="153"/>
      <c r="D51" s="153"/>
      <c r="E51" s="153"/>
      <c r="F51" s="153"/>
      <c r="G51" s="153"/>
      <c r="H51" s="153"/>
      <c r="I51" s="153"/>
      <c r="J51" s="153"/>
      <c r="K51" s="153"/>
      <c r="L51" s="153"/>
      <c r="M51" s="141"/>
      <c r="N51" s="101"/>
      <c r="O51" s="1"/>
      <c r="V51" s="650" t="s">
        <v>100</v>
      </c>
      <c r="W51" s="650"/>
      <c r="X51" s="650"/>
      <c r="Y51" s="650"/>
      <c r="Z51" s="650"/>
      <c r="AA51" s="650"/>
      <c r="AB51" s="650"/>
      <c r="AC51" s="650"/>
      <c r="AD51" s="154"/>
    </row>
    <row r="52" spans="2:30" ht="27.75" customHeight="1" x14ac:dyDescent="0.25">
      <c r="B52" s="13" t="s">
        <v>101</v>
      </c>
      <c r="C52" s="13"/>
      <c r="D52" s="13"/>
      <c r="E52" s="13"/>
      <c r="F52" s="13"/>
      <c r="G52" s="13"/>
      <c r="H52" s="13"/>
      <c r="I52" s="13"/>
      <c r="J52" s="13"/>
      <c r="K52" s="13"/>
      <c r="L52" s="13"/>
      <c r="O52" s="1"/>
      <c r="V52" s="651" t="s">
        <v>101</v>
      </c>
      <c r="W52" s="651"/>
      <c r="X52" s="651"/>
      <c r="Y52" s="651"/>
      <c r="Z52" s="651"/>
      <c r="AA52" s="651"/>
      <c r="AB52" s="651"/>
      <c r="AC52" s="651"/>
      <c r="AD52" s="9"/>
    </row>
    <row r="53" spans="2:30" x14ac:dyDescent="0.25">
      <c r="B53" s="13" t="s">
        <v>102</v>
      </c>
      <c r="C53" s="13"/>
      <c r="D53" s="13"/>
      <c r="E53" s="13"/>
      <c r="F53" s="13"/>
      <c r="G53" s="155">
        <f>K26</f>
        <v>316.94319999999999</v>
      </c>
      <c r="H53" s="57" t="s">
        <v>103</v>
      </c>
      <c r="I53" s="57"/>
      <c r="J53" s="156">
        <v>197823.77</v>
      </c>
      <c r="K53" s="156"/>
      <c r="L53" s="156"/>
      <c r="N53" s="3"/>
      <c r="O53" s="1"/>
      <c r="V53" s="657" t="s">
        <v>102</v>
      </c>
      <c r="W53" s="657"/>
      <c r="X53" s="157">
        <f>AB26</f>
        <v>89.78</v>
      </c>
      <c r="Y53" s="658" t="s">
        <v>103</v>
      </c>
      <c r="Z53" s="658"/>
      <c r="AA53" s="659">
        <f>+J53</f>
        <v>197823.77</v>
      </c>
      <c r="AB53" s="659"/>
      <c r="AC53" s="659"/>
      <c r="AD53" s="9"/>
    </row>
    <row r="54" spans="2:30" x14ac:dyDescent="0.25">
      <c r="B54" s="13" t="s">
        <v>104</v>
      </c>
      <c r="C54" s="13"/>
      <c r="D54" s="13"/>
      <c r="E54" s="13"/>
      <c r="F54" s="13"/>
      <c r="G54" s="13"/>
      <c r="H54" s="13"/>
      <c r="I54" s="13"/>
      <c r="J54" s="13"/>
      <c r="K54" s="158">
        <f>ROUND(G53/J53,6)</f>
        <v>1.6019999999999999E-3</v>
      </c>
      <c r="L54" s="158"/>
      <c r="N54" s="101"/>
      <c r="O54" s="1"/>
      <c r="V54" s="657" t="s">
        <v>104</v>
      </c>
      <c r="W54" s="657"/>
      <c r="X54" s="657"/>
      <c r="Y54" s="657"/>
      <c r="Z54" s="657"/>
      <c r="AA54" s="657"/>
      <c r="AB54" s="660">
        <f>ROUND(X53/AA53,6)</f>
        <v>4.5399999999999998E-4</v>
      </c>
      <c r="AC54" s="660"/>
      <c r="AD54" s="9"/>
    </row>
    <row r="55" spans="2:30" ht="24" customHeight="1" x14ac:dyDescent="0.25">
      <c r="B55" s="13" t="s">
        <v>105</v>
      </c>
      <c r="C55" s="13"/>
      <c r="D55" s="13"/>
      <c r="E55" s="13"/>
      <c r="F55" s="13"/>
      <c r="G55" s="13"/>
      <c r="H55" s="13"/>
      <c r="I55" s="13"/>
      <c r="J55" s="13"/>
      <c r="K55" s="13"/>
      <c r="L55" s="13"/>
      <c r="O55" s="1"/>
      <c r="V55" s="651" t="s">
        <v>105</v>
      </c>
      <c r="W55" s="651"/>
      <c r="X55" s="651"/>
      <c r="Y55" s="651"/>
      <c r="Z55" s="651"/>
      <c r="AA55" s="651"/>
      <c r="AB55" s="651"/>
      <c r="AC55" s="651"/>
      <c r="AD55" s="9"/>
    </row>
    <row r="56" spans="2:30" x14ac:dyDescent="0.25">
      <c r="B56" s="13" t="s">
        <v>106</v>
      </c>
      <c r="C56" s="13"/>
      <c r="D56" s="13"/>
      <c r="E56" s="13"/>
      <c r="F56" s="13"/>
      <c r="G56" s="159">
        <f>G26</f>
        <v>89.78</v>
      </c>
      <c r="H56" s="57" t="s">
        <v>107</v>
      </c>
      <c r="I56" s="57"/>
      <c r="J56" s="156">
        <f>+G40</f>
        <v>180284.81</v>
      </c>
      <c r="K56" s="156"/>
      <c r="L56" s="156"/>
      <c r="O56" s="1"/>
      <c r="V56" s="657" t="s">
        <v>106</v>
      </c>
      <c r="W56" s="657"/>
      <c r="X56" s="160">
        <f>X26</f>
        <v>89.78</v>
      </c>
      <c r="Y56" s="658" t="s">
        <v>107</v>
      </c>
      <c r="Z56" s="658"/>
      <c r="AA56" s="659">
        <f>+J56</f>
        <v>180284.81</v>
      </c>
      <c r="AB56" s="659"/>
      <c r="AC56" s="659"/>
      <c r="AD56" s="9"/>
    </row>
    <row r="57" spans="2:30" x14ac:dyDescent="0.25">
      <c r="B57" s="13" t="s">
        <v>108</v>
      </c>
      <c r="C57" s="13"/>
      <c r="D57" s="13"/>
      <c r="E57" s="13"/>
      <c r="F57" s="13"/>
      <c r="G57" s="13"/>
      <c r="H57" s="13"/>
      <c r="I57" s="13"/>
      <c r="J57" s="13"/>
      <c r="K57" s="158">
        <f>ROUND(G56/J56,6)</f>
        <v>4.9799999999999996E-4</v>
      </c>
      <c r="L57" s="158"/>
      <c r="O57" s="1"/>
      <c r="V57" s="657" t="s">
        <v>108</v>
      </c>
      <c r="W57" s="657"/>
      <c r="X57" s="657"/>
      <c r="Y57" s="657"/>
      <c r="Z57" s="657"/>
      <c r="AA57" s="657"/>
      <c r="AB57" s="660">
        <f>ROUND(X56/AA56,6)</f>
        <v>4.9799999999999996E-4</v>
      </c>
      <c r="AC57" s="660"/>
      <c r="AD57" s="9"/>
    </row>
    <row r="58" spans="2:30" ht="20.25" customHeight="1" x14ac:dyDescent="0.25">
      <c r="B58" s="161" t="s">
        <v>109</v>
      </c>
      <c r="C58" s="161"/>
      <c r="D58" s="161"/>
      <c r="E58" s="161"/>
      <c r="F58" s="161"/>
      <c r="G58" s="161"/>
      <c r="H58" s="161"/>
      <c r="I58" s="161"/>
      <c r="J58" s="161"/>
      <c r="K58" s="161"/>
      <c r="L58" s="161"/>
      <c r="N58" s="18"/>
      <c r="O58" s="18"/>
      <c r="V58" s="629" t="s">
        <v>110</v>
      </c>
      <c r="W58" s="629"/>
      <c r="X58" s="629"/>
      <c r="Y58" s="661">
        <f>X65+X64+X62+X61+X60</f>
        <v>4123852</v>
      </c>
      <c r="Z58" s="661"/>
      <c r="AA58" s="162" t="s">
        <v>111</v>
      </c>
      <c r="AB58" s="163">
        <f>AB54</f>
        <v>4.5399999999999998E-4</v>
      </c>
      <c r="AC58" s="56">
        <f>ROUND(Y58*AB58,0)</f>
        <v>1872</v>
      </c>
      <c r="AD58" s="9"/>
    </row>
    <row r="59" spans="2:30" x14ac:dyDescent="0.25">
      <c r="B59" s="62" t="s">
        <v>110</v>
      </c>
      <c r="C59" s="62"/>
      <c r="D59" s="62"/>
      <c r="E59" s="62"/>
      <c r="F59" s="62"/>
      <c r="G59" s="62"/>
      <c r="H59" s="164" t="s">
        <v>22</v>
      </c>
      <c r="I59" s="129">
        <v>4123852</v>
      </c>
      <c r="J59" s="165" t="s">
        <v>111</v>
      </c>
      <c r="K59" s="166">
        <f>K54</f>
        <v>1.6019999999999999E-3</v>
      </c>
      <c r="L59" s="50">
        <f>ROUND(I59*K59,0)</f>
        <v>6606</v>
      </c>
      <c r="O59" s="1"/>
      <c r="P59" s="165"/>
      <c r="Q59" s="165"/>
      <c r="V59" s="662" t="s">
        <v>112</v>
      </c>
      <c r="W59" s="662"/>
      <c r="X59" s="662"/>
      <c r="Y59" s="662"/>
      <c r="Z59" s="662"/>
      <c r="AA59" s="662"/>
      <c r="AB59" s="662"/>
      <c r="AC59" s="662"/>
      <c r="AD59" s="9"/>
    </row>
    <row r="60" spans="2:30" x14ac:dyDescent="0.25">
      <c r="B60" s="62" t="s">
        <v>112</v>
      </c>
      <c r="C60" s="62"/>
      <c r="D60" s="62"/>
      <c r="E60" s="62"/>
      <c r="F60" s="62"/>
      <c r="G60" s="62"/>
      <c r="H60" s="62"/>
      <c r="I60" s="62"/>
      <c r="J60" s="62"/>
      <c r="K60" s="62"/>
      <c r="L60" s="62"/>
      <c r="O60" s="1"/>
      <c r="P60" s="165"/>
      <c r="Q60" s="165"/>
      <c r="V60" s="663" t="s">
        <v>113</v>
      </c>
      <c r="W60" s="663"/>
      <c r="X60" s="664">
        <f>+G61</f>
        <v>0</v>
      </c>
      <c r="Y60" s="664"/>
      <c r="Z60" s="664"/>
      <c r="AA60" s="664"/>
      <c r="AB60" s="664"/>
      <c r="AC60" s="664"/>
      <c r="AD60" s="9"/>
    </row>
    <row r="61" spans="2:30" ht="15" customHeight="1" x14ac:dyDescent="0.25">
      <c r="B61" s="167" t="s">
        <v>113</v>
      </c>
      <c r="C61" s="62"/>
      <c r="D61" s="62"/>
      <c r="E61" s="62"/>
      <c r="F61" s="62"/>
      <c r="G61" s="168">
        <v>0</v>
      </c>
      <c r="H61" s="168"/>
      <c r="I61" s="168"/>
      <c r="J61" s="168"/>
      <c r="K61" s="168"/>
      <c r="L61" s="168"/>
      <c r="O61" s="1"/>
      <c r="P61" s="165"/>
      <c r="Q61" s="165"/>
      <c r="V61" s="663" t="s">
        <v>114</v>
      </c>
      <c r="W61" s="663"/>
      <c r="X61" s="664">
        <f>+G62</f>
        <v>0</v>
      </c>
      <c r="Y61" s="664"/>
      <c r="Z61" s="664"/>
      <c r="AA61" s="664"/>
      <c r="AB61" s="664"/>
      <c r="AC61" s="664"/>
      <c r="AD61" s="9"/>
    </row>
    <row r="62" spans="2:30" ht="13.5" customHeight="1" x14ac:dyDescent="0.25">
      <c r="B62" s="167" t="s">
        <v>114</v>
      </c>
      <c r="C62" s="62"/>
      <c r="D62" s="62"/>
      <c r="E62" s="62"/>
      <c r="F62" s="62"/>
      <c r="G62" s="168">
        <v>0</v>
      </c>
      <c r="H62" s="168"/>
      <c r="I62" s="168"/>
      <c r="J62" s="168"/>
      <c r="K62" s="168"/>
      <c r="L62" s="168"/>
      <c r="N62" s="165"/>
      <c r="O62" s="165"/>
      <c r="P62" s="165"/>
      <c r="Q62" s="165"/>
      <c r="V62" s="663" t="s">
        <v>115</v>
      </c>
      <c r="W62" s="663"/>
      <c r="X62" s="664">
        <v>0</v>
      </c>
      <c r="Y62" s="664"/>
      <c r="Z62" s="664"/>
      <c r="AA62" s="664"/>
      <c r="AB62" s="664"/>
      <c r="AC62" s="664"/>
      <c r="AD62" s="9"/>
    </row>
    <row r="63" spans="2:30" ht="13.5" hidden="1" customHeight="1" x14ac:dyDescent="0.25">
      <c r="B63" s="62" t="s">
        <v>115</v>
      </c>
      <c r="C63" s="62"/>
      <c r="D63" s="62"/>
      <c r="E63" s="62"/>
      <c r="F63" s="62"/>
      <c r="G63" s="168">
        <v>0</v>
      </c>
      <c r="H63" s="168"/>
      <c r="I63" s="168"/>
      <c r="J63" s="168"/>
      <c r="K63" s="168"/>
      <c r="L63" s="168"/>
      <c r="O63" s="1"/>
      <c r="P63" s="165"/>
      <c r="Q63" s="165"/>
      <c r="V63" s="662" t="s">
        <v>116</v>
      </c>
      <c r="W63" s="662"/>
      <c r="X63" s="662"/>
      <c r="Y63" s="662"/>
      <c r="Z63" s="662"/>
      <c r="AA63" s="662"/>
      <c r="AB63" s="662"/>
      <c r="AC63" s="662"/>
      <c r="AD63" s="117"/>
    </row>
    <row r="64" spans="2:30" ht="13.5" customHeight="1" x14ac:dyDescent="0.25">
      <c r="B64" s="62" t="s">
        <v>116</v>
      </c>
      <c r="C64" s="62"/>
      <c r="D64" s="62"/>
      <c r="E64" s="62"/>
      <c r="F64" s="62"/>
      <c r="G64" s="62"/>
      <c r="H64" s="62"/>
      <c r="I64" s="62"/>
      <c r="J64" s="62"/>
      <c r="K64" s="62"/>
      <c r="L64" s="62"/>
      <c r="M64" s="116"/>
      <c r="N64" s="18"/>
      <c r="O64" s="1"/>
      <c r="V64" s="663" t="s">
        <v>117</v>
      </c>
      <c r="W64" s="663"/>
      <c r="X64" s="664">
        <f>+G65</f>
        <v>4123852</v>
      </c>
      <c r="Y64" s="664"/>
      <c r="Z64" s="664"/>
      <c r="AA64" s="664"/>
      <c r="AB64" s="664"/>
      <c r="AC64" s="664"/>
      <c r="AD64" s="9"/>
    </row>
    <row r="65" spans="1:30" ht="12.75" customHeight="1" x14ac:dyDescent="0.25">
      <c r="B65" s="167" t="s">
        <v>117</v>
      </c>
      <c r="C65" s="62"/>
      <c r="D65" s="62"/>
      <c r="E65" s="62"/>
      <c r="F65" s="62"/>
      <c r="G65" s="168">
        <f>+I59</f>
        <v>4123852</v>
      </c>
      <c r="H65" s="168"/>
      <c r="I65" s="168"/>
      <c r="J65" s="168"/>
      <c r="K65" s="168"/>
      <c r="L65" s="168"/>
      <c r="O65" s="1"/>
      <c r="V65" s="663" t="s">
        <v>118</v>
      </c>
      <c r="W65" s="663"/>
      <c r="X65" s="664">
        <f>+G66</f>
        <v>0</v>
      </c>
      <c r="Y65" s="664"/>
      <c r="Z65" s="664"/>
      <c r="AA65" s="664"/>
      <c r="AB65" s="664"/>
      <c r="AC65" s="664"/>
      <c r="AD65" s="20"/>
    </row>
    <row r="66" spans="1:30" ht="15" customHeight="1" x14ac:dyDescent="0.25">
      <c r="B66" s="167" t="s">
        <v>118</v>
      </c>
      <c r="C66" s="62"/>
      <c r="D66" s="62"/>
      <c r="E66" s="62"/>
      <c r="F66" s="62"/>
      <c r="G66" s="168">
        <v>0</v>
      </c>
      <c r="H66" s="168"/>
      <c r="I66" s="168"/>
      <c r="J66" s="168"/>
      <c r="K66" s="168"/>
      <c r="L66" s="168"/>
      <c r="M66" s="18"/>
      <c r="N66" s="3"/>
      <c r="O66" s="169"/>
      <c r="P66" s="169"/>
      <c r="Q66" s="169"/>
      <c r="V66" s="651" t="s">
        <v>119</v>
      </c>
      <c r="W66" s="651"/>
      <c r="X66" s="651"/>
      <c r="Y66" s="661">
        <f>+I67</f>
        <v>96774526</v>
      </c>
      <c r="Z66" s="661"/>
      <c r="AA66" s="162" t="s">
        <v>111</v>
      </c>
      <c r="AB66" s="163">
        <f>AB54</f>
        <v>4.5399999999999998E-4</v>
      </c>
      <c r="AC66" s="56">
        <f>ROUND(Y66*AB66,0)</f>
        <v>43936</v>
      </c>
      <c r="AD66" s="9"/>
    </row>
    <row r="67" spans="1:30" ht="20.25" customHeight="1" x14ac:dyDescent="0.25">
      <c r="B67" s="13" t="s">
        <v>119</v>
      </c>
      <c r="C67" s="13"/>
      <c r="D67" s="13"/>
      <c r="E67" s="13"/>
      <c r="F67" s="13"/>
      <c r="H67" s="164" t="s">
        <v>25</v>
      </c>
      <c r="I67" s="129">
        <v>96774526</v>
      </c>
      <c r="J67" s="165" t="s">
        <v>111</v>
      </c>
      <c r="K67" s="166">
        <f>K54</f>
        <v>1.6019999999999999E-3</v>
      </c>
      <c r="L67" s="50">
        <f>ROUND(I67*K67,0)</f>
        <v>155033</v>
      </c>
      <c r="O67" s="1"/>
      <c r="V67" s="651" t="s">
        <v>120</v>
      </c>
      <c r="W67" s="651"/>
      <c r="X67" s="651"/>
      <c r="Y67" s="651"/>
      <c r="Z67" s="651"/>
      <c r="AA67" s="651"/>
      <c r="AB67" s="651"/>
      <c r="AC67" s="651"/>
      <c r="AD67" s="9"/>
    </row>
    <row r="68" spans="1:30" ht="20.25" customHeight="1" x14ac:dyDescent="0.25">
      <c r="B68" s="13" t="s">
        <v>120</v>
      </c>
      <c r="C68" s="13"/>
      <c r="D68" s="13"/>
      <c r="E68" s="13"/>
      <c r="F68" s="13"/>
      <c r="H68" s="13"/>
      <c r="I68" s="13"/>
      <c r="J68" s="82"/>
      <c r="K68" s="13"/>
      <c r="L68" s="13"/>
      <c r="O68" s="1"/>
      <c r="V68" s="667" t="s">
        <v>121</v>
      </c>
      <c r="W68" s="667"/>
      <c r="X68" s="667"/>
      <c r="Y68" s="661">
        <f>+I69</f>
        <v>0</v>
      </c>
      <c r="Z68" s="661"/>
      <c r="AA68" s="162" t="s">
        <v>111</v>
      </c>
      <c r="AB68" s="163">
        <f>AB57</f>
        <v>4.9799999999999996E-4</v>
      </c>
      <c r="AC68" s="56">
        <f>ROUND(Y68*AB68,0)</f>
        <v>0</v>
      </c>
      <c r="AD68" s="9"/>
    </row>
    <row r="69" spans="1:30" ht="15" customHeight="1" x14ac:dyDescent="0.25">
      <c r="B69" s="170" t="s">
        <v>121</v>
      </c>
      <c r="C69" s="13"/>
      <c r="D69" s="13"/>
      <c r="E69" s="13"/>
      <c r="F69" s="13"/>
      <c r="H69" s="164" t="s">
        <v>23</v>
      </c>
      <c r="I69" s="129">
        <v>0</v>
      </c>
      <c r="J69" s="165" t="s">
        <v>111</v>
      </c>
      <c r="K69" s="166">
        <f>K57</f>
        <v>4.9799999999999996E-4</v>
      </c>
      <c r="L69" s="50">
        <f>ROUND(I69*K69,0)</f>
        <v>0</v>
      </c>
      <c r="O69" s="1"/>
      <c r="V69" s="651" t="s">
        <v>122</v>
      </c>
      <c r="W69" s="651"/>
      <c r="X69" s="651"/>
      <c r="Y69" s="668">
        <f>+I70</f>
        <v>-3460775</v>
      </c>
      <c r="Z69" s="668"/>
      <c r="AA69" s="162" t="s">
        <v>111</v>
      </c>
      <c r="AB69" s="163">
        <f>AB54</f>
        <v>4.5399999999999998E-4</v>
      </c>
      <c r="AC69" s="56">
        <f>ROUND(Y69*AB69,0)</f>
        <v>-1571</v>
      </c>
      <c r="AD69" s="9"/>
    </row>
    <row r="70" spans="1:30" ht="20.25" customHeight="1" x14ac:dyDescent="0.25">
      <c r="B70" s="13" t="s">
        <v>122</v>
      </c>
      <c r="C70" s="13"/>
      <c r="D70" s="13"/>
      <c r="E70" s="13"/>
      <c r="F70" s="13"/>
      <c r="H70" s="164" t="s">
        <v>22</v>
      </c>
      <c r="I70" s="129">
        <v>-3460775</v>
      </c>
      <c r="J70" s="165" t="s">
        <v>111</v>
      </c>
      <c r="K70" s="166">
        <f>K54</f>
        <v>1.6019999999999999E-3</v>
      </c>
      <c r="L70" s="50">
        <f>ROUND(I70*K70,0)</f>
        <v>-5544</v>
      </c>
      <c r="O70" s="1"/>
      <c r="V70" s="651" t="s">
        <v>123</v>
      </c>
      <c r="W70" s="651"/>
      <c r="X70" s="651"/>
      <c r="Y70" s="665">
        <f>+I71</f>
        <v>1874788</v>
      </c>
      <c r="Z70" s="665"/>
      <c r="AA70" s="162" t="s">
        <v>111</v>
      </c>
      <c r="AB70" s="163">
        <f>AB54</f>
        <v>4.5399999999999998E-4</v>
      </c>
      <c r="AC70" s="56">
        <f>ROUND(Y70*AB70,0)</f>
        <v>851</v>
      </c>
      <c r="AD70" s="9"/>
    </row>
    <row r="71" spans="1:30" ht="20.25" customHeight="1" x14ac:dyDescent="0.25">
      <c r="B71" s="13" t="s">
        <v>123</v>
      </c>
      <c r="C71" s="13"/>
      <c r="D71" s="13"/>
      <c r="E71" s="13"/>
      <c r="F71" s="13"/>
      <c r="H71" s="164" t="s">
        <v>22</v>
      </c>
      <c r="I71" s="129">
        <v>1874788</v>
      </c>
      <c r="J71" s="165" t="s">
        <v>111</v>
      </c>
      <c r="K71" s="166">
        <f>K54</f>
        <v>1.6019999999999999E-3</v>
      </c>
      <c r="L71" s="50">
        <f>ROUND(I71*K71,0)</f>
        <v>3003</v>
      </c>
      <c r="O71" s="1"/>
      <c r="V71" s="651" t="s">
        <v>124</v>
      </c>
      <c r="W71" s="651"/>
      <c r="X71" s="651"/>
      <c r="Y71" s="665">
        <f>+I72</f>
        <v>14223298</v>
      </c>
      <c r="Z71" s="665"/>
      <c r="AA71" s="162" t="s">
        <v>111</v>
      </c>
      <c r="AB71" s="163">
        <f>AB57</f>
        <v>4.9799999999999996E-4</v>
      </c>
      <c r="AC71" s="56">
        <f>ROUND(Y71*AB71,0)</f>
        <v>7083</v>
      </c>
      <c r="AD71" s="9"/>
    </row>
    <row r="72" spans="1:30" ht="21" customHeight="1" x14ac:dyDescent="0.25">
      <c r="B72" s="13" t="s">
        <v>124</v>
      </c>
      <c r="C72" s="13"/>
      <c r="D72" s="13"/>
      <c r="E72" s="13"/>
      <c r="F72" s="13"/>
      <c r="H72" s="164" t="s">
        <v>23</v>
      </c>
      <c r="I72" s="171">
        <v>14223298</v>
      </c>
      <c r="J72" s="165" t="s">
        <v>111</v>
      </c>
      <c r="K72" s="166">
        <f>K57</f>
        <v>4.9799999999999996E-4</v>
      </c>
      <c r="L72" s="50">
        <f>ROUND(I72*K72,0)</f>
        <v>7083</v>
      </c>
      <c r="O72" s="1"/>
      <c r="V72" s="623" t="s">
        <v>125</v>
      </c>
      <c r="W72" s="623"/>
      <c r="X72" s="623"/>
      <c r="Y72" s="623"/>
      <c r="Z72" s="623"/>
      <c r="AA72" s="623"/>
      <c r="AB72" s="623"/>
      <c r="AC72" s="60"/>
      <c r="AD72" s="9"/>
    </row>
    <row r="73" spans="1:30" ht="17.25" customHeight="1" x14ac:dyDescent="0.25">
      <c r="B73" s="13" t="s">
        <v>125</v>
      </c>
      <c r="C73" s="13"/>
      <c r="D73" s="13"/>
      <c r="E73" s="13"/>
      <c r="F73" s="13"/>
      <c r="H73" s="13"/>
      <c r="I73" s="13"/>
      <c r="J73" s="82"/>
      <c r="K73" s="13"/>
      <c r="L73" s="59"/>
      <c r="O73" s="1"/>
      <c r="V73" s="651" t="s">
        <v>126</v>
      </c>
      <c r="W73" s="651"/>
      <c r="X73" s="651"/>
      <c r="Y73" s="651"/>
      <c r="Z73" s="651"/>
      <c r="AA73" s="651"/>
      <c r="AB73" s="651"/>
      <c r="AC73" s="651"/>
      <c r="AD73" s="9"/>
    </row>
    <row r="74" spans="1:30" ht="31.5" x14ac:dyDescent="0.25">
      <c r="B74" s="13" t="s">
        <v>126</v>
      </c>
      <c r="C74" s="13"/>
      <c r="D74" s="27" t="s">
        <v>13</v>
      </c>
      <c r="E74" s="27" t="s">
        <v>14</v>
      </c>
      <c r="F74" s="27"/>
      <c r="H74" s="164" t="s">
        <v>26</v>
      </c>
      <c r="I74" s="172"/>
      <c r="J74" s="164"/>
      <c r="K74" s="172"/>
      <c r="L74" s="112"/>
      <c r="O74" s="1"/>
      <c r="V74" s="666" t="s">
        <v>127</v>
      </c>
      <c r="W74" s="666"/>
      <c r="X74" s="173" t="s">
        <v>128</v>
      </c>
      <c r="Y74" s="174"/>
      <c r="Z74" s="175">
        <f>+I75</f>
        <v>89.5</v>
      </c>
      <c r="AA74" s="176" t="s">
        <v>129</v>
      </c>
      <c r="AB74" s="177">
        <f>+K75</f>
        <v>361</v>
      </c>
      <c r="AC74" s="56">
        <f>ROUND(AB74*Z74,0)</f>
        <v>32310</v>
      </c>
      <c r="AD74" s="9"/>
    </row>
    <row r="75" spans="1:30" ht="19.5" customHeight="1" x14ac:dyDescent="0.25">
      <c r="A75" s="1" t="s">
        <v>130</v>
      </c>
      <c r="B75" s="178" t="s">
        <v>127</v>
      </c>
      <c r="C75" s="179" t="s">
        <v>128</v>
      </c>
      <c r="D75" s="178">
        <v>88</v>
      </c>
      <c r="E75" s="178">
        <v>91</v>
      </c>
      <c r="F75" s="178">
        <v>0</v>
      </c>
      <c r="G75" s="180">
        <f>IF(E75=0,D75,E75)</f>
        <v>91</v>
      </c>
      <c r="H75" s="181"/>
      <c r="I75" s="182">
        <f>AVERAGE(G75,D75)</f>
        <v>89.5</v>
      </c>
      <c r="J75" s="183" t="s">
        <v>129</v>
      </c>
      <c r="K75" s="184">
        <v>361</v>
      </c>
      <c r="L75" s="50">
        <f>ROUND(K75*I75,0)</f>
        <v>32310</v>
      </c>
      <c r="N75" s="1">
        <v>7802</v>
      </c>
      <c r="O75" s="1">
        <v>0</v>
      </c>
      <c r="V75" s="666" t="s">
        <v>127</v>
      </c>
      <c r="W75" s="666"/>
      <c r="X75" s="173" t="s">
        <v>131</v>
      </c>
      <c r="Y75" s="185"/>
      <c r="Z75" s="186"/>
      <c r="AA75" s="176" t="s">
        <v>129</v>
      </c>
      <c r="AB75" s="187">
        <f>+K76</f>
        <v>1358</v>
      </c>
      <c r="AC75" s="56">
        <f>ROUND(AB75*Z75,0)</f>
        <v>0</v>
      </c>
      <c r="AD75" s="9"/>
    </row>
    <row r="76" spans="1:30" ht="19.5" customHeight="1" x14ac:dyDescent="0.25">
      <c r="A76" s="1" t="s">
        <v>132</v>
      </c>
      <c r="B76" s="178" t="s">
        <v>127</v>
      </c>
      <c r="C76" s="179" t="s">
        <v>131</v>
      </c>
      <c r="D76" s="178">
        <v>0</v>
      </c>
      <c r="E76" s="178">
        <v>0</v>
      </c>
      <c r="F76" s="178">
        <v>0</v>
      </c>
      <c r="G76" s="180">
        <f>IF(E76=0,D76,E76)</f>
        <v>0</v>
      </c>
      <c r="H76" s="181"/>
      <c r="I76" s="182">
        <f>AVERAGE(G76,D76)</f>
        <v>0</v>
      </c>
      <c r="J76" s="183" t="s">
        <v>129</v>
      </c>
      <c r="K76" s="188">
        <v>1358</v>
      </c>
      <c r="L76" s="50">
        <f>ROUND(K76*I76,0)</f>
        <v>0</v>
      </c>
      <c r="N76" s="1">
        <v>7802</v>
      </c>
      <c r="O76" s="1">
        <v>110</v>
      </c>
      <c r="V76" s="651" t="s">
        <v>133</v>
      </c>
      <c r="W76" s="651"/>
      <c r="X76" s="651"/>
      <c r="Y76" s="661">
        <f>+I77</f>
        <v>33305823</v>
      </c>
      <c r="Z76" s="661"/>
      <c r="AA76" s="176" t="s">
        <v>129</v>
      </c>
      <c r="AB76" s="163">
        <f>AB54</f>
        <v>4.5399999999999998E-4</v>
      </c>
      <c r="AC76" s="56">
        <f>ROUND(Y76*AB76,0)</f>
        <v>15121</v>
      </c>
      <c r="AD76" s="9"/>
    </row>
    <row r="77" spans="1:30" ht="26.25" customHeight="1" x14ac:dyDescent="0.25">
      <c r="B77" s="13" t="s">
        <v>133</v>
      </c>
      <c r="C77" s="13"/>
      <c r="D77" s="13"/>
      <c r="E77" s="13"/>
      <c r="F77" s="13"/>
      <c r="H77" s="164" t="s">
        <v>134</v>
      </c>
      <c r="I77" s="189">
        <v>33305823</v>
      </c>
      <c r="J77" s="165" t="s">
        <v>111</v>
      </c>
      <c r="K77" s="166">
        <f>K54</f>
        <v>1.6019999999999999E-3</v>
      </c>
      <c r="L77" s="50">
        <f>ROUND(I77*K77,0)</f>
        <v>53356</v>
      </c>
      <c r="O77" s="1"/>
      <c r="V77" s="651" t="str">
        <f>+B78</f>
        <v>15.  Additional Allocation (WFTE share)</v>
      </c>
      <c r="W77" s="651"/>
      <c r="X77" s="651"/>
      <c r="Y77" s="661">
        <f>+I78</f>
        <v>680688</v>
      </c>
      <c r="Z77" s="661"/>
      <c r="AA77" s="176" t="s">
        <v>129</v>
      </c>
      <c r="AB77" s="163">
        <f>AB54</f>
        <v>4.5399999999999998E-4</v>
      </c>
      <c r="AC77" s="56">
        <f>ROUND(Y77*AB77,0)</f>
        <v>309</v>
      </c>
      <c r="AD77" s="9"/>
    </row>
    <row r="78" spans="1:30" ht="26.25" customHeight="1" x14ac:dyDescent="0.25">
      <c r="B78" s="669" t="s">
        <v>135</v>
      </c>
      <c r="C78" s="669"/>
      <c r="D78" s="669"/>
      <c r="E78" s="13"/>
      <c r="F78" s="13"/>
      <c r="H78" s="164" t="s">
        <v>136</v>
      </c>
      <c r="I78" s="190">
        <v>680688</v>
      </c>
      <c r="J78" s="165" t="s">
        <v>111</v>
      </c>
      <c r="K78" s="166">
        <f>K54</f>
        <v>1.6019999999999999E-3</v>
      </c>
      <c r="L78" s="50">
        <f>ROUND(I78*K78,0)</f>
        <v>1090</v>
      </c>
      <c r="O78" s="1"/>
      <c r="V78" s="651" t="str">
        <f t="shared" ref="V78:V79" si="11">+B79</f>
        <v>16.  Florida Teachers Lead Program Stipend</v>
      </c>
      <c r="W78" s="651"/>
      <c r="X78" s="651"/>
      <c r="Y78" s="191"/>
      <c r="Z78" s="191"/>
      <c r="AA78" s="191"/>
      <c r="AB78" s="191"/>
      <c r="AC78" s="134"/>
      <c r="AD78" s="9"/>
    </row>
    <row r="79" spans="1:30" ht="21" customHeight="1" x14ac:dyDescent="0.25">
      <c r="B79" s="669" t="s">
        <v>137</v>
      </c>
      <c r="C79" s="669"/>
      <c r="D79" s="669"/>
      <c r="E79" s="13"/>
      <c r="F79" s="13"/>
      <c r="H79" s="164"/>
      <c r="I79" s="172"/>
      <c r="J79" s="172"/>
      <c r="K79" s="172"/>
      <c r="L79" s="129"/>
      <c r="N79" s="192"/>
      <c r="O79" s="1"/>
      <c r="Q79" s="164"/>
      <c r="V79" s="651" t="str">
        <f t="shared" si="11"/>
        <v>17.  Food Service Allocation</v>
      </c>
      <c r="W79" s="651"/>
      <c r="X79" s="651"/>
      <c r="Y79" s="191"/>
      <c r="Z79" s="191"/>
      <c r="AA79" s="191"/>
      <c r="AB79" s="191"/>
      <c r="AC79" s="193"/>
      <c r="AD79" s="9"/>
    </row>
    <row r="80" spans="1:30" ht="21" customHeight="1" x14ac:dyDescent="0.25">
      <c r="B80" s="669" t="s">
        <v>138</v>
      </c>
      <c r="C80" s="669"/>
      <c r="D80" s="669"/>
      <c r="E80" s="13"/>
      <c r="F80" s="13"/>
      <c r="H80" s="194" t="s">
        <v>139</v>
      </c>
      <c r="I80" s="195"/>
      <c r="J80" s="195"/>
      <c r="K80" s="195"/>
      <c r="L80" s="196"/>
      <c r="N80" s="197"/>
      <c r="O80" s="1"/>
      <c r="Q80" s="164"/>
      <c r="V80" s="191"/>
      <c r="W80" s="191"/>
      <c r="X80" s="191"/>
      <c r="Y80" s="191"/>
      <c r="Z80" s="191"/>
      <c r="AA80" s="191"/>
      <c r="AB80" s="191"/>
      <c r="AC80" s="193"/>
      <c r="AD80" s="9"/>
    </row>
    <row r="81" spans="1:30" ht="21" customHeight="1" thickBot="1" x14ac:dyDescent="0.3">
      <c r="B81" s="13"/>
      <c r="C81" s="13"/>
      <c r="D81" s="13"/>
      <c r="E81" s="13"/>
      <c r="F81" s="13"/>
      <c r="G81" s="13"/>
      <c r="H81" s="13"/>
      <c r="I81" s="13"/>
      <c r="J81" s="13"/>
      <c r="K81" s="13"/>
      <c r="L81" s="196"/>
      <c r="M81" s="198"/>
      <c r="N81" s="197"/>
      <c r="O81" s="1"/>
      <c r="Q81" s="164"/>
      <c r="V81" s="191" t="s">
        <v>140</v>
      </c>
      <c r="W81" s="191"/>
      <c r="X81" s="191"/>
      <c r="Y81" s="191"/>
      <c r="Z81" s="191"/>
      <c r="AA81" s="191"/>
      <c r="AB81" s="191"/>
      <c r="AC81" s="199">
        <f>SUM(AC44:AC80)</f>
        <v>548394</v>
      </c>
      <c r="AD81" s="200"/>
    </row>
    <row r="82" spans="1:30" ht="22.5" customHeight="1" thickTop="1" thickBot="1" x14ac:dyDescent="0.3">
      <c r="B82" s="13" t="s">
        <v>141</v>
      </c>
      <c r="C82" s="13"/>
      <c r="D82" s="13"/>
      <c r="E82" s="13"/>
      <c r="F82" s="13"/>
      <c r="G82" s="13"/>
      <c r="H82" s="13"/>
      <c r="I82" s="13"/>
      <c r="J82" s="13"/>
      <c r="K82" s="13"/>
      <c r="L82" s="201">
        <f>SUM(L44:L81)</f>
        <v>1906687</v>
      </c>
      <c r="M82" s="202"/>
      <c r="N82" s="203"/>
      <c r="O82" s="1"/>
      <c r="Q82" s="164"/>
      <c r="V82" s="191"/>
      <c r="W82" s="191"/>
      <c r="X82" s="191"/>
      <c r="Y82" s="191"/>
      <c r="Z82" s="191"/>
      <c r="AA82" s="191"/>
      <c r="AB82" s="191"/>
      <c r="AC82" s="204"/>
      <c r="AD82" s="200"/>
    </row>
    <row r="83" spans="1:30" ht="27.75" customHeight="1" thickTop="1" x14ac:dyDescent="0.25">
      <c r="B83" s="13" t="s">
        <v>142</v>
      </c>
      <c r="C83" s="13"/>
      <c r="D83" s="13"/>
      <c r="E83" s="13"/>
      <c r="F83" s="13"/>
      <c r="G83" s="13"/>
      <c r="H83" s="13"/>
      <c r="I83" s="13"/>
      <c r="J83" s="13"/>
      <c r="K83" s="82" t="s">
        <v>143</v>
      </c>
      <c r="L83" s="205" t="s">
        <v>144</v>
      </c>
      <c r="M83" s="202"/>
      <c r="N83" s="203"/>
      <c r="O83" s="1"/>
      <c r="Q83" s="164"/>
      <c r="V83" s="9" t="s">
        <v>145</v>
      </c>
      <c r="W83" s="9"/>
      <c r="X83" s="9"/>
      <c r="Y83" s="9"/>
      <c r="Z83" s="9"/>
      <c r="AA83" s="9"/>
      <c r="AB83" s="9"/>
      <c r="AC83" s="9"/>
      <c r="AD83" s="206"/>
    </row>
    <row r="84" spans="1:30" ht="18.75" customHeight="1" thickBot="1" x14ac:dyDescent="0.3">
      <c r="B84" s="13" t="s">
        <v>146</v>
      </c>
      <c r="C84" s="13"/>
      <c r="D84" s="13"/>
      <c r="E84" s="13"/>
      <c r="F84" s="13"/>
      <c r="G84" s="13"/>
      <c r="H84" s="13"/>
      <c r="I84" s="13"/>
      <c r="J84" s="13"/>
      <c r="K84" s="207">
        <f>IF(G26=0,"",IF((G11+G13+SUM(G15:G21))/G26&gt;0.75,1,""))</f>
        <v>1</v>
      </c>
      <c r="L84" s="201">
        <f>'3083'!AC81</f>
        <v>548394</v>
      </c>
      <c r="M84" s="202"/>
      <c r="N84" s="203"/>
      <c r="O84" s="1"/>
      <c r="Q84" s="164"/>
      <c r="V84" s="208" t="s">
        <v>147</v>
      </c>
      <c r="W84" s="208"/>
      <c r="X84" s="208"/>
      <c r="Y84" s="208"/>
      <c r="Z84" s="208"/>
      <c r="AA84" s="208"/>
      <c r="AB84" s="208"/>
      <c r="AC84" s="208"/>
      <c r="AD84" s="9"/>
    </row>
    <row r="85" spans="1:30" ht="18.75" customHeight="1" thickTop="1" x14ac:dyDescent="0.25">
      <c r="B85" s="13"/>
      <c r="C85" s="13"/>
      <c r="D85" s="13"/>
      <c r="E85" s="13"/>
      <c r="F85" s="13"/>
      <c r="G85" s="13"/>
      <c r="H85" s="13"/>
      <c r="I85" s="13"/>
      <c r="J85" s="13"/>
      <c r="M85" s="202"/>
      <c r="N85" s="203"/>
      <c r="O85" s="1"/>
      <c r="Q85" s="164"/>
      <c r="V85" s="208" t="s">
        <v>148</v>
      </c>
      <c r="W85" s="208"/>
      <c r="X85" s="208"/>
      <c r="Y85" s="208"/>
      <c r="Z85" s="208"/>
      <c r="AA85" s="208"/>
      <c r="AB85" s="208"/>
      <c r="AC85" s="208"/>
      <c r="AD85" s="206"/>
    </row>
    <row r="86" spans="1:30" ht="18.75" customHeight="1" x14ac:dyDescent="0.25">
      <c r="B86" s="2" t="s">
        <v>149</v>
      </c>
      <c r="C86" s="13"/>
      <c r="D86" s="13"/>
      <c r="E86" s="13"/>
      <c r="F86" s="13"/>
      <c r="G86" s="13"/>
      <c r="H86" s="13"/>
      <c r="I86" s="13"/>
      <c r="J86" s="209" t="s">
        <v>150</v>
      </c>
      <c r="K86" s="210">
        <f>IF(K84=1,L84,L82)</f>
        <v>548394</v>
      </c>
      <c r="L86" s="211">
        <f>IF(G26=0,0,IF(G26&gt;250,-(((250/G26)*K86)*IF(M86="H",0.02,0.05)),IF(M86="H",-0.02*K86,-0.05*K86)))</f>
        <v>-27419.7</v>
      </c>
      <c r="M86" s="212" t="str">
        <f>IF(B123="2801","H",IF(B123="2911","H",IF(B123="3382","H"," ")))</f>
        <v xml:space="preserve"> </v>
      </c>
      <c r="N86" s="203"/>
      <c r="O86" s="1"/>
      <c r="Q86" s="164"/>
      <c r="V86" s="208" t="s">
        <v>151</v>
      </c>
      <c r="W86" s="208"/>
      <c r="X86" s="208"/>
      <c r="Y86" s="208"/>
      <c r="Z86" s="208"/>
      <c r="AA86" s="208"/>
      <c r="AB86" s="208"/>
      <c r="AC86" s="208"/>
      <c r="AD86" s="206"/>
    </row>
    <row r="87" spans="1:30" ht="18.75" customHeight="1" x14ac:dyDescent="0.25">
      <c r="B87" s="2" t="s">
        <v>152</v>
      </c>
      <c r="C87" s="13"/>
      <c r="D87" s="13"/>
      <c r="E87" s="13"/>
      <c r="F87" s="13"/>
      <c r="G87" s="13"/>
      <c r="H87" s="13"/>
      <c r="I87" s="13"/>
      <c r="J87" s="13"/>
      <c r="K87" s="213"/>
      <c r="L87" s="205">
        <f>L82+L86</f>
        <v>1879267.3</v>
      </c>
      <c r="M87" s="202"/>
      <c r="N87" s="203"/>
      <c r="O87" s="1"/>
      <c r="Q87" s="164"/>
      <c r="V87" s="198"/>
      <c r="W87" s="198"/>
      <c r="X87" s="198"/>
      <c r="Y87" s="198"/>
      <c r="Z87" s="198"/>
      <c r="AA87" s="198"/>
      <c r="AB87" s="198"/>
      <c r="AC87" s="198"/>
      <c r="AD87" s="214"/>
    </row>
    <row r="88" spans="1:30" x14ac:dyDescent="0.25">
      <c r="V88" s="198"/>
      <c r="W88" s="198"/>
      <c r="X88" s="198"/>
      <c r="Y88" s="198"/>
      <c r="Z88" s="198"/>
      <c r="AA88" s="198"/>
      <c r="AB88" s="198"/>
      <c r="AC88" s="198"/>
      <c r="AD88" s="215"/>
    </row>
    <row r="89" spans="1:30" ht="18.75" customHeight="1" x14ac:dyDescent="0.25">
      <c r="A89" s="1" t="s">
        <v>153</v>
      </c>
      <c r="B89" s="13" t="s">
        <v>154</v>
      </c>
      <c r="C89" s="13"/>
      <c r="D89" s="13">
        <v>943012</v>
      </c>
      <c r="E89" s="13">
        <v>157339</v>
      </c>
      <c r="F89" s="13">
        <v>1570040</v>
      </c>
      <c r="G89" s="13"/>
      <c r="H89" s="13"/>
      <c r="I89" s="13"/>
      <c r="J89" s="13"/>
      <c r="K89" s="213"/>
      <c r="L89" s="84">
        <f>-F89-178718</f>
        <v>-1748758</v>
      </c>
      <c r="M89" s="202"/>
      <c r="N89" s="203"/>
      <c r="O89" s="1"/>
      <c r="Q89" s="164"/>
      <c r="V89" s="198">
        <v>2801</v>
      </c>
      <c r="W89" s="198"/>
      <c r="X89" s="198"/>
      <c r="Y89" s="198"/>
      <c r="Z89" s="198"/>
      <c r="AA89" s="198"/>
      <c r="AB89" s="198"/>
      <c r="AC89" s="198"/>
      <c r="AD89" s="214"/>
    </row>
    <row r="90" spans="1:30" ht="18.75" customHeight="1" x14ac:dyDescent="0.25">
      <c r="B90" s="13" t="s">
        <v>155</v>
      </c>
      <c r="C90" s="13"/>
      <c r="D90" s="13"/>
      <c r="E90" s="13"/>
      <c r="F90" s="13"/>
      <c r="G90" s="13"/>
      <c r="H90" s="13"/>
      <c r="I90" s="13"/>
      <c r="J90" s="13"/>
      <c r="K90" s="213"/>
      <c r="L90" s="205">
        <f>L87+L89</f>
        <v>130509.30000000005</v>
      </c>
      <c r="M90" s="202"/>
      <c r="N90" s="203"/>
      <c r="O90" s="1"/>
      <c r="Q90" s="164"/>
      <c r="V90" s="198">
        <v>2911</v>
      </c>
      <c r="W90" s="216"/>
      <c r="X90" s="216"/>
      <c r="Y90" s="216"/>
      <c r="Z90" s="216"/>
      <c r="AA90" s="216"/>
      <c r="AB90" s="216"/>
      <c r="AC90" s="216"/>
      <c r="AD90" s="214"/>
    </row>
    <row r="91" spans="1:30" ht="18.75" customHeight="1" x14ac:dyDescent="0.25">
      <c r="B91" s="13" t="s">
        <v>156</v>
      </c>
      <c r="C91" s="13"/>
      <c r="D91" s="13"/>
      <c r="E91" s="13"/>
      <c r="F91" s="13"/>
      <c r="G91" s="13"/>
      <c r="H91" s="13"/>
      <c r="I91" s="13"/>
      <c r="J91" s="13"/>
      <c r="K91" s="213"/>
      <c r="L91" s="205">
        <v>1</v>
      </c>
      <c r="M91" s="202"/>
      <c r="N91" s="203"/>
      <c r="O91" s="1"/>
      <c r="Q91" s="164"/>
      <c r="V91" s="198">
        <v>3382</v>
      </c>
      <c r="W91" s="216"/>
      <c r="X91" s="216"/>
      <c r="Y91" s="216"/>
      <c r="Z91" s="216"/>
      <c r="AA91" s="216"/>
      <c r="AB91" s="216"/>
      <c r="AC91" s="216"/>
      <c r="AD91" s="214"/>
    </row>
    <row r="92" spans="1:30" ht="18.75" customHeight="1" thickBot="1" x14ac:dyDescent="0.3">
      <c r="B92" s="13" t="s">
        <v>157</v>
      </c>
      <c r="C92" s="13"/>
      <c r="D92" s="13"/>
      <c r="E92" s="13"/>
      <c r="F92" s="13"/>
      <c r="G92" s="13"/>
      <c r="H92" s="13"/>
      <c r="I92" s="13"/>
      <c r="J92" s="13"/>
      <c r="K92" s="213"/>
      <c r="L92" s="217">
        <f>L90/L91</f>
        <v>130509.30000000005</v>
      </c>
      <c r="M92" s="202"/>
      <c r="N92" s="203"/>
      <c r="O92" s="1"/>
      <c r="Q92" s="164"/>
      <c r="V92" s="218"/>
      <c r="W92" s="218"/>
      <c r="X92" s="218"/>
      <c r="Y92" s="218"/>
      <c r="Z92" s="218"/>
      <c r="AA92" s="218"/>
      <c r="AB92" s="218"/>
      <c r="AC92" s="218"/>
      <c r="AD92" s="219"/>
    </row>
    <row r="93" spans="1:30" ht="18.75" customHeight="1" thickTop="1" x14ac:dyDescent="0.25">
      <c r="N93" s="219"/>
      <c r="O93" s="220"/>
      <c r="P93" s="219"/>
      <c r="Q93" s="219"/>
      <c r="V93" s="218"/>
      <c r="W93" s="218"/>
      <c r="X93" s="218"/>
      <c r="Y93" s="218"/>
      <c r="Z93" s="218"/>
      <c r="AA93" s="218"/>
      <c r="AB93" s="218"/>
      <c r="AC93" s="218"/>
      <c r="AD93" s="214"/>
    </row>
    <row r="94" spans="1:30" ht="18.75" customHeight="1" thickBot="1" x14ac:dyDescent="0.3">
      <c r="B94" s="221" t="s">
        <v>158</v>
      </c>
      <c r="C94" s="13"/>
      <c r="D94" s="13"/>
      <c r="E94" s="13"/>
      <c r="G94" s="13"/>
      <c r="H94" s="13"/>
      <c r="I94" s="13"/>
      <c r="J94" s="13"/>
      <c r="L94" s="222">
        <f>IF(M86="H",(K86*0.02)+L86,(K86*0.05)+L86)</f>
        <v>0</v>
      </c>
      <c r="M94" s="202"/>
      <c r="V94" s="223"/>
      <c r="W94" s="223"/>
      <c r="X94" s="223"/>
      <c r="Y94" s="223"/>
      <c r="Z94" s="223"/>
      <c r="AA94" s="223"/>
      <c r="AB94" s="223"/>
      <c r="AC94" s="223"/>
      <c r="AD94" s="214"/>
    </row>
    <row r="95" spans="1:30" ht="21.75" customHeight="1" thickTop="1" x14ac:dyDescent="0.25">
      <c r="B95" s="224" t="s">
        <v>159</v>
      </c>
      <c r="C95" s="224"/>
      <c r="D95" s="224"/>
      <c r="E95" s="224"/>
      <c r="F95" s="224"/>
      <c r="G95" s="224"/>
      <c r="H95" s="224"/>
      <c r="I95" s="224"/>
      <c r="J95" s="224"/>
      <c r="K95" s="224"/>
      <c r="L95" s="224"/>
      <c r="M95" s="219"/>
      <c r="V95" s="223"/>
      <c r="W95" s="223"/>
      <c r="X95" s="223"/>
      <c r="Y95" s="223"/>
      <c r="Z95" s="223"/>
      <c r="AA95" s="223"/>
      <c r="AB95" s="223"/>
      <c r="AC95" s="223"/>
      <c r="AD95" s="214"/>
    </row>
    <row r="96" spans="1:30" x14ac:dyDescent="0.25">
      <c r="B96" s="225"/>
      <c r="V96" s="223"/>
      <c r="W96" s="223"/>
      <c r="X96" s="223"/>
      <c r="Y96" s="223"/>
      <c r="Z96" s="223"/>
      <c r="AA96" s="223"/>
      <c r="AB96" s="223"/>
      <c r="AC96" s="223"/>
      <c r="AD96" s="219"/>
    </row>
    <row r="97" spans="2:30" x14ac:dyDescent="0.25">
      <c r="B97" s="225"/>
      <c r="V97" s="223"/>
      <c r="W97" s="223"/>
      <c r="X97" s="223"/>
      <c r="Y97" s="223"/>
      <c r="Z97" s="223"/>
      <c r="AA97" s="223"/>
      <c r="AB97" s="223"/>
      <c r="AC97" s="223"/>
      <c r="AD97" s="219"/>
    </row>
    <row r="98" spans="2:30" hidden="1" x14ac:dyDescent="0.25">
      <c r="B98" s="226" t="s">
        <v>160</v>
      </c>
      <c r="C98" s="227"/>
      <c r="V98" s="228"/>
      <c r="W98" s="228"/>
      <c r="X98" s="228"/>
      <c r="Y98" s="228"/>
      <c r="Z98" s="228"/>
      <c r="AA98" s="228"/>
      <c r="AB98" s="228"/>
      <c r="AC98" s="228"/>
    </row>
    <row r="99" spans="2:30" hidden="1" x14ac:dyDescent="0.25">
      <c r="B99" s="229"/>
      <c r="C99" s="227"/>
      <c r="V99" s="225"/>
      <c r="W99" s="13"/>
      <c r="X99" s="13"/>
      <c r="Y99" s="13"/>
      <c r="Z99" s="13"/>
      <c r="AA99" s="13"/>
      <c r="AB99" s="13"/>
      <c r="AC99" s="13"/>
    </row>
    <row r="100" spans="2:30" hidden="1" x14ac:dyDescent="0.25">
      <c r="B100" s="230" t="s">
        <v>161</v>
      </c>
      <c r="C100" s="226" t="s">
        <v>162</v>
      </c>
      <c r="V100" s="225"/>
    </row>
    <row r="101" spans="2:30" hidden="1" x14ac:dyDescent="0.25">
      <c r="B101" s="230" t="s">
        <v>163</v>
      </c>
      <c r="C101" s="226" t="s">
        <v>164</v>
      </c>
      <c r="V101" s="225"/>
    </row>
    <row r="102" spans="2:30" hidden="1" x14ac:dyDescent="0.25">
      <c r="B102" s="230" t="s">
        <v>165</v>
      </c>
      <c r="C102" s="226" t="s">
        <v>166</v>
      </c>
      <c r="V102" s="225"/>
      <c r="W102" s="231"/>
      <c r="X102" s="231"/>
      <c r="Y102" s="231"/>
      <c r="Z102" s="231"/>
      <c r="AA102" s="231"/>
      <c r="AB102" s="231"/>
      <c r="AC102" s="231"/>
      <c r="AD102" s="231"/>
    </row>
    <row r="103" spans="2:30" hidden="1" x14ac:dyDescent="0.25">
      <c r="B103" s="230" t="s">
        <v>167</v>
      </c>
      <c r="C103" s="226" t="s">
        <v>168</v>
      </c>
      <c r="V103" s="225"/>
    </row>
    <row r="104" spans="2:30" hidden="1" x14ac:dyDescent="0.25">
      <c r="B104" s="232"/>
      <c r="C104" s="226" t="s">
        <v>169</v>
      </c>
      <c r="V104" s="225"/>
    </row>
    <row r="105" spans="2:30" hidden="1" x14ac:dyDescent="0.25">
      <c r="B105" s="230" t="s">
        <v>170</v>
      </c>
      <c r="C105" s="226" t="s">
        <v>171</v>
      </c>
      <c r="V105" s="225"/>
    </row>
    <row r="106" spans="2:30" hidden="1" x14ac:dyDescent="0.25">
      <c r="B106" s="230" t="s">
        <v>172</v>
      </c>
      <c r="C106" s="226" t="s">
        <v>173</v>
      </c>
      <c r="V106" s="225"/>
    </row>
    <row r="107" spans="2:30" hidden="1" x14ac:dyDescent="0.25">
      <c r="B107" s="230" t="s">
        <v>188</v>
      </c>
      <c r="C107" s="226" t="s">
        <v>175</v>
      </c>
      <c r="V107" s="225"/>
    </row>
    <row r="108" spans="2:30" hidden="1" x14ac:dyDescent="0.25">
      <c r="B108" s="230" t="s">
        <v>176</v>
      </c>
      <c r="C108" s="226" t="s">
        <v>177</v>
      </c>
      <c r="V108" s="225"/>
    </row>
    <row r="109" spans="2:30" hidden="1" x14ac:dyDescent="0.25">
      <c r="B109" s="230" t="s">
        <v>178</v>
      </c>
      <c r="C109" s="226" t="s">
        <v>179</v>
      </c>
      <c r="V109" s="225"/>
    </row>
    <row r="110" spans="2:30" hidden="1" x14ac:dyDescent="0.25">
      <c r="B110" s="232"/>
      <c r="C110" s="226"/>
      <c r="V110" s="225"/>
    </row>
    <row r="111" spans="2:30" hidden="1" x14ac:dyDescent="0.25">
      <c r="B111" s="230" t="s">
        <v>180</v>
      </c>
      <c r="C111" s="226" t="s">
        <v>181</v>
      </c>
      <c r="V111" s="225"/>
    </row>
    <row r="112" spans="2:30" hidden="1" x14ac:dyDescent="0.25">
      <c r="B112" s="230" t="s">
        <v>180</v>
      </c>
      <c r="C112" s="226" t="s">
        <v>182</v>
      </c>
    </row>
    <row r="113" spans="2:3" hidden="1" x14ac:dyDescent="0.25">
      <c r="B113" s="230" t="s">
        <v>183</v>
      </c>
      <c r="C113" s="226" t="s">
        <v>184</v>
      </c>
    </row>
    <row r="114" spans="2:3" hidden="1" x14ac:dyDescent="0.25">
      <c r="B114" s="230" t="s">
        <v>185</v>
      </c>
      <c r="C114" s="226" t="s">
        <v>186</v>
      </c>
    </row>
    <row r="115" spans="2:3" hidden="1" x14ac:dyDescent="0.25">
      <c r="B115" s="230" t="s">
        <v>183</v>
      </c>
      <c r="C115" s="226" t="s">
        <v>187</v>
      </c>
    </row>
    <row r="116" spans="2:3" hidden="1" x14ac:dyDescent="0.25">
      <c r="B116" s="230" t="s">
        <v>188</v>
      </c>
      <c r="C116" s="226" t="s">
        <v>189</v>
      </c>
    </row>
    <row r="117" spans="2:3" hidden="1" x14ac:dyDescent="0.25">
      <c r="B117" s="230" t="s">
        <v>190</v>
      </c>
      <c r="C117" s="226" t="s">
        <v>191</v>
      </c>
    </row>
    <row r="118" spans="2:3" hidden="1" x14ac:dyDescent="0.25">
      <c r="B118" s="232" t="s">
        <v>192</v>
      </c>
      <c r="C118" s="226" t="s">
        <v>193</v>
      </c>
    </row>
    <row r="119" spans="2:3" hidden="1" x14ac:dyDescent="0.25">
      <c r="B119" s="232"/>
      <c r="C119" s="226"/>
    </row>
    <row r="120" spans="2:3" hidden="1" x14ac:dyDescent="0.25">
      <c r="B120" s="230" t="s">
        <v>161</v>
      </c>
      <c r="C120" s="226" t="s">
        <v>194</v>
      </c>
    </row>
    <row r="121" spans="2:3" hidden="1" x14ac:dyDescent="0.25">
      <c r="B121" s="230" t="s">
        <v>195</v>
      </c>
      <c r="C121" s="226" t="s">
        <v>196</v>
      </c>
    </row>
    <row r="122" spans="2:3" hidden="1" x14ac:dyDescent="0.25">
      <c r="B122" s="230" t="s">
        <v>197</v>
      </c>
      <c r="C122" s="226" t="s">
        <v>198</v>
      </c>
    </row>
    <row r="123" spans="2:3" hidden="1" x14ac:dyDescent="0.25">
      <c r="B123" s="230" t="s">
        <v>248</v>
      </c>
      <c r="C123" s="226" t="s">
        <v>200</v>
      </c>
    </row>
    <row r="124" spans="2:3" hidden="1" x14ac:dyDescent="0.25">
      <c r="B124" s="230" t="s">
        <v>249</v>
      </c>
      <c r="C124" s="226" t="s">
        <v>202</v>
      </c>
    </row>
    <row r="125" spans="2:3" hidden="1" x14ac:dyDescent="0.25">
      <c r="B125" s="230" t="s">
        <v>203</v>
      </c>
      <c r="C125" s="226" t="s">
        <v>204</v>
      </c>
    </row>
    <row r="126" spans="2:3" hidden="1" x14ac:dyDescent="0.25">
      <c r="B126" s="230" t="s">
        <v>203</v>
      </c>
      <c r="C126" s="226" t="s">
        <v>205</v>
      </c>
    </row>
    <row r="127" spans="2:3" hidden="1" x14ac:dyDescent="0.25">
      <c r="B127" s="230" t="s">
        <v>203</v>
      </c>
      <c r="C127" s="226" t="s">
        <v>206</v>
      </c>
    </row>
    <row r="128" spans="2:3" hidden="1" x14ac:dyDescent="0.25">
      <c r="B128" s="230" t="s">
        <v>203</v>
      </c>
      <c r="C128" s="226" t="s">
        <v>207</v>
      </c>
    </row>
    <row r="129" spans="2:3" hidden="1" x14ac:dyDescent="0.25">
      <c r="B129" s="230" t="s">
        <v>167</v>
      </c>
      <c r="C129" s="226" t="s">
        <v>208</v>
      </c>
    </row>
    <row r="130" spans="2:3" hidden="1" x14ac:dyDescent="0.25">
      <c r="B130" s="230" t="s">
        <v>209</v>
      </c>
      <c r="C130" s="226" t="s">
        <v>210</v>
      </c>
    </row>
    <row r="131" spans="2:3" hidden="1" x14ac:dyDescent="0.25">
      <c r="B131" s="230" t="s">
        <v>203</v>
      </c>
      <c r="C131" s="226" t="s">
        <v>211</v>
      </c>
    </row>
    <row r="132" spans="2:3" hidden="1" x14ac:dyDescent="0.25">
      <c r="B132" s="226"/>
      <c r="C132" s="226"/>
    </row>
    <row r="133" spans="2:3" hidden="1" x14ac:dyDescent="0.25">
      <c r="B133" s="226"/>
      <c r="C133" s="226"/>
    </row>
    <row r="134" spans="2:3" hidden="1" x14ac:dyDescent="0.25">
      <c r="B134" s="232"/>
      <c r="C134" s="232"/>
    </row>
    <row r="135" spans="2:3" hidden="1" x14ac:dyDescent="0.25">
      <c r="B135" s="232">
        <f>NvsElapsedTime</f>
        <v>1.15740767796524E-5</v>
      </c>
      <c r="C135" s="232"/>
    </row>
    <row r="136" spans="2:3" hidden="1" x14ac:dyDescent="0.25">
      <c r="B136" s="233">
        <f>NvsEndTime</f>
        <v>41754.487800925897</v>
      </c>
      <c r="C136" s="233" t="s">
        <v>212</v>
      </c>
    </row>
    <row r="137" spans="2:3" x14ac:dyDescent="0.25">
      <c r="B137" s="226"/>
      <c r="C137" s="234"/>
    </row>
    <row r="138" spans="2:3" x14ac:dyDescent="0.25">
      <c r="B138" s="226"/>
      <c r="C138" s="226"/>
    </row>
    <row r="139" spans="2:3" x14ac:dyDescent="0.25">
      <c r="B139" s="226"/>
      <c r="C139" s="226"/>
    </row>
    <row r="140" spans="2:3" x14ac:dyDescent="0.25">
      <c r="B140" s="226"/>
      <c r="C140" s="226"/>
    </row>
    <row r="141" spans="2:3" x14ac:dyDescent="0.25">
      <c r="B141" s="226"/>
      <c r="C141" s="226"/>
    </row>
    <row r="142" spans="2:3" x14ac:dyDescent="0.25">
      <c r="B142" s="226"/>
      <c r="C142" s="226"/>
    </row>
    <row r="143" spans="2:3" x14ac:dyDescent="0.25">
      <c r="B143" s="226"/>
      <c r="C143" s="226"/>
    </row>
    <row r="144" spans="2:3" x14ac:dyDescent="0.25">
      <c r="B144" s="226"/>
      <c r="C144" s="226"/>
    </row>
    <row r="145" spans="2:3" x14ac:dyDescent="0.25">
      <c r="B145" s="226"/>
      <c r="C145" s="226"/>
    </row>
    <row r="146" spans="2:3" x14ac:dyDescent="0.25">
      <c r="B146" s="226"/>
      <c r="C146" s="226"/>
    </row>
    <row r="147" spans="2:3" x14ac:dyDescent="0.25">
      <c r="B147" s="226"/>
      <c r="C147" s="226"/>
    </row>
    <row r="148" spans="2:3" x14ac:dyDescent="0.25">
      <c r="B148" s="226"/>
      <c r="C148" s="226"/>
    </row>
    <row r="149" spans="2:3" x14ac:dyDescent="0.25">
      <c r="B149" s="226"/>
      <c r="C149" s="226"/>
    </row>
    <row r="150" spans="2:3" x14ac:dyDescent="0.25">
      <c r="B150" s="226"/>
      <c r="C150" s="226"/>
    </row>
    <row r="151" spans="2:3" x14ac:dyDescent="0.25">
      <c r="B151" s="226"/>
      <c r="C151" s="226"/>
    </row>
  </sheetData>
  <mergeCells count="151">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9:W9"/>
    <mergeCell ref="X9:Y9"/>
    <mergeCell ref="Z9:AA9"/>
    <mergeCell ref="V10:W10"/>
    <mergeCell ref="X10:Y10"/>
    <mergeCell ref="Z10:AA10"/>
    <mergeCell ref="V7:W7"/>
    <mergeCell ref="X7:Y7"/>
    <mergeCell ref="Z7:AA7"/>
    <mergeCell ref="AB7:AC7"/>
    <mergeCell ref="V8:W8"/>
    <mergeCell ref="X8:Y8"/>
    <mergeCell ref="Z8:AA8"/>
    <mergeCell ref="W2:AC2"/>
    <mergeCell ref="V3:AC3"/>
    <mergeCell ref="V4:AC4"/>
    <mergeCell ref="V5:W5"/>
    <mergeCell ref="X5:Y5"/>
    <mergeCell ref="V6:AC6"/>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AD151"/>
  <sheetViews>
    <sheetView topLeftCell="B80" zoomScale="70" zoomScaleNormal="70" workbookViewId="0">
      <selection activeCell="B2" sqref="B2"/>
    </sheetView>
  </sheetViews>
  <sheetFormatPr defaultColWidth="8.85546875" defaultRowHeight="15.75" x14ac:dyDescent="0.25"/>
  <cols>
    <col min="1" max="1" width="11.28515625" style="1" hidden="1" customWidth="1"/>
    <col min="2" max="2" width="10.28515625" style="2" customWidth="1"/>
    <col min="3" max="3" width="29" style="1" customWidth="1"/>
    <col min="4" max="5" width="12.28515625" style="1" customWidth="1"/>
    <col min="6" max="6" width="12.28515625" style="1" hidden="1" customWidth="1"/>
    <col min="7" max="7" width="15.28515625" style="1" customWidth="1"/>
    <col min="8" max="8" width="6.7109375" style="1" customWidth="1"/>
    <col min="9" max="9" width="12.5703125" style="1" customWidth="1"/>
    <col min="10" max="10" width="12.85546875" style="1" customWidth="1"/>
    <col min="11" max="11" width="13" style="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28515625" style="1" customWidth="1"/>
    <col min="18" max="18" width="8.85546875" style="1"/>
    <col min="19" max="21" width="0" style="1" hidden="1" customWidth="1"/>
    <col min="22" max="23" width="8.85546875" style="1"/>
    <col min="24" max="24" width="12.7109375" style="1" customWidth="1"/>
    <col min="25" max="27" width="8.85546875" style="1"/>
    <col min="28" max="28" width="13.140625" style="1" bestFit="1" customWidth="1"/>
    <col min="29" max="16384" width="8.85546875" style="1"/>
  </cols>
  <sheetData>
    <row r="1" spans="1:30" ht="15.6"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7"/>
      <c r="N2" s="3"/>
      <c r="O2" s="1"/>
      <c r="V2" s="8">
        <f>'3344'!B2</f>
        <v>50</v>
      </c>
      <c r="W2" s="606" t="s">
        <v>4</v>
      </c>
      <c r="X2" s="607"/>
      <c r="Y2" s="608"/>
      <c r="Z2" s="608"/>
      <c r="AA2" s="608"/>
      <c r="AB2" s="608"/>
      <c r="AC2" s="608"/>
      <c r="AD2" s="9"/>
    </row>
    <row r="3" spans="1:30" ht="20.25" x14ac:dyDescent="0.3">
      <c r="B3" s="10" t="str">
        <f>"Revenue Estimate Worksheet for "&amp;B124</f>
        <v>Revenue Estimate Worksheet for Tomorrow'sPromiseCommunitySch</v>
      </c>
      <c r="C3" s="11"/>
      <c r="D3" s="11"/>
      <c r="E3" s="11"/>
      <c r="F3" s="11"/>
      <c r="G3" s="11"/>
      <c r="H3" s="11"/>
      <c r="I3" s="11"/>
      <c r="J3" s="11"/>
      <c r="K3" s="11"/>
      <c r="L3" s="11"/>
      <c r="M3" s="10"/>
      <c r="N3" s="10"/>
      <c r="O3" s="10"/>
      <c r="P3" s="10"/>
      <c r="Q3" s="10"/>
      <c r="V3" s="609" t="s">
        <v>5</v>
      </c>
      <c r="W3" s="609"/>
      <c r="X3" s="609"/>
      <c r="Y3" s="609"/>
      <c r="Z3" s="609"/>
      <c r="AA3" s="609"/>
      <c r="AB3" s="609"/>
      <c r="AC3" s="609"/>
      <c r="AD3" s="12"/>
    </row>
    <row r="4" spans="1:30" ht="18.75" x14ac:dyDescent="0.3">
      <c r="B4" s="2" t="s">
        <v>6</v>
      </c>
      <c r="C4" s="13"/>
      <c r="D4" s="13"/>
      <c r="E4" s="13"/>
      <c r="F4" s="13"/>
      <c r="G4" s="13"/>
      <c r="H4" s="13"/>
      <c r="I4" s="13"/>
      <c r="J4" s="13"/>
      <c r="K4" s="13"/>
      <c r="L4" s="13"/>
      <c r="M4" s="14"/>
      <c r="N4" s="14"/>
      <c r="O4" s="14"/>
      <c r="P4" s="14"/>
      <c r="Q4" s="14"/>
      <c r="V4" s="610" t="str">
        <f>+Based_on_the_Second_Calculation_of_the_FEFP_2010_11</f>
        <v>Based on the Fourth Calculation of the FEFP 2013-14</v>
      </c>
      <c r="W4" s="610"/>
      <c r="X4" s="610"/>
      <c r="Y4" s="610"/>
      <c r="Z4" s="610"/>
      <c r="AA4" s="610"/>
      <c r="AB4" s="610"/>
      <c r="AC4" s="610"/>
      <c r="AD4" s="15"/>
    </row>
    <row r="5" spans="1:30" ht="18.75" customHeight="1" x14ac:dyDescent="0.25">
      <c r="B5" s="16" t="s">
        <v>7</v>
      </c>
      <c r="C5" s="16"/>
      <c r="D5" s="16"/>
      <c r="E5" s="16"/>
      <c r="F5" s="16"/>
      <c r="G5" s="17" t="s">
        <v>8</v>
      </c>
      <c r="H5" s="17"/>
      <c r="I5" s="17"/>
      <c r="J5" s="17"/>
      <c r="K5" s="17"/>
      <c r="L5" s="17"/>
      <c r="M5" s="18"/>
      <c r="N5" s="18"/>
      <c r="O5" s="18"/>
      <c r="P5" s="18"/>
      <c r="Q5" s="18"/>
      <c r="V5" s="611" t="s">
        <v>7</v>
      </c>
      <c r="W5" s="611"/>
      <c r="X5" s="612" t="s">
        <v>8</v>
      </c>
      <c r="Y5" s="612"/>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613" t="s">
        <v>9</v>
      </c>
      <c r="W6" s="613"/>
      <c r="X6" s="613"/>
      <c r="Y6" s="613"/>
      <c r="Z6" s="613"/>
      <c r="AA6" s="613"/>
      <c r="AB6" s="613"/>
      <c r="AC6" s="613"/>
      <c r="AD6" s="22"/>
    </row>
    <row r="7" spans="1:30" ht="18" customHeight="1" x14ac:dyDescent="0.25">
      <c r="B7" s="23" t="s">
        <v>10</v>
      </c>
      <c r="C7" s="23"/>
      <c r="D7" s="23"/>
      <c r="E7" s="23"/>
      <c r="F7" s="23"/>
      <c r="G7" s="24">
        <v>3752.3</v>
      </c>
      <c r="H7" s="24"/>
      <c r="I7" s="23" t="s">
        <v>11</v>
      </c>
      <c r="J7" s="23"/>
      <c r="K7" s="25">
        <v>1.0326</v>
      </c>
      <c r="L7" s="25"/>
      <c r="O7" s="1"/>
      <c r="V7" s="620" t="s">
        <v>10</v>
      </c>
      <c r="W7" s="620"/>
      <c r="X7" s="621">
        <f>'3344'!G7</f>
        <v>3752.3</v>
      </c>
      <c r="Y7" s="621"/>
      <c r="Z7" s="622" t="s">
        <v>11</v>
      </c>
      <c r="AA7" s="622"/>
      <c r="AB7" s="602">
        <f>+K7</f>
        <v>1.0326</v>
      </c>
      <c r="AC7" s="602"/>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603" t="s">
        <v>12</v>
      </c>
      <c r="W8" s="603"/>
      <c r="X8" s="604" t="s">
        <v>15</v>
      </c>
      <c r="Y8" s="604"/>
      <c r="Z8" s="605" t="s">
        <v>16</v>
      </c>
      <c r="AA8" s="605"/>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614" t="s">
        <v>22</v>
      </c>
      <c r="W9" s="614"/>
      <c r="X9" s="615" t="s">
        <v>23</v>
      </c>
      <c r="Y9" s="615"/>
      <c r="Z9" s="616" t="s">
        <v>24</v>
      </c>
      <c r="AA9" s="616"/>
      <c r="AB9" s="43" t="s">
        <v>25</v>
      </c>
      <c r="AC9" s="44" t="s">
        <v>26</v>
      </c>
      <c r="AD9" s="9"/>
    </row>
    <row r="10" spans="1:30" x14ac:dyDescent="0.25">
      <c r="A10" s="1" t="s">
        <v>27</v>
      </c>
      <c r="B10" s="45" t="s">
        <v>28</v>
      </c>
      <c r="C10" s="45"/>
      <c r="D10" s="45">
        <v>0</v>
      </c>
      <c r="E10" s="45">
        <v>0</v>
      </c>
      <c r="F10" s="45">
        <v>0</v>
      </c>
      <c r="G10" s="46">
        <f>D10+E10</f>
        <v>0</v>
      </c>
      <c r="H10" s="47"/>
      <c r="I10" s="48">
        <v>1.125</v>
      </c>
      <c r="J10" s="48"/>
      <c r="K10" s="49">
        <f>ROUND(G10*I10,4)</f>
        <v>0</v>
      </c>
      <c r="L10" s="50">
        <f>ROUND(ROUND(K10*$G$7,4)*($K$7),0)</f>
        <v>0</v>
      </c>
      <c r="N10" s="51">
        <v>5101</v>
      </c>
      <c r="O10" s="52">
        <v>101</v>
      </c>
      <c r="P10" s="53"/>
      <c r="Q10" s="54"/>
      <c r="V10" s="617" t="s">
        <v>28</v>
      </c>
      <c r="W10" s="617"/>
      <c r="X10" s="618">
        <f>IF('3344'!K$84=1,'3344'!G10,0)</f>
        <v>0</v>
      </c>
      <c r="Y10" s="618"/>
      <c r="Z10" s="619">
        <v>1</v>
      </c>
      <c r="AA10" s="619"/>
      <c r="AB10" s="55">
        <f t="shared" ref="AB10:AB25" si="0">ROUND(X10*Z10,4)</f>
        <v>0</v>
      </c>
      <c r="AC10" s="56">
        <f t="shared" ref="AC10:AC25" si="1">ROUND(ROUND(AB10*$X$7,4)*($AB$7),0)</f>
        <v>0</v>
      </c>
      <c r="AD10" s="9">
        <v>1</v>
      </c>
    </row>
    <row r="11" spans="1:30" x14ac:dyDescent="0.25">
      <c r="A11" s="1" t="s">
        <v>29</v>
      </c>
      <c r="B11" s="13" t="s">
        <v>30</v>
      </c>
      <c r="C11" s="13"/>
      <c r="D11" s="13">
        <v>0</v>
      </c>
      <c r="E11" s="13">
        <v>0</v>
      </c>
      <c r="F11" s="13">
        <v>0</v>
      </c>
      <c r="G11" s="46">
        <f t="shared" ref="G11:G25" si="2">D11+E11</f>
        <v>0</v>
      </c>
      <c r="H11" s="47"/>
      <c r="I11" s="57">
        <f>I10</f>
        <v>1.125</v>
      </c>
      <c r="J11" s="57"/>
      <c r="K11" s="49">
        <f t="shared" ref="K11:K25" si="3">ROUND(G11*I11,4)</f>
        <v>0</v>
      </c>
      <c r="L11" s="50">
        <f t="shared" ref="L11:L25" si="4">ROUND(ROUND(K11*$G$7,4)*($K$7),0)</f>
        <v>0</v>
      </c>
      <c r="M11" s="1" t="str">
        <f>IF(ROUND(G11,2)=ROUND(SUM(G28:G30),2)," ","CHECK 2. PK-3 Lines Below")</f>
        <v xml:space="preserve"> </v>
      </c>
      <c r="N11" s="51">
        <v>5101</v>
      </c>
      <c r="O11" s="58" t="s">
        <v>31</v>
      </c>
      <c r="P11" s="53"/>
      <c r="Q11" s="54"/>
      <c r="V11" s="623" t="s">
        <v>30</v>
      </c>
      <c r="W11" s="623"/>
      <c r="X11" s="618">
        <f>IF('3344'!K$84=1,'3344'!G11,0)</f>
        <v>0</v>
      </c>
      <c r="Y11" s="618"/>
      <c r="Z11" s="624">
        <v>1</v>
      </c>
      <c r="AA11" s="624"/>
      <c r="AB11" s="55">
        <f t="shared" si="0"/>
        <v>0</v>
      </c>
      <c r="AC11" s="56">
        <f t="shared" si="1"/>
        <v>0</v>
      </c>
      <c r="AD11" s="9"/>
    </row>
    <row r="12" spans="1:30" x14ac:dyDescent="0.25">
      <c r="A12" s="1" t="s">
        <v>32</v>
      </c>
      <c r="B12" s="13" t="s">
        <v>33</v>
      </c>
      <c r="C12" s="13"/>
      <c r="D12" s="13">
        <v>0</v>
      </c>
      <c r="E12" s="13">
        <v>0</v>
      </c>
      <c r="F12" s="13">
        <v>0</v>
      </c>
      <c r="G12" s="46">
        <f t="shared" si="2"/>
        <v>0</v>
      </c>
      <c r="H12" s="47"/>
      <c r="I12" s="57">
        <v>1</v>
      </c>
      <c r="J12" s="57"/>
      <c r="K12" s="49">
        <f t="shared" si="3"/>
        <v>0</v>
      </c>
      <c r="L12" s="50">
        <f t="shared" si="4"/>
        <v>0</v>
      </c>
      <c r="N12" s="51">
        <v>5102</v>
      </c>
      <c r="O12" s="52">
        <v>102</v>
      </c>
      <c r="P12" s="53"/>
      <c r="Q12" s="54"/>
      <c r="V12" s="623" t="s">
        <v>33</v>
      </c>
      <c r="W12" s="623"/>
      <c r="X12" s="618">
        <f>IF('3344'!K$84=1,'3344'!G12,0)</f>
        <v>0</v>
      </c>
      <c r="Y12" s="618"/>
      <c r="Z12" s="624">
        <v>1</v>
      </c>
      <c r="AA12" s="624"/>
      <c r="AB12" s="55">
        <f t="shared" si="0"/>
        <v>0</v>
      </c>
      <c r="AC12" s="56">
        <f t="shared" si="1"/>
        <v>0</v>
      </c>
      <c r="AD12" s="9"/>
    </row>
    <row r="13" spans="1:30" x14ac:dyDescent="0.25">
      <c r="A13" s="1" t="s">
        <v>34</v>
      </c>
      <c r="B13" s="13" t="s">
        <v>35</v>
      </c>
      <c r="C13" s="13"/>
      <c r="D13" s="13">
        <v>0</v>
      </c>
      <c r="E13" s="13">
        <v>0</v>
      </c>
      <c r="F13" s="13">
        <v>0</v>
      </c>
      <c r="G13" s="46">
        <f t="shared" si="2"/>
        <v>0</v>
      </c>
      <c r="H13" s="47"/>
      <c r="I13" s="57">
        <f>I12</f>
        <v>1</v>
      </c>
      <c r="J13" s="57"/>
      <c r="K13" s="49">
        <f t="shared" si="3"/>
        <v>0</v>
      </c>
      <c r="L13" s="50">
        <f t="shared" si="4"/>
        <v>0</v>
      </c>
      <c r="M13" s="1" t="str">
        <f>IF(ROUND(G13,2)=ROUND(SUM(G31:G33),2)," ","CHECK 2. PK-3 Lines Below")</f>
        <v xml:space="preserve"> </v>
      </c>
      <c r="N13" s="51">
        <v>5102</v>
      </c>
      <c r="O13" s="58" t="s">
        <v>36</v>
      </c>
      <c r="P13" s="53"/>
      <c r="Q13" s="54"/>
      <c r="V13" s="623" t="s">
        <v>35</v>
      </c>
      <c r="W13" s="623"/>
      <c r="X13" s="618">
        <f>IF('3344'!K$84=1,'3344'!G13,0)</f>
        <v>0</v>
      </c>
      <c r="Y13" s="618"/>
      <c r="Z13" s="624">
        <v>1</v>
      </c>
      <c r="AA13" s="624"/>
      <c r="AB13" s="55">
        <f t="shared" si="0"/>
        <v>0</v>
      </c>
      <c r="AC13" s="56">
        <f t="shared" si="1"/>
        <v>0</v>
      </c>
      <c r="AD13" s="9"/>
    </row>
    <row r="14" spans="1:30" x14ac:dyDescent="0.25">
      <c r="A14" s="1" t="s">
        <v>37</v>
      </c>
      <c r="B14" s="13" t="s">
        <v>38</v>
      </c>
      <c r="C14" s="13"/>
      <c r="D14" s="13">
        <v>40.28</v>
      </c>
      <c r="E14" s="13">
        <v>21.73</v>
      </c>
      <c r="F14" s="13">
        <v>75.08</v>
      </c>
      <c r="G14" s="46">
        <f t="shared" si="2"/>
        <v>62.010000000000005</v>
      </c>
      <c r="H14" s="47"/>
      <c r="I14" s="57">
        <v>1.0109999999999999</v>
      </c>
      <c r="J14" s="57"/>
      <c r="K14" s="49">
        <f t="shared" si="3"/>
        <v>62.692100000000003</v>
      </c>
      <c r="L14" s="50">
        <f t="shared" si="4"/>
        <v>242908</v>
      </c>
      <c r="N14" s="51">
        <v>5103</v>
      </c>
      <c r="O14" s="52">
        <v>103</v>
      </c>
      <c r="P14" s="53"/>
      <c r="Q14" s="54"/>
      <c r="V14" s="623" t="s">
        <v>38</v>
      </c>
      <c r="W14" s="623"/>
      <c r="X14" s="618">
        <f>IF('3344'!K$84=1,'3344'!G14,0)</f>
        <v>0</v>
      </c>
      <c r="Y14" s="618"/>
      <c r="Z14" s="624">
        <v>1</v>
      </c>
      <c r="AA14" s="624"/>
      <c r="AB14" s="55">
        <f t="shared" si="0"/>
        <v>0</v>
      </c>
      <c r="AC14" s="56">
        <f t="shared" si="1"/>
        <v>0</v>
      </c>
      <c r="AD14" s="9"/>
    </row>
    <row r="15" spans="1:30" x14ac:dyDescent="0.25">
      <c r="A15" s="1" t="s">
        <v>39</v>
      </c>
      <c r="B15" s="13" t="s">
        <v>40</v>
      </c>
      <c r="C15" s="13"/>
      <c r="D15" s="13">
        <v>13.05</v>
      </c>
      <c r="E15" s="13">
        <v>6.34</v>
      </c>
      <c r="F15" s="13">
        <v>23.11</v>
      </c>
      <c r="G15" s="46">
        <f t="shared" si="2"/>
        <v>19.39</v>
      </c>
      <c r="H15" s="47"/>
      <c r="I15" s="57">
        <f>I14</f>
        <v>1.0109999999999999</v>
      </c>
      <c r="J15" s="57"/>
      <c r="K15" s="49">
        <f t="shared" si="3"/>
        <v>19.603300000000001</v>
      </c>
      <c r="L15" s="59">
        <f t="shared" si="4"/>
        <v>75955</v>
      </c>
      <c r="M15" s="1" t="str">
        <f>IF(ROUND(G15,2)=ROUND(SUM(G34:G36),2)," ","CHECK 2. PK-3 Lines Below")</f>
        <v xml:space="preserve"> </v>
      </c>
      <c r="N15" s="51">
        <v>5103</v>
      </c>
      <c r="O15" s="58" t="s">
        <v>41</v>
      </c>
      <c r="P15" s="53"/>
      <c r="Q15" s="54"/>
      <c r="V15" s="623" t="s">
        <v>40</v>
      </c>
      <c r="W15" s="623"/>
      <c r="X15" s="618">
        <f>IF('3344'!K$84=1,'3344'!G15,0)</f>
        <v>0</v>
      </c>
      <c r="Y15" s="618"/>
      <c r="Z15" s="624">
        <v>1</v>
      </c>
      <c r="AA15" s="624"/>
      <c r="AB15" s="55">
        <f t="shared" si="0"/>
        <v>0</v>
      </c>
      <c r="AC15" s="60">
        <f t="shared" si="1"/>
        <v>0</v>
      </c>
      <c r="AD15" s="9"/>
    </row>
    <row r="16" spans="1:30" x14ac:dyDescent="0.25">
      <c r="A16" s="1" t="s">
        <v>42</v>
      </c>
      <c r="B16" s="13" t="s">
        <v>43</v>
      </c>
      <c r="C16" s="13"/>
      <c r="D16" s="13">
        <v>0</v>
      </c>
      <c r="E16" s="13">
        <v>0</v>
      </c>
      <c r="F16" s="13">
        <v>0</v>
      </c>
      <c r="G16" s="46">
        <f t="shared" si="2"/>
        <v>0</v>
      </c>
      <c r="H16" s="47"/>
      <c r="I16" s="57">
        <v>3.5579999999999998</v>
      </c>
      <c r="J16" s="57"/>
      <c r="K16" s="49">
        <f t="shared" si="3"/>
        <v>0</v>
      </c>
      <c r="L16" s="50">
        <f t="shared" si="4"/>
        <v>0</v>
      </c>
      <c r="N16" s="51">
        <v>5101</v>
      </c>
      <c r="O16" s="53">
        <v>254</v>
      </c>
      <c r="P16" s="53"/>
      <c r="Q16" s="54"/>
      <c r="V16" s="623" t="s">
        <v>43</v>
      </c>
      <c r="W16" s="623"/>
      <c r="X16" s="618">
        <f>IF('3344'!K$84=1,'3344'!G16,0)</f>
        <v>0</v>
      </c>
      <c r="Y16" s="618"/>
      <c r="Z16" s="624">
        <v>1</v>
      </c>
      <c r="AA16" s="624"/>
      <c r="AB16" s="55">
        <f t="shared" si="0"/>
        <v>0</v>
      </c>
      <c r="AC16" s="56">
        <f t="shared" si="1"/>
        <v>0</v>
      </c>
      <c r="AD16" s="9"/>
    </row>
    <row r="17" spans="1:30" x14ac:dyDescent="0.25">
      <c r="A17" s="1" t="s">
        <v>44</v>
      </c>
      <c r="B17" s="13" t="s">
        <v>45</v>
      </c>
      <c r="C17" s="13"/>
      <c r="D17" s="13">
        <v>0</v>
      </c>
      <c r="E17" s="13">
        <v>0</v>
      </c>
      <c r="F17" s="13">
        <v>0</v>
      </c>
      <c r="G17" s="46">
        <f t="shared" si="2"/>
        <v>0</v>
      </c>
      <c r="H17" s="47"/>
      <c r="I17" s="57">
        <f>I16</f>
        <v>3.5579999999999998</v>
      </c>
      <c r="J17" s="57"/>
      <c r="K17" s="49">
        <f t="shared" si="3"/>
        <v>0</v>
      </c>
      <c r="L17" s="50">
        <f t="shared" si="4"/>
        <v>0</v>
      </c>
      <c r="N17" s="51">
        <v>5102</v>
      </c>
      <c r="O17" s="54">
        <v>254</v>
      </c>
      <c r="P17" s="53"/>
      <c r="Q17" s="54"/>
      <c r="V17" s="623" t="s">
        <v>45</v>
      </c>
      <c r="W17" s="623"/>
      <c r="X17" s="618">
        <f>IF('3344'!K$84=1,'3344'!G17,0)</f>
        <v>0</v>
      </c>
      <c r="Y17" s="618"/>
      <c r="Z17" s="624">
        <v>1</v>
      </c>
      <c r="AA17" s="624"/>
      <c r="AB17" s="55">
        <f t="shared" si="0"/>
        <v>0</v>
      </c>
      <c r="AC17" s="56">
        <f t="shared" si="1"/>
        <v>0</v>
      </c>
      <c r="AD17" s="9"/>
    </row>
    <row r="18" spans="1:30" x14ac:dyDescent="0.25">
      <c r="A18" s="1" t="s">
        <v>46</v>
      </c>
      <c r="B18" s="13" t="s">
        <v>47</v>
      </c>
      <c r="C18" s="13"/>
      <c r="D18" s="13">
        <v>0</v>
      </c>
      <c r="E18" s="13">
        <v>0</v>
      </c>
      <c r="F18" s="13">
        <v>0</v>
      </c>
      <c r="G18" s="46">
        <f t="shared" si="2"/>
        <v>0</v>
      </c>
      <c r="H18" s="47"/>
      <c r="I18" s="57">
        <f>I17</f>
        <v>3.5579999999999998</v>
      </c>
      <c r="J18" s="57"/>
      <c r="K18" s="49">
        <f t="shared" si="3"/>
        <v>0</v>
      </c>
      <c r="L18" s="50">
        <f t="shared" si="4"/>
        <v>0</v>
      </c>
      <c r="N18" s="51">
        <v>5103</v>
      </c>
      <c r="O18" s="54">
        <v>254</v>
      </c>
      <c r="P18" s="53"/>
      <c r="Q18" s="54"/>
      <c r="V18" s="623" t="s">
        <v>47</v>
      </c>
      <c r="W18" s="623"/>
      <c r="X18" s="618">
        <f>IF('3344'!K$84=1,'3344'!G18,0)</f>
        <v>0</v>
      </c>
      <c r="Y18" s="618"/>
      <c r="Z18" s="624">
        <v>1</v>
      </c>
      <c r="AA18" s="624"/>
      <c r="AB18" s="55">
        <f t="shared" si="0"/>
        <v>0</v>
      </c>
      <c r="AC18" s="56">
        <f t="shared" si="1"/>
        <v>0</v>
      </c>
      <c r="AD18" s="9"/>
    </row>
    <row r="19" spans="1:30" ht="15" customHeight="1" x14ac:dyDescent="0.25">
      <c r="A19" s="1" t="s">
        <v>48</v>
      </c>
      <c r="B19" s="13" t="s">
        <v>49</v>
      </c>
      <c r="C19" s="13"/>
      <c r="D19" s="13">
        <v>0</v>
      </c>
      <c r="E19" s="13">
        <v>0</v>
      </c>
      <c r="F19" s="13">
        <v>0</v>
      </c>
      <c r="G19" s="46">
        <f t="shared" si="2"/>
        <v>0</v>
      </c>
      <c r="H19" s="47"/>
      <c r="I19" s="57">
        <v>5.0890000000000004</v>
      </c>
      <c r="J19" s="57"/>
      <c r="K19" s="49">
        <f t="shared" si="3"/>
        <v>0</v>
      </c>
      <c r="L19" s="50">
        <f t="shared" si="4"/>
        <v>0</v>
      </c>
      <c r="N19" s="51">
        <v>5101</v>
      </c>
      <c r="O19" s="53">
        <v>255</v>
      </c>
      <c r="P19" s="53"/>
      <c r="Q19" s="54"/>
      <c r="V19" s="623" t="s">
        <v>49</v>
      </c>
      <c r="W19" s="623"/>
      <c r="X19" s="618">
        <f>IF('3344'!K$84=1,'3344'!G19,0)</f>
        <v>0</v>
      </c>
      <c r="Y19" s="618"/>
      <c r="Z19" s="624">
        <v>1</v>
      </c>
      <c r="AA19" s="624"/>
      <c r="AB19" s="55">
        <f t="shared" si="0"/>
        <v>0</v>
      </c>
      <c r="AC19" s="56">
        <f t="shared" si="1"/>
        <v>0</v>
      </c>
      <c r="AD19" s="9"/>
    </row>
    <row r="20" spans="1:30" ht="15" customHeight="1" x14ac:dyDescent="0.25">
      <c r="A20" s="1" t="s">
        <v>50</v>
      </c>
      <c r="B20" s="13" t="s">
        <v>51</v>
      </c>
      <c r="C20" s="13"/>
      <c r="D20" s="13">
        <v>0</v>
      </c>
      <c r="E20" s="13">
        <v>0</v>
      </c>
      <c r="F20" s="13">
        <v>0</v>
      </c>
      <c r="G20" s="46">
        <f t="shared" si="2"/>
        <v>0</v>
      </c>
      <c r="H20" s="47"/>
      <c r="I20" s="57">
        <f>I19</f>
        <v>5.0890000000000004</v>
      </c>
      <c r="J20" s="57"/>
      <c r="K20" s="49">
        <f t="shared" si="3"/>
        <v>0</v>
      </c>
      <c r="L20" s="50">
        <f t="shared" si="4"/>
        <v>0</v>
      </c>
      <c r="N20" s="51">
        <v>5102</v>
      </c>
      <c r="O20" s="54">
        <v>255</v>
      </c>
      <c r="P20" s="53"/>
      <c r="Q20" s="54"/>
      <c r="V20" s="623" t="s">
        <v>51</v>
      </c>
      <c r="W20" s="623"/>
      <c r="X20" s="618">
        <f>IF('3344'!K$84=1,'3344'!G20,0)</f>
        <v>0</v>
      </c>
      <c r="Y20" s="618"/>
      <c r="Z20" s="624">
        <v>1</v>
      </c>
      <c r="AA20" s="624"/>
      <c r="AB20" s="55">
        <f t="shared" si="0"/>
        <v>0</v>
      </c>
      <c r="AC20" s="56">
        <f t="shared" si="1"/>
        <v>0</v>
      </c>
      <c r="AD20" s="9"/>
    </row>
    <row r="21" spans="1:30" ht="15" customHeight="1" x14ac:dyDescent="0.25">
      <c r="A21" s="1" t="s">
        <v>52</v>
      </c>
      <c r="B21" s="13" t="s">
        <v>53</v>
      </c>
      <c r="C21" s="13"/>
      <c r="D21" s="13">
        <v>0</v>
      </c>
      <c r="E21" s="13">
        <v>0</v>
      </c>
      <c r="F21" s="13">
        <v>0</v>
      </c>
      <c r="G21" s="46">
        <f t="shared" si="2"/>
        <v>0</v>
      </c>
      <c r="H21" s="47"/>
      <c r="I21" s="57">
        <f>I20</f>
        <v>5.0890000000000004</v>
      </c>
      <c r="J21" s="57"/>
      <c r="K21" s="49">
        <f t="shared" si="3"/>
        <v>0</v>
      </c>
      <c r="L21" s="50">
        <f t="shared" si="4"/>
        <v>0</v>
      </c>
      <c r="N21" s="51">
        <v>5103</v>
      </c>
      <c r="O21" s="54">
        <v>255</v>
      </c>
      <c r="P21" s="53"/>
      <c r="Q21" s="54"/>
      <c r="V21" s="623" t="s">
        <v>53</v>
      </c>
      <c r="W21" s="623"/>
      <c r="X21" s="618">
        <f>IF('3344'!K$84=1,'3344'!G21,0)</f>
        <v>0</v>
      </c>
      <c r="Y21" s="618"/>
      <c r="Z21" s="624">
        <v>1</v>
      </c>
      <c r="AA21" s="624"/>
      <c r="AB21" s="55">
        <f t="shared" si="0"/>
        <v>0</v>
      </c>
      <c r="AC21" s="56">
        <f t="shared" si="1"/>
        <v>0</v>
      </c>
      <c r="AD21" s="9"/>
    </row>
    <row r="22" spans="1:30" x14ac:dyDescent="0.25">
      <c r="A22" s="1" t="s">
        <v>54</v>
      </c>
      <c r="B22" s="13" t="s">
        <v>55</v>
      </c>
      <c r="C22" s="13"/>
      <c r="D22" s="13">
        <v>0</v>
      </c>
      <c r="E22" s="13">
        <v>0</v>
      </c>
      <c r="F22" s="13">
        <v>0</v>
      </c>
      <c r="G22" s="46">
        <f t="shared" si="2"/>
        <v>0</v>
      </c>
      <c r="H22" s="47"/>
      <c r="I22" s="57">
        <v>1.145</v>
      </c>
      <c r="J22" s="57"/>
      <c r="K22" s="49">
        <f t="shared" si="3"/>
        <v>0</v>
      </c>
      <c r="L22" s="50">
        <f t="shared" si="4"/>
        <v>0</v>
      </c>
      <c r="N22" s="51">
        <v>5101</v>
      </c>
      <c r="O22" s="52">
        <v>130</v>
      </c>
      <c r="P22" s="53"/>
      <c r="Q22" s="54"/>
      <c r="V22" s="623" t="s">
        <v>55</v>
      </c>
      <c r="W22" s="623"/>
      <c r="X22" s="618">
        <f>IF('3344'!K$84=1,'3344'!G22,0)</f>
        <v>0</v>
      </c>
      <c r="Y22" s="618"/>
      <c r="Z22" s="624">
        <v>1</v>
      </c>
      <c r="AA22" s="624"/>
      <c r="AB22" s="55">
        <f t="shared" si="0"/>
        <v>0</v>
      </c>
      <c r="AC22" s="56">
        <f t="shared" si="1"/>
        <v>0</v>
      </c>
      <c r="AD22" s="9"/>
    </row>
    <row r="23" spans="1:30" x14ac:dyDescent="0.25">
      <c r="A23" s="1" t="s">
        <v>56</v>
      </c>
      <c r="B23" s="13" t="s">
        <v>57</v>
      </c>
      <c r="C23" s="13"/>
      <c r="D23" s="13">
        <v>0</v>
      </c>
      <c r="E23" s="13">
        <v>0</v>
      </c>
      <c r="F23" s="13">
        <v>0</v>
      </c>
      <c r="G23" s="46">
        <f t="shared" si="2"/>
        <v>0</v>
      </c>
      <c r="H23" s="47"/>
      <c r="I23" s="57">
        <f>I22</f>
        <v>1.145</v>
      </c>
      <c r="J23" s="57"/>
      <c r="K23" s="49">
        <f t="shared" si="3"/>
        <v>0</v>
      </c>
      <c r="L23" s="50">
        <f t="shared" si="4"/>
        <v>0</v>
      </c>
      <c r="N23" s="51">
        <v>5102</v>
      </c>
      <c r="O23" s="52">
        <v>130</v>
      </c>
      <c r="P23" s="53"/>
      <c r="Q23" s="54"/>
      <c r="V23" s="623" t="s">
        <v>57</v>
      </c>
      <c r="W23" s="623"/>
      <c r="X23" s="618">
        <f>IF('3344'!K$84=1,'3344'!G23,0)</f>
        <v>0</v>
      </c>
      <c r="Y23" s="618"/>
      <c r="Z23" s="624">
        <v>1</v>
      </c>
      <c r="AA23" s="624"/>
      <c r="AB23" s="55">
        <f t="shared" si="0"/>
        <v>0</v>
      </c>
      <c r="AC23" s="56">
        <f t="shared" si="1"/>
        <v>0</v>
      </c>
      <c r="AD23" s="9"/>
    </row>
    <row r="24" spans="1:30" x14ac:dyDescent="0.25">
      <c r="A24" s="1" t="s">
        <v>58</v>
      </c>
      <c r="B24" s="13" t="s">
        <v>59</v>
      </c>
      <c r="C24" s="13"/>
      <c r="D24" s="13">
        <v>1.17</v>
      </c>
      <c r="E24" s="13">
        <v>1.28</v>
      </c>
      <c r="F24" s="13">
        <v>2.1</v>
      </c>
      <c r="G24" s="46">
        <f t="shared" si="2"/>
        <v>2.4500000000000002</v>
      </c>
      <c r="H24" s="47"/>
      <c r="I24" s="57">
        <f>I23</f>
        <v>1.145</v>
      </c>
      <c r="J24" s="57"/>
      <c r="K24" s="49">
        <f t="shared" si="3"/>
        <v>2.8052999999999999</v>
      </c>
      <c r="L24" s="50">
        <f t="shared" si="4"/>
        <v>10869</v>
      </c>
      <c r="N24" s="51">
        <v>5103</v>
      </c>
      <c r="O24" s="52">
        <v>130</v>
      </c>
      <c r="P24" s="53"/>
      <c r="Q24" s="54"/>
      <c r="V24" s="623" t="s">
        <v>59</v>
      </c>
      <c r="W24" s="623"/>
      <c r="X24" s="618">
        <f>IF('3344'!K$84=1,'3344'!G24,0)</f>
        <v>0</v>
      </c>
      <c r="Y24" s="618"/>
      <c r="Z24" s="624">
        <v>1</v>
      </c>
      <c r="AA24" s="624"/>
      <c r="AB24" s="55">
        <f t="shared" si="0"/>
        <v>0</v>
      </c>
      <c r="AC24" s="56">
        <f t="shared" si="1"/>
        <v>0</v>
      </c>
      <c r="AD24" s="9"/>
    </row>
    <row r="25" spans="1:30" ht="16.5" thickBot="1" x14ac:dyDescent="0.3">
      <c r="A25" s="1" t="s">
        <v>60</v>
      </c>
      <c r="B25" s="13" t="s">
        <v>61</v>
      </c>
      <c r="C25" s="13"/>
      <c r="D25" s="13">
        <v>0</v>
      </c>
      <c r="E25" s="13">
        <v>0</v>
      </c>
      <c r="F25" s="13">
        <v>0</v>
      </c>
      <c r="G25" s="46">
        <f t="shared" si="2"/>
        <v>0</v>
      </c>
      <c r="H25" s="47"/>
      <c r="I25" s="57">
        <v>1.0109999999999999</v>
      </c>
      <c r="J25" s="57"/>
      <c r="K25" s="49">
        <f t="shared" si="3"/>
        <v>0</v>
      </c>
      <c r="L25" s="50">
        <f t="shared" si="4"/>
        <v>0</v>
      </c>
      <c r="N25" s="51">
        <v>5310</v>
      </c>
      <c r="O25" s="52">
        <v>300</v>
      </c>
      <c r="P25" s="53"/>
      <c r="Q25" s="54"/>
      <c r="V25" s="623" t="s">
        <v>61</v>
      </c>
      <c r="W25" s="623"/>
      <c r="X25" s="618">
        <f>IF('3344'!K$84=1,'3344'!G25,0)</f>
        <v>0</v>
      </c>
      <c r="Y25" s="618"/>
      <c r="Z25" s="624">
        <v>1</v>
      </c>
      <c r="AA25" s="624"/>
      <c r="AB25" s="55">
        <f t="shared" si="0"/>
        <v>0</v>
      </c>
      <c r="AC25" s="56">
        <f t="shared" si="1"/>
        <v>0</v>
      </c>
      <c r="AD25" s="9"/>
    </row>
    <row r="26" spans="1:30" ht="20.25" customHeight="1" thickBot="1" x14ac:dyDescent="0.3">
      <c r="B26" s="62" t="s">
        <v>62</v>
      </c>
      <c r="C26" s="62"/>
      <c r="D26" s="63">
        <f t="shared" ref="D26:E26" si="5">SUM(D10:D25)</f>
        <v>54.5</v>
      </c>
      <c r="E26" s="63">
        <f t="shared" si="5"/>
        <v>29.35</v>
      </c>
      <c r="F26" s="63"/>
      <c r="G26" s="63">
        <f>SUM(G10:G25)</f>
        <v>83.850000000000009</v>
      </c>
      <c r="H26" s="64"/>
      <c r="I26" s="64"/>
      <c r="J26" s="65"/>
      <c r="K26" s="66">
        <f>SUM(K10:K25)</f>
        <v>85.100700000000003</v>
      </c>
      <c r="L26" s="67">
        <f>SUM(L10:L25)</f>
        <v>329732</v>
      </c>
      <c r="N26" s="54"/>
      <c r="O26" s="68"/>
      <c r="P26" s="54"/>
      <c r="Q26" s="54"/>
      <c r="V26" s="625" t="s">
        <v>62</v>
      </c>
      <c r="W26" s="625"/>
      <c r="X26" s="626">
        <f>SUM(X10:X25)</f>
        <v>0</v>
      </c>
      <c r="Y26" s="626"/>
      <c r="Z26" s="627"/>
      <c r="AA26" s="628"/>
      <c r="AB26" s="69">
        <f>SUM(AB10:AB25)</f>
        <v>0</v>
      </c>
      <c r="AC26" s="70">
        <f>SUM(AC10:AC25)</f>
        <v>0</v>
      </c>
      <c r="AD26" s="9"/>
    </row>
    <row r="27" spans="1:30" ht="51.75" customHeight="1" x14ac:dyDescent="0.25">
      <c r="B27" s="62" t="s">
        <v>63</v>
      </c>
      <c r="C27" s="62"/>
      <c r="D27" s="71" t="s">
        <v>13</v>
      </c>
      <c r="E27" s="71" t="s">
        <v>14</v>
      </c>
      <c r="F27" s="27"/>
      <c r="G27" s="72" t="s">
        <v>64</v>
      </c>
      <c r="H27" s="73"/>
      <c r="I27" s="74" t="s">
        <v>65</v>
      </c>
      <c r="J27" s="74" t="s">
        <v>66</v>
      </c>
      <c r="K27" s="75" t="s">
        <v>67</v>
      </c>
      <c r="N27" s="54"/>
      <c r="O27" s="68"/>
      <c r="P27" s="54"/>
      <c r="Q27" s="54"/>
      <c r="V27" s="629" t="s">
        <v>63</v>
      </c>
      <c r="W27" s="629"/>
      <c r="X27" s="630" t="s">
        <v>64</v>
      </c>
      <c r="Y27" s="630"/>
      <c r="Z27" s="76" t="s">
        <v>65</v>
      </c>
      <c r="AA27" s="77" t="s">
        <v>66</v>
      </c>
      <c r="AB27" s="78" t="s">
        <v>67</v>
      </c>
      <c r="AC27" s="9"/>
      <c r="AD27" s="9"/>
    </row>
    <row r="28" spans="1:30" ht="15.75" customHeight="1" x14ac:dyDescent="0.25">
      <c r="A28" s="1" t="s">
        <v>68</v>
      </c>
      <c r="B28" s="631" t="s">
        <v>69</v>
      </c>
      <c r="C28" s="632"/>
      <c r="D28" s="13">
        <v>0</v>
      </c>
      <c r="E28" s="13">
        <v>0</v>
      </c>
      <c r="F28" s="79">
        <v>0</v>
      </c>
      <c r="G28" s="46">
        <f t="shared" ref="G28:G36" si="6">D28+E28</f>
        <v>0</v>
      </c>
      <c r="H28" s="80"/>
      <c r="I28" s="81" t="s">
        <v>70</v>
      </c>
      <c r="J28" s="82">
        <v>251</v>
      </c>
      <c r="K28" s="83">
        <v>1047</v>
      </c>
      <c r="L28" s="84">
        <f>ROUND(G28*K28,0)</f>
        <v>0</v>
      </c>
      <c r="N28" s="85">
        <v>5101</v>
      </c>
      <c r="O28" s="54">
        <v>251</v>
      </c>
      <c r="P28" s="86"/>
      <c r="Q28" s="87"/>
      <c r="V28" s="637" t="s">
        <v>69</v>
      </c>
      <c r="W28" s="637"/>
      <c r="X28" s="638"/>
      <c r="Y28" s="638"/>
      <c r="Z28" s="88" t="s">
        <v>70</v>
      </c>
      <c r="AA28" s="89">
        <v>251</v>
      </c>
      <c r="AB28" s="90">
        <f>+K28</f>
        <v>1047</v>
      </c>
      <c r="AC28" s="91">
        <f t="shared" ref="AC28:AC36" si="7">ROUND(X28*AB28,0)</f>
        <v>0</v>
      </c>
      <c r="AD28" s="9"/>
    </row>
    <row r="29" spans="1:30" x14ac:dyDescent="0.25">
      <c r="A29" s="1" t="s">
        <v>71</v>
      </c>
      <c r="B29" s="633"/>
      <c r="C29" s="634"/>
      <c r="D29" s="13">
        <v>0</v>
      </c>
      <c r="E29" s="13">
        <v>0</v>
      </c>
      <c r="F29" s="92">
        <v>0</v>
      </c>
      <c r="G29" s="46">
        <f t="shared" si="6"/>
        <v>0</v>
      </c>
      <c r="H29" s="80"/>
      <c r="I29" s="82" t="s">
        <v>70</v>
      </c>
      <c r="J29" s="82">
        <v>252</v>
      </c>
      <c r="K29" s="83">
        <v>3380</v>
      </c>
      <c r="L29" s="84">
        <f t="shared" ref="L29:L36" si="8">ROUND(G29*K29,0)</f>
        <v>0</v>
      </c>
      <c r="N29" s="85">
        <v>5101</v>
      </c>
      <c r="O29" s="54">
        <v>252</v>
      </c>
      <c r="P29" s="86"/>
      <c r="Q29" s="87"/>
      <c r="V29" s="637"/>
      <c r="W29" s="637"/>
      <c r="X29" s="638"/>
      <c r="Y29" s="638"/>
      <c r="Z29" s="89" t="s">
        <v>70</v>
      </c>
      <c r="AA29" s="89">
        <v>252</v>
      </c>
      <c r="AB29" s="90">
        <f t="shared" ref="AB29:AB36" si="9">+K29</f>
        <v>3380</v>
      </c>
      <c r="AC29" s="91">
        <f t="shared" si="7"/>
        <v>0</v>
      </c>
      <c r="AD29" s="9"/>
    </row>
    <row r="30" spans="1:30" x14ac:dyDescent="0.25">
      <c r="A30" s="1" t="s">
        <v>72</v>
      </c>
      <c r="B30" s="633"/>
      <c r="C30" s="634"/>
      <c r="D30" s="13">
        <v>0</v>
      </c>
      <c r="E30" s="13">
        <v>0</v>
      </c>
      <c r="F30" s="92">
        <v>0</v>
      </c>
      <c r="G30" s="46">
        <f t="shared" si="6"/>
        <v>0</v>
      </c>
      <c r="H30" s="80"/>
      <c r="I30" s="82" t="s">
        <v>70</v>
      </c>
      <c r="J30" s="82">
        <v>253</v>
      </c>
      <c r="K30" s="83">
        <v>6896</v>
      </c>
      <c r="L30" s="84">
        <f t="shared" si="8"/>
        <v>0</v>
      </c>
      <c r="N30" s="85">
        <v>5101</v>
      </c>
      <c r="O30" s="54">
        <v>253</v>
      </c>
      <c r="P30" s="86"/>
      <c r="Q30" s="68"/>
      <c r="V30" s="637"/>
      <c r="W30" s="637"/>
      <c r="X30" s="638"/>
      <c r="Y30" s="638"/>
      <c r="Z30" s="89" t="s">
        <v>70</v>
      </c>
      <c r="AA30" s="89">
        <v>253</v>
      </c>
      <c r="AB30" s="90">
        <f t="shared" si="9"/>
        <v>6896</v>
      </c>
      <c r="AC30" s="91">
        <f t="shared" si="7"/>
        <v>0</v>
      </c>
      <c r="AD30" s="9"/>
    </row>
    <row r="31" spans="1:30" x14ac:dyDescent="0.25">
      <c r="A31" s="1" t="s">
        <v>73</v>
      </c>
      <c r="B31" s="633"/>
      <c r="C31" s="634"/>
      <c r="D31" s="13">
        <v>0</v>
      </c>
      <c r="E31" s="13">
        <v>0</v>
      </c>
      <c r="F31" s="92">
        <v>0</v>
      </c>
      <c r="G31" s="46">
        <f t="shared" si="6"/>
        <v>0</v>
      </c>
      <c r="H31" s="80"/>
      <c r="I31" s="93" t="s">
        <v>74</v>
      </c>
      <c r="J31" s="82">
        <v>251</v>
      </c>
      <c r="K31" s="83">
        <v>1173</v>
      </c>
      <c r="L31" s="84">
        <f t="shared" si="8"/>
        <v>0</v>
      </c>
      <c r="N31" s="85">
        <v>5102</v>
      </c>
      <c r="O31" s="54">
        <v>251</v>
      </c>
      <c r="P31" s="86"/>
      <c r="Q31" s="68"/>
      <c r="V31" s="637"/>
      <c r="W31" s="637"/>
      <c r="X31" s="638"/>
      <c r="Y31" s="638"/>
      <c r="Z31" s="94" t="s">
        <v>74</v>
      </c>
      <c r="AA31" s="89">
        <v>251</v>
      </c>
      <c r="AB31" s="90">
        <f t="shared" si="9"/>
        <v>1173</v>
      </c>
      <c r="AC31" s="91">
        <f t="shared" si="7"/>
        <v>0</v>
      </c>
      <c r="AD31" s="9"/>
    </row>
    <row r="32" spans="1:30" x14ac:dyDescent="0.25">
      <c r="A32" s="1" t="s">
        <v>75</v>
      </c>
      <c r="B32" s="633"/>
      <c r="C32" s="634"/>
      <c r="D32" s="13">
        <v>0</v>
      </c>
      <c r="E32" s="13">
        <v>0</v>
      </c>
      <c r="F32" s="92">
        <v>0</v>
      </c>
      <c r="G32" s="46">
        <f t="shared" si="6"/>
        <v>0</v>
      </c>
      <c r="H32" s="80"/>
      <c r="I32" s="93" t="s">
        <v>74</v>
      </c>
      <c r="J32" s="82">
        <v>252</v>
      </c>
      <c r="K32" s="83">
        <v>3506</v>
      </c>
      <c r="L32" s="84">
        <f t="shared" si="8"/>
        <v>0</v>
      </c>
      <c r="N32" s="85">
        <v>5102</v>
      </c>
      <c r="O32" s="54">
        <v>252</v>
      </c>
      <c r="P32" s="86"/>
      <c r="Q32" s="54"/>
      <c r="V32" s="637"/>
      <c r="W32" s="637"/>
      <c r="X32" s="638"/>
      <c r="Y32" s="638"/>
      <c r="Z32" s="94" t="s">
        <v>74</v>
      </c>
      <c r="AA32" s="89">
        <v>252</v>
      </c>
      <c r="AB32" s="90">
        <f t="shared" si="9"/>
        <v>3506</v>
      </c>
      <c r="AC32" s="91">
        <f t="shared" si="7"/>
        <v>0</v>
      </c>
      <c r="AD32" s="9"/>
    </row>
    <row r="33" spans="1:30" x14ac:dyDescent="0.25">
      <c r="A33" s="1" t="s">
        <v>76</v>
      </c>
      <c r="B33" s="633"/>
      <c r="C33" s="634"/>
      <c r="D33" s="13">
        <v>0</v>
      </c>
      <c r="E33" s="13">
        <v>0</v>
      </c>
      <c r="F33" s="92">
        <v>0</v>
      </c>
      <c r="G33" s="46">
        <f t="shared" si="6"/>
        <v>0</v>
      </c>
      <c r="H33" s="80"/>
      <c r="I33" s="93" t="s">
        <v>74</v>
      </c>
      <c r="J33" s="82">
        <v>253</v>
      </c>
      <c r="K33" s="83">
        <v>7023</v>
      </c>
      <c r="L33" s="84">
        <f t="shared" si="8"/>
        <v>0</v>
      </c>
      <c r="N33" s="85">
        <v>5102</v>
      </c>
      <c r="O33" s="54">
        <v>253</v>
      </c>
      <c r="P33" s="86"/>
      <c r="Q33" s="87"/>
      <c r="V33" s="637"/>
      <c r="W33" s="637"/>
      <c r="X33" s="638"/>
      <c r="Y33" s="638"/>
      <c r="Z33" s="94" t="s">
        <v>74</v>
      </c>
      <c r="AA33" s="89">
        <v>253</v>
      </c>
      <c r="AB33" s="90">
        <f t="shared" si="9"/>
        <v>7023</v>
      </c>
      <c r="AC33" s="91">
        <f t="shared" si="7"/>
        <v>0</v>
      </c>
      <c r="AD33" s="9"/>
    </row>
    <row r="34" spans="1:30" x14ac:dyDescent="0.25">
      <c r="A34" s="1" t="s">
        <v>77</v>
      </c>
      <c r="B34" s="633"/>
      <c r="C34" s="634"/>
      <c r="D34" s="13">
        <v>13.05</v>
      </c>
      <c r="E34" s="13">
        <v>6.34</v>
      </c>
      <c r="F34" s="92">
        <v>10.5</v>
      </c>
      <c r="G34" s="46">
        <f t="shared" si="6"/>
        <v>19.39</v>
      </c>
      <c r="H34" s="80"/>
      <c r="I34" s="93" t="s">
        <v>78</v>
      </c>
      <c r="J34" s="82">
        <v>251</v>
      </c>
      <c r="K34" s="83">
        <v>835</v>
      </c>
      <c r="L34" s="84">
        <f t="shared" si="8"/>
        <v>16191</v>
      </c>
      <c r="N34" s="85">
        <v>5103</v>
      </c>
      <c r="O34" s="54">
        <v>251</v>
      </c>
      <c r="P34" s="86"/>
      <c r="Q34" s="87"/>
      <c r="V34" s="637"/>
      <c r="W34" s="637"/>
      <c r="X34" s="638"/>
      <c r="Y34" s="638"/>
      <c r="Z34" s="94" t="s">
        <v>78</v>
      </c>
      <c r="AA34" s="89">
        <v>251</v>
      </c>
      <c r="AB34" s="90">
        <f t="shared" si="9"/>
        <v>835</v>
      </c>
      <c r="AC34" s="91">
        <f t="shared" si="7"/>
        <v>0</v>
      </c>
      <c r="AD34" s="9"/>
    </row>
    <row r="35" spans="1:30" x14ac:dyDescent="0.25">
      <c r="A35" s="1" t="s">
        <v>79</v>
      </c>
      <c r="B35" s="633"/>
      <c r="C35" s="634"/>
      <c r="D35" s="13">
        <v>0</v>
      </c>
      <c r="E35" s="13">
        <v>0</v>
      </c>
      <c r="F35" s="92">
        <v>0.5</v>
      </c>
      <c r="G35" s="46">
        <f t="shared" si="6"/>
        <v>0</v>
      </c>
      <c r="H35" s="80"/>
      <c r="I35" s="93" t="s">
        <v>78</v>
      </c>
      <c r="J35" s="82">
        <v>252</v>
      </c>
      <c r="K35" s="83">
        <v>3168</v>
      </c>
      <c r="L35" s="84">
        <f t="shared" si="8"/>
        <v>0</v>
      </c>
      <c r="N35" s="85">
        <v>5103</v>
      </c>
      <c r="O35" s="54">
        <v>252</v>
      </c>
      <c r="P35" s="86"/>
      <c r="Q35" s="95"/>
      <c r="V35" s="637"/>
      <c r="W35" s="637"/>
      <c r="X35" s="638"/>
      <c r="Y35" s="638"/>
      <c r="Z35" s="94" t="s">
        <v>78</v>
      </c>
      <c r="AA35" s="89">
        <v>252</v>
      </c>
      <c r="AB35" s="90">
        <f t="shared" si="9"/>
        <v>3168</v>
      </c>
      <c r="AC35" s="91">
        <f t="shared" si="7"/>
        <v>0</v>
      </c>
      <c r="AD35" s="9"/>
    </row>
    <row r="36" spans="1:30" ht="16.5" thickBot="1" x14ac:dyDescent="0.3">
      <c r="A36" s="1" t="s">
        <v>80</v>
      </c>
      <c r="B36" s="635"/>
      <c r="C36" s="636"/>
      <c r="D36" s="13">
        <v>0</v>
      </c>
      <c r="E36" s="13">
        <v>0</v>
      </c>
      <c r="F36" s="92">
        <v>0</v>
      </c>
      <c r="G36" s="46">
        <f t="shared" si="6"/>
        <v>0</v>
      </c>
      <c r="H36" s="80"/>
      <c r="I36" s="93" t="s">
        <v>78</v>
      </c>
      <c r="J36" s="82">
        <v>253</v>
      </c>
      <c r="K36" s="83">
        <v>6685</v>
      </c>
      <c r="L36" s="96">
        <f t="shared" si="8"/>
        <v>0</v>
      </c>
      <c r="N36" s="85">
        <v>5103</v>
      </c>
      <c r="O36" s="54">
        <v>253</v>
      </c>
      <c r="P36" s="86"/>
      <c r="Q36" s="97"/>
      <c r="V36" s="637"/>
      <c r="W36" s="637"/>
      <c r="X36" s="645"/>
      <c r="Y36" s="645"/>
      <c r="Z36" s="94" t="s">
        <v>78</v>
      </c>
      <c r="AA36" s="89">
        <v>253</v>
      </c>
      <c r="AB36" s="90">
        <f t="shared" si="9"/>
        <v>6685</v>
      </c>
      <c r="AC36" s="98">
        <f t="shared" si="7"/>
        <v>0</v>
      </c>
      <c r="AD36" s="9"/>
    </row>
    <row r="37" spans="1:30" ht="18.75" customHeight="1" x14ac:dyDescent="0.25">
      <c r="B37" s="13" t="s">
        <v>81</v>
      </c>
      <c r="C37" s="13"/>
      <c r="D37" s="63">
        <f t="shared" ref="D37:E37" si="10">SUM(D28:D36)</f>
        <v>13.05</v>
      </c>
      <c r="E37" s="63">
        <f t="shared" si="10"/>
        <v>6.34</v>
      </c>
      <c r="F37" s="63"/>
      <c r="G37" s="63">
        <f>SUM(G28:G36)</f>
        <v>19.39</v>
      </c>
      <c r="H37" s="64"/>
      <c r="I37" s="13" t="s">
        <v>82</v>
      </c>
      <c r="J37" s="13"/>
      <c r="K37" s="13"/>
      <c r="L37" s="50">
        <f>SUM(L28:L36)</f>
        <v>16191</v>
      </c>
      <c r="N37" s="54"/>
      <c r="O37" s="68"/>
      <c r="P37" s="54"/>
      <c r="Q37" s="54"/>
      <c r="V37" s="646" t="s">
        <v>81</v>
      </c>
      <c r="W37" s="646"/>
      <c r="X37" s="626">
        <f>SUM(X28:X36)</f>
        <v>0</v>
      </c>
      <c r="Y37" s="626"/>
      <c r="Z37" s="646" t="s">
        <v>82</v>
      </c>
      <c r="AA37" s="646"/>
      <c r="AB37" s="646"/>
      <c r="AC37" s="56">
        <f>SUM(AC28:AC36)</f>
        <v>0</v>
      </c>
      <c r="AD37" s="9"/>
    </row>
    <row r="38" spans="1:30" ht="30.75" customHeight="1" x14ac:dyDescent="0.25">
      <c r="B38" s="99" t="s">
        <v>83</v>
      </c>
      <c r="C38" s="99"/>
      <c r="D38" s="99"/>
      <c r="E38" s="99"/>
      <c r="F38" s="99"/>
      <c r="G38" s="99"/>
      <c r="H38" s="100"/>
      <c r="I38" s="99"/>
      <c r="J38" s="99"/>
      <c r="K38" s="99"/>
      <c r="L38" s="99"/>
      <c r="M38" s="101"/>
      <c r="N38" s="54"/>
      <c r="O38" s="68"/>
      <c r="P38" s="54"/>
      <c r="Q38" s="54"/>
      <c r="V38" s="639" t="s">
        <v>83</v>
      </c>
      <c r="W38" s="639"/>
      <c r="X38" s="639"/>
      <c r="Y38" s="639"/>
      <c r="Z38" s="639"/>
      <c r="AA38" s="639"/>
      <c r="AB38" s="639"/>
      <c r="AC38" s="639"/>
      <c r="AD38" s="102"/>
    </row>
    <row r="39" spans="1:30" ht="15.75" customHeight="1" x14ac:dyDescent="0.25">
      <c r="B39" s="103" t="s">
        <v>84</v>
      </c>
      <c r="C39" s="103"/>
      <c r="D39" s="103"/>
      <c r="E39" s="103"/>
      <c r="F39" s="103"/>
      <c r="G39" s="104">
        <v>34389540</v>
      </c>
      <c r="H39" s="104"/>
      <c r="I39" s="13" t="s">
        <v>85</v>
      </c>
      <c r="J39" s="13"/>
      <c r="K39" s="13"/>
      <c r="L39" s="13"/>
      <c r="O39" s="1"/>
      <c r="V39" s="640" t="s">
        <v>84</v>
      </c>
      <c r="W39" s="640"/>
      <c r="X39" s="641">
        <f>+G39</f>
        <v>34389540</v>
      </c>
      <c r="Y39" s="641"/>
      <c r="Z39" s="642" t="s">
        <v>85</v>
      </c>
      <c r="AA39" s="642"/>
      <c r="AB39" s="642"/>
      <c r="AC39" s="642"/>
      <c r="AD39" s="9"/>
    </row>
    <row r="40" spans="1:30" ht="15.75" customHeight="1" x14ac:dyDescent="0.25">
      <c r="B40" s="105" t="s">
        <v>86</v>
      </c>
      <c r="C40" s="105"/>
      <c r="D40" s="105"/>
      <c r="E40" s="105"/>
      <c r="F40" s="105"/>
      <c r="G40" s="106">
        <v>180284.81</v>
      </c>
      <c r="H40" s="106"/>
      <c r="I40" s="106"/>
      <c r="J40" s="106"/>
      <c r="K40" s="50">
        <f>ROUND(G39/G40,0)</f>
        <v>191</v>
      </c>
      <c r="L40" s="50">
        <f>ROUND(K40*$G$26,0)</f>
        <v>16015</v>
      </c>
      <c r="N40" s="107"/>
      <c r="O40" s="107"/>
      <c r="P40" s="107"/>
      <c r="Q40" s="107"/>
      <c r="V40" s="643" t="s">
        <v>86</v>
      </c>
      <c r="W40" s="643"/>
      <c r="X40" s="644">
        <f>+G40</f>
        <v>180284.81</v>
      </c>
      <c r="Y40" s="644"/>
      <c r="Z40" s="644"/>
      <c r="AA40" s="644"/>
      <c r="AB40" s="56">
        <f>ROUND(X39/X40,0)</f>
        <v>191</v>
      </c>
      <c r="AC40" s="56">
        <f>ROUND(AB40*$X$26,0)</f>
        <v>0</v>
      </c>
      <c r="AD40" s="9"/>
    </row>
    <row r="41" spans="1:30" ht="15.75" customHeight="1" x14ac:dyDescent="0.25">
      <c r="B41" s="108" t="s">
        <v>87</v>
      </c>
      <c r="C41" s="108"/>
      <c r="D41" s="108"/>
      <c r="E41" s="108"/>
      <c r="F41" s="108"/>
      <c r="G41" s="108"/>
      <c r="H41" s="108"/>
      <c r="I41" s="108"/>
      <c r="J41" s="108"/>
      <c r="K41" s="108"/>
      <c r="L41" s="108"/>
      <c r="N41" s="101"/>
      <c r="O41" s="109"/>
      <c r="P41" s="101"/>
      <c r="Q41" s="101"/>
      <c r="V41" s="652" t="s">
        <v>87</v>
      </c>
      <c r="W41" s="652"/>
      <c r="X41" s="652"/>
      <c r="Y41" s="652"/>
      <c r="Z41" s="652"/>
      <c r="AA41" s="652"/>
      <c r="AB41" s="652"/>
      <c r="AC41" s="652"/>
      <c r="AD41" s="9"/>
    </row>
    <row r="42" spans="1:30" ht="28.5" customHeight="1" x14ac:dyDescent="0.25">
      <c r="B42" s="99" t="s">
        <v>88</v>
      </c>
      <c r="C42" s="99"/>
      <c r="D42" s="99"/>
      <c r="E42" s="99"/>
      <c r="F42" s="99"/>
      <c r="G42" s="99"/>
      <c r="H42" s="99"/>
      <c r="I42" s="99"/>
      <c r="J42" s="99"/>
      <c r="K42" s="99"/>
      <c r="L42" s="99"/>
      <c r="M42" s="107"/>
      <c r="O42" s="1"/>
      <c r="V42" s="639" t="s">
        <v>88</v>
      </c>
      <c r="W42" s="639"/>
      <c r="X42" s="639"/>
      <c r="Y42" s="639"/>
      <c r="Z42" s="639"/>
      <c r="AA42" s="639"/>
      <c r="AB42" s="639"/>
      <c r="AC42" s="639"/>
      <c r="AD42" s="110"/>
    </row>
    <row r="43" spans="1:30" x14ac:dyDescent="0.25">
      <c r="B43" s="111" t="s">
        <v>89</v>
      </c>
      <c r="C43" s="111"/>
      <c r="D43" s="111"/>
      <c r="E43" s="111"/>
      <c r="F43" s="111"/>
      <c r="G43" s="111"/>
      <c r="H43" s="111"/>
      <c r="I43" s="111"/>
      <c r="J43" s="111"/>
      <c r="K43" s="111"/>
      <c r="L43" s="111"/>
      <c r="M43" s="112"/>
      <c r="N43" s="101"/>
      <c r="O43" s="101"/>
      <c r="P43" s="101"/>
      <c r="Q43" s="101"/>
      <c r="V43" s="653" t="s">
        <v>89</v>
      </c>
      <c r="W43" s="653"/>
      <c r="X43" s="653"/>
      <c r="Y43" s="653"/>
      <c r="Z43" s="653"/>
      <c r="AA43" s="653"/>
      <c r="AB43" s="653"/>
      <c r="AC43" s="653"/>
      <c r="AD43" s="113"/>
    </row>
    <row r="44" spans="1:30" ht="24" customHeight="1" x14ac:dyDescent="0.25">
      <c r="B44" s="62" t="s">
        <v>90</v>
      </c>
      <c r="C44" s="62"/>
      <c r="D44" s="62"/>
      <c r="E44" s="62"/>
      <c r="F44" s="62"/>
      <c r="G44" s="62"/>
      <c r="H44" s="62"/>
      <c r="I44" s="62"/>
      <c r="J44" s="62"/>
      <c r="K44" s="62"/>
      <c r="L44" s="114">
        <f>SUM(L26,L37,L40)</f>
        <v>361938</v>
      </c>
      <c r="O44" s="1"/>
      <c r="V44" s="654" t="s">
        <v>90</v>
      </c>
      <c r="W44" s="654"/>
      <c r="X44" s="654"/>
      <c r="Y44" s="654"/>
      <c r="Z44" s="654"/>
      <c r="AA44" s="654"/>
      <c r="AB44" s="654"/>
      <c r="AC44" s="115">
        <f>SUM(AC26,AC37,AC40)</f>
        <v>0</v>
      </c>
      <c r="AD44" s="9"/>
    </row>
    <row r="45" spans="1:30" ht="30.75" customHeight="1" x14ac:dyDescent="0.25">
      <c r="B45" s="99" t="s">
        <v>91</v>
      </c>
      <c r="C45" s="99"/>
      <c r="D45" s="99"/>
      <c r="E45" s="99"/>
      <c r="F45" s="99"/>
      <c r="G45" s="99"/>
      <c r="H45" s="99"/>
      <c r="I45" s="99"/>
      <c r="J45" s="99"/>
      <c r="K45" s="99"/>
      <c r="L45" s="99"/>
      <c r="M45" s="116"/>
      <c r="O45" s="1"/>
      <c r="V45" s="639" t="s">
        <v>91</v>
      </c>
      <c r="W45" s="639"/>
      <c r="X45" s="639"/>
      <c r="Y45" s="639"/>
      <c r="Z45" s="639"/>
      <c r="AA45" s="639"/>
      <c r="AB45" s="639"/>
      <c r="AC45" s="639"/>
      <c r="AD45" s="117"/>
    </row>
    <row r="46" spans="1:30" ht="18.75" customHeight="1" x14ac:dyDescent="0.25">
      <c r="B46" s="1"/>
      <c r="C46" s="118" t="s">
        <v>92</v>
      </c>
      <c r="D46" s="118"/>
      <c r="E46" s="118"/>
      <c r="F46" s="118"/>
      <c r="G46" s="118" t="s">
        <v>93</v>
      </c>
      <c r="H46" s="119"/>
      <c r="I46" s="120" t="s">
        <v>94</v>
      </c>
      <c r="J46" s="121"/>
      <c r="K46" s="121"/>
      <c r="L46" s="121"/>
      <c r="M46" s="122"/>
      <c r="O46" s="1"/>
      <c r="V46" s="9"/>
      <c r="W46" s="123" t="s">
        <v>92</v>
      </c>
      <c r="X46" s="655" t="s">
        <v>95</v>
      </c>
      <c r="Y46" s="655"/>
      <c r="Z46" s="656" t="s">
        <v>94</v>
      </c>
      <c r="AA46" s="656"/>
      <c r="AB46" s="656"/>
      <c r="AC46" s="656"/>
      <c r="AD46" s="124"/>
    </row>
    <row r="47" spans="1:30" ht="18.75" customHeight="1" x14ac:dyDescent="0.25">
      <c r="B47" s="107" t="s">
        <v>96</v>
      </c>
      <c r="C47" s="125">
        <f>K10+K11+K16+K19+K22</f>
        <v>0</v>
      </c>
      <c r="D47" s="125"/>
      <c r="E47" s="125"/>
      <c r="F47" s="125"/>
      <c r="G47" s="126">
        <f>K7</f>
        <v>1.0326</v>
      </c>
      <c r="H47" s="126"/>
      <c r="I47" s="127">
        <v>1316.85</v>
      </c>
      <c r="J47" s="128" t="s">
        <v>97</v>
      </c>
      <c r="K47" s="129">
        <f>ROUND(C47*G47*I47,0)</f>
        <v>0</v>
      </c>
      <c r="L47" s="130"/>
      <c r="O47" s="1"/>
      <c r="V47" s="110" t="s">
        <v>96</v>
      </c>
      <c r="W47" s="131">
        <f>AB10+AB11+AB16+AB19+AB22</f>
        <v>0</v>
      </c>
      <c r="X47" s="647">
        <f>AB7</f>
        <v>1.0326</v>
      </c>
      <c r="Y47" s="647"/>
      <c r="Z47" s="132">
        <f>+I47</f>
        <v>1316.85</v>
      </c>
      <c r="AA47" s="133" t="s">
        <v>97</v>
      </c>
      <c r="AB47" s="134">
        <f>ROUND(W47*X47*Z47,0)</f>
        <v>0</v>
      </c>
      <c r="AC47" s="135"/>
      <c r="AD47" s="9"/>
    </row>
    <row r="48" spans="1:30" ht="18" customHeight="1" x14ac:dyDescent="0.25">
      <c r="B48" s="136" t="s">
        <v>74</v>
      </c>
      <c r="C48" s="125">
        <f>K12+K13+K17+K20+K23</f>
        <v>0</v>
      </c>
      <c r="D48" s="125"/>
      <c r="E48" s="125"/>
      <c r="F48" s="125"/>
      <c r="G48" s="126">
        <f>K7</f>
        <v>1.0326</v>
      </c>
      <c r="H48" s="126"/>
      <c r="I48" s="127">
        <v>898.23</v>
      </c>
      <c r="J48" s="128" t="s">
        <v>97</v>
      </c>
      <c r="K48" s="129">
        <f>ROUND(C48*G48*I48,0)</f>
        <v>0</v>
      </c>
      <c r="L48" s="62"/>
      <c r="O48" s="1"/>
      <c r="V48" s="137" t="s">
        <v>74</v>
      </c>
      <c r="W48" s="131">
        <f>AB12+AB13+AB17+AB20+AB23</f>
        <v>0</v>
      </c>
      <c r="X48" s="647">
        <f>AB7</f>
        <v>1.0326</v>
      </c>
      <c r="Y48" s="647"/>
      <c r="Z48" s="132">
        <f>+I48</f>
        <v>898.23</v>
      </c>
      <c r="AA48" s="133" t="s">
        <v>97</v>
      </c>
      <c r="AB48" s="134">
        <f>ROUND(W48*X48*Z48,0)</f>
        <v>0</v>
      </c>
      <c r="AC48" s="138"/>
      <c r="AD48" s="9"/>
    </row>
    <row r="49" spans="2:30" ht="19.5" customHeight="1" thickBot="1" x14ac:dyDescent="0.3">
      <c r="B49" s="139" t="s">
        <v>78</v>
      </c>
      <c r="C49" s="140">
        <f>K14+K15+K18+K21+K24+K25</f>
        <v>85.100700000000003</v>
      </c>
      <c r="D49" s="125"/>
      <c r="E49" s="125"/>
      <c r="F49" s="125"/>
      <c r="G49" s="126">
        <f>K7</f>
        <v>1.0326</v>
      </c>
      <c r="H49" s="126"/>
      <c r="I49" s="127">
        <v>900.39</v>
      </c>
      <c r="J49" s="128" t="s">
        <v>97</v>
      </c>
      <c r="K49" s="129">
        <f>ROUND(C49*G49*I49,0)</f>
        <v>79122</v>
      </c>
      <c r="L49" s="62"/>
      <c r="M49" s="112"/>
      <c r="N49" s="141"/>
      <c r="O49" s="142"/>
      <c r="P49" s="101"/>
      <c r="Q49" s="143"/>
      <c r="V49" s="144" t="s">
        <v>78</v>
      </c>
      <c r="W49" s="145">
        <f>AB14+AB15+AB18+AB21+AB24+AB25</f>
        <v>0</v>
      </c>
      <c r="X49" s="647">
        <f>AB7</f>
        <v>1.0326</v>
      </c>
      <c r="Y49" s="647"/>
      <c r="Z49" s="132">
        <f>+I49</f>
        <v>900.39</v>
      </c>
      <c r="AA49" s="133" t="s">
        <v>97</v>
      </c>
      <c r="AB49" s="134">
        <f>ROUND(W49*X49*Z49,0)</f>
        <v>0</v>
      </c>
      <c r="AC49" s="138"/>
      <c r="AD49" s="113"/>
    </row>
    <row r="50" spans="2:30" ht="24" customHeight="1" thickBot="1" x14ac:dyDescent="0.3">
      <c r="B50" s="146" t="s">
        <v>98</v>
      </c>
      <c r="C50" s="147">
        <f>SUM(C47:C49)</f>
        <v>85.100700000000003</v>
      </c>
      <c r="D50" s="148"/>
      <c r="E50" s="149"/>
      <c r="F50" s="149"/>
      <c r="G50" s="150" t="s">
        <v>99</v>
      </c>
      <c r="H50" s="150"/>
      <c r="I50" s="150"/>
      <c r="J50" s="150"/>
      <c r="K50" s="150"/>
      <c r="L50" s="50">
        <f>IF(B2=75,0,K49+K48+K47)</f>
        <v>79122</v>
      </c>
      <c r="N50" s="3"/>
      <c r="O50" s="1"/>
      <c r="V50" s="151" t="s">
        <v>98</v>
      </c>
      <c r="W50" s="152">
        <f>SUM(W47:W49)</f>
        <v>0</v>
      </c>
      <c r="X50" s="648" t="s">
        <v>99</v>
      </c>
      <c r="Y50" s="649"/>
      <c r="Z50" s="649"/>
      <c r="AA50" s="649"/>
      <c r="AB50" s="649"/>
      <c r="AC50" s="56">
        <f>IF(V2=75,0,AB49+AB48+AB47)</f>
        <v>0</v>
      </c>
      <c r="AD50" s="9"/>
    </row>
    <row r="51" spans="2:30" ht="19.5" customHeight="1" x14ac:dyDescent="0.25">
      <c r="B51" s="153" t="s">
        <v>100</v>
      </c>
      <c r="C51" s="153"/>
      <c r="D51" s="153"/>
      <c r="E51" s="153"/>
      <c r="F51" s="153"/>
      <c r="G51" s="153"/>
      <c r="H51" s="153"/>
      <c r="I51" s="153"/>
      <c r="J51" s="153"/>
      <c r="K51" s="153"/>
      <c r="L51" s="153"/>
      <c r="M51" s="141"/>
      <c r="N51" s="101"/>
      <c r="O51" s="1"/>
      <c r="V51" s="650" t="s">
        <v>100</v>
      </c>
      <c r="W51" s="650"/>
      <c r="X51" s="650"/>
      <c r="Y51" s="650"/>
      <c r="Z51" s="650"/>
      <c r="AA51" s="650"/>
      <c r="AB51" s="650"/>
      <c r="AC51" s="650"/>
      <c r="AD51" s="154"/>
    </row>
    <row r="52" spans="2:30" ht="27.75" customHeight="1" x14ac:dyDescent="0.25">
      <c r="B52" s="13" t="s">
        <v>101</v>
      </c>
      <c r="C52" s="13"/>
      <c r="D52" s="13"/>
      <c r="E52" s="13"/>
      <c r="F52" s="13"/>
      <c r="G52" s="13"/>
      <c r="H52" s="13"/>
      <c r="I52" s="13"/>
      <c r="J52" s="13"/>
      <c r="K52" s="13"/>
      <c r="L52" s="13"/>
      <c r="O52" s="1"/>
      <c r="V52" s="651" t="s">
        <v>101</v>
      </c>
      <c r="W52" s="651"/>
      <c r="X52" s="651"/>
      <c r="Y52" s="651"/>
      <c r="Z52" s="651"/>
      <c r="AA52" s="651"/>
      <c r="AB52" s="651"/>
      <c r="AC52" s="651"/>
      <c r="AD52" s="9"/>
    </row>
    <row r="53" spans="2:30" x14ac:dyDescent="0.25">
      <c r="B53" s="13" t="s">
        <v>102</v>
      </c>
      <c r="C53" s="13"/>
      <c r="D53" s="13"/>
      <c r="E53" s="13"/>
      <c r="F53" s="13"/>
      <c r="G53" s="155">
        <f>K26</f>
        <v>85.100700000000003</v>
      </c>
      <c r="H53" s="57" t="s">
        <v>103</v>
      </c>
      <c r="I53" s="57"/>
      <c r="J53" s="156">
        <v>197823.77</v>
      </c>
      <c r="K53" s="156"/>
      <c r="L53" s="156"/>
      <c r="N53" s="3"/>
      <c r="O53" s="1"/>
      <c r="V53" s="657" t="s">
        <v>102</v>
      </c>
      <c r="W53" s="657"/>
      <c r="X53" s="157">
        <f>AB26</f>
        <v>0</v>
      </c>
      <c r="Y53" s="658" t="s">
        <v>103</v>
      </c>
      <c r="Z53" s="658"/>
      <c r="AA53" s="659">
        <f>+J53</f>
        <v>197823.77</v>
      </c>
      <c r="AB53" s="659"/>
      <c r="AC53" s="659"/>
      <c r="AD53" s="9"/>
    </row>
    <row r="54" spans="2:30" x14ac:dyDescent="0.25">
      <c r="B54" s="13" t="s">
        <v>104</v>
      </c>
      <c r="C54" s="13"/>
      <c r="D54" s="13"/>
      <c r="E54" s="13"/>
      <c r="F54" s="13"/>
      <c r="G54" s="13"/>
      <c r="H54" s="13"/>
      <c r="I54" s="13"/>
      <c r="J54" s="13"/>
      <c r="K54" s="158">
        <f>ROUND(G53/J53,6)</f>
        <v>4.2999999999999999E-4</v>
      </c>
      <c r="L54" s="158"/>
      <c r="N54" s="101"/>
      <c r="O54" s="1"/>
      <c r="V54" s="657" t="s">
        <v>104</v>
      </c>
      <c r="W54" s="657"/>
      <c r="X54" s="657"/>
      <c r="Y54" s="657"/>
      <c r="Z54" s="657"/>
      <c r="AA54" s="657"/>
      <c r="AB54" s="660">
        <f>ROUND(X53/AA53,6)</f>
        <v>0</v>
      </c>
      <c r="AC54" s="660"/>
      <c r="AD54" s="9"/>
    </row>
    <row r="55" spans="2:30" ht="24" customHeight="1" x14ac:dyDescent="0.25">
      <c r="B55" s="13" t="s">
        <v>105</v>
      </c>
      <c r="C55" s="13"/>
      <c r="D55" s="13"/>
      <c r="E55" s="13"/>
      <c r="F55" s="13"/>
      <c r="G55" s="13"/>
      <c r="H55" s="13"/>
      <c r="I55" s="13"/>
      <c r="J55" s="13"/>
      <c r="K55" s="13"/>
      <c r="L55" s="13"/>
      <c r="O55" s="1"/>
      <c r="V55" s="651" t="s">
        <v>105</v>
      </c>
      <c r="W55" s="651"/>
      <c r="X55" s="651"/>
      <c r="Y55" s="651"/>
      <c r="Z55" s="651"/>
      <c r="AA55" s="651"/>
      <c r="AB55" s="651"/>
      <c r="AC55" s="651"/>
      <c r="AD55" s="9"/>
    </row>
    <row r="56" spans="2:30" x14ac:dyDescent="0.25">
      <c r="B56" s="13" t="s">
        <v>106</v>
      </c>
      <c r="C56" s="13"/>
      <c r="D56" s="13"/>
      <c r="E56" s="13"/>
      <c r="F56" s="13"/>
      <c r="G56" s="159">
        <f>G26</f>
        <v>83.850000000000009</v>
      </c>
      <c r="H56" s="57" t="s">
        <v>107</v>
      </c>
      <c r="I56" s="57"/>
      <c r="J56" s="156">
        <f>+G40</f>
        <v>180284.81</v>
      </c>
      <c r="K56" s="156"/>
      <c r="L56" s="156"/>
      <c r="O56" s="1"/>
      <c r="V56" s="657" t="s">
        <v>106</v>
      </c>
      <c r="W56" s="657"/>
      <c r="X56" s="160">
        <f>X26</f>
        <v>0</v>
      </c>
      <c r="Y56" s="658" t="s">
        <v>107</v>
      </c>
      <c r="Z56" s="658"/>
      <c r="AA56" s="659">
        <f>+J56</f>
        <v>180284.81</v>
      </c>
      <c r="AB56" s="659"/>
      <c r="AC56" s="659"/>
      <c r="AD56" s="9"/>
    </row>
    <row r="57" spans="2:30" x14ac:dyDescent="0.25">
      <c r="B57" s="13" t="s">
        <v>108</v>
      </c>
      <c r="C57" s="13"/>
      <c r="D57" s="13"/>
      <c r="E57" s="13"/>
      <c r="F57" s="13"/>
      <c r="G57" s="13"/>
      <c r="H57" s="13"/>
      <c r="I57" s="13"/>
      <c r="J57" s="13"/>
      <c r="K57" s="158">
        <f>ROUND(G56/J56,6)</f>
        <v>4.6500000000000003E-4</v>
      </c>
      <c r="L57" s="158"/>
      <c r="O57" s="1"/>
      <c r="V57" s="657" t="s">
        <v>108</v>
      </c>
      <c r="W57" s="657"/>
      <c r="X57" s="657"/>
      <c r="Y57" s="657"/>
      <c r="Z57" s="657"/>
      <c r="AA57" s="657"/>
      <c r="AB57" s="660">
        <f>ROUND(X56/AA56,6)</f>
        <v>0</v>
      </c>
      <c r="AC57" s="660"/>
      <c r="AD57" s="9"/>
    </row>
    <row r="58" spans="2:30" ht="20.25" customHeight="1" x14ac:dyDescent="0.25">
      <c r="B58" s="161" t="s">
        <v>109</v>
      </c>
      <c r="C58" s="161"/>
      <c r="D58" s="161"/>
      <c r="E58" s="161"/>
      <c r="F58" s="161"/>
      <c r="G58" s="161"/>
      <c r="H58" s="161"/>
      <c r="I58" s="161"/>
      <c r="J58" s="161"/>
      <c r="K58" s="161"/>
      <c r="L58" s="161"/>
      <c r="N58" s="18"/>
      <c r="O58" s="18"/>
      <c r="V58" s="629" t="s">
        <v>110</v>
      </c>
      <c r="W58" s="629"/>
      <c r="X58" s="629"/>
      <c r="Y58" s="661">
        <f>X65+X64+X62+X61+X60</f>
        <v>4123852</v>
      </c>
      <c r="Z58" s="661"/>
      <c r="AA58" s="162" t="s">
        <v>111</v>
      </c>
      <c r="AB58" s="163">
        <f>AB54</f>
        <v>0</v>
      </c>
      <c r="AC58" s="56">
        <f>ROUND(Y58*AB58,0)</f>
        <v>0</v>
      </c>
      <c r="AD58" s="9"/>
    </row>
    <row r="59" spans="2:30" x14ac:dyDescent="0.25">
      <c r="B59" s="62" t="s">
        <v>110</v>
      </c>
      <c r="C59" s="62"/>
      <c r="D59" s="62"/>
      <c r="E59" s="62"/>
      <c r="F59" s="62"/>
      <c r="G59" s="62"/>
      <c r="H59" s="164" t="s">
        <v>22</v>
      </c>
      <c r="I59" s="129">
        <v>4123852</v>
      </c>
      <c r="J59" s="165" t="s">
        <v>111</v>
      </c>
      <c r="K59" s="166">
        <f>K54</f>
        <v>4.2999999999999999E-4</v>
      </c>
      <c r="L59" s="50">
        <f>ROUND(I59*K59,0)</f>
        <v>1773</v>
      </c>
      <c r="O59" s="1"/>
      <c r="P59" s="165"/>
      <c r="Q59" s="165"/>
      <c r="V59" s="662" t="s">
        <v>112</v>
      </c>
      <c r="W59" s="662"/>
      <c r="X59" s="662"/>
      <c r="Y59" s="662"/>
      <c r="Z59" s="662"/>
      <c r="AA59" s="662"/>
      <c r="AB59" s="662"/>
      <c r="AC59" s="662"/>
      <c r="AD59" s="9"/>
    </row>
    <row r="60" spans="2:30" x14ac:dyDescent="0.25">
      <c r="B60" s="62" t="s">
        <v>112</v>
      </c>
      <c r="C60" s="62"/>
      <c r="D60" s="62"/>
      <c r="E60" s="62"/>
      <c r="F60" s="62"/>
      <c r="G60" s="62"/>
      <c r="H60" s="62"/>
      <c r="I60" s="62"/>
      <c r="J60" s="62"/>
      <c r="K60" s="62"/>
      <c r="L60" s="62"/>
      <c r="O60" s="1"/>
      <c r="P60" s="165"/>
      <c r="Q60" s="165"/>
      <c r="V60" s="663" t="s">
        <v>113</v>
      </c>
      <c r="W60" s="663"/>
      <c r="X60" s="664">
        <f>+G61</f>
        <v>0</v>
      </c>
      <c r="Y60" s="664"/>
      <c r="Z60" s="664"/>
      <c r="AA60" s="664"/>
      <c r="AB60" s="664"/>
      <c r="AC60" s="664"/>
      <c r="AD60" s="9"/>
    </row>
    <row r="61" spans="2:30" ht="15" customHeight="1" x14ac:dyDescent="0.25">
      <c r="B61" s="167" t="s">
        <v>113</v>
      </c>
      <c r="C61" s="62"/>
      <c r="D61" s="62"/>
      <c r="E61" s="62"/>
      <c r="F61" s="62"/>
      <c r="G61" s="168">
        <v>0</v>
      </c>
      <c r="H61" s="168"/>
      <c r="I61" s="168"/>
      <c r="J61" s="168"/>
      <c r="K61" s="168"/>
      <c r="L61" s="168"/>
      <c r="O61" s="1"/>
      <c r="P61" s="165"/>
      <c r="Q61" s="165"/>
      <c r="V61" s="663" t="s">
        <v>114</v>
      </c>
      <c r="W61" s="663"/>
      <c r="X61" s="664">
        <f>+G62</f>
        <v>0</v>
      </c>
      <c r="Y61" s="664"/>
      <c r="Z61" s="664"/>
      <c r="AA61" s="664"/>
      <c r="AB61" s="664"/>
      <c r="AC61" s="664"/>
      <c r="AD61" s="9"/>
    </row>
    <row r="62" spans="2:30" ht="13.5" customHeight="1" x14ac:dyDescent="0.25">
      <c r="B62" s="167" t="s">
        <v>114</v>
      </c>
      <c r="C62" s="62"/>
      <c r="D62" s="62"/>
      <c r="E62" s="62"/>
      <c r="F62" s="62"/>
      <c r="G62" s="168">
        <v>0</v>
      </c>
      <c r="H62" s="168"/>
      <c r="I62" s="168"/>
      <c r="J62" s="168"/>
      <c r="K62" s="168"/>
      <c r="L62" s="168"/>
      <c r="N62" s="165"/>
      <c r="O62" s="165"/>
      <c r="P62" s="165"/>
      <c r="Q62" s="165"/>
      <c r="V62" s="663" t="s">
        <v>115</v>
      </c>
      <c r="W62" s="663"/>
      <c r="X62" s="664">
        <v>0</v>
      </c>
      <c r="Y62" s="664"/>
      <c r="Z62" s="664"/>
      <c r="AA62" s="664"/>
      <c r="AB62" s="664"/>
      <c r="AC62" s="664"/>
      <c r="AD62" s="9"/>
    </row>
    <row r="63" spans="2:30" ht="13.5" hidden="1" customHeight="1" x14ac:dyDescent="0.25">
      <c r="B63" s="62" t="s">
        <v>115</v>
      </c>
      <c r="C63" s="62"/>
      <c r="D63" s="62"/>
      <c r="E63" s="62"/>
      <c r="F63" s="62"/>
      <c r="G63" s="168">
        <v>0</v>
      </c>
      <c r="H63" s="168"/>
      <c r="I63" s="168"/>
      <c r="J63" s="168"/>
      <c r="K63" s="168"/>
      <c r="L63" s="168"/>
      <c r="O63" s="1"/>
      <c r="P63" s="165"/>
      <c r="Q63" s="165"/>
      <c r="V63" s="662" t="s">
        <v>116</v>
      </c>
      <c r="W63" s="662"/>
      <c r="X63" s="662"/>
      <c r="Y63" s="662"/>
      <c r="Z63" s="662"/>
      <c r="AA63" s="662"/>
      <c r="AB63" s="662"/>
      <c r="AC63" s="662"/>
      <c r="AD63" s="117"/>
    </row>
    <row r="64" spans="2:30" ht="13.5" customHeight="1" x14ac:dyDescent="0.25">
      <c r="B64" s="62" t="s">
        <v>116</v>
      </c>
      <c r="C64" s="62"/>
      <c r="D64" s="62"/>
      <c r="E64" s="62"/>
      <c r="F64" s="62"/>
      <c r="G64" s="62"/>
      <c r="H64" s="62"/>
      <c r="I64" s="62"/>
      <c r="J64" s="62"/>
      <c r="K64" s="62"/>
      <c r="L64" s="62"/>
      <c r="M64" s="116"/>
      <c r="N64" s="18"/>
      <c r="O64" s="1"/>
      <c r="V64" s="663" t="s">
        <v>117</v>
      </c>
      <c r="W64" s="663"/>
      <c r="X64" s="664">
        <f>+G65</f>
        <v>4123852</v>
      </c>
      <c r="Y64" s="664"/>
      <c r="Z64" s="664"/>
      <c r="AA64" s="664"/>
      <c r="AB64" s="664"/>
      <c r="AC64" s="664"/>
      <c r="AD64" s="9"/>
    </row>
    <row r="65" spans="1:30" ht="12.75" customHeight="1" x14ac:dyDescent="0.25">
      <c r="B65" s="167" t="s">
        <v>117</v>
      </c>
      <c r="C65" s="62"/>
      <c r="D65" s="62"/>
      <c r="E65" s="62"/>
      <c r="F65" s="62"/>
      <c r="G65" s="168">
        <f>+I59</f>
        <v>4123852</v>
      </c>
      <c r="H65" s="168"/>
      <c r="I65" s="168"/>
      <c r="J65" s="168"/>
      <c r="K65" s="168"/>
      <c r="L65" s="168"/>
      <c r="O65" s="1"/>
      <c r="V65" s="663" t="s">
        <v>118</v>
      </c>
      <c r="W65" s="663"/>
      <c r="X65" s="664">
        <f>+G66</f>
        <v>0</v>
      </c>
      <c r="Y65" s="664"/>
      <c r="Z65" s="664"/>
      <c r="AA65" s="664"/>
      <c r="AB65" s="664"/>
      <c r="AC65" s="664"/>
      <c r="AD65" s="20"/>
    </row>
    <row r="66" spans="1:30" ht="15" customHeight="1" x14ac:dyDescent="0.25">
      <c r="B66" s="167" t="s">
        <v>118</v>
      </c>
      <c r="C66" s="62"/>
      <c r="D66" s="62"/>
      <c r="E66" s="62"/>
      <c r="F66" s="62"/>
      <c r="G66" s="168">
        <v>0</v>
      </c>
      <c r="H66" s="168"/>
      <c r="I66" s="168"/>
      <c r="J66" s="168"/>
      <c r="K66" s="168"/>
      <c r="L66" s="168"/>
      <c r="M66" s="18"/>
      <c r="N66" s="3"/>
      <c r="O66" s="169"/>
      <c r="P66" s="169"/>
      <c r="Q66" s="169"/>
      <c r="V66" s="651" t="s">
        <v>119</v>
      </c>
      <c r="W66" s="651"/>
      <c r="X66" s="651"/>
      <c r="Y66" s="661">
        <f>+I67</f>
        <v>96774526</v>
      </c>
      <c r="Z66" s="661"/>
      <c r="AA66" s="162" t="s">
        <v>111</v>
      </c>
      <c r="AB66" s="163">
        <f>AB54</f>
        <v>0</v>
      </c>
      <c r="AC66" s="56">
        <f>ROUND(Y66*AB66,0)</f>
        <v>0</v>
      </c>
      <c r="AD66" s="9"/>
    </row>
    <row r="67" spans="1:30" ht="20.25" customHeight="1" x14ac:dyDescent="0.25">
      <c r="B67" s="13" t="s">
        <v>119</v>
      </c>
      <c r="C67" s="13"/>
      <c r="D67" s="13"/>
      <c r="E67" s="13"/>
      <c r="F67" s="13"/>
      <c r="H67" s="164" t="s">
        <v>25</v>
      </c>
      <c r="I67" s="129">
        <v>96774526</v>
      </c>
      <c r="J67" s="165" t="s">
        <v>111</v>
      </c>
      <c r="K67" s="166">
        <f>K54</f>
        <v>4.2999999999999999E-4</v>
      </c>
      <c r="L67" s="50">
        <f>ROUND(I67*K67,0)</f>
        <v>41613</v>
      </c>
      <c r="O67" s="1"/>
      <c r="V67" s="651" t="s">
        <v>120</v>
      </c>
      <c r="W67" s="651"/>
      <c r="X67" s="651"/>
      <c r="Y67" s="651"/>
      <c r="Z67" s="651"/>
      <c r="AA67" s="651"/>
      <c r="AB67" s="651"/>
      <c r="AC67" s="651"/>
      <c r="AD67" s="9"/>
    </row>
    <row r="68" spans="1:30" ht="20.25" customHeight="1" x14ac:dyDescent="0.25">
      <c r="B68" s="13" t="s">
        <v>120</v>
      </c>
      <c r="C68" s="13"/>
      <c r="D68" s="13"/>
      <c r="E68" s="13"/>
      <c r="F68" s="13"/>
      <c r="H68" s="13"/>
      <c r="I68" s="13"/>
      <c r="J68" s="82"/>
      <c r="K68" s="13"/>
      <c r="L68" s="13"/>
      <c r="O68" s="1"/>
      <c r="V68" s="667" t="s">
        <v>121</v>
      </c>
      <c r="W68" s="667"/>
      <c r="X68" s="667"/>
      <c r="Y68" s="661">
        <f>+I69</f>
        <v>0</v>
      </c>
      <c r="Z68" s="661"/>
      <c r="AA68" s="162" t="s">
        <v>111</v>
      </c>
      <c r="AB68" s="163">
        <f>AB57</f>
        <v>0</v>
      </c>
      <c r="AC68" s="56">
        <f>ROUND(Y68*AB68,0)</f>
        <v>0</v>
      </c>
      <c r="AD68" s="9"/>
    </row>
    <row r="69" spans="1:30" ht="15" customHeight="1" x14ac:dyDescent="0.25">
      <c r="B69" s="170" t="s">
        <v>121</v>
      </c>
      <c r="C69" s="13"/>
      <c r="D69" s="13"/>
      <c r="E69" s="13"/>
      <c r="F69" s="13"/>
      <c r="H69" s="164" t="s">
        <v>23</v>
      </c>
      <c r="I69" s="129">
        <v>0</v>
      </c>
      <c r="J69" s="165" t="s">
        <v>111</v>
      </c>
      <c r="K69" s="166">
        <f>K57</f>
        <v>4.6500000000000003E-4</v>
      </c>
      <c r="L69" s="50">
        <f>ROUND(I69*K69,0)</f>
        <v>0</v>
      </c>
      <c r="O69" s="1"/>
      <c r="V69" s="651" t="s">
        <v>122</v>
      </c>
      <c r="W69" s="651"/>
      <c r="X69" s="651"/>
      <c r="Y69" s="668">
        <f>+I70</f>
        <v>-3460775</v>
      </c>
      <c r="Z69" s="668"/>
      <c r="AA69" s="162" t="s">
        <v>111</v>
      </c>
      <c r="AB69" s="163">
        <f>AB54</f>
        <v>0</v>
      </c>
      <c r="AC69" s="56">
        <f>ROUND(Y69*AB69,0)</f>
        <v>0</v>
      </c>
      <c r="AD69" s="9"/>
    </row>
    <row r="70" spans="1:30" ht="20.25" customHeight="1" x14ac:dyDescent="0.25">
      <c r="B70" s="13" t="s">
        <v>122</v>
      </c>
      <c r="C70" s="13"/>
      <c r="D70" s="13"/>
      <c r="E70" s="13"/>
      <c r="F70" s="13"/>
      <c r="H70" s="164" t="s">
        <v>22</v>
      </c>
      <c r="I70" s="129">
        <v>-3460775</v>
      </c>
      <c r="J70" s="165" t="s">
        <v>111</v>
      </c>
      <c r="K70" s="166">
        <f>K54</f>
        <v>4.2999999999999999E-4</v>
      </c>
      <c r="L70" s="50">
        <f>ROUND(I70*K70,0)</f>
        <v>-1488</v>
      </c>
      <c r="O70" s="1"/>
      <c r="V70" s="651" t="s">
        <v>123</v>
      </c>
      <c r="W70" s="651"/>
      <c r="X70" s="651"/>
      <c r="Y70" s="665">
        <f>+I71</f>
        <v>1874788</v>
      </c>
      <c r="Z70" s="665"/>
      <c r="AA70" s="162" t="s">
        <v>111</v>
      </c>
      <c r="AB70" s="163">
        <f>AB54</f>
        <v>0</v>
      </c>
      <c r="AC70" s="56">
        <f>ROUND(Y70*AB70,0)</f>
        <v>0</v>
      </c>
      <c r="AD70" s="9"/>
    </row>
    <row r="71" spans="1:30" ht="20.25" customHeight="1" x14ac:dyDescent="0.25">
      <c r="B71" s="13" t="s">
        <v>123</v>
      </c>
      <c r="C71" s="13"/>
      <c r="D71" s="13"/>
      <c r="E71" s="13"/>
      <c r="F71" s="13"/>
      <c r="H71" s="164" t="s">
        <v>22</v>
      </c>
      <c r="I71" s="129">
        <v>1874788</v>
      </c>
      <c r="J71" s="165" t="s">
        <v>111</v>
      </c>
      <c r="K71" s="166">
        <f>K54</f>
        <v>4.2999999999999999E-4</v>
      </c>
      <c r="L71" s="50">
        <f>ROUND(I71*K71,0)</f>
        <v>806</v>
      </c>
      <c r="O71" s="1"/>
      <c r="V71" s="651" t="s">
        <v>124</v>
      </c>
      <c r="W71" s="651"/>
      <c r="X71" s="651"/>
      <c r="Y71" s="665">
        <f>+I72</f>
        <v>14223298</v>
      </c>
      <c r="Z71" s="665"/>
      <c r="AA71" s="162" t="s">
        <v>111</v>
      </c>
      <c r="AB71" s="163">
        <f>AB57</f>
        <v>0</v>
      </c>
      <c r="AC71" s="56">
        <f>ROUND(Y71*AB71,0)</f>
        <v>0</v>
      </c>
      <c r="AD71" s="9"/>
    </row>
    <row r="72" spans="1:30" ht="21" customHeight="1" x14ac:dyDescent="0.25">
      <c r="B72" s="13" t="s">
        <v>124</v>
      </c>
      <c r="C72" s="13"/>
      <c r="D72" s="13"/>
      <c r="E72" s="13"/>
      <c r="F72" s="13"/>
      <c r="H72" s="164" t="s">
        <v>23</v>
      </c>
      <c r="I72" s="171">
        <v>14223298</v>
      </c>
      <c r="J72" s="165" t="s">
        <v>111</v>
      </c>
      <c r="K72" s="166">
        <f>K57</f>
        <v>4.6500000000000003E-4</v>
      </c>
      <c r="L72" s="50">
        <f>ROUND(I72*K72,0)</f>
        <v>6614</v>
      </c>
      <c r="O72" s="1"/>
      <c r="V72" s="623" t="s">
        <v>125</v>
      </c>
      <c r="W72" s="623"/>
      <c r="X72" s="623"/>
      <c r="Y72" s="623"/>
      <c r="Z72" s="623"/>
      <c r="AA72" s="623"/>
      <c r="AB72" s="623"/>
      <c r="AC72" s="60"/>
      <c r="AD72" s="9"/>
    </row>
    <row r="73" spans="1:30" ht="17.25" customHeight="1" x14ac:dyDescent="0.25">
      <c r="B73" s="13" t="s">
        <v>125</v>
      </c>
      <c r="C73" s="13"/>
      <c r="D73" s="13"/>
      <c r="E73" s="13"/>
      <c r="F73" s="13"/>
      <c r="H73" s="13"/>
      <c r="I73" s="13"/>
      <c r="J73" s="82"/>
      <c r="K73" s="13"/>
      <c r="L73" s="59"/>
      <c r="O73" s="1"/>
      <c r="V73" s="651" t="s">
        <v>126</v>
      </c>
      <c r="W73" s="651"/>
      <c r="X73" s="651"/>
      <c r="Y73" s="651"/>
      <c r="Z73" s="651"/>
      <c r="AA73" s="651"/>
      <c r="AB73" s="651"/>
      <c r="AC73" s="651"/>
      <c r="AD73" s="9"/>
    </row>
    <row r="74" spans="1:30" ht="31.5" x14ac:dyDescent="0.25">
      <c r="B74" s="13" t="s">
        <v>126</v>
      </c>
      <c r="C74" s="13"/>
      <c r="D74" s="27" t="s">
        <v>13</v>
      </c>
      <c r="E74" s="27" t="s">
        <v>14</v>
      </c>
      <c r="F74" s="27"/>
      <c r="H74" s="164" t="s">
        <v>26</v>
      </c>
      <c r="I74" s="172"/>
      <c r="J74" s="164"/>
      <c r="K74" s="172"/>
      <c r="L74" s="112"/>
      <c r="O74" s="1"/>
      <c r="V74" s="666" t="s">
        <v>127</v>
      </c>
      <c r="W74" s="666"/>
      <c r="X74" s="173" t="s">
        <v>128</v>
      </c>
      <c r="Y74" s="174"/>
      <c r="Z74" s="175">
        <f>+I75</f>
        <v>60</v>
      </c>
      <c r="AA74" s="176" t="s">
        <v>129</v>
      </c>
      <c r="AB74" s="177">
        <f>+K75</f>
        <v>361</v>
      </c>
      <c r="AC74" s="56">
        <f>ROUND(AB74*Z74,0)</f>
        <v>21660</v>
      </c>
      <c r="AD74" s="9"/>
    </row>
    <row r="75" spans="1:30" ht="19.5" customHeight="1" x14ac:dyDescent="0.25">
      <c r="A75" s="1" t="s">
        <v>130</v>
      </c>
      <c r="B75" s="178" t="s">
        <v>127</v>
      </c>
      <c r="C75" s="179" t="s">
        <v>128</v>
      </c>
      <c r="D75" s="178">
        <v>66</v>
      </c>
      <c r="E75" s="178">
        <v>54</v>
      </c>
      <c r="F75" s="178">
        <v>0</v>
      </c>
      <c r="G75" s="180">
        <f>IF(E75=0,D75,E75)</f>
        <v>54</v>
      </c>
      <c r="H75" s="181"/>
      <c r="I75" s="182">
        <f>AVERAGE(G75,D75)</f>
        <v>60</v>
      </c>
      <c r="J75" s="183" t="s">
        <v>129</v>
      </c>
      <c r="K75" s="184">
        <v>361</v>
      </c>
      <c r="L75" s="50">
        <f>ROUND(K75*I75,0)</f>
        <v>21660</v>
      </c>
      <c r="N75" s="1">
        <v>7802</v>
      </c>
      <c r="O75" s="1">
        <v>0</v>
      </c>
      <c r="V75" s="666" t="s">
        <v>127</v>
      </c>
      <c r="W75" s="666"/>
      <c r="X75" s="173" t="s">
        <v>131</v>
      </c>
      <c r="Y75" s="185"/>
      <c r="Z75" s="186">
        <f>+I76</f>
        <v>0</v>
      </c>
      <c r="AA75" s="176" t="s">
        <v>129</v>
      </c>
      <c r="AB75" s="187">
        <f>+K76</f>
        <v>1358</v>
      </c>
      <c r="AC75" s="56">
        <f>ROUND(AB75*Z75,0)</f>
        <v>0</v>
      </c>
      <c r="AD75" s="9"/>
    </row>
    <row r="76" spans="1:30" ht="19.5" customHeight="1" x14ac:dyDescent="0.25">
      <c r="A76" s="1" t="s">
        <v>132</v>
      </c>
      <c r="B76" s="178" t="s">
        <v>127</v>
      </c>
      <c r="C76" s="179" t="s">
        <v>131</v>
      </c>
      <c r="D76" s="178">
        <v>0</v>
      </c>
      <c r="E76" s="178">
        <v>0</v>
      </c>
      <c r="F76" s="178">
        <v>0</v>
      </c>
      <c r="G76" s="180">
        <f>IF(E76=0,D76,E76)</f>
        <v>0</v>
      </c>
      <c r="H76" s="181"/>
      <c r="I76" s="182">
        <f>AVERAGE(G76,D76)</f>
        <v>0</v>
      </c>
      <c r="J76" s="183" t="s">
        <v>129</v>
      </c>
      <c r="K76" s="188">
        <v>1358</v>
      </c>
      <c r="L76" s="50">
        <f>ROUND(K76*I76,0)</f>
        <v>0</v>
      </c>
      <c r="N76" s="1">
        <v>7802</v>
      </c>
      <c r="O76" s="1">
        <v>110</v>
      </c>
      <c r="V76" s="651" t="s">
        <v>133</v>
      </c>
      <c r="W76" s="651"/>
      <c r="X76" s="651"/>
      <c r="Y76" s="661">
        <f>+I77</f>
        <v>33305823</v>
      </c>
      <c r="Z76" s="661"/>
      <c r="AA76" s="176" t="s">
        <v>129</v>
      </c>
      <c r="AB76" s="163">
        <f>AB54</f>
        <v>0</v>
      </c>
      <c r="AC76" s="56">
        <f>ROUND(Y76*AB76,0)</f>
        <v>0</v>
      </c>
      <c r="AD76" s="9"/>
    </row>
    <row r="77" spans="1:30" ht="26.25" customHeight="1" x14ac:dyDescent="0.25">
      <c r="B77" s="13" t="s">
        <v>133</v>
      </c>
      <c r="C77" s="13"/>
      <c r="D77" s="13"/>
      <c r="E77" s="13"/>
      <c r="F77" s="13"/>
      <c r="H77" s="164" t="s">
        <v>134</v>
      </c>
      <c r="I77" s="189">
        <v>33305823</v>
      </c>
      <c r="J77" s="165" t="s">
        <v>111</v>
      </c>
      <c r="K77" s="166">
        <f>K54</f>
        <v>4.2999999999999999E-4</v>
      </c>
      <c r="L77" s="50">
        <f>ROUND(I77*K77,0)</f>
        <v>14322</v>
      </c>
      <c r="O77" s="1"/>
      <c r="V77" s="651" t="str">
        <f>+B78</f>
        <v>15.  Additional Allocation (WFTE share)</v>
      </c>
      <c r="W77" s="651"/>
      <c r="X77" s="651"/>
      <c r="Y77" s="661">
        <f>+I78</f>
        <v>680688</v>
      </c>
      <c r="Z77" s="661"/>
      <c r="AA77" s="176" t="s">
        <v>129</v>
      </c>
      <c r="AB77" s="163">
        <f>AB54</f>
        <v>0</v>
      </c>
      <c r="AC77" s="56">
        <f>ROUND(Y77*AB77,0)</f>
        <v>0</v>
      </c>
      <c r="AD77" s="9"/>
    </row>
    <row r="78" spans="1:30" ht="26.25" customHeight="1" x14ac:dyDescent="0.25">
      <c r="B78" s="669" t="s">
        <v>135</v>
      </c>
      <c r="C78" s="669"/>
      <c r="D78" s="669"/>
      <c r="E78" s="13"/>
      <c r="F78" s="13"/>
      <c r="H78" s="164" t="s">
        <v>136</v>
      </c>
      <c r="I78" s="190">
        <v>680688</v>
      </c>
      <c r="J78" s="165" t="s">
        <v>111</v>
      </c>
      <c r="K78" s="166">
        <f>K54</f>
        <v>4.2999999999999999E-4</v>
      </c>
      <c r="L78" s="50">
        <f>ROUND(I78*K78,0)</f>
        <v>293</v>
      </c>
      <c r="O78" s="1"/>
      <c r="V78" s="651" t="str">
        <f t="shared" ref="V78:V79" si="11">+B79</f>
        <v>16.  Florida Teachers Lead Program Stipend</v>
      </c>
      <c r="W78" s="651"/>
      <c r="X78" s="651"/>
      <c r="Y78" s="191"/>
      <c r="Z78" s="191"/>
      <c r="AA78" s="191"/>
      <c r="AB78" s="191"/>
      <c r="AC78" s="134"/>
      <c r="AD78" s="9"/>
    </row>
    <row r="79" spans="1:30" ht="21" customHeight="1" x14ac:dyDescent="0.25">
      <c r="B79" s="669" t="s">
        <v>137</v>
      </c>
      <c r="C79" s="669"/>
      <c r="D79" s="669"/>
      <c r="E79" s="13"/>
      <c r="F79" s="13"/>
      <c r="H79" s="164"/>
      <c r="I79" s="172"/>
      <c r="J79" s="172"/>
      <c r="K79" s="172"/>
      <c r="L79" s="129"/>
      <c r="N79" s="192"/>
      <c r="O79" s="1"/>
      <c r="Q79" s="164"/>
      <c r="V79" s="651" t="str">
        <f t="shared" si="11"/>
        <v>17.  Food Service Allocation</v>
      </c>
      <c r="W79" s="651"/>
      <c r="X79" s="651"/>
      <c r="Y79" s="191"/>
      <c r="Z79" s="191"/>
      <c r="AA79" s="191"/>
      <c r="AB79" s="191"/>
      <c r="AC79" s="193"/>
      <c r="AD79" s="9"/>
    </row>
    <row r="80" spans="1:30" ht="21" customHeight="1" x14ac:dyDescent="0.25">
      <c r="B80" s="669" t="s">
        <v>138</v>
      </c>
      <c r="C80" s="669"/>
      <c r="D80" s="669"/>
      <c r="E80" s="13"/>
      <c r="F80" s="13"/>
      <c r="H80" s="194" t="s">
        <v>139</v>
      </c>
      <c r="I80" s="195"/>
      <c r="J80" s="195"/>
      <c r="K80" s="195"/>
      <c r="L80" s="196"/>
      <c r="N80" s="197"/>
      <c r="O80" s="1"/>
      <c r="Q80" s="164"/>
      <c r="V80" s="191"/>
      <c r="W80" s="191"/>
      <c r="X80" s="191"/>
      <c r="Y80" s="191"/>
      <c r="Z80" s="191"/>
      <c r="AA80" s="191"/>
      <c r="AB80" s="191"/>
      <c r="AC80" s="193"/>
      <c r="AD80" s="9"/>
    </row>
    <row r="81" spans="1:30" ht="21" customHeight="1" thickBot="1" x14ac:dyDescent="0.3">
      <c r="B81" s="13"/>
      <c r="C81" s="13"/>
      <c r="D81" s="13"/>
      <c r="E81" s="13"/>
      <c r="F81" s="13"/>
      <c r="G81" s="13"/>
      <c r="H81" s="13"/>
      <c r="I81" s="13"/>
      <c r="J81" s="13"/>
      <c r="K81" s="13"/>
      <c r="L81" s="196"/>
      <c r="M81" s="198"/>
      <c r="N81" s="197"/>
      <c r="O81" s="1"/>
      <c r="Q81" s="164"/>
      <c r="V81" s="191" t="s">
        <v>140</v>
      </c>
      <c r="W81" s="191"/>
      <c r="X81" s="191"/>
      <c r="Y81" s="191"/>
      <c r="Z81" s="191"/>
      <c r="AA81" s="191"/>
      <c r="AB81" s="191"/>
      <c r="AC81" s="199">
        <f>SUM(AC44:AC80)</f>
        <v>21660</v>
      </c>
      <c r="AD81" s="200"/>
    </row>
    <row r="82" spans="1:30" ht="22.5" customHeight="1" thickTop="1" thickBot="1" x14ac:dyDescent="0.3">
      <c r="B82" s="13" t="s">
        <v>141</v>
      </c>
      <c r="C82" s="13"/>
      <c r="D82" s="13"/>
      <c r="E82" s="13"/>
      <c r="F82" s="13"/>
      <c r="G82" s="13"/>
      <c r="H82" s="13"/>
      <c r="I82" s="13"/>
      <c r="J82" s="13"/>
      <c r="K82" s="13"/>
      <c r="L82" s="201">
        <f>SUM(L44:L81)</f>
        <v>526653</v>
      </c>
      <c r="M82" s="202"/>
      <c r="N82" s="203"/>
      <c r="O82" s="1"/>
      <c r="Q82" s="164"/>
      <c r="V82" s="191"/>
      <c r="W82" s="191"/>
      <c r="X82" s="191"/>
      <c r="Y82" s="191"/>
      <c r="Z82" s="191"/>
      <c r="AA82" s="191"/>
      <c r="AB82" s="191"/>
      <c r="AC82" s="204"/>
      <c r="AD82" s="200"/>
    </row>
    <row r="83" spans="1:30" ht="27.75" customHeight="1" thickTop="1" x14ac:dyDescent="0.25">
      <c r="B83" s="13" t="s">
        <v>142</v>
      </c>
      <c r="C83" s="13"/>
      <c r="D83" s="13"/>
      <c r="E83" s="13"/>
      <c r="F83" s="13"/>
      <c r="G83" s="13"/>
      <c r="H83" s="13"/>
      <c r="I83" s="13"/>
      <c r="J83" s="13"/>
      <c r="K83" s="82" t="s">
        <v>143</v>
      </c>
      <c r="L83" s="205" t="s">
        <v>144</v>
      </c>
      <c r="M83" s="202"/>
      <c r="N83" s="203"/>
      <c r="O83" s="1"/>
      <c r="Q83" s="164"/>
      <c r="V83" s="9" t="s">
        <v>145</v>
      </c>
      <c r="W83" s="9"/>
      <c r="X83" s="9"/>
      <c r="Y83" s="9"/>
      <c r="Z83" s="9"/>
      <c r="AA83" s="9"/>
      <c r="AB83" s="9"/>
      <c r="AC83" s="9"/>
      <c r="AD83" s="206"/>
    </row>
    <row r="84" spans="1:30" ht="18.75" customHeight="1" thickBot="1" x14ac:dyDescent="0.3">
      <c r="B84" s="13" t="s">
        <v>146</v>
      </c>
      <c r="C84" s="13"/>
      <c r="D84" s="13"/>
      <c r="E84" s="13"/>
      <c r="F84" s="13"/>
      <c r="G84" s="13"/>
      <c r="H84" s="13"/>
      <c r="I84" s="13"/>
      <c r="J84" s="13"/>
      <c r="K84" s="207" t="str">
        <f>IF(G26=0,"",IF((G11+G13+SUM(G15:G21))/G26&gt;0.75,1,""))</f>
        <v/>
      </c>
      <c r="L84" s="201">
        <f>'3344'!AC81</f>
        <v>21660</v>
      </c>
      <c r="M84" s="202"/>
      <c r="N84" s="203"/>
      <c r="O84" s="1"/>
      <c r="Q84" s="164"/>
      <c r="V84" s="208" t="s">
        <v>147</v>
      </c>
      <c r="W84" s="208"/>
      <c r="X84" s="208"/>
      <c r="Y84" s="208"/>
      <c r="Z84" s="208"/>
      <c r="AA84" s="208"/>
      <c r="AB84" s="208"/>
      <c r="AC84" s="208"/>
      <c r="AD84" s="9"/>
    </row>
    <row r="85" spans="1:30" ht="18.75" customHeight="1" thickTop="1" x14ac:dyDescent="0.25">
      <c r="B85" s="13"/>
      <c r="C85" s="13"/>
      <c r="D85" s="13"/>
      <c r="E85" s="13"/>
      <c r="F85" s="13"/>
      <c r="G85" s="13"/>
      <c r="H85" s="13"/>
      <c r="I85" s="13"/>
      <c r="J85" s="13"/>
      <c r="M85" s="202"/>
      <c r="N85" s="203"/>
      <c r="O85" s="1"/>
      <c r="Q85" s="164"/>
      <c r="V85" s="208" t="s">
        <v>148</v>
      </c>
      <c r="W85" s="208"/>
      <c r="X85" s="208"/>
      <c r="Y85" s="208"/>
      <c r="Z85" s="208"/>
      <c r="AA85" s="208"/>
      <c r="AB85" s="208"/>
      <c r="AC85" s="208"/>
      <c r="AD85" s="206"/>
    </row>
    <row r="86" spans="1:30" ht="18.75" customHeight="1" x14ac:dyDescent="0.25">
      <c r="B86" s="2" t="s">
        <v>149</v>
      </c>
      <c r="C86" s="13"/>
      <c r="D86" s="13"/>
      <c r="E86" s="13"/>
      <c r="F86" s="13"/>
      <c r="G86" s="13"/>
      <c r="H86" s="13"/>
      <c r="I86" s="13"/>
      <c r="J86" s="209" t="s">
        <v>150</v>
      </c>
      <c r="K86" s="210">
        <f>IF(K84=1,L84,L82)</f>
        <v>526653</v>
      </c>
      <c r="L86" s="211">
        <f>IF(G26=0,0,IF(G26&gt;250,-(((250/G26)*K86)*IF(M86="H",0.02,0.05)),IF(M86="H",-0.02*K86,-0.05*K86)))</f>
        <v>-26332.65</v>
      </c>
      <c r="M86" s="212" t="str">
        <f>IF(B123="2801","H",IF(B123="2911","H",IF(B123="3382","H"," ")))</f>
        <v xml:space="preserve"> </v>
      </c>
      <c r="N86" s="203"/>
      <c r="O86" s="1"/>
      <c r="Q86" s="164"/>
      <c r="V86" s="208" t="s">
        <v>151</v>
      </c>
      <c r="W86" s="208"/>
      <c r="X86" s="208"/>
      <c r="Y86" s="208"/>
      <c r="Z86" s="208"/>
      <c r="AA86" s="208"/>
      <c r="AB86" s="208"/>
      <c r="AC86" s="208"/>
      <c r="AD86" s="206"/>
    </row>
    <row r="87" spans="1:30" ht="18.75" customHeight="1" x14ac:dyDescent="0.25">
      <c r="B87" s="2" t="s">
        <v>152</v>
      </c>
      <c r="C87" s="13"/>
      <c r="D87" s="13"/>
      <c r="E87" s="13"/>
      <c r="F87" s="13"/>
      <c r="G87" s="13"/>
      <c r="H87" s="13"/>
      <c r="I87" s="13"/>
      <c r="J87" s="13"/>
      <c r="K87" s="213"/>
      <c r="L87" s="205">
        <f>L82+L86</f>
        <v>500320.35</v>
      </c>
      <c r="M87" s="202"/>
      <c r="N87" s="203"/>
      <c r="O87" s="1"/>
      <c r="Q87" s="164"/>
      <c r="V87" s="198"/>
      <c r="W87" s="198"/>
      <c r="X87" s="198"/>
      <c r="Y87" s="198"/>
      <c r="Z87" s="198"/>
      <c r="AA87" s="198"/>
      <c r="AB87" s="198"/>
      <c r="AC87" s="198"/>
      <c r="AD87" s="214"/>
    </row>
    <row r="88" spans="1:30" x14ac:dyDescent="0.25">
      <c r="V88" s="198"/>
      <c r="W88" s="198"/>
      <c r="X88" s="198"/>
      <c r="Y88" s="198"/>
      <c r="Z88" s="198"/>
      <c r="AA88" s="198"/>
      <c r="AB88" s="198"/>
      <c r="AC88" s="198"/>
      <c r="AD88" s="215"/>
    </row>
    <row r="89" spans="1:30" ht="18.75" customHeight="1" x14ac:dyDescent="0.25">
      <c r="A89" s="1" t="s">
        <v>153</v>
      </c>
      <c r="B89" s="13" t="s">
        <v>154</v>
      </c>
      <c r="C89" s="13"/>
      <c r="D89" s="13">
        <v>295597</v>
      </c>
      <c r="E89" s="13">
        <v>42927</v>
      </c>
      <c r="F89" s="13">
        <v>467305</v>
      </c>
      <c r="G89" s="13"/>
      <c r="H89" s="13"/>
      <c r="I89" s="13"/>
      <c r="J89" s="13"/>
      <c r="K89" s="213"/>
      <c r="L89" s="84">
        <v>-490730</v>
      </c>
      <c r="M89" s="202"/>
      <c r="N89" s="203"/>
      <c r="O89" s="1"/>
      <c r="Q89" s="164"/>
      <c r="V89" s="198">
        <v>2801</v>
      </c>
      <c r="W89" s="198"/>
      <c r="X89" s="198"/>
      <c r="Y89" s="198"/>
      <c r="Z89" s="198"/>
      <c r="AA89" s="198"/>
      <c r="AB89" s="198"/>
      <c r="AC89" s="198"/>
      <c r="AD89" s="214"/>
    </row>
    <row r="90" spans="1:30" ht="18.75" customHeight="1" x14ac:dyDescent="0.25">
      <c r="B90" s="13" t="s">
        <v>155</v>
      </c>
      <c r="C90" s="13"/>
      <c r="D90" s="13"/>
      <c r="E90" s="13"/>
      <c r="F90" s="13"/>
      <c r="G90" s="13"/>
      <c r="H90" s="13"/>
      <c r="I90" s="13"/>
      <c r="J90" s="13"/>
      <c r="K90" s="213"/>
      <c r="L90" s="205">
        <f>L87+L89</f>
        <v>9590.3499999999767</v>
      </c>
      <c r="M90" s="202"/>
      <c r="N90" s="203"/>
      <c r="O90" s="1"/>
      <c r="Q90" s="164"/>
      <c r="V90" s="198">
        <v>2911</v>
      </c>
      <c r="W90" s="216"/>
      <c r="X90" s="216"/>
      <c r="Y90" s="216"/>
      <c r="Z90" s="216"/>
      <c r="AA90" s="216"/>
      <c r="AB90" s="216"/>
      <c r="AC90" s="216"/>
      <c r="AD90" s="214"/>
    </row>
    <row r="91" spans="1:30" ht="18.75" customHeight="1" x14ac:dyDescent="0.25">
      <c r="B91" s="13" t="s">
        <v>156</v>
      </c>
      <c r="C91" s="13"/>
      <c r="D91" s="13"/>
      <c r="E91" s="13"/>
      <c r="F91" s="13"/>
      <c r="G91" s="13"/>
      <c r="H91" s="13"/>
      <c r="I91" s="13"/>
      <c r="J91" s="13"/>
      <c r="K91" s="213"/>
      <c r="L91" s="205">
        <v>1</v>
      </c>
      <c r="M91" s="202"/>
      <c r="N91" s="203"/>
      <c r="O91" s="1"/>
      <c r="Q91" s="164"/>
      <c r="V91" s="198">
        <v>3382</v>
      </c>
      <c r="W91" s="216"/>
      <c r="X91" s="216"/>
      <c r="Y91" s="216"/>
      <c r="Z91" s="216"/>
      <c r="AA91" s="216"/>
      <c r="AB91" s="216"/>
      <c r="AC91" s="216"/>
      <c r="AD91" s="214"/>
    </row>
    <row r="92" spans="1:30" ht="18.75" customHeight="1" thickBot="1" x14ac:dyDescent="0.3">
      <c r="B92" s="13" t="s">
        <v>157</v>
      </c>
      <c r="C92" s="13"/>
      <c r="D92" s="13"/>
      <c r="E92" s="13"/>
      <c r="F92" s="13"/>
      <c r="G92" s="13"/>
      <c r="H92" s="13"/>
      <c r="I92" s="13"/>
      <c r="J92" s="13"/>
      <c r="K92" s="213"/>
      <c r="L92" s="217">
        <f>L90/L91</f>
        <v>9590.3499999999767</v>
      </c>
      <c r="M92" s="202"/>
      <c r="N92" s="203"/>
      <c r="O92" s="1"/>
      <c r="Q92" s="164"/>
      <c r="V92" s="218"/>
      <c r="W92" s="218"/>
      <c r="X92" s="218"/>
      <c r="Y92" s="218"/>
      <c r="Z92" s="218"/>
      <c r="AA92" s="218"/>
      <c r="AB92" s="218"/>
      <c r="AC92" s="218"/>
      <c r="AD92" s="219"/>
    </row>
    <row r="93" spans="1:30" ht="18.75" customHeight="1" thickTop="1" x14ac:dyDescent="0.25">
      <c r="N93" s="219"/>
      <c r="O93" s="220"/>
      <c r="P93" s="219"/>
      <c r="Q93" s="219"/>
      <c r="V93" s="218"/>
      <c r="W93" s="218"/>
      <c r="X93" s="218"/>
      <c r="Y93" s="218"/>
      <c r="Z93" s="218"/>
      <c r="AA93" s="218"/>
      <c r="AB93" s="218"/>
      <c r="AC93" s="218"/>
      <c r="AD93" s="214"/>
    </row>
    <row r="94" spans="1:30" ht="18.75" customHeight="1" thickBot="1" x14ac:dyDescent="0.3">
      <c r="B94" s="221" t="s">
        <v>158</v>
      </c>
      <c r="C94" s="13"/>
      <c r="D94" s="13"/>
      <c r="E94" s="13"/>
      <c r="G94" s="13"/>
      <c r="H94" s="13"/>
      <c r="I94" s="13"/>
      <c r="J94" s="13"/>
      <c r="L94" s="222">
        <f>IF(M86="H",(K86*0.02)+L86,(K86*0.05)+L86)</f>
        <v>0</v>
      </c>
      <c r="M94" s="202"/>
      <c r="V94" s="223"/>
      <c r="W94" s="223"/>
      <c r="X94" s="223"/>
      <c r="Y94" s="223"/>
      <c r="Z94" s="223"/>
      <c r="AA94" s="223"/>
      <c r="AB94" s="223"/>
      <c r="AC94" s="223"/>
      <c r="AD94" s="214"/>
    </row>
    <row r="95" spans="1:30" ht="21.75" customHeight="1" thickTop="1" x14ac:dyDescent="0.25">
      <c r="B95" s="224" t="s">
        <v>159</v>
      </c>
      <c r="C95" s="224"/>
      <c r="D95" s="224"/>
      <c r="E95" s="224"/>
      <c r="F95" s="224"/>
      <c r="G95" s="224"/>
      <c r="H95" s="224"/>
      <c r="I95" s="224"/>
      <c r="J95" s="224"/>
      <c r="K95" s="224"/>
      <c r="L95" s="224"/>
      <c r="M95" s="219"/>
      <c r="V95" s="223"/>
      <c r="W95" s="223"/>
      <c r="X95" s="223"/>
      <c r="Y95" s="223"/>
      <c r="Z95" s="223"/>
      <c r="AA95" s="223"/>
      <c r="AB95" s="223"/>
      <c r="AC95" s="223"/>
      <c r="AD95" s="214"/>
    </row>
    <row r="96" spans="1:30" x14ac:dyDescent="0.25">
      <c r="B96" s="225"/>
      <c r="V96" s="223"/>
      <c r="W96" s="223"/>
      <c r="X96" s="223"/>
      <c r="Y96" s="223"/>
      <c r="Z96" s="223"/>
      <c r="AA96" s="223"/>
      <c r="AB96" s="223"/>
      <c r="AC96" s="223"/>
      <c r="AD96" s="219"/>
    </row>
    <row r="97" spans="2:30" x14ac:dyDescent="0.25">
      <c r="B97" s="225"/>
      <c r="V97" s="223"/>
      <c r="W97" s="223"/>
      <c r="X97" s="223"/>
      <c r="Y97" s="223"/>
      <c r="Z97" s="223"/>
      <c r="AA97" s="223"/>
      <c r="AB97" s="223"/>
      <c r="AC97" s="223"/>
      <c r="AD97" s="219"/>
    </row>
    <row r="98" spans="2:30" hidden="1" x14ac:dyDescent="0.25">
      <c r="B98" s="226" t="s">
        <v>160</v>
      </c>
      <c r="C98" s="227"/>
      <c r="V98" s="228"/>
      <c r="W98" s="228"/>
      <c r="X98" s="228"/>
      <c r="Y98" s="228"/>
      <c r="Z98" s="228"/>
      <c r="AA98" s="228"/>
      <c r="AB98" s="228"/>
      <c r="AC98" s="228"/>
    </row>
    <row r="99" spans="2:30" hidden="1" x14ac:dyDescent="0.25">
      <c r="B99" s="229"/>
      <c r="C99" s="227"/>
      <c r="V99" s="225"/>
      <c r="W99" s="13"/>
      <c r="X99" s="13"/>
      <c r="Y99" s="13"/>
      <c r="Z99" s="13"/>
      <c r="AA99" s="13"/>
      <c r="AB99" s="13"/>
      <c r="AC99" s="13"/>
    </row>
    <row r="100" spans="2:30" hidden="1" x14ac:dyDescent="0.25">
      <c r="B100" s="230" t="s">
        <v>161</v>
      </c>
      <c r="C100" s="226" t="s">
        <v>162</v>
      </c>
      <c r="V100" s="225"/>
    </row>
    <row r="101" spans="2:30" hidden="1" x14ac:dyDescent="0.25">
      <c r="B101" s="230" t="s">
        <v>163</v>
      </c>
      <c r="C101" s="226" t="s">
        <v>164</v>
      </c>
      <c r="V101" s="225"/>
    </row>
    <row r="102" spans="2:30" hidden="1" x14ac:dyDescent="0.25">
      <c r="B102" s="230" t="s">
        <v>165</v>
      </c>
      <c r="C102" s="226" t="s">
        <v>166</v>
      </c>
      <c r="V102" s="225"/>
      <c r="W102" s="231"/>
      <c r="X102" s="231"/>
      <c r="Y102" s="231"/>
      <c r="Z102" s="231"/>
      <c r="AA102" s="231"/>
      <c r="AB102" s="231"/>
      <c r="AC102" s="231"/>
      <c r="AD102" s="231"/>
    </row>
    <row r="103" spans="2:30" hidden="1" x14ac:dyDescent="0.25">
      <c r="B103" s="230" t="s">
        <v>167</v>
      </c>
      <c r="C103" s="226" t="s">
        <v>168</v>
      </c>
      <c r="V103" s="225"/>
    </row>
    <row r="104" spans="2:30" hidden="1" x14ac:dyDescent="0.25">
      <c r="B104" s="232"/>
      <c r="C104" s="226" t="s">
        <v>169</v>
      </c>
      <c r="V104" s="225"/>
    </row>
    <row r="105" spans="2:30" hidden="1" x14ac:dyDescent="0.25">
      <c r="B105" s="230" t="s">
        <v>170</v>
      </c>
      <c r="C105" s="226" t="s">
        <v>171</v>
      </c>
      <c r="V105" s="225"/>
    </row>
    <row r="106" spans="2:30" hidden="1" x14ac:dyDescent="0.25">
      <c r="B106" s="230" t="s">
        <v>172</v>
      </c>
      <c r="C106" s="226" t="s">
        <v>173</v>
      </c>
      <c r="V106" s="225"/>
    </row>
    <row r="107" spans="2:30" hidden="1" x14ac:dyDescent="0.25">
      <c r="B107" s="230" t="s">
        <v>250</v>
      </c>
      <c r="C107" s="226" t="s">
        <v>175</v>
      </c>
      <c r="V107" s="225"/>
    </row>
    <row r="108" spans="2:30" hidden="1" x14ac:dyDescent="0.25">
      <c r="B108" s="230" t="s">
        <v>176</v>
      </c>
      <c r="C108" s="226" t="s">
        <v>177</v>
      </c>
      <c r="V108" s="225"/>
    </row>
    <row r="109" spans="2:30" hidden="1" x14ac:dyDescent="0.25">
      <c r="B109" s="230" t="s">
        <v>178</v>
      </c>
      <c r="C109" s="226" t="s">
        <v>179</v>
      </c>
      <c r="V109" s="225"/>
    </row>
    <row r="110" spans="2:30" hidden="1" x14ac:dyDescent="0.25">
      <c r="B110" s="232"/>
      <c r="C110" s="226"/>
      <c r="V110" s="225"/>
    </row>
    <row r="111" spans="2:30" hidden="1" x14ac:dyDescent="0.25">
      <c r="B111" s="230" t="s">
        <v>180</v>
      </c>
      <c r="C111" s="226" t="s">
        <v>181</v>
      </c>
      <c r="V111" s="225"/>
    </row>
    <row r="112" spans="2:30" hidden="1" x14ac:dyDescent="0.25">
      <c r="B112" s="230" t="s">
        <v>180</v>
      </c>
      <c r="C112" s="226" t="s">
        <v>182</v>
      </c>
    </row>
    <row r="113" spans="2:3" hidden="1" x14ac:dyDescent="0.25">
      <c r="B113" s="230" t="s">
        <v>183</v>
      </c>
      <c r="C113" s="226" t="s">
        <v>184</v>
      </c>
    </row>
    <row r="114" spans="2:3" hidden="1" x14ac:dyDescent="0.25">
      <c r="B114" s="230" t="s">
        <v>185</v>
      </c>
      <c r="C114" s="226" t="s">
        <v>186</v>
      </c>
    </row>
    <row r="115" spans="2:3" hidden="1" x14ac:dyDescent="0.25">
      <c r="B115" s="230" t="s">
        <v>183</v>
      </c>
      <c r="C115" s="226" t="s">
        <v>187</v>
      </c>
    </row>
    <row r="116" spans="2:3" hidden="1" x14ac:dyDescent="0.25">
      <c r="B116" s="230" t="s">
        <v>188</v>
      </c>
      <c r="C116" s="226" t="s">
        <v>189</v>
      </c>
    </row>
    <row r="117" spans="2:3" hidden="1" x14ac:dyDescent="0.25">
      <c r="B117" s="230" t="s">
        <v>190</v>
      </c>
      <c r="C117" s="226" t="s">
        <v>191</v>
      </c>
    </row>
    <row r="118" spans="2:3" hidden="1" x14ac:dyDescent="0.25">
      <c r="B118" s="232" t="s">
        <v>192</v>
      </c>
      <c r="C118" s="226" t="s">
        <v>193</v>
      </c>
    </row>
    <row r="119" spans="2:3" hidden="1" x14ac:dyDescent="0.25">
      <c r="B119" s="232"/>
      <c r="C119" s="226"/>
    </row>
    <row r="120" spans="2:3" hidden="1" x14ac:dyDescent="0.25">
      <c r="B120" s="230" t="s">
        <v>161</v>
      </c>
      <c r="C120" s="226" t="s">
        <v>194</v>
      </c>
    </row>
    <row r="121" spans="2:3" hidden="1" x14ac:dyDescent="0.25">
      <c r="B121" s="230" t="s">
        <v>195</v>
      </c>
      <c r="C121" s="226" t="s">
        <v>196</v>
      </c>
    </row>
    <row r="122" spans="2:3" hidden="1" x14ac:dyDescent="0.25">
      <c r="B122" s="230" t="s">
        <v>197</v>
      </c>
      <c r="C122" s="226" t="s">
        <v>198</v>
      </c>
    </row>
    <row r="123" spans="2:3" hidden="1" x14ac:dyDescent="0.25">
      <c r="B123" s="230" t="s">
        <v>251</v>
      </c>
      <c r="C123" s="226" t="s">
        <v>200</v>
      </c>
    </row>
    <row r="124" spans="2:3" hidden="1" x14ac:dyDescent="0.25">
      <c r="B124" s="230" t="s">
        <v>252</v>
      </c>
      <c r="C124" s="226" t="s">
        <v>202</v>
      </c>
    </row>
    <row r="125" spans="2:3" hidden="1" x14ac:dyDescent="0.25">
      <c r="B125" s="230" t="s">
        <v>203</v>
      </c>
      <c r="C125" s="226" t="s">
        <v>204</v>
      </c>
    </row>
    <row r="126" spans="2:3" hidden="1" x14ac:dyDescent="0.25">
      <c r="B126" s="230" t="s">
        <v>203</v>
      </c>
      <c r="C126" s="226" t="s">
        <v>205</v>
      </c>
    </row>
    <row r="127" spans="2:3" hidden="1" x14ac:dyDescent="0.25">
      <c r="B127" s="230" t="s">
        <v>203</v>
      </c>
      <c r="C127" s="226" t="s">
        <v>206</v>
      </c>
    </row>
    <row r="128" spans="2:3" hidden="1" x14ac:dyDescent="0.25">
      <c r="B128" s="230" t="s">
        <v>203</v>
      </c>
      <c r="C128" s="226" t="s">
        <v>207</v>
      </c>
    </row>
    <row r="129" spans="2:3" hidden="1" x14ac:dyDescent="0.25">
      <c r="B129" s="230" t="s">
        <v>167</v>
      </c>
      <c r="C129" s="226" t="s">
        <v>208</v>
      </c>
    </row>
    <row r="130" spans="2:3" hidden="1" x14ac:dyDescent="0.25">
      <c r="B130" s="230" t="s">
        <v>209</v>
      </c>
      <c r="C130" s="226" t="s">
        <v>210</v>
      </c>
    </row>
    <row r="131" spans="2:3" hidden="1" x14ac:dyDescent="0.25">
      <c r="B131" s="230" t="s">
        <v>203</v>
      </c>
      <c r="C131" s="226" t="s">
        <v>211</v>
      </c>
    </row>
    <row r="132" spans="2:3" hidden="1" x14ac:dyDescent="0.25">
      <c r="B132" s="226"/>
      <c r="C132" s="226"/>
    </row>
    <row r="133" spans="2:3" hidden="1" x14ac:dyDescent="0.25">
      <c r="B133" s="226"/>
      <c r="C133" s="226"/>
    </row>
    <row r="134" spans="2:3" hidden="1" x14ac:dyDescent="0.25">
      <c r="B134" s="232"/>
      <c r="C134" s="232"/>
    </row>
    <row r="135" spans="2:3" hidden="1" x14ac:dyDescent="0.25">
      <c r="B135" s="232">
        <f>NvsElapsedTime</f>
        <v>1.15740767796524E-5</v>
      </c>
      <c r="C135" s="232"/>
    </row>
    <row r="136" spans="2:3" hidden="1" x14ac:dyDescent="0.25">
      <c r="B136" s="233">
        <f>NvsEndTime</f>
        <v>41754.487812500003</v>
      </c>
      <c r="C136" s="233" t="s">
        <v>212</v>
      </c>
    </row>
    <row r="137" spans="2:3" x14ac:dyDescent="0.25">
      <c r="B137" s="226"/>
      <c r="C137" s="234"/>
    </row>
    <row r="138" spans="2:3" x14ac:dyDescent="0.25">
      <c r="B138" s="226"/>
      <c r="C138" s="226"/>
    </row>
    <row r="139" spans="2:3" x14ac:dyDescent="0.25">
      <c r="B139" s="226"/>
      <c r="C139" s="226"/>
    </row>
    <row r="140" spans="2:3" x14ac:dyDescent="0.25">
      <c r="B140" s="226"/>
      <c r="C140" s="226"/>
    </row>
    <row r="141" spans="2:3" x14ac:dyDescent="0.25">
      <c r="B141" s="226"/>
      <c r="C141" s="226"/>
    </row>
    <row r="142" spans="2:3" x14ac:dyDescent="0.25">
      <c r="B142" s="226"/>
      <c r="C142" s="226"/>
    </row>
    <row r="143" spans="2:3" x14ac:dyDescent="0.25">
      <c r="B143" s="226"/>
      <c r="C143" s="226"/>
    </row>
    <row r="144" spans="2:3" x14ac:dyDescent="0.25">
      <c r="B144" s="226"/>
      <c r="C144" s="226"/>
    </row>
    <row r="145" spans="2:3" x14ac:dyDescent="0.25">
      <c r="B145" s="226"/>
      <c r="C145" s="226"/>
    </row>
    <row r="146" spans="2:3" x14ac:dyDescent="0.25">
      <c r="B146" s="226"/>
      <c r="C146" s="226"/>
    </row>
    <row r="147" spans="2:3" x14ac:dyDescent="0.25">
      <c r="B147" s="226"/>
      <c r="C147" s="226"/>
    </row>
    <row r="148" spans="2:3" x14ac:dyDescent="0.25">
      <c r="B148" s="226"/>
      <c r="C148" s="226"/>
    </row>
    <row r="149" spans="2:3" x14ac:dyDescent="0.25">
      <c r="B149" s="226"/>
      <c r="C149" s="226"/>
    </row>
    <row r="150" spans="2:3" x14ac:dyDescent="0.25">
      <c r="B150" s="226"/>
      <c r="C150" s="226"/>
    </row>
    <row r="151" spans="2:3" x14ac:dyDescent="0.25">
      <c r="B151" s="226"/>
      <c r="C151" s="226"/>
    </row>
  </sheetData>
  <mergeCells count="151">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9:W9"/>
    <mergeCell ref="X9:Y9"/>
    <mergeCell ref="Z9:AA9"/>
    <mergeCell ref="V10:W10"/>
    <mergeCell ref="X10:Y10"/>
    <mergeCell ref="Z10:AA10"/>
    <mergeCell ref="V7:W7"/>
    <mergeCell ref="X7:Y7"/>
    <mergeCell ref="Z7:AA7"/>
    <mergeCell ref="AB7:AC7"/>
    <mergeCell ref="V8:W8"/>
    <mergeCell ref="X8:Y8"/>
    <mergeCell ref="Z8:AA8"/>
    <mergeCell ref="W2:AC2"/>
    <mergeCell ref="V3:AC3"/>
    <mergeCell ref="V4:AC4"/>
    <mergeCell ref="V5:W5"/>
    <mergeCell ref="X5:Y5"/>
    <mergeCell ref="V6:AC6"/>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AD151"/>
  <sheetViews>
    <sheetView topLeftCell="B2" zoomScale="70" zoomScaleNormal="70" workbookViewId="0">
      <selection activeCell="B2" sqref="B2"/>
    </sheetView>
  </sheetViews>
  <sheetFormatPr defaultColWidth="8.85546875" defaultRowHeight="15.75" x14ac:dyDescent="0.25"/>
  <cols>
    <col min="1" max="1" width="11.28515625" style="1" hidden="1" customWidth="1"/>
    <col min="2" max="2" width="10.28515625" style="2" customWidth="1"/>
    <col min="3" max="3" width="29" style="1" customWidth="1"/>
    <col min="4" max="5" width="12.28515625" style="1" customWidth="1"/>
    <col min="6" max="6" width="12.28515625" style="1" hidden="1" customWidth="1"/>
    <col min="7" max="7" width="15.28515625" style="1" customWidth="1"/>
    <col min="8" max="8" width="6.7109375" style="1" customWidth="1"/>
    <col min="9" max="9" width="12.5703125" style="1" customWidth="1"/>
    <col min="10" max="10" width="12.85546875" style="1" customWidth="1"/>
    <col min="11" max="11" width="13" style="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28515625" style="1" customWidth="1"/>
    <col min="18" max="18" width="8.85546875" style="1"/>
    <col min="19" max="21" width="0" style="1" hidden="1" customWidth="1"/>
    <col min="22" max="23" width="8.85546875" style="1"/>
    <col min="24" max="24" width="12.7109375" style="1" customWidth="1"/>
    <col min="25" max="25" width="8.85546875" style="1"/>
    <col min="26" max="26" width="13.140625" style="1" bestFit="1" customWidth="1"/>
    <col min="27" max="27" width="8.85546875" style="1"/>
    <col min="28" max="28" width="13.140625" style="1" bestFit="1" customWidth="1"/>
    <col min="29" max="29" width="15.5703125" style="1" bestFit="1" customWidth="1"/>
    <col min="30" max="16384" width="8.85546875" style="1"/>
  </cols>
  <sheetData>
    <row r="1" spans="1:30" ht="15.6"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7"/>
      <c r="N2" s="3"/>
      <c r="O2" s="1"/>
      <c r="V2" s="8">
        <f>'3345'!B2</f>
        <v>50</v>
      </c>
      <c r="W2" s="606" t="s">
        <v>4</v>
      </c>
      <c r="X2" s="607"/>
      <c r="Y2" s="608"/>
      <c r="Z2" s="608"/>
      <c r="AA2" s="608"/>
      <c r="AB2" s="608"/>
      <c r="AC2" s="608"/>
      <c r="AD2" s="9"/>
    </row>
    <row r="3" spans="1:30" ht="20.25" x14ac:dyDescent="0.3">
      <c r="B3" s="10" t="str">
        <f>"Revenue Estimate Worksheet for "&amp;B124</f>
        <v>Revenue Estimate Worksheet for GulfstreamGoodwil LIFE Academy</v>
      </c>
      <c r="C3" s="11"/>
      <c r="D3" s="11"/>
      <c r="E3" s="11"/>
      <c r="F3" s="11"/>
      <c r="G3" s="11"/>
      <c r="H3" s="11"/>
      <c r="I3" s="11"/>
      <c r="J3" s="11"/>
      <c r="K3" s="11"/>
      <c r="L3" s="11"/>
      <c r="M3" s="10"/>
      <c r="N3" s="10"/>
      <c r="O3" s="10"/>
      <c r="P3" s="10"/>
      <c r="Q3" s="10"/>
      <c r="V3" s="609" t="s">
        <v>5</v>
      </c>
      <c r="W3" s="609"/>
      <c r="X3" s="609"/>
      <c r="Y3" s="609"/>
      <c r="Z3" s="609"/>
      <c r="AA3" s="609"/>
      <c r="AB3" s="609"/>
      <c r="AC3" s="609"/>
      <c r="AD3" s="12"/>
    </row>
    <row r="4" spans="1:30" ht="18.75" x14ac:dyDescent="0.3">
      <c r="B4" s="2" t="s">
        <v>6</v>
      </c>
      <c r="C4" s="13"/>
      <c r="D4" s="13"/>
      <c r="E4" s="13"/>
      <c r="F4" s="13"/>
      <c r="G4" s="13"/>
      <c r="H4" s="13"/>
      <c r="I4" s="13"/>
      <c r="J4" s="13"/>
      <c r="K4" s="13"/>
      <c r="L4" s="13"/>
      <c r="M4" s="14"/>
      <c r="N4" s="14"/>
      <c r="O4" s="14"/>
      <c r="P4" s="14"/>
      <c r="Q4" s="14"/>
      <c r="V4" s="610" t="str">
        <f>+Based_on_the_Second_Calculation_of_the_FEFP_2010_11</f>
        <v>Based on the Fourth Calculation of the FEFP 2013-14</v>
      </c>
      <c r="W4" s="610"/>
      <c r="X4" s="610"/>
      <c r="Y4" s="610"/>
      <c r="Z4" s="610"/>
      <c r="AA4" s="610"/>
      <c r="AB4" s="610"/>
      <c r="AC4" s="610"/>
      <c r="AD4" s="15"/>
    </row>
    <row r="5" spans="1:30" ht="18.75" customHeight="1" x14ac:dyDescent="0.25">
      <c r="B5" s="16" t="s">
        <v>7</v>
      </c>
      <c r="C5" s="16"/>
      <c r="D5" s="16"/>
      <c r="E5" s="16"/>
      <c r="F5" s="16"/>
      <c r="G5" s="17" t="s">
        <v>8</v>
      </c>
      <c r="H5" s="17"/>
      <c r="I5" s="17"/>
      <c r="J5" s="17"/>
      <c r="K5" s="17"/>
      <c r="L5" s="17"/>
      <c r="M5" s="18"/>
      <c r="N5" s="18"/>
      <c r="O5" s="18"/>
      <c r="P5" s="18"/>
      <c r="Q5" s="18"/>
      <c r="V5" s="611" t="s">
        <v>7</v>
      </c>
      <c r="W5" s="611"/>
      <c r="X5" s="612" t="s">
        <v>8</v>
      </c>
      <c r="Y5" s="612"/>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613" t="s">
        <v>9</v>
      </c>
      <c r="W6" s="613"/>
      <c r="X6" s="613"/>
      <c r="Y6" s="613"/>
      <c r="Z6" s="613"/>
      <c r="AA6" s="613"/>
      <c r="AB6" s="613"/>
      <c r="AC6" s="613"/>
      <c r="AD6" s="22"/>
    </row>
    <row r="7" spans="1:30" ht="18" customHeight="1" x14ac:dyDescent="0.25">
      <c r="B7" s="23" t="s">
        <v>10</v>
      </c>
      <c r="C7" s="23"/>
      <c r="D7" s="23"/>
      <c r="E7" s="23"/>
      <c r="F7" s="23"/>
      <c r="G7" s="24">
        <v>3752.3</v>
      </c>
      <c r="H7" s="24"/>
      <c r="I7" s="23" t="s">
        <v>11</v>
      </c>
      <c r="J7" s="23"/>
      <c r="K7" s="25">
        <v>1.0326</v>
      </c>
      <c r="L7" s="25"/>
      <c r="O7" s="1"/>
      <c r="V7" s="620" t="s">
        <v>10</v>
      </c>
      <c r="W7" s="620"/>
      <c r="X7" s="621">
        <f>'3345'!G7</f>
        <v>3752.3</v>
      </c>
      <c r="Y7" s="621"/>
      <c r="Z7" s="622" t="s">
        <v>11</v>
      </c>
      <c r="AA7" s="622"/>
      <c r="AB7" s="602">
        <f>+K7</f>
        <v>1.0326</v>
      </c>
      <c r="AC7" s="602"/>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603" t="s">
        <v>12</v>
      </c>
      <c r="W8" s="603"/>
      <c r="X8" s="604" t="s">
        <v>15</v>
      </c>
      <c r="Y8" s="604"/>
      <c r="Z8" s="605" t="s">
        <v>16</v>
      </c>
      <c r="AA8" s="605"/>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614" t="s">
        <v>22</v>
      </c>
      <c r="W9" s="614"/>
      <c r="X9" s="615" t="s">
        <v>23</v>
      </c>
      <c r="Y9" s="615"/>
      <c r="Z9" s="616" t="s">
        <v>24</v>
      </c>
      <c r="AA9" s="616"/>
      <c r="AB9" s="43" t="s">
        <v>25</v>
      </c>
      <c r="AC9" s="44" t="s">
        <v>26</v>
      </c>
      <c r="AD9" s="9"/>
    </row>
    <row r="10" spans="1:30" x14ac:dyDescent="0.25">
      <c r="A10" s="1" t="s">
        <v>27</v>
      </c>
      <c r="B10" s="45" t="s">
        <v>28</v>
      </c>
      <c r="C10" s="45"/>
      <c r="D10" s="45">
        <v>0</v>
      </c>
      <c r="E10" s="45">
        <v>0</v>
      </c>
      <c r="F10" s="45">
        <v>0</v>
      </c>
      <c r="G10" s="46">
        <f>D10+E10</f>
        <v>0</v>
      </c>
      <c r="H10" s="47"/>
      <c r="I10" s="48">
        <v>1.125</v>
      </c>
      <c r="J10" s="48"/>
      <c r="K10" s="49">
        <f>ROUND(G10*I10,4)</f>
        <v>0</v>
      </c>
      <c r="L10" s="50">
        <f>ROUND(ROUND(K10*$G$7,4)*($K$7),0)</f>
        <v>0</v>
      </c>
      <c r="N10" s="51">
        <v>5101</v>
      </c>
      <c r="O10" s="52">
        <v>101</v>
      </c>
      <c r="P10" s="53"/>
      <c r="Q10" s="54"/>
      <c r="V10" s="617" t="s">
        <v>28</v>
      </c>
      <c r="W10" s="617"/>
      <c r="X10" s="618">
        <f>IF('3345'!K$84=1,'3345'!G10,0)</f>
        <v>0</v>
      </c>
      <c r="Y10" s="618"/>
      <c r="Z10" s="619">
        <v>1</v>
      </c>
      <c r="AA10" s="619"/>
      <c r="AB10" s="55">
        <f t="shared" ref="AB10:AB25" si="0">ROUND(X10*Z10,4)</f>
        <v>0</v>
      </c>
      <c r="AC10" s="56">
        <f t="shared" ref="AC10:AC25" si="1">ROUND(ROUND(AB10*$X$7,4)*($AB$7),0)</f>
        <v>0</v>
      </c>
      <c r="AD10" s="9">
        <v>1</v>
      </c>
    </row>
    <row r="11" spans="1:30" x14ac:dyDescent="0.25">
      <c r="A11" s="1" t="s">
        <v>29</v>
      </c>
      <c r="B11" s="13" t="s">
        <v>30</v>
      </c>
      <c r="C11" s="13"/>
      <c r="D11" s="13">
        <v>0</v>
      </c>
      <c r="E11" s="13">
        <v>0</v>
      </c>
      <c r="F11" s="13">
        <v>0</v>
      </c>
      <c r="G11" s="46">
        <f t="shared" ref="G11:G25" si="2">D11+E11</f>
        <v>0</v>
      </c>
      <c r="H11" s="47"/>
      <c r="I11" s="57">
        <f>I10</f>
        <v>1.125</v>
      </c>
      <c r="J11" s="57"/>
      <c r="K11" s="49">
        <f t="shared" ref="K11:K25" si="3">ROUND(G11*I11,4)</f>
        <v>0</v>
      </c>
      <c r="L11" s="50">
        <f t="shared" ref="L11:L25" si="4">ROUND(ROUND(K11*$G$7,4)*($K$7),0)</f>
        <v>0</v>
      </c>
      <c r="M11" s="1" t="str">
        <f>IF(ROUND(G11,2)=ROUND(SUM(G28:G30),2)," ","CHECK 2. PK-3 Lines Below")</f>
        <v xml:space="preserve"> </v>
      </c>
      <c r="N11" s="51">
        <v>5101</v>
      </c>
      <c r="O11" s="58" t="s">
        <v>31</v>
      </c>
      <c r="P11" s="53"/>
      <c r="Q11" s="54"/>
      <c r="V11" s="623" t="s">
        <v>30</v>
      </c>
      <c r="W11" s="623"/>
      <c r="X11" s="618">
        <f>IF('3345'!K$84=1,'3345'!G11,0)</f>
        <v>0</v>
      </c>
      <c r="Y11" s="618"/>
      <c r="Z11" s="624">
        <v>1</v>
      </c>
      <c r="AA11" s="624"/>
      <c r="AB11" s="55">
        <f t="shared" si="0"/>
        <v>0</v>
      </c>
      <c r="AC11" s="56">
        <f t="shared" si="1"/>
        <v>0</v>
      </c>
      <c r="AD11" s="9"/>
    </row>
    <row r="12" spans="1:30" x14ac:dyDescent="0.25">
      <c r="A12" s="1" t="s">
        <v>32</v>
      </c>
      <c r="B12" s="13" t="s">
        <v>33</v>
      </c>
      <c r="C12" s="13"/>
      <c r="D12" s="13">
        <v>0</v>
      </c>
      <c r="E12" s="13">
        <v>0</v>
      </c>
      <c r="F12" s="13">
        <v>0</v>
      </c>
      <c r="G12" s="46">
        <f t="shared" si="2"/>
        <v>0</v>
      </c>
      <c r="H12" s="47"/>
      <c r="I12" s="57">
        <v>1</v>
      </c>
      <c r="J12" s="57"/>
      <c r="K12" s="49">
        <f t="shared" si="3"/>
        <v>0</v>
      </c>
      <c r="L12" s="50">
        <f t="shared" si="4"/>
        <v>0</v>
      </c>
      <c r="N12" s="51">
        <v>5102</v>
      </c>
      <c r="O12" s="52">
        <v>102</v>
      </c>
      <c r="P12" s="53"/>
      <c r="Q12" s="54"/>
      <c r="V12" s="623" t="s">
        <v>33</v>
      </c>
      <c r="W12" s="623"/>
      <c r="X12" s="618">
        <f>IF('3345'!K$84=1,'3345'!G12,0)</f>
        <v>0</v>
      </c>
      <c r="Y12" s="618"/>
      <c r="Z12" s="624">
        <v>1</v>
      </c>
      <c r="AA12" s="624"/>
      <c r="AB12" s="55">
        <f t="shared" si="0"/>
        <v>0</v>
      </c>
      <c r="AC12" s="56">
        <f t="shared" si="1"/>
        <v>0</v>
      </c>
      <c r="AD12" s="9"/>
    </row>
    <row r="13" spans="1:30" x14ac:dyDescent="0.25">
      <c r="A13" s="1" t="s">
        <v>34</v>
      </c>
      <c r="B13" s="13" t="s">
        <v>35</v>
      </c>
      <c r="C13" s="13"/>
      <c r="D13" s="13">
        <v>0</v>
      </c>
      <c r="E13" s="13">
        <v>0</v>
      </c>
      <c r="F13" s="13">
        <v>0</v>
      </c>
      <c r="G13" s="46">
        <f t="shared" si="2"/>
        <v>0</v>
      </c>
      <c r="H13" s="47"/>
      <c r="I13" s="57">
        <f>I12</f>
        <v>1</v>
      </c>
      <c r="J13" s="57"/>
      <c r="K13" s="49">
        <f t="shared" si="3"/>
        <v>0</v>
      </c>
      <c r="L13" s="50">
        <f t="shared" si="4"/>
        <v>0</v>
      </c>
      <c r="M13" s="1" t="str">
        <f>IF(ROUND(G13,2)=ROUND(SUM(G31:G33),2)," ","CHECK 2. PK-3 Lines Below")</f>
        <v xml:space="preserve"> </v>
      </c>
      <c r="N13" s="51">
        <v>5102</v>
      </c>
      <c r="O13" s="58" t="s">
        <v>36</v>
      </c>
      <c r="P13" s="53"/>
      <c r="Q13" s="54"/>
      <c r="V13" s="623" t="s">
        <v>35</v>
      </c>
      <c r="W13" s="623"/>
      <c r="X13" s="618">
        <f>IF('3345'!K$84=1,'3345'!G13,0)</f>
        <v>0</v>
      </c>
      <c r="Y13" s="618"/>
      <c r="Z13" s="624">
        <v>1</v>
      </c>
      <c r="AA13" s="624"/>
      <c r="AB13" s="55">
        <f t="shared" si="0"/>
        <v>0</v>
      </c>
      <c r="AC13" s="56">
        <f t="shared" si="1"/>
        <v>0</v>
      </c>
      <c r="AD13" s="9"/>
    </row>
    <row r="14" spans="1:30" x14ac:dyDescent="0.25">
      <c r="A14" s="1" t="s">
        <v>37</v>
      </c>
      <c r="B14" s="13" t="s">
        <v>38</v>
      </c>
      <c r="C14" s="13"/>
      <c r="D14" s="13">
        <v>0</v>
      </c>
      <c r="E14" s="13">
        <v>0</v>
      </c>
      <c r="F14" s="13">
        <v>0</v>
      </c>
      <c r="G14" s="46">
        <f t="shared" si="2"/>
        <v>0</v>
      </c>
      <c r="H14" s="47"/>
      <c r="I14" s="57">
        <v>1.0109999999999999</v>
      </c>
      <c r="J14" s="57"/>
      <c r="K14" s="49">
        <f t="shared" si="3"/>
        <v>0</v>
      </c>
      <c r="L14" s="50">
        <f t="shared" si="4"/>
        <v>0</v>
      </c>
      <c r="N14" s="51">
        <v>5103</v>
      </c>
      <c r="O14" s="52">
        <v>103</v>
      </c>
      <c r="P14" s="53"/>
      <c r="Q14" s="54"/>
      <c r="V14" s="623" t="s">
        <v>38</v>
      </c>
      <c r="W14" s="623"/>
      <c r="X14" s="618">
        <f>IF('3345'!K$84=1,'3345'!G14,0)</f>
        <v>0</v>
      </c>
      <c r="Y14" s="618"/>
      <c r="Z14" s="624">
        <v>1</v>
      </c>
      <c r="AA14" s="624"/>
      <c r="AB14" s="55">
        <f t="shared" si="0"/>
        <v>0</v>
      </c>
      <c r="AC14" s="56">
        <f t="shared" si="1"/>
        <v>0</v>
      </c>
      <c r="AD14" s="9"/>
    </row>
    <row r="15" spans="1:30" x14ac:dyDescent="0.25">
      <c r="A15" s="1" t="s">
        <v>39</v>
      </c>
      <c r="B15" s="13" t="s">
        <v>40</v>
      </c>
      <c r="C15" s="13"/>
      <c r="D15" s="13">
        <v>47.5</v>
      </c>
      <c r="E15" s="13">
        <v>47.5</v>
      </c>
      <c r="F15" s="13">
        <v>55.72</v>
      </c>
      <c r="G15" s="46">
        <f t="shared" si="2"/>
        <v>95</v>
      </c>
      <c r="H15" s="47"/>
      <c r="I15" s="57">
        <f>I14</f>
        <v>1.0109999999999999</v>
      </c>
      <c r="J15" s="57"/>
      <c r="K15" s="49">
        <f t="shared" si="3"/>
        <v>96.045000000000002</v>
      </c>
      <c r="L15" s="59">
        <f t="shared" si="4"/>
        <v>372138</v>
      </c>
      <c r="M15" s="1" t="str">
        <f>IF(ROUND(G15,2)=ROUND(SUM(G34:G36),2)," ","CHECK 2. PK-3 Lines Below")</f>
        <v xml:space="preserve"> </v>
      </c>
      <c r="N15" s="51">
        <v>5103</v>
      </c>
      <c r="O15" s="58" t="s">
        <v>41</v>
      </c>
      <c r="P15" s="53"/>
      <c r="Q15" s="54"/>
      <c r="V15" s="623" t="s">
        <v>40</v>
      </c>
      <c r="W15" s="623"/>
      <c r="X15" s="618">
        <f>IF('3345'!K$84=1,'3345'!G15,0)</f>
        <v>95</v>
      </c>
      <c r="Y15" s="618"/>
      <c r="Z15" s="624">
        <v>1</v>
      </c>
      <c r="AA15" s="624"/>
      <c r="AB15" s="55">
        <f t="shared" si="0"/>
        <v>95</v>
      </c>
      <c r="AC15" s="60">
        <f t="shared" si="1"/>
        <v>368089</v>
      </c>
      <c r="AD15" s="9"/>
    </row>
    <row r="16" spans="1:30" x14ac:dyDescent="0.25">
      <c r="A16" s="1" t="s">
        <v>42</v>
      </c>
      <c r="B16" s="13" t="s">
        <v>43</v>
      </c>
      <c r="C16" s="13"/>
      <c r="D16" s="13">
        <v>0</v>
      </c>
      <c r="E16" s="13">
        <v>0</v>
      </c>
      <c r="F16" s="13">
        <v>0</v>
      </c>
      <c r="G16" s="46">
        <f t="shared" si="2"/>
        <v>0</v>
      </c>
      <c r="H16" s="47"/>
      <c r="I16" s="57">
        <v>3.5579999999999998</v>
      </c>
      <c r="J16" s="57"/>
      <c r="K16" s="49">
        <f t="shared" si="3"/>
        <v>0</v>
      </c>
      <c r="L16" s="50">
        <f t="shared" si="4"/>
        <v>0</v>
      </c>
      <c r="N16" s="51">
        <v>5101</v>
      </c>
      <c r="O16" s="53">
        <v>254</v>
      </c>
      <c r="P16" s="53"/>
      <c r="Q16" s="54"/>
      <c r="V16" s="623" t="s">
        <v>43</v>
      </c>
      <c r="W16" s="623"/>
      <c r="X16" s="618">
        <f>IF('3345'!K$84=1,'3345'!G16,0)</f>
        <v>0</v>
      </c>
      <c r="Y16" s="618"/>
      <c r="Z16" s="624">
        <v>1</v>
      </c>
      <c r="AA16" s="624"/>
      <c r="AB16" s="55">
        <f t="shared" si="0"/>
        <v>0</v>
      </c>
      <c r="AC16" s="56">
        <f t="shared" si="1"/>
        <v>0</v>
      </c>
      <c r="AD16" s="9"/>
    </row>
    <row r="17" spans="1:30" x14ac:dyDescent="0.25">
      <c r="A17" s="1" t="s">
        <v>44</v>
      </c>
      <c r="B17" s="13" t="s">
        <v>45</v>
      </c>
      <c r="C17" s="13"/>
      <c r="D17" s="13">
        <v>0</v>
      </c>
      <c r="E17" s="13">
        <v>0</v>
      </c>
      <c r="F17" s="13">
        <v>0</v>
      </c>
      <c r="G17" s="46">
        <f t="shared" si="2"/>
        <v>0</v>
      </c>
      <c r="H17" s="47"/>
      <c r="I17" s="57">
        <f>I16</f>
        <v>3.5579999999999998</v>
      </c>
      <c r="J17" s="57"/>
      <c r="K17" s="49">
        <f t="shared" si="3"/>
        <v>0</v>
      </c>
      <c r="L17" s="50">
        <f t="shared" si="4"/>
        <v>0</v>
      </c>
      <c r="N17" s="51">
        <v>5102</v>
      </c>
      <c r="O17" s="54">
        <v>254</v>
      </c>
      <c r="P17" s="53"/>
      <c r="Q17" s="54"/>
      <c r="V17" s="623" t="s">
        <v>45</v>
      </c>
      <c r="W17" s="623"/>
      <c r="X17" s="618">
        <f>IF('3345'!K$84=1,'3345'!G17,0)</f>
        <v>0</v>
      </c>
      <c r="Y17" s="618"/>
      <c r="Z17" s="624">
        <v>1</v>
      </c>
      <c r="AA17" s="624"/>
      <c r="AB17" s="55">
        <f t="shared" si="0"/>
        <v>0</v>
      </c>
      <c r="AC17" s="56">
        <f t="shared" si="1"/>
        <v>0</v>
      </c>
      <c r="AD17" s="9"/>
    </row>
    <row r="18" spans="1:30" x14ac:dyDescent="0.25">
      <c r="A18" s="1" t="s">
        <v>46</v>
      </c>
      <c r="B18" s="13" t="s">
        <v>47</v>
      </c>
      <c r="C18" s="13"/>
      <c r="D18" s="13">
        <v>0.52</v>
      </c>
      <c r="E18" s="13">
        <v>0.48</v>
      </c>
      <c r="F18" s="13">
        <v>0.6</v>
      </c>
      <c r="G18" s="46">
        <f t="shared" si="2"/>
        <v>1</v>
      </c>
      <c r="H18" s="47"/>
      <c r="I18" s="57">
        <f>I17</f>
        <v>3.5579999999999998</v>
      </c>
      <c r="J18" s="57"/>
      <c r="K18" s="49">
        <f t="shared" si="3"/>
        <v>3.5579999999999998</v>
      </c>
      <c r="L18" s="50">
        <f t="shared" si="4"/>
        <v>13786</v>
      </c>
      <c r="N18" s="51">
        <v>5103</v>
      </c>
      <c r="O18" s="54">
        <v>254</v>
      </c>
      <c r="P18" s="53"/>
      <c r="Q18" s="54"/>
      <c r="V18" s="623" t="s">
        <v>47</v>
      </c>
      <c r="W18" s="623"/>
      <c r="X18" s="618">
        <f>IF('3345'!K$84=1,'3345'!G18,0)</f>
        <v>1</v>
      </c>
      <c r="Y18" s="618"/>
      <c r="Z18" s="624">
        <v>1</v>
      </c>
      <c r="AA18" s="624"/>
      <c r="AB18" s="55">
        <f t="shared" si="0"/>
        <v>1</v>
      </c>
      <c r="AC18" s="56">
        <f t="shared" si="1"/>
        <v>3875</v>
      </c>
      <c r="AD18" s="9"/>
    </row>
    <row r="19" spans="1:30" ht="15" customHeight="1" x14ac:dyDescent="0.25">
      <c r="A19" s="1" t="s">
        <v>48</v>
      </c>
      <c r="B19" s="13" t="s">
        <v>49</v>
      </c>
      <c r="C19" s="13"/>
      <c r="D19" s="13">
        <v>0</v>
      </c>
      <c r="E19" s="13">
        <v>0</v>
      </c>
      <c r="F19" s="13">
        <v>0</v>
      </c>
      <c r="G19" s="46">
        <f t="shared" si="2"/>
        <v>0</v>
      </c>
      <c r="H19" s="47"/>
      <c r="I19" s="57">
        <v>5.0890000000000004</v>
      </c>
      <c r="J19" s="57"/>
      <c r="K19" s="49">
        <f t="shared" si="3"/>
        <v>0</v>
      </c>
      <c r="L19" s="50">
        <f t="shared" si="4"/>
        <v>0</v>
      </c>
      <c r="N19" s="51">
        <v>5101</v>
      </c>
      <c r="O19" s="53">
        <v>255</v>
      </c>
      <c r="P19" s="53"/>
      <c r="Q19" s="54"/>
      <c r="V19" s="623" t="s">
        <v>49</v>
      </c>
      <c r="W19" s="623"/>
      <c r="X19" s="618">
        <f>IF('3345'!K$84=1,'3345'!G19,0)</f>
        <v>0</v>
      </c>
      <c r="Y19" s="618"/>
      <c r="Z19" s="624">
        <v>1</v>
      </c>
      <c r="AA19" s="624"/>
      <c r="AB19" s="55">
        <f t="shared" si="0"/>
        <v>0</v>
      </c>
      <c r="AC19" s="56">
        <f t="shared" si="1"/>
        <v>0</v>
      </c>
      <c r="AD19" s="9"/>
    </row>
    <row r="20" spans="1:30" ht="15" customHeight="1" x14ac:dyDescent="0.25">
      <c r="A20" s="1" t="s">
        <v>50</v>
      </c>
      <c r="B20" s="13" t="s">
        <v>51</v>
      </c>
      <c r="C20" s="13"/>
      <c r="D20" s="13">
        <v>0</v>
      </c>
      <c r="E20" s="13">
        <v>0</v>
      </c>
      <c r="F20" s="13">
        <v>0</v>
      </c>
      <c r="G20" s="46">
        <f t="shared" si="2"/>
        <v>0</v>
      </c>
      <c r="H20" s="47"/>
      <c r="I20" s="57">
        <f>I19</f>
        <v>5.0890000000000004</v>
      </c>
      <c r="J20" s="57"/>
      <c r="K20" s="49">
        <f t="shared" si="3"/>
        <v>0</v>
      </c>
      <c r="L20" s="50">
        <f t="shared" si="4"/>
        <v>0</v>
      </c>
      <c r="N20" s="51">
        <v>5102</v>
      </c>
      <c r="O20" s="54">
        <v>255</v>
      </c>
      <c r="P20" s="53"/>
      <c r="Q20" s="54"/>
      <c r="V20" s="623" t="s">
        <v>51</v>
      </c>
      <c r="W20" s="623"/>
      <c r="X20" s="618">
        <f>IF('3345'!K$84=1,'3345'!G20,0)</f>
        <v>0</v>
      </c>
      <c r="Y20" s="618"/>
      <c r="Z20" s="624">
        <v>1</v>
      </c>
      <c r="AA20" s="624"/>
      <c r="AB20" s="55">
        <f t="shared" si="0"/>
        <v>0</v>
      </c>
      <c r="AC20" s="56">
        <f t="shared" si="1"/>
        <v>0</v>
      </c>
      <c r="AD20" s="9"/>
    </row>
    <row r="21" spans="1:30" ht="15" customHeight="1" x14ac:dyDescent="0.25">
      <c r="A21" s="1" t="s">
        <v>52</v>
      </c>
      <c r="B21" s="13" t="s">
        <v>53</v>
      </c>
      <c r="C21" s="13"/>
      <c r="D21" s="13">
        <v>0</v>
      </c>
      <c r="E21" s="13">
        <v>0</v>
      </c>
      <c r="F21" s="13">
        <v>0</v>
      </c>
      <c r="G21" s="46">
        <f t="shared" si="2"/>
        <v>0</v>
      </c>
      <c r="H21" s="47"/>
      <c r="I21" s="57">
        <f>I20</f>
        <v>5.0890000000000004</v>
      </c>
      <c r="J21" s="57"/>
      <c r="K21" s="49">
        <f t="shared" si="3"/>
        <v>0</v>
      </c>
      <c r="L21" s="50">
        <f t="shared" si="4"/>
        <v>0</v>
      </c>
      <c r="N21" s="51">
        <v>5103</v>
      </c>
      <c r="O21" s="54">
        <v>255</v>
      </c>
      <c r="P21" s="53"/>
      <c r="Q21" s="54"/>
      <c r="V21" s="623" t="s">
        <v>53</v>
      </c>
      <c r="W21" s="623"/>
      <c r="X21" s="618">
        <f>IF('3345'!K$84=1,'3345'!G21,0)</f>
        <v>0</v>
      </c>
      <c r="Y21" s="618"/>
      <c r="Z21" s="624">
        <v>1</v>
      </c>
      <c r="AA21" s="624"/>
      <c r="AB21" s="55">
        <f t="shared" si="0"/>
        <v>0</v>
      </c>
      <c r="AC21" s="56">
        <f t="shared" si="1"/>
        <v>0</v>
      </c>
      <c r="AD21" s="9"/>
    </row>
    <row r="22" spans="1:30" x14ac:dyDescent="0.25">
      <c r="A22" s="1" t="s">
        <v>54</v>
      </c>
      <c r="B22" s="13" t="s">
        <v>55</v>
      </c>
      <c r="C22" s="13"/>
      <c r="D22" s="13">
        <v>0</v>
      </c>
      <c r="E22" s="13">
        <v>0</v>
      </c>
      <c r="F22" s="13">
        <v>0</v>
      </c>
      <c r="G22" s="46">
        <f t="shared" si="2"/>
        <v>0</v>
      </c>
      <c r="H22" s="47"/>
      <c r="I22" s="57">
        <v>1.145</v>
      </c>
      <c r="J22" s="57"/>
      <c r="K22" s="49">
        <f t="shared" si="3"/>
        <v>0</v>
      </c>
      <c r="L22" s="50">
        <f t="shared" si="4"/>
        <v>0</v>
      </c>
      <c r="N22" s="51">
        <v>5101</v>
      </c>
      <c r="O22" s="52">
        <v>130</v>
      </c>
      <c r="P22" s="53"/>
      <c r="Q22" s="54"/>
      <c r="V22" s="623" t="s">
        <v>55</v>
      </c>
      <c r="W22" s="623"/>
      <c r="X22" s="618">
        <f>IF('3345'!K$84=1,'3345'!G22,0)</f>
        <v>0</v>
      </c>
      <c r="Y22" s="618"/>
      <c r="Z22" s="624">
        <v>1</v>
      </c>
      <c r="AA22" s="624"/>
      <c r="AB22" s="55">
        <f t="shared" si="0"/>
        <v>0</v>
      </c>
      <c r="AC22" s="56">
        <f t="shared" si="1"/>
        <v>0</v>
      </c>
      <c r="AD22" s="9"/>
    </row>
    <row r="23" spans="1:30" x14ac:dyDescent="0.25">
      <c r="A23" s="1" t="s">
        <v>56</v>
      </c>
      <c r="B23" s="13" t="s">
        <v>57</v>
      </c>
      <c r="C23" s="13"/>
      <c r="D23" s="13">
        <v>0</v>
      </c>
      <c r="E23" s="13">
        <v>0</v>
      </c>
      <c r="F23" s="13">
        <v>0</v>
      </c>
      <c r="G23" s="46">
        <f t="shared" si="2"/>
        <v>0</v>
      </c>
      <c r="H23" s="47"/>
      <c r="I23" s="57">
        <f>I22</f>
        <v>1.145</v>
      </c>
      <c r="J23" s="57"/>
      <c r="K23" s="49">
        <f t="shared" si="3"/>
        <v>0</v>
      </c>
      <c r="L23" s="50">
        <f t="shared" si="4"/>
        <v>0</v>
      </c>
      <c r="N23" s="51">
        <v>5102</v>
      </c>
      <c r="O23" s="52">
        <v>130</v>
      </c>
      <c r="P23" s="53"/>
      <c r="Q23" s="54"/>
      <c r="V23" s="623" t="s">
        <v>57</v>
      </c>
      <c r="W23" s="623"/>
      <c r="X23" s="618">
        <f>IF('3345'!K$84=1,'3345'!G23,0)</f>
        <v>0</v>
      </c>
      <c r="Y23" s="618"/>
      <c r="Z23" s="624">
        <v>1</v>
      </c>
      <c r="AA23" s="624"/>
      <c r="AB23" s="55">
        <f t="shared" si="0"/>
        <v>0</v>
      </c>
      <c r="AC23" s="56">
        <f t="shared" si="1"/>
        <v>0</v>
      </c>
      <c r="AD23" s="9"/>
    </row>
    <row r="24" spans="1:30" x14ac:dyDescent="0.25">
      <c r="A24" s="1" t="s">
        <v>58</v>
      </c>
      <c r="B24" s="13" t="s">
        <v>59</v>
      </c>
      <c r="C24" s="13"/>
      <c r="D24" s="13">
        <v>0</v>
      </c>
      <c r="E24" s="13">
        <v>0</v>
      </c>
      <c r="F24" s="13">
        <v>0</v>
      </c>
      <c r="G24" s="46">
        <f t="shared" si="2"/>
        <v>0</v>
      </c>
      <c r="H24" s="47"/>
      <c r="I24" s="57">
        <f>I23</f>
        <v>1.145</v>
      </c>
      <c r="J24" s="57"/>
      <c r="K24" s="49">
        <f t="shared" si="3"/>
        <v>0</v>
      </c>
      <c r="L24" s="50">
        <f t="shared" si="4"/>
        <v>0</v>
      </c>
      <c r="N24" s="51">
        <v>5103</v>
      </c>
      <c r="O24" s="52">
        <v>130</v>
      </c>
      <c r="P24" s="53"/>
      <c r="Q24" s="54"/>
      <c r="V24" s="623" t="s">
        <v>59</v>
      </c>
      <c r="W24" s="623"/>
      <c r="X24" s="618">
        <f>IF('3345'!K$84=1,'3345'!G24,0)</f>
        <v>0</v>
      </c>
      <c r="Y24" s="618"/>
      <c r="Z24" s="624">
        <v>1</v>
      </c>
      <c r="AA24" s="624"/>
      <c r="AB24" s="55">
        <f t="shared" si="0"/>
        <v>0</v>
      </c>
      <c r="AC24" s="56">
        <f t="shared" si="1"/>
        <v>0</v>
      </c>
      <c r="AD24" s="9"/>
    </row>
    <row r="25" spans="1:30" ht="16.5" thickBot="1" x14ac:dyDescent="0.3">
      <c r="A25" s="1" t="s">
        <v>60</v>
      </c>
      <c r="B25" s="13" t="s">
        <v>61</v>
      </c>
      <c r="C25" s="13"/>
      <c r="D25" s="13">
        <v>0</v>
      </c>
      <c r="E25" s="13">
        <v>0</v>
      </c>
      <c r="F25" s="13">
        <v>0</v>
      </c>
      <c r="G25" s="46">
        <f t="shared" si="2"/>
        <v>0</v>
      </c>
      <c r="H25" s="47"/>
      <c r="I25" s="57">
        <v>1.0109999999999999</v>
      </c>
      <c r="J25" s="57"/>
      <c r="K25" s="49">
        <f t="shared" si="3"/>
        <v>0</v>
      </c>
      <c r="L25" s="50">
        <f t="shared" si="4"/>
        <v>0</v>
      </c>
      <c r="N25" s="51">
        <v>5310</v>
      </c>
      <c r="O25" s="52">
        <v>300</v>
      </c>
      <c r="P25" s="53"/>
      <c r="Q25" s="54"/>
      <c r="V25" s="623" t="s">
        <v>61</v>
      </c>
      <c r="W25" s="623"/>
      <c r="X25" s="618">
        <f>IF('3345'!K$84=1,'3345'!G25,0)</f>
        <v>0</v>
      </c>
      <c r="Y25" s="618"/>
      <c r="Z25" s="624">
        <v>1</v>
      </c>
      <c r="AA25" s="624"/>
      <c r="AB25" s="55">
        <f t="shared" si="0"/>
        <v>0</v>
      </c>
      <c r="AC25" s="56">
        <f t="shared" si="1"/>
        <v>0</v>
      </c>
      <c r="AD25" s="9"/>
    </row>
    <row r="26" spans="1:30" ht="20.25" customHeight="1" thickBot="1" x14ac:dyDescent="0.3">
      <c r="B26" s="62" t="s">
        <v>62</v>
      </c>
      <c r="C26" s="62"/>
      <c r="D26" s="63">
        <f t="shared" ref="D26:E26" si="5">SUM(D10:D25)</f>
        <v>48.02</v>
      </c>
      <c r="E26" s="63">
        <f t="shared" si="5"/>
        <v>47.98</v>
      </c>
      <c r="F26" s="63"/>
      <c r="G26" s="63">
        <f>SUM(G10:G25)</f>
        <v>96</v>
      </c>
      <c r="H26" s="64"/>
      <c r="I26" s="64"/>
      <c r="J26" s="65"/>
      <c r="K26" s="66">
        <f>SUM(K10:K25)</f>
        <v>99.603000000000009</v>
      </c>
      <c r="L26" s="67">
        <f>SUM(L10:L25)</f>
        <v>385924</v>
      </c>
      <c r="N26" s="54"/>
      <c r="O26" s="68"/>
      <c r="P26" s="54"/>
      <c r="Q26" s="54"/>
      <c r="V26" s="625" t="s">
        <v>62</v>
      </c>
      <c r="W26" s="625"/>
      <c r="X26" s="626">
        <f>SUM(X10:X25)</f>
        <v>96</v>
      </c>
      <c r="Y26" s="626"/>
      <c r="Z26" s="627"/>
      <c r="AA26" s="628"/>
      <c r="AB26" s="69">
        <f>SUM(AB10:AB25)</f>
        <v>96</v>
      </c>
      <c r="AC26" s="70">
        <f>SUM(AC10:AC25)</f>
        <v>371964</v>
      </c>
      <c r="AD26" s="9"/>
    </row>
    <row r="27" spans="1:30" ht="51.75" customHeight="1" x14ac:dyDescent="0.25">
      <c r="B27" s="62" t="s">
        <v>63</v>
      </c>
      <c r="C27" s="62"/>
      <c r="D27" s="71" t="s">
        <v>13</v>
      </c>
      <c r="E27" s="71" t="s">
        <v>14</v>
      </c>
      <c r="F27" s="27"/>
      <c r="G27" s="72" t="s">
        <v>64</v>
      </c>
      <c r="H27" s="73"/>
      <c r="I27" s="74" t="s">
        <v>65</v>
      </c>
      <c r="J27" s="74" t="s">
        <v>66</v>
      </c>
      <c r="K27" s="75" t="s">
        <v>67</v>
      </c>
      <c r="N27" s="54"/>
      <c r="O27" s="68"/>
      <c r="P27" s="54"/>
      <c r="Q27" s="54"/>
      <c r="V27" s="629" t="s">
        <v>63</v>
      </c>
      <c r="W27" s="629"/>
      <c r="X27" s="630" t="s">
        <v>64</v>
      </c>
      <c r="Y27" s="630"/>
      <c r="Z27" s="76" t="s">
        <v>65</v>
      </c>
      <c r="AA27" s="77" t="s">
        <v>66</v>
      </c>
      <c r="AB27" s="78" t="s">
        <v>67</v>
      </c>
      <c r="AC27" s="9"/>
      <c r="AD27" s="9"/>
    </row>
    <row r="28" spans="1:30" ht="15.75" customHeight="1" x14ac:dyDescent="0.25">
      <c r="A28" s="1" t="s">
        <v>68</v>
      </c>
      <c r="B28" s="631" t="s">
        <v>69</v>
      </c>
      <c r="C28" s="632"/>
      <c r="D28" s="13">
        <v>0</v>
      </c>
      <c r="E28" s="13">
        <v>0</v>
      </c>
      <c r="F28" s="79">
        <v>0</v>
      </c>
      <c r="G28" s="46">
        <f t="shared" ref="G28:G36" si="6">D28+E28</f>
        <v>0</v>
      </c>
      <c r="H28" s="80"/>
      <c r="I28" s="81" t="s">
        <v>70</v>
      </c>
      <c r="J28" s="82">
        <v>251</v>
      </c>
      <c r="K28" s="83">
        <v>1047</v>
      </c>
      <c r="L28" s="84">
        <f>ROUND(G28*K28,0)</f>
        <v>0</v>
      </c>
      <c r="N28" s="85">
        <v>5101</v>
      </c>
      <c r="O28" s="54">
        <v>251</v>
      </c>
      <c r="P28" s="86"/>
      <c r="Q28" s="87"/>
      <c r="V28" s="637" t="s">
        <v>69</v>
      </c>
      <c r="W28" s="637"/>
      <c r="X28" s="638"/>
      <c r="Y28" s="638"/>
      <c r="Z28" s="88" t="s">
        <v>70</v>
      </c>
      <c r="AA28" s="89">
        <v>251</v>
      </c>
      <c r="AB28" s="90">
        <f>+K28</f>
        <v>1047</v>
      </c>
      <c r="AC28" s="91">
        <f t="shared" ref="AC28:AC36" si="7">ROUND(X28*AB28,0)</f>
        <v>0</v>
      </c>
      <c r="AD28" s="9"/>
    </row>
    <row r="29" spans="1:30" x14ac:dyDescent="0.25">
      <c r="A29" s="1" t="s">
        <v>71</v>
      </c>
      <c r="B29" s="633"/>
      <c r="C29" s="634"/>
      <c r="D29" s="13">
        <v>0</v>
      </c>
      <c r="E29" s="13">
        <v>0</v>
      </c>
      <c r="F29" s="92">
        <v>0</v>
      </c>
      <c r="G29" s="46">
        <f t="shared" si="6"/>
        <v>0</v>
      </c>
      <c r="H29" s="80"/>
      <c r="I29" s="82" t="s">
        <v>70</v>
      </c>
      <c r="J29" s="82">
        <v>252</v>
      </c>
      <c r="K29" s="83">
        <v>3380</v>
      </c>
      <c r="L29" s="84">
        <f t="shared" ref="L29:L36" si="8">ROUND(G29*K29,0)</f>
        <v>0</v>
      </c>
      <c r="N29" s="85">
        <v>5101</v>
      </c>
      <c r="O29" s="54">
        <v>252</v>
      </c>
      <c r="P29" s="86"/>
      <c r="Q29" s="87"/>
      <c r="V29" s="637"/>
      <c r="W29" s="637"/>
      <c r="X29" s="638"/>
      <c r="Y29" s="638"/>
      <c r="Z29" s="89" t="s">
        <v>70</v>
      </c>
      <c r="AA29" s="89">
        <v>252</v>
      </c>
      <c r="AB29" s="90">
        <f t="shared" ref="AB29:AB36" si="9">+K29</f>
        <v>3380</v>
      </c>
      <c r="AC29" s="91">
        <f t="shared" si="7"/>
        <v>0</v>
      </c>
      <c r="AD29" s="9"/>
    </row>
    <row r="30" spans="1:30" x14ac:dyDescent="0.25">
      <c r="A30" s="1" t="s">
        <v>72</v>
      </c>
      <c r="B30" s="633"/>
      <c r="C30" s="634"/>
      <c r="D30" s="13">
        <v>0</v>
      </c>
      <c r="E30" s="13">
        <v>0</v>
      </c>
      <c r="F30" s="92">
        <v>0</v>
      </c>
      <c r="G30" s="46">
        <f t="shared" si="6"/>
        <v>0</v>
      </c>
      <c r="H30" s="80"/>
      <c r="I30" s="82" t="s">
        <v>70</v>
      </c>
      <c r="J30" s="82">
        <v>253</v>
      </c>
      <c r="K30" s="83">
        <v>6896</v>
      </c>
      <c r="L30" s="84">
        <f t="shared" si="8"/>
        <v>0</v>
      </c>
      <c r="N30" s="85">
        <v>5101</v>
      </c>
      <c r="O30" s="54">
        <v>253</v>
      </c>
      <c r="P30" s="86"/>
      <c r="Q30" s="68"/>
      <c r="V30" s="637"/>
      <c r="W30" s="637"/>
      <c r="X30" s="638"/>
      <c r="Y30" s="638"/>
      <c r="Z30" s="89" t="s">
        <v>70</v>
      </c>
      <c r="AA30" s="89">
        <v>253</v>
      </c>
      <c r="AB30" s="90">
        <f t="shared" si="9"/>
        <v>6896</v>
      </c>
      <c r="AC30" s="91">
        <f t="shared" si="7"/>
        <v>0</v>
      </c>
      <c r="AD30" s="9"/>
    </row>
    <row r="31" spans="1:30" x14ac:dyDescent="0.25">
      <c r="A31" s="1" t="s">
        <v>73</v>
      </c>
      <c r="B31" s="633"/>
      <c r="C31" s="634"/>
      <c r="D31" s="13">
        <v>0</v>
      </c>
      <c r="E31" s="13">
        <v>0</v>
      </c>
      <c r="F31" s="92">
        <v>0</v>
      </c>
      <c r="G31" s="46">
        <f t="shared" si="6"/>
        <v>0</v>
      </c>
      <c r="H31" s="80"/>
      <c r="I31" s="93" t="s">
        <v>74</v>
      </c>
      <c r="J31" s="82">
        <v>251</v>
      </c>
      <c r="K31" s="83">
        <v>1173</v>
      </c>
      <c r="L31" s="84">
        <f t="shared" si="8"/>
        <v>0</v>
      </c>
      <c r="N31" s="85">
        <v>5102</v>
      </c>
      <c r="O31" s="54">
        <v>251</v>
      </c>
      <c r="P31" s="86"/>
      <c r="Q31" s="68"/>
      <c r="V31" s="637"/>
      <c r="W31" s="637"/>
      <c r="X31" s="638"/>
      <c r="Y31" s="638"/>
      <c r="Z31" s="94" t="s">
        <v>74</v>
      </c>
      <c r="AA31" s="89">
        <v>251</v>
      </c>
      <c r="AB31" s="90">
        <f t="shared" si="9"/>
        <v>1173</v>
      </c>
      <c r="AC31" s="91">
        <f t="shared" si="7"/>
        <v>0</v>
      </c>
      <c r="AD31" s="9"/>
    </row>
    <row r="32" spans="1:30" x14ac:dyDescent="0.25">
      <c r="A32" s="1" t="s">
        <v>75</v>
      </c>
      <c r="B32" s="633"/>
      <c r="C32" s="634"/>
      <c r="D32" s="13">
        <v>0</v>
      </c>
      <c r="E32" s="13">
        <v>0</v>
      </c>
      <c r="F32" s="92">
        <v>0</v>
      </c>
      <c r="G32" s="46">
        <f t="shared" si="6"/>
        <v>0</v>
      </c>
      <c r="H32" s="80"/>
      <c r="I32" s="93" t="s">
        <v>74</v>
      </c>
      <c r="J32" s="82">
        <v>252</v>
      </c>
      <c r="K32" s="83">
        <v>3506</v>
      </c>
      <c r="L32" s="84">
        <f t="shared" si="8"/>
        <v>0</v>
      </c>
      <c r="N32" s="85">
        <v>5102</v>
      </c>
      <c r="O32" s="54">
        <v>252</v>
      </c>
      <c r="P32" s="86"/>
      <c r="Q32" s="54"/>
      <c r="V32" s="637"/>
      <c r="W32" s="637"/>
      <c r="X32" s="638"/>
      <c r="Y32" s="638"/>
      <c r="Z32" s="94" t="s">
        <v>74</v>
      </c>
      <c r="AA32" s="89">
        <v>252</v>
      </c>
      <c r="AB32" s="90">
        <f t="shared" si="9"/>
        <v>3506</v>
      </c>
      <c r="AC32" s="91">
        <f t="shared" si="7"/>
        <v>0</v>
      </c>
      <c r="AD32" s="9"/>
    </row>
    <row r="33" spans="1:30" x14ac:dyDescent="0.25">
      <c r="A33" s="1" t="s">
        <v>76</v>
      </c>
      <c r="B33" s="633"/>
      <c r="C33" s="634"/>
      <c r="D33" s="13">
        <v>0</v>
      </c>
      <c r="E33" s="13">
        <v>0</v>
      </c>
      <c r="F33" s="92">
        <v>0</v>
      </c>
      <c r="G33" s="46">
        <f t="shared" si="6"/>
        <v>0</v>
      </c>
      <c r="H33" s="80"/>
      <c r="I33" s="93" t="s">
        <v>74</v>
      </c>
      <c r="J33" s="82">
        <v>253</v>
      </c>
      <c r="K33" s="83">
        <v>7023</v>
      </c>
      <c r="L33" s="84">
        <f t="shared" si="8"/>
        <v>0</v>
      </c>
      <c r="N33" s="85">
        <v>5102</v>
      </c>
      <c r="O33" s="54">
        <v>253</v>
      </c>
      <c r="P33" s="86"/>
      <c r="Q33" s="87"/>
      <c r="V33" s="637"/>
      <c r="W33" s="637"/>
      <c r="X33" s="638"/>
      <c r="Y33" s="638"/>
      <c r="Z33" s="94" t="s">
        <v>74</v>
      </c>
      <c r="AA33" s="89">
        <v>253</v>
      </c>
      <c r="AB33" s="90">
        <f t="shared" si="9"/>
        <v>7023</v>
      </c>
      <c r="AC33" s="91">
        <f t="shared" si="7"/>
        <v>0</v>
      </c>
      <c r="AD33" s="9"/>
    </row>
    <row r="34" spans="1:30" x14ac:dyDescent="0.25">
      <c r="A34" s="1" t="s">
        <v>77</v>
      </c>
      <c r="B34" s="633"/>
      <c r="C34" s="634"/>
      <c r="D34" s="13">
        <v>0.5</v>
      </c>
      <c r="E34" s="13">
        <v>0.5</v>
      </c>
      <c r="F34" s="92">
        <v>1</v>
      </c>
      <c r="G34" s="46">
        <f t="shared" si="6"/>
        <v>1</v>
      </c>
      <c r="H34" s="80"/>
      <c r="I34" s="93" t="s">
        <v>78</v>
      </c>
      <c r="J34" s="82">
        <v>251</v>
      </c>
      <c r="K34" s="83">
        <v>835</v>
      </c>
      <c r="L34" s="84">
        <f t="shared" si="8"/>
        <v>835</v>
      </c>
      <c r="N34" s="85">
        <v>5103</v>
      </c>
      <c r="O34" s="54">
        <v>251</v>
      </c>
      <c r="P34" s="86"/>
      <c r="Q34" s="87"/>
      <c r="V34" s="637"/>
      <c r="W34" s="637"/>
      <c r="X34" s="638"/>
      <c r="Y34" s="638"/>
      <c r="Z34" s="94" t="s">
        <v>78</v>
      </c>
      <c r="AA34" s="89">
        <v>251</v>
      </c>
      <c r="AB34" s="90">
        <f t="shared" si="9"/>
        <v>835</v>
      </c>
      <c r="AC34" s="91">
        <f t="shared" si="7"/>
        <v>0</v>
      </c>
      <c r="AD34" s="9"/>
    </row>
    <row r="35" spans="1:30" x14ac:dyDescent="0.25">
      <c r="A35" s="1" t="s">
        <v>79</v>
      </c>
      <c r="B35" s="633"/>
      <c r="C35" s="634"/>
      <c r="D35" s="13">
        <v>12</v>
      </c>
      <c r="E35" s="13">
        <v>12</v>
      </c>
      <c r="F35" s="92">
        <v>9.5</v>
      </c>
      <c r="G35" s="46">
        <f t="shared" si="6"/>
        <v>24</v>
      </c>
      <c r="H35" s="80"/>
      <c r="I35" s="93" t="s">
        <v>78</v>
      </c>
      <c r="J35" s="82">
        <v>252</v>
      </c>
      <c r="K35" s="83">
        <v>3168</v>
      </c>
      <c r="L35" s="84">
        <f t="shared" si="8"/>
        <v>76032</v>
      </c>
      <c r="N35" s="85">
        <v>5103</v>
      </c>
      <c r="O35" s="54">
        <v>252</v>
      </c>
      <c r="P35" s="86"/>
      <c r="Q35" s="95"/>
      <c r="V35" s="637"/>
      <c r="W35" s="637"/>
      <c r="X35" s="638"/>
      <c r="Y35" s="638"/>
      <c r="Z35" s="94" t="s">
        <v>78</v>
      </c>
      <c r="AA35" s="89">
        <v>252</v>
      </c>
      <c r="AB35" s="90">
        <f t="shared" si="9"/>
        <v>3168</v>
      </c>
      <c r="AC35" s="91">
        <f t="shared" si="7"/>
        <v>0</v>
      </c>
      <c r="AD35" s="9"/>
    </row>
    <row r="36" spans="1:30" ht="16.5" thickBot="1" x14ac:dyDescent="0.3">
      <c r="A36" s="1" t="s">
        <v>80</v>
      </c>
      <c r="B36" s="635"/>
      <c r="C36" s="636"/>
      <c r="D36" s="13">
        <v>35</v>
      </c>
      <c r="E36" s="13">
        <v>35</v>
      </c>
      <c r="F36" s="92">
        <v>35</v>
      </c>
      <c r="G36" s="46">
        <f t="shared" si="6"/>
        <v>70</v>
      </c>
      <c r="H36" s="80"/>
      <c r="I36" s="93" t="s">
        <v>78</v>
      </c>
      <c r="J36" s="82">
        <v>253</v>
      </c>
      <c r="K36" s="83">
        <v>6685</v>
      </c>
      <c r="L36" s="96">
        <f t="shared" si="8"/>
        <v>467950</v>
      </c>
      <c r="N36" s="85">
        <v>5103</v>
      </c>
      <c r="O36" s="54">
        <v>253</v>
      </c>
      <c r="P36" s="86"/>
      <c r="Q36" s="97"/>
      <c r="V36" s="637"/>
      <c r="W36" s="637"/>
      <c r="X36" s="645"/>
      <c r="Y36" s="645"/>
      <c r="Z36" s="94" t="s">
        <v>78</v>
      </c>
      <c r="AA36" s="89">
        <v>253</v>
      </c>
      <c r="AB36" s="90">
        <f t="shared" si="9"/>
        <v>6685</v>
      </c>
      <c r="AC36" s="98">
        <f t="shared" si="7"/>
        <v>0</v>
      </c>
      <c r="AD36" s="9"/>
    </row>
    <row r="37" spans="1:30" ht="18.75" customHeight="1" x14ac:dyDescent="0.25">
      <c r="B37" s="13" t="s">
        <v>81</v>
      </c>
      <c r="C37" s="13"/>
      <c r="D37" s="63">
        <f t="shared" ref="D37:E37" si="10">SUM(D28:D36)</f>
        <v>47.5</v>
      </c>
      <c r="E37" s="63">
        <f t="shared" si="10"/>
        <v>47.5</v>
      </c>
      <c r="F37" s="63"/>
      <c r="G37" s="63">
        <f>SUM(G28:G36)</f>
        <v>95</v>
      </c>
      <c r="H37" s="64"/>
      <c r="I37" s="13" t="s">
        <v>82</v>
      </c>
      <c r="J37" s="13"/>
      <c r="K37" s="13"/>
      <c r="L37" s="50">
        <f>SUM(L28:L36)</f>
        <v>544817</v>
      </c>
      <c r="N37" s="54"/>
      <c r="O37" s="68"/>
      <c r="P37" s="54"/>
      <c r="Q37" s="54"/>
      <c r="V37" s="646" t="s">
        <v>81</v>
      </c>
      <c r="W37" s="646"/>
      <c r="X37" s="626">
        <f>SUM(X28:X36)</f>
        <v>0</v>
      </c>
      <c r="Y37" s="626"/>
      <c r="Z37" s="646" t="s">
        <v>82</v>
      </c>
      <c r="AA37" s="646"/>
      <c r="AB37" s="646"/>
      <c r="AC37" s="56">
        <f>SUM(AC28:AC36)</f>
        <v>0</v>
      </c>
      <c r="AD37" s="9"/>
    </row>
    <row r="38" spans="1:30" ht="30.75" customHeight="1" x14ac:dyDescent="0.25">
      <c r="B38" s="99" t="s">
        <v>83</v>
      </c>
      <c r="C38" s="99"/>
      <c r="D38" s="99"/>
      <c r="E38" s="99"/>
      <c r="F38" s="99"/>
      <c r="G38" s="99"/>
      <c r="H38" s="100"/>
      <c r="I38" s="99"/>
      <c r="J38" s="99"/>
      <c r="K38" s="99"/>
      <c r="L38" s="99"/>
      <c r="M38" s="101"/>
      <c r="N38" s="54"/>
      <c r="O38" s="68"/>
      <c r="P38" s="54"/>
      <c r="Q38" s="54"/>
      <c r="V38" s="639" t="s">
        <v>83</v>
      </c>
      <c r="W38" s="639"/>
      <c r="X38" s="639"/>
      <c r="Y38" s="639"/>
      <c r="Z38" s="639"/>
      <c r="AA38" s="639"/>
      <c r="AB38" s="639"/>
      <c r="AC38" s="639"/>
      <c r="AD38" s="102"/>
    </row>
    <row r="39" spans="1:30" ht="15.75" customHeight="1" x14ac:dyDescent="0.25">
      <c r="B39" s="103" t="s">
        <v>84</v>
      </c>
      <c r="C39" s="103"/>
      <c r="D39" s="103"/>
      <c r="E39" s="103"/>
      <c r="F39" s="103"/>
      <c r="G39" s="104">
        <v>34389540</v>
      </c>
      <c r="H39" s="104"/>
      <c r="I39" s="13" t="s">
        <v>85</v>
      </c>
      <c r="J39" s="13"/>
      <c r="K39" s="13"/>
      <c r="L39" s="13"/>
      <c r="O39" s="1"/>
      <c r="V39" s="640" t="s">
        <v>84</v>
      </c>
      <c r="W39" s="640"/>
      <c r="X39" s="641">
        <f>+G39</f>
        <v>34389540</v>
      </c>
      <c r="Y39" s="641"/>
      <c r="Z39" s="642" t="s">
        <v>85</v>
      </c>
      <c r="AA39" s="642"/>
      <c r="AB39" s="642"/>
      <c r="AC39" s="642"/>
      <c r="AD39" s="9"/>
    </row>
    <row r="40" spans="1:30" ht="15.75" customHeight="1" x14ac:dyDescent="0.25">
      <c r="B40" s="105" t="s">
        <v>86</v>
      </c>
      <c r="C40" s="105"/>
      <c r="D40" s="105"/>
      <c r="E40" s="105"/>
      <c r="F40" s="105"/>
      <c r="G40" s="106">
        <v>180284.81</v>
      </c>
      <c r="H40" s="106"/>
      <c r="I40" s="106"/>
      <c r="J40" s="106"/>
      <c r="K40" s="50">
        <f>ROUND(G39/G40,0)</f>
        <v>191</v>
      </c>
      <c r="L40" s="50">
        <f>ROUND(K40*$G$26,0)</f>
        <v>18336</v>
      </c>
      <c r="N40" s="107"/>
      <c r="O40" s="107"/>
      <c r="P40" s="107"/>
      <c r="Q40" s="107"/>
      <c r="V40" s="643" t="s">
        <v>86</v>
      </c>
      <c r="W40" s="643"/>
      <c r="X40" s="644">
        <f>+G40</f>
        <v>180284.81</v>
      </c>
      <c r="Y40" s="644"/>
      <c r="Z40" s="644"/>
      <c r="AA40" s="644"/>
      <c r="AB40" s="56">
        <f>ROUND(X39/X40,0)</f>
        <v>191</v>
      </c>
      <c r="AC40" s="56">
        <f>ROUND(AB40*$X$26,0)</f>
        <v>18336</v>
      </c>
      <c r="AD40" s="9"/>
    </row>
    <row r="41" spans="1:30" ht="15.75" customHeight="1" x14ac:dyDescent="0.25">
      <c r="B41" s="108" t="s">
        <v>87</v>
      </c>
      <c r="C41" s="108"/>
      <c r="D41" s="108"/>
      <c r="E41" s="108"/>
      <c r="F41" s="108"/>
      <c r="G41" s="108"/>
      <c r="H41" s="108"/>
      <c r="I41" s="108"/>
      <c r="J41" s="108"/>
      <c r="K41" s="108"/>
      <c r="L41" s="108"/>
      <c r="N41" s="101"/>
      <c r="O41" s="109"/>
      <c r="P41" s="101"/>
      <c r="Q41" s="101"/>
      <c r="V41" s="652" t="s">
        <v>87</v>
      </c>
      <c r="W41" s="652"/>
      <c r="X41" s="652"/>
      <c r="Y41" s="652"/>
      <c r="Z41" s="652"/>
      <c r="AA41" s="652"/>
      <c r="AB41" s="652"/>
      <c r="AC41" s="652"/>
      <c r="AD41" s="9"/>
    </row>
    <row r="42" spans="1:30" ht="28.5" customHeight="1" x14ac:dyDescent="0.25">
      <c r="B42" s="99" t="s">
        <v>88</v>
      </c>
      <c r="C42" s="99"/>
      <c r="D42" s="99"/>
      <c r="E42" s="99"/>
      <c r="F42" s="99"/>
      <c r="G42" s="99"/>
      <c r="H42" s="99"/>
      <c r="I42" s="99"/>
      <c r="J42" s="99"/>
      <c r="K42" s="99"/>
      <c r="L42" s="99"/>
      <c r="M42" s="107"/>
      <c r="O42" s="1"/>
      <c r="V42" s="639" t="s">
        <v>88</v>
      </c>
      <c r="W42" s="639"/>
      <c r="X42" s="639"/>
      <c r="Y42" s="639"/>
      <c r="Z42" s="639"/>
      <c r="AA42" s="639"/>
      <c r="AB42" s="639"/>
      <c r="AC42" s="639"/>
      <c r="AD42" s="110"/>
    </row>
    <row r="43" spans="1:30" x14ac:dyDescent="0.25">
      <c r="B43" s="111" t="s">
        <v>89</v>
      </c>
      <c r="C43" s="111"/>
      <c r="D43" s="111"/>
      <c r="E43" s="111"/>
      <c r="F43" s="111"/>
      <c r="G43" s="111"/>
      <c r="H43" s="111"/>
      <c r="I43" s="111"/>
      <c r="J43" s="111"/>
      <c r="K43" s="111"/>
      <c r="L43" s="111"/>
      <c r="M43" s="112"/>
      <c r="N43" s="101"/>
      <c r="O43" s="101"/>
      <c r="P43" s="101"/>
      <c r="Q43" s="101"/>
      <c r="V43" s="653" t="s">
        <v>89</v>
      </c>
      <c r="W43" s="653"/>
      <c r="X43" s="653"/>
      <c r="Y43" s="653"/>
      <c r="Z43" s="653"/>
      <c r="AA43" s="653"/>
      <c r="AB43" s="653"/>
      <c r="AC43" s="653"/>
      <c r="AD43" s="113"/>
    </row>
    <row r="44" spans="1:30" ht="24" customHeight="1" x14ac:dyDescent="0.25">
      <c r="B44" s="62" t="s">
        <v>90</v>
      </c>
      <c r="C44" s="62"/>
      <c r="D44" s="62"/>
      <c r="E44" s="62"/>
      <c r="F44" s="62"/>
      <c r="G44" s="62"/>
      <c r="H44" s="62"/>
      <c r="I44" s="62"/>
      <c r="J44" s="62"/>
      <c r="K44" s="62"/>
      <c r="L44" s="114">
        <f>SUM(L26,L37,L40)</f>
        <v>949077</v>
      </c>
      <c r="O44" s="1"/>
      <c r="V44" s="654" t="s">
        <v>90</v>
      </c>
      <c r="W44" s="654"/>
      <c r="X44" s="654"/>
      <c r="Y44" s="654"/>
      <c r="Z44" s="654"/>
      <c r="AA44" s="654"/>
      <c r="AB44" s="654"/>
      <c r="AC44" s="115">
        <f>SUM(AC26,AC37,AC40)</f>
        <v>390300</v>
      </c>
      <c r="AD44" s="9"/>
    </row>
    <row r="45" spans="1:30" ht="30.75" customHeight="1" x14ac:dyDescent="0.25">
      <c r="B45" s="99" t="s">
        <v>91</v>
      </c>
      <c r="C45" s="99"/>
      <c r="D45" s="99"/>
      <c r="E45" s="99"/>
      <c r="F45" s="99"/>
      <c r="G45" s="99"/>
      <c r="H45" s="99"/>
      <c r="I45" s="99"/>
      <c r="J45" s="99"/>
      <c r="K45" s="99"/>
      <c r="L45" s="99"/>
      <c r="M45" s="116"/>
      <c r="O45" s="1"/>
      <c r="V45" s="639" t="s">
        <v>91</v>
      </c>
      <c r="W45" s="639"/>
      <c r="X45" s="639"/>
      <c r="Y45" s="639"/>
      <c r="Z45" s="639"/>
      <c r="AA45" s="639"/>
      <c r="AB45" s="639"/>
      <c r="AC45" s="639"/>
      <c r="AD45" s="117"/>
    </row>
    <row r="46" spans="1:30" ht="18.75" customHeight="1" x14ac:dyDescent="0.25">
      <c r="B46" s="1"/>
      <c r="C46" s="118" t="s">
        <v>92</v>
      </c>
      <c r="D46" s="118"/>
      <c r="E46" s="118"/>
      <c r="F46" s="118"/>
      <c r="G46" s="118" t="s">
        <v>93</v>
      </c>
      <c r="H46" s="119"/>
      <c r="I46" s="120" t="s">
        <v>94</v>
      </c>
      <c r="J46" s="121"/>
      <c r="K46" s="121"/>
      <c r="L46" s="121"/>
      <c r="M46" s="122"/>
      <c r="O46" s="1"/>
      <c r="V46" s="9"/>
      <c r="W46" s="123" t="s">
        <v>92</v>
      </c>
      <c r="X46" s="655" t="s">
        <v>95</v>
      </c>
      <c r="Y46" s="655"/>
      <c r="Z46" s="656" t="s">
        <v>94</v>
      </c>
      <c r="AA46" s="656"/>
      <c r="AB46" s="656"/>
      <c r="AC46" s="656"/>
      <c r="AD46" s="124"/>
    </row>
    <row r="47" spans="1:30" ht="18.75" customHeight="1" x14ac:dyDescent="0.25">
      <c r="B47" s="107" t="s">
        <v>96</v>
      </c>
      <c r="C47" s="125">
        <f>K10+K11+K16+K19+K22</f>
        <v>0</v>
      </c>
      <c r="D47" s="125"/>
      <c r="E47" s="125"/>
      <c r="F47" s="125"/>
      <c r="G47" s="126">
        <f>K7</f>
        <v>1.0326</v>
      </c>
      <c r="H47" s="126"/>
      <c r="I47" s="127">
        <v>1316.85</v>
      </c>
      <c r="J47" s="128" t="s">
        <v>97</v>
      </c>
      <c r="K47" s="129">
        <f>ROUND(C47*G47*I47,0)</f>
        <v>0</v>
      </c>
      <c r="L47" s="130"/>
      <c r="O47" s="1"/>
      <c r="V47" s="110" t="s">
        <v>96</v>
      </c>
      <c r="W47" s="131">
        <f>AB10+AB11+AB16+AB19+AB22</f>
        <v>0</v>
      </c>
      <c r="X47" s="647">
        <f>AB7</f>
        <v>1.0326</v>
      </c>
      <c r="Y47" s="647"/>
      <c r="Z47" s="132">
        <f>+I47</f>
        <v>1316.85</v>
      </c>
      <c r="AA47" s="133" t="s">
        <v>97</v>
      </c>
      <c r="AB47" s="134">
        <f>ROUND(W47*X47*Z47,0)</f>
        <v>0</v>
      </c>
      <c r="AC47" s="135"/>
      <c r="AD47" s="9"/>
    </row>
    <row r="48" spans="1:30" ht="18" customHeight="1" x14ac:dyDescent="0.25">
      <c r="B48" s="136" t="s">
        <v>74</v>
      </c>
      <c r="C48" s="125">
        <f>K12+K13+K17+K20+K23</f>
        <v>0</v>
      </c>
      <c r="D48" s="125"/>
      <c r="E48" s="125"/>
      <c r="F48" s="125"/>
      <c r="G48" s="126">
        <f>K7</f>
        <v>1.0326</v>
      </c>
      <c r="H48" s="126"/>
      <c r="I48" s="127">
        <v>898.23</v>
      </c>
      <c r="J48" s="128" t="s">
        <v>97</v>
      </c>
      <c r="K48" s="129">
        <f>ROUND(C48*G48*I48,0)</f>
        <v>0</v>
      </c>
      <c r="L48" s="62"/>
      <c r="O48" s="1"/>
      <c r="V48" s="137" t="s">
        <v>74</v>
      </c>
      <c r="W48" s="131">
        <f>AB12+AB13+AB17+AB20+AB23</f>
        <v>0</v>
      </c>
      <c r="X48" s="647">
        <f>AB7</f>
        <v>1.0326</v>
      </c>
      <c r="Y48" s="647"/>
      <c r="Z48" s="132">
        <f>+I48</f>
        <v>898.23</v>
      </c>
      <c r="AA48" s="133" t="s">
        <v>97</v>
      </c>
      <c r="AB48" s="134">
        <f>ROUND(W48*X48*Z48,0)</f>
        <v>0</v>
      </c>
      <c r="AC48" s="138"/>
      <c r="AD48" s="9"/>
    </row>
    <row r="49" spans="2:30" ht="19.5" customHeight="1" thickBot="1" x14ac:dyDescent="0.3">
      <c r="B49" s="139" t="s">
        <v>78</v>
      </c>
      <c r="C49" s="140">
        <f>K14+K15+K18+K21+K24+K25</f>
        <v>99.603000000000009</v>
      </c>
      <c r="D49" s="125"/>
      <c r="E49" s="125"/>
      <c r="F49" s="125"/>
      <c r="G49" s="126">
        <f>K7</f>
        <v>1.0326</v>
      </c>
      <c r="H49" s="126"/>
      <c r="I49" s="127">
        <v>900.39</v>
      </c>
      <c r="J49" s="128" t="s">
        <v>97</v>
      </c>
      <c r="K49" s="129">
        <f>ROUND(C49*G49*I49,0)</f>
        <v>92605</v>
      </c>
      <c r="L49" s="62"/>
      <c r="M49" s="112"/>
      <c r="N49" s="141"/>
      <c r="O49" s="142"/>
      <c r="P49" s="101"/>
      <c r="Q49" s="143"/>
      <c r="V49" s="144" t="s">
        <v>78</v>
      </c>
      <c r="W49" s="145">
        <f>AB14+AB15+AB18+AB21+AB24+AB25</f>
        <v>96</v>
      </c>
      <c r="X49" s="647">
        <f>AB7</f>
        <v>1.0326</v>
      </c>
      <c r="Y49" s="647"/>
      <c r="Z49" s="132">
        <f>+I49</f>
        <v>900.39</v>
      </c>
      <c r="AA49" s="133" t="s">
        <v>97</v>
      </c>
      <c r="AB49" s="134">
        <f>ROUND(W49*X49*Z49,0)</f>
        <v>89255</v>
      </c>
      <c r="AC49" s="138"/>
      <c r="AD49" s="113"/>
    </row>
    <row r="50" spans="2:30" ht="24" customHeight="1" thickBot="1" x14ac:dyDescent="0.3">
      <c r="B50" s="146" t="s">
        <v>98</v>
      </c>
      <c r="C50" s="147">
        <f>SUM(C47:C49)</f>
        <v>99.603000000000009</v>
      </c>
      <c r="D50" s="148"/>
      <c r="E50" s="149"/>
      <c r="F50" s="149"/>
      <c r="G50" s="150" t="s">
        <v>99</v>
      </c>
      <c r="H50" s="150"/>
      <c r="I50" s="150"/>
      <c r="J50" s="150"/>
      <c r="K50" s="150"/>
      <c r="L50" s="50">
        <f>IF(B2=75,0,K49+K48+K47)</f>
        <v>92605</v>
      </c>
      <c r="N50" s="3"/>
      <c r="O50" s="1"/>
      <c r="V50" s="151" t="s">
        <v>98</v>
      </c>
      <c r="W50" s="152">
        <f>SUM(W47:W49)</f>
        <v>96</v>
      </c>
      <c r="X50" s="648" t="s">
        <v>99</v>
      </c>
      <c r="Y50" s="649"/>
      <c r="Z50" s="649"/>
      <c r="AA50" s="649"/>
      <c r="AB50" s="649"/>
      <c r="AC50" s="56">
        <f>IF(V2=75,0,AB49+AB48+AB47)</f>
        <v>89255</v>
      </c>
      <c r="AD50" s="9"/>
    </row>
    <row r="51" spans="2:30" ht="19.5" customHeight="1" x14ac:dyDescent="0.25">
      <c r="B51" s="153" t="s">
        <v>100</v>
      </c>
      <c r="C51" s="153"/>
      <c r="D51" s="153"/>
      <c r="E51" s="153"/>
      <c r="F51" s="153"/>
      <c r="G51" s="153"/>
      <c r="H51" s="153"/>
      <c r="I51" s="153"/>
      <c r="J51" s="153"/>
      <c r="K51" s="153"/>
      <c r="L51" s="153"/>
      <c r="M51" s="141"/>
      <c r="N51" s="101"/>
      <c r="O51" s="1"/>
      <c r="V51" s="650" t="s">
        <v>100</v>
      </c>
      <c r="W51" s="650"/>
      <c r="X51" s="650"/>
      <c r="Y51" s="650"/>
      <c r="Z51" s="650"/>
      <c r="AA51" s="650"/>
      <c r="AB51" s="650"/>
      <c r="AC51" s="650"/>
      <c r="AD51" s="154"/>
    </row>
    <row r="52" spans="2:30" ht="27.75" customHeight="1" x14ac:dyDescent="0.25">
      <c r="B52" s="13" t="s">
        <v>101</v>
      </c>
      <c r="C52" s="13"/>
      <c r="D52" s="13"/>
      <c r="E52" s="13"/>
      <c r="F52" s="13"/>
      <c r="G52" s="13"/>
      <c r="H52" s="13"/>
      <c r="I52" s="13"/>
      <c r="J52" s="13"/>
      <c r="K52" s="13"/>
      <c r="L52" s="13"/>
      <c r="O52" s="1"/>
      <c r="V52" s="651" t="s">
        <v>101</v>
      </c>
      <c r="W52" s="651"/>
      <c r="X52" s="651"/>
      <c r="Y52" s="651"/>
      <c r="Z52" s="651"/>
      <c r="AA52" s="651"/>
      <c r="AB52" s="651"/>
      <c r="AC52" s="651"/>
      <c r="AD52" s="9"/>
    </row>
    <row r="53" spans="2:30" x14ac:dyDescent="0.25">
      <c r="B53" s="13" t="s">
        <v>102</v>
      </c>
      <c r="C53" s="13"/>
      <c r="D53" s="13"/>
      <c r="E53" s="13"/>
      <c r="F53" s="13"/>
      <c r="G53" s="155">
        <f>K26</f>
        <v>99.603000000000009</v>
      </c>
      <c r="H53" s="57" t="s">
        <v>103</v>
      </c>
      <c r="I53" s="57"/>
      <c r="J53" s="156">
        <v>197823.77</v>
      </c>
      <c r="K53" s="156"/>
      <c r="L53" s="156"/>
      <c r="N53" s="3"/>
      <c r="O53" s="1"/>
      <c r="V53" s="657" t="s">
        <v>102</v>
      </c>
      <c r="W53" s="657"/>
      <c r="X53" s="157">
        <f>AB26</f>
        <v>96</v>
      </c>
      <c r="Y53" s="658" t="s">
        <v>103</v>
      </c>
      <c r="Z53" s="658"/>
      <c r="AA53" s="659">
        <f>+J53</f>
        <v>197823.77</v>
      </c>
      <c r="AB53" s="659"/>
      <c r="AC53" s="659"/>
      <c r="AD53" s="9"/>
    </row>
    <row r="54" spans="2:30" x14ac:dyDescent="0.25">
      <c r="B54" s="13" t="s">
        <v>104</v>
      </c>
      <c r="C54" s="13"/>
      <c r="D54" s="13"/>
      <c r="E54" s="13"/>
      <c r="F54" s="13"/>
      <c r="G54" s="13"/>
      <c r="H54" s="13"/>
      <c r="I54" s="13"/>
      <c r="J54" s="13"/>
      <c r="K54" s="158">
        <f>ROUND(G53/J53,6)</f>
        <v>5.0299999999999997E-4</v>
      </c>
      <c r="L54" s="158"/>
      <c r="N54" s="101"/>
      <c r="O54" s="1"/>
      <c r="V54" s="657" t="s">
        <v>104</v>
      </c>
      <c r="W54" s="657"/>
      <c r="X54" s="657"/>
      <c r="Y54" s="657"/>
      <c r="Z54" s="657"/>
      <c r="AA54" s="657"/>
      <c r="AB54" s="660">
        <f>ROUND(X53/AA53,6)</f>
        <v>4.8500000000000003E-4</v>
      </c>
      <c r="AC54" s="660"/>
      <c r="AD54" s="9"/>
    </row>
    <row r="55" spans="2:30" ht="24" customHeight="1" x14ac:dyDescent="0.25">
      <c r="B55" s="13" t="s">
        <v>105</v>
      </c>
      <c r="C55" s="13"/>
      <c r="D55" s="13"/>
      <c r="E55" s="13"/>
      <c r="F55" s="13"/>
      <c r="G55" s="13"/>
      <c r="H55" s="13"/>
      <c r="I55" s="13"/>
      <c r="J55" s="13"/>
      <c r="K55" s="13"/>
      <c r="L55" s="13"/>
      <c r="O55" s="1"/>
      <c r="V55" s="651" t="s">
        <v>105</v>
      </c>
      <c r="W55" s="651"/>
      <c r="X55" s="651"/>
      <c r="Y55" s="651"/>
      <c r="Z55" s="651"/>
      <c r="AA55" s="651"/>
      <c r="AB55" s="651"/>
      <c r="AC55" s="651"/>
      <c r="AD55" s="9"/>
    </row>
    <row r="56" spans="2:30" x14ac:dyDescent="0.25">
      <c r="B56" s="13" t="s">
        <v>106</v>
      </c>
      <c r="C56" s="13"/>
      <c r="D56" s="13"/>
      <c r="E56" s="13"/>
      <c r="F56" s="13"/>
      <c r="G56" s="159">
        <f>G26</f>
        <v>96</v>
      </c>
      <c r="H56" s="57" t="s">
        <v>107</v>
      </c>
      <c r="I56" s="57"/>
      <c r="J56" s="156">
        <f>+G40</f>
        <v>180284.81</v>
      </c>
      <c r="K56" s="156"/>
      <c r="L56" s="156"/>
      <c r="O56" s="1"/>
      <c r="V56" s="657" t="s">
        <v>106</v>
      </c>
      <c r="W56" s="657"/>
      <c r="X56" s="160">
        <f>X26</f>
        <v>96</v>
      </c>
      <c r="Y56" s="658" t="s">
        <v>107</v>
      </c>
      <c r="Z56" s="658"/>
      <c r="AA56" s="659">
        <f>+J56</f>
        <v>180284.81</v>
      </c>
      <c r="AB56" s="659"/>
      <c r="AC56" s="659"/>
      <c r="AD56" s="9"/>
    </row>
    <row r="57" spans="2:30" x14ac:dyDescent="0.25">
      <c r="B57" s="13" t="s">
        <v>108</v>
      </c>
      <c r="C57" s="13"/>
      <c r="D57" s="13"/>
      <c r="E57" s="13"/>
      <c r="F57" s="13"/>
      <c r="G57" s="13"/>
      <c r="H57" s="13"/>
      <c r="I57" s="13"/>
      <c r="J57" s="13"/>
      <c r="K57" s="158">
        <f>ROUND(G56/J56,6)</f>
        <v>5.3200000000000003E-4</v>
      </c>
      <c r="L57" s="158"/>
      <c r="O57" s="1"/>
      <c r="V57" s="657" t="s">
        <v>108</v>
      </c>
      <c r="W57" s="657"/>
      <c r="X57" s="657"/>
      <c r="Y57" s="657"/>
      <c r="Z57" s="657"/>
      <c r="AA57" s="657"/>
      <c r="AB57" s="660">
        <f>ROUND(X56/AA56,6)</f>
        <v>5.3200000000000003E-4</v>
      </c>
      <c r="AC57" s="660"/>
      <c r="AD57" s="9"/>
    </row>
    <row r="58" spans="2:30" ht="20.25" customHeight="1" x14ac:dyDescent="0.25">
      <c r="B58" s="161" t="s">
        <v>109</v>
      </c>
      <c r="C58" s="161"/>
      <c r="D58" s="161"/>
      <c r="E58" s="161"/>
      <c r="F58" s="161"/>
      <c r="G58" s="161"/>
      <c r="H58" s="161"/>
      <c r="I58" s="161"/>
      <c r="J58" s="161"/>
      <c r="K58" s="161"/>
      <c r="L58" s="161"/>
      <c r="N58" s="18"/>
      <c r="O58" s="18"/>
      <c r="V58" s="629" t="s">
        <v>110</v>
      </c>
      <c r="W58" s="629"/>
      <c r="X58" s="629"/>
      <c r="Y58" s="661">
        <f>X65+X64+X62+X61+X60</f>
        <v>4123852</v>
      </c>
      <c r="Z58" s="661"/>
      <c r="AA58" s="162" t="s">
        <v>111</v>
      </c>
      <c r="AB58" s="163">
        <f>AB54</f>
        <v>4.8500000000000003E-4</v>
      </c>
      <c r="AC58" s="56">
        <f>ROUND(Y58*AB58,0)</f>
        <v>2000</v>
      </c>
      <c r="AD58" s="9"/>
    </row>
    <row r="59" spans="2:30" x14ac:dyDescent="0.25">
      <c r="B59" s="62" t="s">
        <v>110</v>
      </c>
      <c r="C59" s="62"/>
      <c r="D59" s="62"/>
      <c r="E59" s="62"/>
      <c r="F59" s="62"/>
      <c r="G59" s="62"/>
      <c r="H59" s="164" t="s">
        <v>22</v>
      </c>
      <c r="I59" s="129">
        <v>4123852</v>
      </c>
      <c r="J59" s="165" t="s">
        <v>111</v>
      </c>
      <c r="K59" s="166">
        <f>K54</f>
        <v>5.0299999999999997E-4</v>
      </c>
      <c r="L59" s="50">
        <f>ROUND(I59*K59,0)</f>
        <v>2074</v>
      </c>
      <c r="O59" s="1"/>
      <c r="P59" s="165"/>
      <c r="Q59" s="165"/>
      <c r="V59" s="662" t="s">
        <v>112</v>
      </c>
      <c r="W59" s="662"/>
      <c r="X59" s="662"/>
      <c r="Y59" s="662"/>
      <c r="Z59" s="662"/>
      <c r="AA59" s="662"/>
      <c r="AB59" s="662"/>
      <c r="AC59" s="662"/>
      <c r="AD59" s="9"/>
    </row>
    <row r="60" spans="2:30" x14ac:dyDescent="0.25">
      <c r="B60" s="62" t="s">
        <v>112</v>
      </c>
      <c r="C60" s="62"/>
      <c r="D60" s="62"/>
      <c r="E60" s="62"/>
      <c r="F60" s="62"/>
      <c r="G60" s="62"/>
      <c r="H60" s="62"/>
      <c r="I60" s="62"/>
      <c r="J60" s="62"/>
      <c r="K60" s="62"/>
      <c r="L60" s="62"/>
      <c r="O60" s="1"/>
      <c r="P60" s="165"/>
      <c r="Q60" s="165"/>
      <c r="V60" s="663" t="s">
        <v>113</v>
      </c>
      <c r="W60" s="663"/>
      <c r="X60" s="664">
        <f>+G61</f>
        <v>0</v>
      </c>
      <c r="Y60" s="664"/>
      <c r="Z60" s="664"/>
      <c r="AA60" s="664"/>
      <c r="AB60" s="664"/>
      <c r="AC60" s="664"/>
      <c r="AD60" s="9"/>
    </row>
    <row r="61" spans="2:30" ht="15" customHeight="1" x14ac:dyDescent="0.25">
      <c r="B61" s="167" t="s">
        <v>113</v>
      </c>
      <c r="C61" s="62"/>
      <c r="D61" s="62"/>
      <c r="E61" s="62"/>
      <c r="F61" s="62"/>
      <c r="G61" s="168">
        <v>0</v>
      </c>
      <c r="H61" s="168"/>
      <c r="I61" s="168"/>
      <c r="J61" s="168"/>
      <c r="K61" s="168"/>
      <c r="L61" s="168"/>
      <c r="O61" s="1"/>
      <c r="P61" s="165"/>
      <c r="Q61" s="165"/>
      <c r="V61" s="663" t="s">
        <v>114</v>
      </c>
      <c r="W61" s="663"/>
      <c r="X61" s="664">
        <f>+G62</f>
        <v>0</v>
      </c>
      <c r="Y61" s="664"/>
      <c r="Z61" s="664"/>
      <c r="AA61" s="664"/>
      <c r="AB61" s="664"/>
      <c r="AC61" s="664"/>
      <c r="AD61" s="9"/>
    </row>
    <row r="62" spans="2:30" ht="13.5" customHeight="1" x14ac:dyDescent="0.25">
      <c r="B62" s="167" t="s">
        <v>114</v>
      </c>
      <c r="C62" s="62"/>
      <c r="D62" s="62"/>
      <c r="E62" s="62"/>
      <c r="F62" s="62"/>
      <c r="G62" s="168">
        <v>0</v>
      </c>
      <c r="H62" s="168"/>
      <c r="I62" s="168"/>
      <c r="J62" s="168"/>
      <c r="K62" s="168"/>
      <c r="L62" s="168"/>
      <c r="N62" s="165"/>
      <c r="O62" s="165"/>
      <c r="P62" s="165"/>
      <c r="Q62" s="165"/>
      <c r="V62" s="663" t="s">
        <v>115</v>
      </c>
      <c r="W62" s="663"/>
      <c r="X62" s="664">
        <v>0</v>
      </c>
      <c r="Y62" s="664"/>
      <c r="Z62" s="664"/>
      <c r="AA62" s="664"/>
      <c r="AB62" s="664"/>
      <c r="AC62" s="664"/>
      <c r="AD62" s="9"/>
    </row>
    <row r="63" spans="2:30" ht="13.5" hidden="1" customHeight="1" x14ac:dyDescent="0.25">
      <c r="B63" s="62" t="s">
        <v>115</v>
      </c>
      <c r="C63" s="62"/>
      <c r="D63" s="62"/>
      <c r="E63" s="62"/>
      <c r="F63" s="62"/>
      <c r="G63" s="168">
        <v>0</v>
      </c>
      <c r="H63" s="168"/>
      <c r="I63" s="168"/>
      <c r="J63" s="168"/>
      <c r="K63" s="168"/>
      <c r="L63" s="168"/>
      <c r="O63" s="1"/>
      <c r="P63" s="165"/>
      <c r="Q63" s="165"/>
      <c r="V63" s="662" t="s">
        <v>116</v>
      </c>
      <c r="W63" s="662"/>
      <c r="X63" s="662"/>
      <c r="Y63" s="662"/>
      <c r="Z63" s="662"/>
      <c r="AA63" s="662"/>
      <c r="AB63" s="662"/>
      <c r="AC63" s="662"/>
      <c r="AD63" s="117"/>
    </row>
    <row r="64" spans="2:30" ht="13.5" customHeight="1" x14ac:dyDescent="0.25">
      <c r="B64" s="62" t="s">
        <v>116</v>
      </c>
      <c r="C64" s="62"/>
      <c r="D64" s="62"/>
      <c r="E64" s="62"/>
      <c r="F64" s="62"/>
      <c r="G64" s="62"/>
      <c r="H64" s="62"/>
      <c r="I64" s="62"/>
      <c r="J64" s="62"/>
      <c r="K64" s="62"/>
      <c r="L64" s="62"/>
      <c r="M64" s="116"/>
      <c r="N64" s="18"/>
      <c r="O64" s="1"/>
      <c r="V64" s="663" t="s">
        <v>117</v>
      </c>
      <c r="W64" s="663"/>
      <c r="X64" s="664">
        <f>+G65</f>
        <v>4123852</v>
      </c>
      <c r="Y64" s="664"/>
      <c r="Z64" s="664"/>
      <c r="AA64" s="664"/>
      <c r="AB64" s="664"/>
      <c r="AC64" s="664"/>
      <c r="AD64" s="9"/>
    </row>
    <row r="65" spans="1:30" ht="12.75" customHeight="1" x14ac:dyDescent="0.25">
      <c r="B65" s="167" t="s">
        <v>117</v>
      </c>
      <c r="C65" s="62"/>
      <c r="D65" s="62"/>
      <c r="E65" s="62"/>
      <c r="F65" s="62"/>
      <c r="G65" s="168">
        <f>+I59</f>
        <v>4123852</v>
      </c>
      <c r="H65" s="168"/>
      <c r="I65" s="168"/>
      <c r="J65" s="168"/>
      <c r="K65" s="168"/>
      <c r="L65" s="168"/>
      <c r="O65" s="1"/>
      <c r="V65" s="663" t="s">
        <v>118</v>
      </c>
      <c r="W65" s="663"/>
      <c r="X65" s="664">
        <f>+G66</f>
        <v>0</v>
      </c>
      <c r="Y65" s="664"/>
      <c r="Z65" s="664"/>
      <c r="AA65" s="664"/>
      <c r="AB65" s="664"/>
      <c r="AC65" s="664"/>
      <c r="AD65" s="20"/>
    </row>
    <row r="66" spans="1:30" ht="15" customHeight="1" x14ac:dyDescent="0.25">
      <c r="B66" s="167" t="s">
        <v>118</v>
      </c>
      <c r="C66" s="62"/>
      <c r="D66" s="62"/>
      <c r="E66" s="62"/>
      <c r="F66" s="62"/>
      <c r="G66" s="168">
        <v>0</v>
      </c>
      <c r="H66" s="168"/>
      <c r="I66" s="168"/>
      <c r="J66" s="168"/>
      <c r="K66" s="168"/>
      <c r="L66" s="168"/>
      <c r="M66" s="18"/>
      <c r="N66" s="3"/>
      <c r="O66" s="169"/>
      <c r="P66" s="169"/>
      <c r="Q66" s="169"/>
      <c r="V66" s="651" t="s">
        <v>119</v>
      </c>
      <c r="W66" s="651"/>
      <c r="X66" s="651"/>
      <c r="Y66" s="661">
        <f>+I67</f>
        <v>96774526</v>
      </c>
      <c r="Z66" s="661"/>
      <c r="AA66" s="162" t="s">
        <v>111</v>
      </c>
      <c r="AB66" s="163">
        <f>AB54</f>
        <v>4.8500000000000003E-4</v>
      </c>
      <c r="AC66" s="56">
        <f>ROUND(Y66*AB66,0)</f>
        <v>46936</v>
      </c>
      <c r="AD66" s="9"/>
    </row>
    <row r="67" spans="1:30" ht="20.25" customHeight="1" x14ac:dyDescent="0.25">
      <c r="B67" s="13" t="s">
        <v>119</v>
      </c>
      <c r="C67" s="13"/>
      <c r="D67" s="13"/>
      <c r="E67" s="13"/>
      <c r="F67" s="13"/>
      <c r="H67" s="164" t="s">
        <v>25</v>
      </c>
      <c r="I67" s="129">
        <v>96774526</v>
      </c>
      <c r="J67" s="165" t="s">
        <v>111</v>
      </c>
      <c r="K67" s="166">
        <f>K54</f>
        <v>5.0299999999999997E-4</v>
      </c>
      <c r="L67" s="50">
        <f>ROUND(I67*K67,0)</f>
        <v>48678</v>
      </c>
      <c r="O67" s="1"/>
      <c r="V67" s="651" t="s">
        <v>120</v>
      </c>
      <c r="W67" s="651"/>
      <c r="X67" s="651"/>
      <c r="Y67" s="651"/>
      <c r="Z67" s="651"/>
      <c r="AA67" s="651"/>
      <c r="AB67" s="651"/>
      <c r="AC67" s="651"/>
      <c r="AD67" s="9"/>
    </row>
    <row r="68" spans="1:30" ht="20.25" customHeight="1" x14ac:dyDescent="0.25">
      <c r="B68" s="13" t="s">
        <v>120</v>
      </c>
      <c r="C68" s="13"/>
      <c r="D68" s="13"/>
      <c r="E68" s="13"/>
      <c r="F68" s="13"/>
      <c r="H68" s="13"/>
      <c r="I68" s="13"/>
      <c r="J68" s="82"/>
      <c r="K68" s="13"/>
      <c r="L68" s="13"/>
      <c r="O68" s="1"/>
      <c r="V68" s="667" t="s">
        <v>121</v>
      </c>
      <c r="W68" s="667"/>
      <c r="X68" s="667"/>
      <c r="Y68" s="661">
        <f>+I69</f>
        <v>0</v>
      </c>
      <c r="Z68" s="661"/>
      <c r="AA68" s="162" t="s">
        <v>111</v>
      </c>
      <c r="AB68" s="163">
        <f>AB57</f>
        <v>5.3200000000000003E-4</v>
      </c>
      <c r="AC68" s="56">
        <f>ROUND(Y68*AB68,0)</f>
        <v>0</v>
      </c>
      <c r="AD68" s="9"/>
    </row>
    <row r="69" spans="1:30" ht="15" customHeight="1" x14ac:dyDescent="0.25">
      <c r="B69" s="170" t="s">
        <v>121</v>
      </c>
      <c r="C69" s="13"/>
      <c r="D69" s="13"/>
      <c r="E69" s="13"/>
      <c r="F69" s="13"/>
      <c r="H69" s="164" t="s">
        <v>23</v>
      </c>
      <c r="I69" s="129">
        <v>0</v>
      </c>
      <c r="J69" s="165" t="s">
        <v>111</v>
      </c>
      <c r="K69" s="166">
        <f>K57</f>
        <v>5.3200000000000003E-4</v>
      </c>
      <c r="L69" s="50">
        <f>ROUND(I69*K69,0)</f>
        <v>0</v>
      </c>
      <c r="O69" s="1"/>
      <c r="V69" s="651" t="s">
        <v>122</v>
      </c>
      <c r="W69" s="651"/>
      <c r="X69" s="651"/>
      <c r="Y69" s="668">
        <f>+I70</f>
        <v>-3460775</v>
      </c>
      <c r="Z69" s="668"/>
      <c r="AA69" s="162" t="s">
        <v>111</v>
      </c>
      <c r="AB69" s="163">
        <f>AB54</f>
        <v>4.8500000000000003E-4</v>
      </c>
      <c r="AC69" s="56">
        <f>ROUND(Y69*AB69,0)</f>
        <v>-1678</v>
      </c>
      <c r="AD69" s="9"/>
    </row>
    <row r="70" spans="1:30" ht="20.25" customHeight="1" x14ac:dyDescent="0.25">
      <c r="B70" s="13" t="s">
        <v>122</v>
      </c>
      <c r="C70" s="13"/>
      <c r="D70" s="13"/>
      <c r="E70" s="13"/>
      <c r="F70" s="13"/>
      <c r="H70" s="164" t="s">
        <v>22</v>
      </c>
      <c r="I70" s="129">
        <v>-3460775</v>
      </c>
      <c r="J70" s="165" t="s">
        <v>111</v>
      </c>
      <c r="K70" s="166">
        <f>K54</f>
        <v>5.0299999999999997E-4</v>
      </c>
      <c r="L70" s="50">
        <f>ROUND(I70*K70,0)</f>
        <v>-1741</v>
      </c>
      <c r="O70" s="1"/>
      <c r="V70" s="651" t="s">
        <v>123</v>
      </c>
      <c r="W70" s="651"/>
      <c r="X70" s="651"/>
      <c r="Y70" s="665">
        <f>+I71</f>
        <v>1874788</v>
      </c>
      <c r="Z70" s="665"/>
      <c r="AA70" s="162" t="s">
        <v>111</v>
      </c>
      <c r="AB70" s="163">
        <f>AB54</f>
        <v>4.8500000000000003E-4</v>
      </c>
      <c r="AC70" s="56">
        <f>ROUND(Y70*AB70,0)</f>
        <v>909</v>
      </c>
      <c r="AD70" s="9"/>
    </row>
    <row r="71" spans="1:30" ht="20.25" customHeight="1" x14ac:dyDescent="0.25">
      <c r="B71" s="13" t="s">
        <v>123</v>
      </c>
      <c r="C71" s="13"/>
      <c r="D71" s="13"/>
      <c r="E71" s="13"/>
      <c r="F71" s="13"/>
      <c r="H71" s="164" t="s">
        <v>22</v>
      </c>
      <c r="I71" s="129">
        <v>1874788</v>
      </c>
      <c r="J71" s="165" t="s">
        <v>111</v>
      </c>
      <c r="K71" s="166">
        <f>K54</f>
        <v>5.0299999999999997E-4</v>
      </c>
      <c r="L71" s="50">
        <f>ROUND(I71*K71,0)</f>
        <v>943</v>
      </c>
      <c r="O71" s="1"/>
      <c r="V71" s="651" t="s">
        <v>124</v>
      </c>
      <c r="W71" s="651"/>
      <c r="X71" s="651"/>
      <c r="Y71" s="665">
        <f>+I72</f>
        <v>14223298</v>
      </c>
      <c r="Z71" s="665"/>
      <c r="AA71" s="162" t="s">
        <v>111</v>
      </c>
      <c r="AB71" s="163">
        <f>AB57</f>
        <v>5.3200000000000003E-4</v>
      </c>
      <c r="AC71" s="56">
        <f>ROUND(Y71*AB71,0)</f>
        <v>7567</v>
      </c>
      <c r="AD71" s="9"/>
    </row>
    <row r="72" spans="1:30" ht="21" customHeight="1" x14ac:dyDescent="0.25">
      <c r="B72" s="13" t="s">
        <v>124</v>
      </c>
      <c r="C72" s="13"/>
      <c r="D72" s="13"/>
      <c r="E72" s="13"/>
      <c r="F72" s="13"/>
      <c r="H72" s="164" t="s">
        <v>23</v>
      </c>
      <c r="I72" s="171">
        <v>14223298</v>
      </c>
      <c r="J72" s="165" t="s">
        <v>111</v>
      </c>
      <c r="K72" s="166">
        <f>K57</f>
        <v>5.3200000000000003E-4</v>
      </c>
      <c r="L72" s="50">
        <f>ROUND(I72*K72,0)</f>
        <v>7567</v>
      </c>
      <c r="O72" s="1"/>
      <c r="V72" s="623" t="s">
        <v>125</v>
      </c>
      <c r="W72" s="623"/>
      <c r="X72" s="623"/>
      <c r="Y72" s="623"/>
      <c r="Z72" s="623"/>
      <c r="AA72" s="623"/>
      <c r="AB72" s="623"/>
      <c r="AC72" s="60"/>
      <c r="AD72" s="9"/>
    </row>
    <row r="73" spans="1:30" ht="17.25" customHeight="1" x14ac:dyDescent="0.25">
      <c r="B73" s="13" t="s">
        <v>125</v>
      </c>
      <c r="C73" s="13"/>
      <c r="D73" s="13"/>
      <c r="E73" s="13"/>
      <c r="F73" s="13"/>
      <c r="H73" s="13"/>
      <c r="I73" s="13"/>
      <c r="J73" s="82"/>
      <c r="K73" s="13"/>
      <c r="L73" s="59"/>
      <c r="O73" s="1"/>
      <c r="V73" s="651" t="s">
        <v>126</v>
      </c>
      <c r="W73" s="651"/>
      <c r="X73" s="651"/>
      <c r="Y73" s="651"/>
      <c r="Z73" s="651"/>
      <c r="AA73" s="651"/>
      <c r="AB73" s="651"/>
      <c r="AC73" s="651"/>
      <c r="AD73" s="9"/>
    </row>
    <row r="74" spans="1:30" ht="31.5" x14ac:dyDescent="0.25">
      <c r="B74" s="13" t="s">
        <v>126</v>
      </c>
      <c r="C74" s="13"/>
      <c r="D74" s="27" t="s">
        <v>13</v>
      </c>
      <c r="E74" s="27" t="s">
        <v>14</v>
      </c>
      <c r="F74" s="27"/>
      <c r="H74" s="164" t="s">
        <v>26</v>
      </c>
      <c r="I74" s="172"/>
      <c r="J74" s="164"/>
      <c r="K74" s="172"/>
      <c r="L74" s="112"/>
      <c r="O74" s="1"/>
      <c r="V74" s="666" t="s">
        <v>127</v>
      </c>
      <c r="W74" s="666"/>
      <c r="X74" s="173" t="s">
        <v>128</v>
      </c>
      <c r="Y74" s="174"/>
      <c r="Z74" s="175">
        <f>+I75</f>
        <v>85.5</v>
      </c>
      <c r="AA74" s="176" t="s">
        <v>129</v>
      </c>
      <c r="AB74" s="177">
        <f>+K75</f>
        <v>361</v>
      </c>
      <c r="AC74" s="56">
        <f>ROUND(AB74*Z74,0)</f>
        <v>30866</v>
      </c>
      <c r="AD74" s="9"/>
    </row>
    <row r="75" spans="1:30" ht="19.5" customHeight="1" x14ac:dyDescent="0.25">
      <c r="A75" s="1" t="s">
        <v>130</v>
      </c>
      <c r="B75" s="178" t="s">
        <v>127</v>
      </c>
      <c r="C75" s="179" t="s">
        <v>128</v>
      </c>
      <c r="D75" s="178">
        <v>87</v>
      </c>
      <c r="E75" s="178">
        <v>84</v>
      </c>
      <c r="F75" s="178">
        <v>0</v>
      </c>
      <c r="G75" s="180">
        <f>IF(E75=0,D75,E75)</f>
        <v>84</v>
      </c>
      <c r="H75" s="181"/>
      <c r="I75" s="182">
        <f>AVERAGE(G75,D75)</f>
        <v>85.5</v>
      </c>
      <c r="J75" s="183" t="s">
        <v>129</v>
      </c>
      <c r="K75" s="184">
        <v>361</v>
      </c>
      <c r="L75" s="50">
        <f>ROUND(K75*I75,0)</f>
        <v>30866</v>
      </c>
      <c r="N75" s="1">
        <v>7802</v>
      </c>
      <c r="O75" s="1">
        <v>0</v>
      </c>
      <c r="V75" s="666" t="s">
        <v>127</v>
      </c>
      <c r="W75" s="666"/>
      <c r="X75" s="173" t="s">
        <v>131</v>
      </c>
      <c r="Y75" s="185"/>
      <c r="Z75" s="186"/>
      <c r="AA75" s="176" t="s">
        <v>129</v>
      </c>
      <c r="AB75" s="187">
        <f>+K76</f>
        <v>1358</v>
      </c>
      <c r="AC75" s="56">
        <f>ROUND(AB75*Z75,0)</f>
        <v>0</v>
      </c>
      <c r="AD75" s="9"/>
    </row>
    <row r="76" spans="1:30" ht="19.5" customHeight="1" x14ac:dyDescent="0.25">
      <c r="A76" s="1" t="s">
        <v>132</v>
      </c>
      <c r="B76" s="178" t="s">
        <v>127</v>
      </c>
      <c r="C76" s="179" t="s">
        <v>131</v>
      </c>
      <c r="D76" s="178">
        <v>0</v>
      </c>
      <c r="E76" s="178">
        <v>0</v>
      </c>
      <c r="F76" s="178">
        <v>0</v>
      </c>
      <c r="G76" s="180">
        <f>IF(E76=0,D76,E76)</f>
        <v>0</v>
      </c>
      <c r="H76" s="181"/>
      <c r="I76" s="182">
        <f>AVERAGE(G76,D76)</f>
        <v>0</v>
      </c>
      <c r="J76" s="183" t="s">
        <v>129</v>
      </c>
      <c r="K76" s="188">
        <v>1358</v>
      </c>
      <c r="L76" s="50">
        <f>ROUND(K76*I76,0)</f>
        <v>0</v>
      </c>
      <c r="N76" s="1">
        <v>7802</v>
      </c>
      <c r="O76" s="1">
        <v>110</v>
      </c>
      <c r="V76" s="651" t="s">
        <v>133</v>
      </c>
      <c r="W76" s="651"/>
      <c r="X76" s="651"/>
      <c r="Y76" s="661">
        <f>+I77</f>
        <v>33305823</v>
      </c>
      <c r="Z76" s="661"/>
      <c r="AA76" s="176" t="s">
        <v>129</v>
      </c>
      <c r="AB76" s="163">
        <f>AB54</f>
        <v>4.8500000000000003E-4</v>
      </c>
      <c r="AC76" s="56">
        <f>ROUND(Y76*AB76,0)</f>
        <v>16153</v>
      </c>
      <c r="AD76" s="9"/>
    </row>
    <row r="77" spans="1:30" ht="26.25" customHeight="1" x14ac:dyDescent="0.25">
      <c r="B77" s="13" t="s">
        <v>133</v>
      </c>
      <c r="C77" s="13"/>
      <c r="D77" s="13"/>
      <c r="E77" s="13"/>
      <c r="F77" s="13"/>
      <c r="H77" s="164" t="s">
        <v>134</v>
      </c>
      <c r="I77" s="189">
        <v>33305823</v>
      </c>
      <c r="J77" s="165" t="s">
        <v>111</v>
      </c>
      <c r="K77" s="166">
        <f>K54</f>
        <v>5.0299999999999997E-4</v>
      </c>
      <c r="L77" s="50">
        <f>ROUND(I77*K77,0)</f>
        <v>16753</v>
      </c>
      <c r="O77" s="1"/>
      <c r="V77" s="651" t="str">
        <f>+B78</f>
        <v>15.  Additional Allocation (WFTE share)</v>
      </c>
      <c r="W77" s="651"/>
      <c r="X77" s="651"/>
      <c r="Y77" s="661">
        <f>+I78</f>
        <v>680688</v>
      </c>
      <c r="Z77" s="661"/>
      <c r="AA77" s="176" t="s">
        <v>129</v>
      </c>
      <c r="AB77" s="163">
        <f>AB54</f>
        <v>4.8500000000000003E-4</v>
      </c>
      <c r="AC77" s="56">
        <f>ROUND(Y77*AB77,0)</f>
        <v>330</v>
      </c>
      <c r="AD77" s="9"/>
    </row>
    <row r="78" spans="1:30" ht="26.25" customHeight="1" x14ac:dyDescent="0.25">
      <c r="B78" s="669" t="s">
        <v>135</v>
      </c>
      <c r="C78" s="669"/>
      <c r="D78" s="669"/>
      <c r="E78" s="13"/>
      <c r="F78" s="13"/>
      <c r="H78" s="164" t="s">
        <v>136</v>
      </c>
      <c r="I78" s="190">
        <v>680688</v>
      </c>
      <c r="J78" s="165" t="s">
        <v>111</v>
      </c>
      <c r="K78" s="166">
        <f>K54</f>
        <v>5.0299999999999997E-4</v>
      </c>
      <c r="L78" s="50">
        <f>ROUND(I78*K78,0)</f>
        <v>342</v>
      </c>
      <c r="O78" s="1"/>
      <c r="V78" s="651" t="str">
        <f t="shared" ref="V78:V79" si="11">+B79</f>
        <v>16.  Florida Teachers Lead Program Stipend</v>
      </c>
      <c r="W78" s="651"/>
      <c r="X78" s="651"/>
      <c r="Y78" s="191"/>
      <c r="Z78" s="191"/>
      <c r="AA78" s="191"/>
      <c r="AB78" s="191"/>
      <c r="AC78" s="134"/>
      <c r="AD78" s="9"/>
    </row>
    <row r="79" spans="1:30" ht="21" customHeight="1" x14ac:dyDescent="0.25">
      <c r="B79" s="669" t="s">
        <v>137</v>
      </c>
      <c r="C79" s="669"/>
      <c r="D79" s="669"/>
      <c r="E79" s="13"/>
      <c r="F79" s="13"/>
      <c r="H79" s="164"/>
      <c r="I79" s="172"/>
      <c r="J79" s="172"/>
      <c r="K79" s="172"/>
      <c r="L79" s="129"/>
      <c r="N79" s="192"/>
      <c r="O79" s="1"/>
      <c r="Q79" s="164"/>
      <c r="V79" s="651" t="str">
        <f t="shared" si="11"/>
        <v>17.  Food Service Allocation</v>
      </c>
      <c r="W79" s="651"/>
      <c r="X79" s="651"/>
      <c r="Y79" s="191"/>
      <c r="Z79" s="191"/>
      <c r="AA79" s="191"/>
      <c r="AB79" s="191"/>
      <c r="AC79" s="193"/>
      <c r="AD79" s="9"/>
    </row>
    <row r="80" spans="1:30" ht="21" customHeight="1" x14ac:dyDescent="0.25">
      <c r="B80" s="669" t="s">
        <v>138</v>
      </c>
      <c r="C80" s="669"/>
      <c r="D80" s="669"/>
      <c r="E80" s="13"/>
      <c r="F80" s="13"/>
      <c r="H80" s="194" t="s">
        <v>139</v>
      </c>
      <c r="I80" s="195"/>
      <c r="J80" s="195"/>
      <c r="K80" s="195"/>
      <c r="L80" s="196"/>
      <c r="N80" s="197"/>
      <c r="O80" s="1"/>
      <c r="Q80" s="164"/>
      <c r="V80" s="191"/>
      <c r="W80" s="191"/>
      <c r="X80" s="191"/>
      <c r="Y80" s="191"/>
      <c r="Z80" s="191"/>
      <c r="AA80" s="191"/>
      <c r="AB80" s="191"/>
      <c r="AC80" s="193"/>
      <c r="AD80" s="9"/>
    </row>
    <row r="81" spans="1:30" ht="21" customHeight="1" thickBot="1" x14ac:dyDescent="0.3">
      <c r="B81" s="13"/>
      <c r="C81" s="13"/>
      <c r="D81" s="13"/>
      <c r="E81" s="13"/>
      <c r="F81" s="13"/>
      <c r="G81" s="13"/>
      <c r="H81" s="13"/>
      <c r="I81" s="13"/>
      <c r="J81" s="13"/>
      <c r="K81" s="13"/>
      <c r="L81" s="196"/>
      <c r="M81" s="198"/>
      <c r="N81" s="197"/>
      <c r="O81" s="1"/>
      <c r="Q81" s="164"/>
      <c r="V81" s="191" t="s">
        <v>140</v>
      </c>
      <c r="W81" s="191"/>
      <c r="X81" s="191"/>
      <c r="Y81" s="191"/>
      <c r="Z81" s="191"/>
      <c r="AA81" s="191"/>
      <c r="AB81" s="191"/>
      <c r="AC81" s="199">
        <f>SUM(AC44:AC80)</f>
        <v>582638</v>
      </c>
      <c r="AD81" s="200"/>
    </row>
    <row r="82" spans="1:30" ht="22.5" customHeight="1" thickTop="1" thickBot="1" x14ac:dyDescent="0.3">
      <c r="B82" s="13" t="s">
        <v>141</v>
      </c>
      <c r="C82" s="13"/>
      <c r="D82" s="13"/>
      <c r="E82" s="13"/>
      <c r="F82" s="13"/>
      <c r="G82" s="13"/>
      <c r="H82" s="13"/>
      <c r="I82" s="13"/>
      <c r="J82" s="13"/>
      <c r="K82" s="13"/>
      <c r="L82" s="201">
        <f>SUM(L44:L81)</f>
        <v>1147164</v>
      </c>
      <c r="M82" s="202"/>
      <c r="N82" s="203"/>
      <c r="O82" s="1"/>
      <c r="Q82" s="164"/>
      <c r="V82" s="191"/>
      <c r="W82" s="191"/>
      <c r="X82" s="191"/>
      <c r="Y82" s="191"/>
      <c r="Z82" s="191"/>
      <c r="AA82" s="191"/>
      <c r="AB82" s="191"/>
      <c r="AC82" s="204"/>
      <c r="AD82" s="200"/>
    </row>
    <row r="83" spans="1:30" ht="27.75" customHeight="1" thickTop="1" x14ac:dyDescent="0.25">
      <c r="B83" s="13" t="s">
        <v>142</v>
      </c>
      <c r="C83" s="13"/>
      <c r="D83" s="13"/>
      <c r="E83" s="13"/>
      <c r="F83" s="13"/>
      <c r="G83" s="13"/>
      <c r="H83" s="13"/>
      <c r="I83" s="13"/>
      <c r="J83" s="13"/>
      <c r="K83" s="82" t="s">
        <v>143</v>
      </c>
      <c r="L83" s="205" t="s">
        <v>144</v>
      </c>
      <c r="M83" s="202"/>
      <c r="N83" s="203"/>
      <c r="O83" s="1"/>
      <c r="Q83" s="164"/>
      <c r="V83" s="9" t="s">
        <v>145</v>
      </c>
      <c r="W83" s="9"/>
      <c r="X83" s="9"/>
      <c r="Y83" s="9"/>
      <c r="Z83" s="9"/>
      <c r="AA83" s="9"/>
      <c r="AB83" s="9"/>
      <c r="AC83" s="9"/>
      <c r="AD83" s="206"/>
    </row>
    <row r="84" spans="1:30" ht="18.75" customHeight="1" thickBot="1" x14ac:dyDescent="0.3">
      <c r="B84" s="13" t="s">
        <v>146</v>
      </c>
      <c r="C84" s="13"/>
      <c r="D84" s="13"/>
      <c r="E84" s="13"/>
      <c r="F84" s="13"/>
      <c r="G84" s="13"/>
      <c r="H84" s="13"/>
      <c r="I84" s="13"/>
      <c r="J84" s="13"/>
      <c r="K84" s="207">
        <f>IF(G26=0,"",IF((G11+G13+SUM(G15:G21))/G26&gt;0.75,1,""))</f>
        <v>1</v>
      </c>
      <c r="L84" s="201">
        <f>'3345'!AC81</f>
        <v>582638</v>
      </c>
      <c r="M84" s="202"/>
      <c r="N84" s="203"/>
      <c r="O84" s="1"/>
      <c r="Q84" s="164"/>
      <c r="V84" s="208" t="s">
        <v>147</v>
      </c>
      <c r="W84" s="208"/>
      <c r="X84" s="208"/>
      <c r="Y84" s="208"/>
      <c r="Z84" s="208"/>
      <c r="AA84" s="208"/>
      <c r="AB84" s="208"/>
      <c r="AC84" s="208"/>
      <c r="AD84" s="9"/>
    </row>
    <row r="85" spans="1:30" ht="18.75" customHeight="1" thickTop="1" x14ac:dyDescent="0.25">
      <c r="B85" s="13"/>
      <c r="C85" s="13"/>
      <c r="D85" s="13"/>
      <c r="E85" s="13"/>
      <c r="F85" s="13"/>
      <c r="G85" s="13"/>
      <c r="H85" s="13"/>
      <c r="I85" s="13"/>
      <c r="J85" s="13"/>
      <c r="M85" s="202"/>
      <c r="N85" s="203"/>
      <c r="O85" s="1"/>
      <c r="Q85" s="164"/>
      <c r="V85" s="208" t="s">
        <v>148</v>
      </c>
      <c r="W85" s="208"/>
      <c r="X85" s="208"/>
      <c r="Y85" s="208"/>
      <c r="Z85" s="208"/>
      <c r="AA85" s="208"/>
      <c r="AB85" s="208"/>
      <c r="AC85" s="208"/>
      <c r="AD85" s="206"/>
    </row>
    <row r="86" spans="1:30" ht="18.75" customHeight="1" x14ac:dyDescent="0.25">
      <c r="B86" s="2" t="s">
        <v>149</v>
      </c>
      <c r="C86" s="13"/>
      <c r="D86" s="13"/>
      <c r="E86" s="13"/>
      <c r="F86" s="13"/>
      <c r="G86" s="13"/>
      <c r="H86" s="13"/>
      <c r="I86" s="13"/>
      <c r="J86" s="209" t="s">
        <v>150</v>
      </c>
      <c r="K86" s="210">
        <f>IF(K84=1,L84,L82)</f>
        <v>582638</v>
      </c>
      <c r="L86" s="211">
        <f>IF(G26=0,0,IF(G26&gt;250,-(((250/G26)*K86)*IF(M86="H",0.02,0.05)),IF(M86="H",-0.02*K86,-0.05*K86)))</f>
        <v>-29131.9</v>
      </c>
      <c r="M86" s="212" t="str">
        <f>IF(B123="2801","H",IF(B123="2911","H",IF(B123="3382","H"," ")))</f>
        <v xml:space="preserve"> </v>
      </c>
      <c r="N86" s="203"/>
      <c r="O86" s="1"/>
      <c r="Q86" s="164"/>
      <c r="V86" s="208" t="s">
        <v>151</v>
      </c>
      <c r="W86" s="208"/>
      <c r="X86" s="208"/>
      <c r="Y86" s="208"/>
      <c r="Z86" s="208"/>
      <c r="AA86" s="208"/>
      <c r="AB86" s="208"/>
      <c r="AC86" s="208"/>
      <c r="AD86" s="206"/>
    </row>
    <row r="87" spans="1:30" ht="18.75" customHeight="1" x14ac:dyDescent="0.25">
      <c r="B87" s="2" t="s">
        <v>152</v>
      </c>
      <c r="C87" s="13"/>
      <c r="D87" s="13"/>
      <c r="E87" s="13"/>
      <c r="F87" s="13"/>
      <c r="G87" s="13"/>
      <c r="H87" s="13"/>
      <c r="I87" s="13"/>
      <c r="J87" s="13"/>
      <c r="K87" s="213"/>
      <c r="L87" s="205">
        <f>L82+L86</f>
        <v>1118032.1000000001</v>
      </c>
      <c r="M87" s="202"/>
      <c r="N87" s="203"/>
      <c r="O87" s="1"/>
      <c r="Q87" s="164"/>
      <c r="V87" s="198"/>
      <c r="W87" s="198"/>
      <c r="X87" s="198"/>
      <c r="Y87" s="198"/>
      <c r="Z87" s="198"/>
      <c r="AA87" s="198"/>
      <c r="AB87" s="198"/>
      <c r="AC87" s="198"/>
      <c r="AD87" s="214"/>
    </row>
    <row r="88" spans="1:30" x14ac:dyDescent="0.25">
      <c r="V88" s="198"/>
      <c r="W88" s="198"/>
      <c r="X88" s="198"/>
      <c r="Y88" s="198"/>
      <c r="Z88" s="198"/>
      <c r="AA88" s="198"/>
      <c r="AB88" s="198"/>
      <c r="AC88" s="198"/>
      <c r="AD88" s="215"/>
    </row>
    <row r="89" spans="1:30" ht="18.75" customHeight="1" x14ac:dyDescent="0.25">
      <c r="A89" s="1" t="s">
        <v>153</v>
      </c>
      <c r="B89" s="13" t="s">
        <v>154</v>
      </c>
      <c r="C89" s="13"/>
      <c r="D89" s="13">
        <v>547372</v>
      </c>
      <c r="E89" s="13">
        <v>94958</v>
      </c>
      <c r="F89" s="13">
        <v>926383</v>
      </c>
      <c r="G89" s="13"/>
      <c r="H89" s="13"/>
      <c r="I89" s="13"/>
      <c r="J89" s="13"/>
      <c r="K89" s="213"/>
      <c r="L89" s="84">
        <f>-F89-79466</f>
        <v>-1005849</v>
      </c>
      <c r="M89" s="202"/>
      <c r="N89" s="203"/>
      <c r="O89" s="1"/>
      <c r="Q89" s="164"/>
      <c r="V89" s="198">
        <v>2801</v>
      </c>
      <c r="W89" s="198"/>
      <c r="X89" s="198"/>
      <c r="Y89" s="198"/>
      <c r="Z89" s="198"/>
      <c r="AA89" s="198"/>
      <c r="AB89" s="198"/>
      <c r="AC89" s="198"/>
      <c r="AD89" s="214"/>
    </row>
    <row r="90" spans="1:30" ht="18.75" customHeight="1" x14ac:dyDescent="0.25">
      <c r="B90" s="13" t="s">
        <v>155</v>
      </c>
      <c r="C90" s="13"/>
      <c r="D90" s="13"/>
      <c r="E90" s="13"/>
      <c r="F90" s="13"/>
      <c r="G90" s="13"/>
      <c r="H90" s="13"/>
      <c r="I90" s="13"/>
      <c r="J90" s="13"/>
      <c r="K90" s="213"/>
      <c r="L90" s="205">
        <f>L87+L89</f>
        <v>112183.10000000009</v>
      </c>
      <c r="M90" s="202"/>
      <c r="N90" s="203"/>
      <c r="O90" s="1"/>
      <c r="Q90" s="164"/>
      <c r="V90" s="198">
        <v>2911</v>
      </c>
      <c r="W90" s="216"/>
      <c r="X90" s="216"/>
      <c r="Y90" s="216"/>
      <c r="Z90" s="216"/>
      <c r="AA90" s="216"/>
      <c r="AB90" s="216"/>
      <c r="AC90" s="216"/>
      <c r="AD90" s="214"/>
    </row>
    <row r="91" spans="1:30" ht="18.75" customHeight="1" x14ac:dyDescent="0.25">
      <c r="B91" s="13" t="s">
        <v>156</v>
      </c>
      <c r="C91" s="13"/>
      <c r="D91" s="13"/>
      <c r="E91" s="13"/>
      <c r="F91" s="13"/>
      <c r="G91" s="13"/>
      <c r="H91" s="13"/>
      <c r="I91" s="13"/>
      <c r="J91" s="13"/>
      <c r="K91" s="213"/>
      <c r="L91" s="205">
        <v>1</v>
      </c>
      <c r="M91" s="202"/>
      <c r="N91" s="203"/>
      <c r="O91" s="1"/>
      <c r="Q91" s="164"/>
      <c r="V91" s="198">
        <v>3382</v>
      </c>
      <c r="W91" s="216"/>
      <c r="X91" s="216"/>
      <c r="Y91" s="216"/>
      <c r="Z91" s="216"/>
      <c r="AA91" s="216"/>
      <c r="AB91" s="216"/>
      <c r="AC91" s="216"/>
      <c r="AD91" s="214"/>
    </row>
    <row r="92" spans="1:30" ht="18.75" customHeight="1" thickBot="1" x14ac:dyDescent="0.3">
      <c r="B92" s="13" t="s">
        <v>157</v>
      </c>
      <c r="C92" s="13"/>
      <c r="D92" s="13"/>
      <c r="E92" s="13"/>
      <c r="F92" s="13"/>
      <c r="G92" s="13"/>
      <c r="H92" s="13"/>
      <c r="I92" s="13"/>
      <c r="J92" s="13"/>
      <c r="K92" s="213"/>
      <c r="L92" s="217">
        <f>L90/L91</f>
        <v>112183.10000000009</v>
      </c>
      <c r="M92" s="202"/>
      <c r="N92" s="203"/>
      <c r="O92" s="1"/>
      <c r="Q92" s="164"/>
      <c r="V92" s="218"/>
      <c r="W92" s="218"/>
      <c r="X92" s="218"/>
      <c r="Y92" s="218"/>
      <c r="Z92" s="218"/>
      <c r="AA92" s="218"/>
      <c r="AB92" s="218"/>
      <c r="AC92" s="218"/>
      <c r="AD92" s="219"/>
    </row>
    <row r="93" spans="1:30" ht="18.75" customHeight="1" thickTop="1" x14ac:dyDescent="0.25">
      <c r="N93" s="219"/>
      <c r="O93" s="220"/>
      <c r="P93" s="219"/>
      <c r="Q93" s="219"/>
      <c r="V93" s="218"/>
      <c r="W93" s="218"/>
      <c r="X93" s="218"/>
      <c r="Y93" s="218"/>
      <c r="Z93" s="218"/>
      <c r="AA93" s="218"/>
      <c r="AB93" s="218"/>
      <c r="AC93" s="218"/>
      <c r="AD93" s="214"/>
    </row>
    <row r="94" spans="1:30" ht="18.75" customHeight="1" thickBot="1" x14ac:dyDescent="0.3">
      <c r="B94" s="221" t="s">
        <v>158</v>
      </c>
      <c r="C94" s="13"/>
      <c r="D94" s="13"/>
      <c r="E94" s="13"/>
      <c r="G94" s="13"/>
      <c r="H94" s="13"/>
      <c r="I94" s="13"/>
      <c r="J94" s="13"/>
      <c r="L94" s="222">
        <f>IF(M86="H",(K86*0.02)+L86,(K86*0.05)+L86)</f>
        <v>0</v>
      </c>
      <c r="M94" s="202"/>
      <c r="V94" s="223"/>
      <c r="W94" s="223"/>
      <c r="X94" s="223"/>
      <c r="Y94" s="223"/>
      <c r="Z94" s="223"/>
      <c r="AA94" s="223"/>
      <c r="AB94" s="223"/>
      <c r="AC94" s="223"/>
      <c r="AD94" s="214"/>
    </row>
    <row r="95" spans="1:30" ht="21.75" customHeight="1" thickTop="1" x14ac:dyDescent="0.25">
      <c r="B95" s="224" t="s">
        <v>159</v>
      </c>
      <c r="C95" s="224"/>
      <c r="D95" s="224"/>
      <c r="E95" s="224"/>
      <c r="F95" s="224"/>
      <c r="G95" s="224"/>
      <c r="H95" s="224"/>
      <c r="I95" s="224"/>
      <c r="J95" s="224"/>
      <c r="K95" s="224"/>
      <c r="L95" s="224"/>
      <c r="M95" s="219"/>
      <c r="V95" s="223"/>
      <c r="W95" s="223"/>
      <c r="X95" s="223"/>
      <c r="Y95" s="223"/>
      <c r="Z95" s="223"/>
      <c r="AA95" s="223"/>
      <c r="AB95" s="223"/>
      <c r="AC95" s="223"/>
      <c r="AD95" s="214"/>
    </row>
    <row r="96" spans="1:30" x14ac:dyDescent="0.25">
      <c r="B96" s="225"/>
      <c r="V96" s="223"/>
      <c r="W96" s="223"/>
      <c r="X96" s="223"/>
      <c r="Y96" s="223"/>
      <c r="Z96" s="223"/>
      <c r="AA96" s="223"/>
      <c r="AB96" s="223"/>
      <c r="AC96" s="223"/>
      <c r="AD96" s="219"/>
    </row>
    <row r="97" spans="2:30" x14ac:dyDescent="0.25">
      <c r="B97" s="225"/>
      <c r="V97" s="223"/>
      <c r="W97" s="223"/>
      <c r="X97" s="223"/>
      <c r="Y97" s="223"/>
      <c r="Z97" s="223"/>
      <c r="AA97" s="223"/>
      <c r="AB97" s="223"/>
      <c r="AC97" s="223"/>
      <c r="AD97" s="219"/>
    </row>
    <row r="98" spans="2:30" hidden="1" x14ac:dyDescent="0.25">
      <c r="B98" s="226" t="s">
        <v>160</v>
      </c>
      <c r="C98" s="227"/>
      <c r="V98" s="228"/>
      <c r="W98" s="228"/>
      <c r="X98" s="228"/>
      <c r="Y98" s="228"/>
      <c r="Z98" s="228"/>
      <c r="AA98" s="228"/>
      <c r="AB98" s="228"/>
      <c r="AC98" s="228"/>
    </row>
    <row r="99" spans="2:30" hidden="1" x14ac:dyDescent="0.25">
      <c r="B99" s="229"/>
      <c r="C99" s="227"/>
      <c r="V99" s="225"/>
      <c r="W99" s="13"/>
      <c r="X99" s="13"/>
      <c r="Y99" s="13"/>
      <c r="Z99" s="13"/>
      <c r="AA99" s="13"/>
      <c r="AB99" s="13"/>
      <c r="AC99" s="13"/>
    </row>
    <row r="100" spans="2:30" hidden="1" x14ac:dyDescent="0.25">
      <c r="B100" s="230" t="s">
        <v>161</v>
      </c>
      <c r="C100" s="226" t="s">
        <v>162</v>
      </c>
      <c r="V100" s="225"/>
    </row>
    <row r="101" spans="2:30" hidden="1" x14ac:dyDescent="0.25">
      <c r="B101" s="230" t="s">
        <v>163</v>
      </c>
      <c r="C101" s="226" t="s">
        <v>164</v>
      </c>
      <c r="V101" s="225"/>
    </row>
    <row r="102" spans="2:30" hidden="1" x14ac:dyDescent="0.25">
      <c r="B102" s="230" t="s">
        <v>165</v>
      </c>
      <c r="C102" s="226" t="s">
        <v>166</v>
      </c>
      <c r="V102" s="225"/>
      <c r="W102" s="231"/>
      <c r="X102" s="231"/>
      <c r="Y102" s="231"/>
      <c r="Z102" s="231"/>
      <c r="AA102" s="231"/>
      <c r="AB102" s="231"/>
      <c r="AC102" s="231"/>
      <c r="AD102" s="231"/>
    </row>
    <row r="103" spans="2:30" hidden="1" x14ac:dyDescent="0.25">
      <c r="B103" s="230" t="s">
        <v>167</v>
      </c>
      <c r="C103" s="226" t="s">
        <v>168</v>
      </c>
      <c r="V103" s="225"/>
    </row>
    <row r="104" spans="2:30" hidden="1" x14ac:dyDescent="0.25">
      <c r="B104" s="232"/>
      <c r="C104" s="226" t="s">
        <v>169</v>
      </c>
      <c r="V104" s="225"/>
    </row>
    <row r="105" spans="2:30" hidden="1" x14ac:dyDescent="0.25">
      <c r="B105" s="230" t="s">
        <v>170</v>
      </c>
      <c r="C105" s="226" t="s">
        <v>171</v>
      </c>
      <c r="V105" s="225"/>
    </row>
    <row r="106" spans="2:30" hidden="1" x14ac:dyDescent="0.25">
      <c r="B106" s="230" t="s">
        <v>172</v>
      </c>
      <c r="C106" s="226" t="s">
        <v>173</v>
      </c>
      <c r="V106" s="225"/>
    </row>
    <row r="107" spans="2:30" hidden="1" x14ac:dyDescent="0.25">
      <c r="B107" s="230" t="s">
        <v>253</v>
      </c>
      <c r="C107" s="226" t="s">
        <v>175</v>
      </c>
      <c r="V107" s="225"/>
    </row>
    <row r="108" spans="2:30" hidden="1" x14ac:dyDescent="0.25">
      <c r="B108" s="230" t="s">
        <v>176</v>
      </c>
      <c r="C108" s="226" t="s">
        <v>177</v>
      </c>
      <c r="V108" s="225"/>
    </row>
    <row r="109" spans="2:30" hidden="1" x14ac:dyDescent="0.25">
      <c r="B109" s="230" t="s">
        <v>178</v>
      </c>
      <c r="C109" s="226" t="s">
        <v>179</v>
      </c>
      <c r="V109" s="225"/>
    </row>
    <row r="110" spans="2:30" hidden="1" x14ac:dyDescent="0.25">
      <c r="B110" s="232"/>
      <c r="C110" s="226"/>
      <c r="V110" s="225"/>
    </row>
    <row r="111" spans="2:30" hidden="1" x14ac:dyDescent="0.25">
      <c r="B111" s="230" t="s">
        <v>180</v>
      </c>
      <c r="C111" s="226" t="s">
        <v>181</v>
      </c>
      <c r="V111" s="225"/>
    </row>
    <row r="112" spans="2:30" hidden="1" x14ac:dyDescent="0.25">
      <c r="B112" s="230" t="s">
        <v>180</v>
      </c>
      <c r="C112" s="226" t="s">
        <v>182</v>
      </c>
    </row>
    <row r="113" spans="2:3" hidden="1" x14ac:dyDescent="0.25">
      <c r="B113" s="230" t="s">
        <v>183</v>
      </c>
      <c r="C113" s="226" t="s">
        <v>184</v>
      </c>
    </row>
    <row r="114" spans="2:3" hidden="1" x14ac:dyDescent="0.25">
      <c r="B114" s="230" t="s">
        <v>185</v>
      </c>
      <c r="C114" s="226" t="s">
        <v>186</v>
      </c>
    </row>
    <row r="115" spans="2:3" hidden="1" x14ac:dyDescent="0.25">
      <c r="B115" s="230" t="s">
        <v>183</v>
      </c>
      <c r="C115" s="226" t="s">
        <v>187</v>
      </c>
    </row>
    <row r="116" spans="2:3" hidden="1" x14ac:dyDescent="0.25">
      <c r="B116" s="230" t="s">
        <v>188</v>
      </c>
      <c r="C116" s="226" t="s">
        <v>189</v>
      </c>
    </row>
    <row r="117" spans="2:3" hidden="1" x14ac:dyDescent="0.25">
      <c r="B117" s="230" t="s">
        <v>190</v>
      </c>
      <c r="C117" s="226" t="s">
        <v>191</v>
      </c>
    </row>
    <row r="118" spans="2:3" hidden="1" x14ac:dyDescent="0.25">
      <c r="B118" s="232" t="s">
        <v>192</v>
      </c>
      <c r="C118" s="226" t="s">
        <v>193</v>
      </c>
    </row>
    <row r="119" spans="2:3" hidden="1" x14ac:dyDescent="0.25">
      <c r="B119" s="232"/>
      <c r="C119" s="226"/>
    </row>
    <row r="120" spans="2:3" hidden="1" x14ac:dyDescent="0.25">
      <c r="B120" s="230" t="s">
        <v>161</v>
      </c>
      <c r="C120" s="226" t="s">
        <v>194</v>
      </c>
    </row>
    <row r="121" spans="2:3" hidden="1" x14ac:dyDescent="0.25">
      <c r="B121" s="230" t="s">
        <v>195</v>
      </c>
      <c r="C121" s="226" t="s">
        <v>196</v>
      </c>
    </row>
    <row r="122" spans="2:3" hidden="1" x14ac:dyDescent="0.25">
      <c r="B122" s="230" t="s">
        <v>197</v>
      </c>
      <c r="C122" s="226" t="s">
        <v>198</v>
      </c>
    </row>
    <row r="123" spans="2:3" hidden="1" x14ac:dyDescent="0.25">
      <c r="B123" s="230" t="s">
        <v>254</v>
      </c>
      <c r="C123" s="226" t="s">
        <v>200</v>
      </c>
    </row>
    <row r="124" spans="2:3" hidden="1" x14ac:dyDescent="0.25">
      <c r="B124" s="230" t="s">
        <v>255</v>
      </c>
      <c r="C124" s="226" t="s">
        <v>202</v>
      </c>
    </row>
    <row r="125" spans="2:3" hidden="1" x14ac:dyDescent="0.25">
      <c r="B125" s="230" t="s">
        <v>203</v>
      </c>
      <c r="C125" s="226" t="s">
        <v>204</v>
      </c>
    </row>
    <row r="126" spans="2:3" hidden="1" x14ac:dyDescent="0.25">
      <c r="B126" s="230" t="s">
        <v>203</v>
      </c>
      <c r="C126" s="226" t="s">
        <v>205</v>
      </c>
    </row>
    <row r="127" spans="2:3" hidden="1" x14ac:dyDescent="0.25">
      <c r="B127" s="230" t="s">
        <v>203</v>
      </c>
      <c r="C127" s="226" t="s">
        <v>206</v>
      </c>
    </row>
    <row r="128" spans="2:3" hidden="1" x14ac:dyDescent="0.25">
      <c r="B128" s="230" t="s">
        <v>203</v>
      </c>
      <c r="C128" s="226" t="s">
        <v>207</v>
      </c>
    </row>
    <row r="129" spans="2:3" hidden="1" x14ac:dyDescent="0.25">
      <c r="B129" s="230" t="s">
        <v>167</v>
      </c>
      <c r="C129" s="226" t="s">
        <v>208</v>
      </c>
    </row>
    <row r="130" spans="2:3" hidden="1" x14ac:dyDescent="0.25">
      <c r="B130" s="230" t="s">
        <v>209</v>
      </c>
      <c r="C130" s="226" t="s">
        <v>210</v>
      </c>
    </row>
    <row r="131" spans="2:3" hidden="1" x14ac:dyDescent="0.25">
      <c r="B131" s="230" t="s">
        <v>203</v>
      </c>
      <c r="C131" s="226" t="s">
        <v>211</v>
      </c>
    </row>
    <row r="132" spans="2:3" hidden="1" x14ac:dyDescent="0.25">
      <c r="B132" s="226"/>
      <c r="C132" s="226"/>
    </row>
    <row r="133" spans="2:3" hidden="1" x14ac:dyDescent="0.25">
      <c r="B133" s="226"/>
      <c r="C133" s="226"/>
    </row>
    <row r="134" spans="2:3" hidden="1" x14ac:dyDescent="0.25">
      <c r="B134" s="232"/>
      <c r="C134" s="232"/>
    </row>
    <row r="135" spans="2:3" hidden="1" x14ac:dyDescent="0.25">
      <c r="B135" s="232">
        <f>NvsElapsedTime</f>
        <v>0</v>
      </c>
      <c r="C135" s="232"/>
    </row>
    <row r="136" spans="2:3" hidden="1" x14ac:dyDescent="0.25">
      <c r="B136" s="233">
        <f>NvsEndTime</f>
        <v>41754.487824074102</v>
      </c>
      <c r="C136" s="233" t="s">
        <v>212</v>
      </c>
    </row>
    <row r="137" spans="2:3" x14ac:dyDescent="0.25">
      <c r="B137" s="226"/>
      <c r="C137" s="234"/>
    </row>
    <row r="138" spans="2:3" x14ac:dyDescent="0.25">
      <c r="B138" s="226"/>
      <c r="C138" s="226"/>
    </row>
    <row r="139" spans="2:3" x14ac:dyDescent="0.25">
      <c r="B139" s="226"/>
      <c r="C139" s="226"/>
    </row>
    <row r="140" spans="2:3" x14ac:dyDescent="0.25">
      <c r="B140" s="226"/>
      <c r="C140" s="226"/>
    </row>
    <row r="141" spans="2:3" x14ac:dyDescent="0.25">
      <c r="B141" s="226"/>
      <c r="C141" s="226"/>
    </row>
    <row r="142" spans="2:3" x14ac:dyDescent="0.25">
      <c r="B142" s="226"/>
      <c r="C142" s="226"/>
    </row>
    <row r="143" spans="2:3" x14ac:dyDescent="0.25">
      <c r="B143" s="226"/>
      <c r="C143" s="226"/>
    </row>
    <row r="144" spans="2:3" x14ac:dyDescent="0.25">
      <c r="B144" s="226"/>
      <c r="C144" s="226"/>
    </row>
    <row r="145" spans="2:3" x14ac:dyDescent="0.25">
      <c r="B145" s="226"/>
      <c r="C145" s="226"/>
    </row>
    <row r="146" spans="2:3" x14ac:dyDescent="0.25">
      <c r="B146" s="226"/>
      <c r="C146" s="226"/>
    </row>
    <row r="147" spans="2:3" x14ac:dyDescent="0.25">
      <c r="B147" s="226"/>
      <c r="C147" s="226"/>
    </row>
    <row r="148" spans="2:3" x14ac:dyDescent="0.25">
      <c r="B148" s="226"/>
      <c r="C148" s="226"/>
    </row>
    <row r="149" spans="2:3" x14ac:dyDescent="0.25">
      <c r="B149" s="226"/>
      <c r="C149" s="226"/>
    </row>
    <row r="150" spans="2:3" x14ac:dyDescent="0.25">
      <c r="B150" s="226"/>
      <c r="C150" s="226"/>
    </row>
    <row r="151" spans="2:3" x14ac:dyDescent="0.25">
      <c r="B151" s="226"/>
      <c r="C151" s="226"/>
    </row>
  </sheetData>
  <mergeCells count="151">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9:W9"/>
    <mergeCell ref="X9:Y9"/>
    <mergeCell ref="Z9:AA9"/>
    <mergeCell ref="V10:W10"/>
    <mergeCell ref="X10:Y10"/>
    <mergeCell ref="Z10:AA10"/>
    <mergeCell ref="V7:W7"/>
    <mergeCell ref="X7:Y7"/>
    <mergeCell ref="Z7:AA7"/>
    <mergeCell ref="AB7:AC7"/>
    <mergeCell ref="V8:W8"/>
    <mergeCell ref="X8:Y8"/>
    <mergeCell ref="Z8:AA8"/>
    <mergeCell ref="W2:AC2"/>
    <mergeCell ref="V3:AC3"/>
    <mergeCell ref="V4:AC4"/>
    <mergeCell ref="V5:W5"/>
    <mergeCell ref="X5:Y5"/>
    <mergeCell ref="V6:AC6"/>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17"/>
  <sheetViews>
    <sheetView workbookViewId="0"/>
  </sheetViews>
  <sheetFormatPr defaultRowHeight="12.75" x14ac:dyDescent="0.2"/>
  <cols>
    <col min="1" max="1" width="111.140625" customWidth="1"/>
  </cols>
  <sheetData>
    <row r="1" spans="1:1" x14ac:dyDescent="0.2">
      <c r="A1" s="239" t="s">
        <v>354</v>
      </c>
    </row>
    <row r="3" spans="1:1" x14ac:dyDescent="0.2">
      <c r="A3" s="224" t="s">
        <v>355</v>
      </c>
    </row>
    <row r="4" spans="1:1" x14ac:dyDescent="0.2">
      <c r="A4" s="224" t="s">
        <v>356</v>
      </c>
    </row>
    <row r="5" spans="1:1" x14ac:dyDescent="0.2">
      <c r="A5" s="224" t="s">
        <v>357</v>
      </c>
    </row>
    <row r="6" spans="1:1" ht="38.25" x14ac:dyDescent="0.2">
      <c r="A6" s="240" t="s">
        <v>358</v>
      </c>
    </row>
    <row r="7" spans="1:1" x14ac:dyDescent="0.2">
      <c r="A7" s="224" t="s">
        <v>359</v>
      </c>
    </row>
    <row r="8" spans="1:1" x14ac:dyDescent="0.2">
      <c r="A8" s="224" t="s">
        <v>360</v>
      </c>
    </row>
    <row r="9" spans="1:1" ht="25.5" x14ac:dyDescent="0.2">
      <c r="A9" s="240" t="s">
        <v>361</v>
      </c>
    </row>
    <row r="10" spans="1:1" x14ac:dyDescent="0.2">
      <c r="A10" s="241"/>
    </row>
    <row r="11" spans="1:1" ht="38.25" x14ac:dyDescent="0.2">
      <c r="A11" s="242" t="s">
        <v>362</v>
      </c>
    </row>
    <row r="12" spans="1:1" ht="25.5" x14ac:dyDescent="0.2">
      <c r="A12" s="242" t="s">
        <v>363</v>
      </c>
    </row>
    <row r="13" spans="1:1" ht="67.5" x14ac:dyDescent="0.2">
      <c r="A13" s="243" t="s">
        <v>364</v>
      </c>
    </row>
    <row r="14" spans="1:1" ht="67.5" x14ac:dyDescent="0.2">
      <c r="A14" s="243" t="s">
        <v>365</v>
      </c>
    </row>
    <row r="15" spans="1:1" ht="27" x14ac:dyDescent="0.2">
      <c r="A15" s="243" t="s">
        <v>366</v>
      </c>
    </row>
    <row r="16" spans="1:1" ht="13.5" x14ac:dyDescent="0.2">
      <c r="A16" s="223" t="s">
        <v>367</v>
      </c>
    </row>
    <row r="17" spans="1:1" ht="13.5" x14ac:dyDescent="0.25">
      <c r="A17" s="228"/>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AD151"/>
  <sheetViews>
    <sheetView topLeftCell="B53" zoomScale="70" zoomScaleNormal="70" workbookViewId="0">
      <selection activeCell="B2" sqref="B2"/>
    </sheetView>
  </sheetViews>
  <sheetFormatPr defaultColWidth="8.85546875" defaultRowHeight="15.75" x14ac:dyDescent="0.25"/>
  <cols>
    <col min="1" max="1" width="11.28515625" style="1" hidden="1" customWidth="1"/>
    <col min="2" max="2" width="10.28515625" style="2" customWidth="1"/>
    <col min="3" max="3" width="29" style="1" customWidth="1"/>
    <col min="4" max="5" width="12.28515625" style="1" customWidth="1"/>
    <col min="6" max="6" width="12.28515625" style="1" hidden="1" customWidth="1"/>
    <col min="7" max="7" width="15.28515625" style="1" customWidth="1"/>
    <col min="8" max="8" width="6.7109375" style="1" customWidth="1"/>
    <col min="9" max="9" width="12.5703125" style="1" customWidth="1"/>
    <col min="10" max="10" width="12.85546875" style="1" customWidth="1"/>
    <col min="11" max="11" width="13" style="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28515625" style="1" customWidth="1"/>
    <col min="18" max="18" width="8.85546875" style="1"/>
    <col min="19" max="21" width="0" style="1" hidden="1" customWidth="1"/>
    <col min="22" max="23" width="8.85546875" style="1"/>
    <col min="24" max="24" width="12.7109375" style="1" customWidth="1"/>
    <col min="25" max="27" width="8.85546875" style="1"/>
    <col min="28" max="28" width="13.140625" style="1" bestFit="1" customWidth="1"/>
    <col min="29" max="16384" width="8.85546875" style="1"/>
  </cols>
  <sheetData>
    <row r="1" spans="1:30" ht="15.6"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7"/>
      <c r="N2" s="3"/>
      <c r="O2" s="1"/>
      <c r="V2" s="8">
        <f>'3347'!B2</f>
        <v>50</v>
      </c>
      <c r="W2" s="606" t="s">
        <v>4</v>
      </c>
      <c r="X2" s="607"/>
      <c r="Y2" s="608"/>
      <c r="Z2" s="608"/>
      <c r="AA2" s="608"/>
      <c r="AB2" s="608"/>
      <c r="AC2" s="608"/>
      <c r="AD2" s="9"/>
    </row>
    <row r="3" spans="1:30" ht="20.25" x14ac:dyDescent="0.3">
      <c r="B3" s="10" t="str">
        <f>"Revenue Estimate Worksheet for "&amp;B124</f>
        <v>Revenue Estimate Worksheet for Leadership Academy West</v>
      </c>
      <c r="C3" s="11"/>
      <c r="D3" s="11"/>
      <c r="E3" s="11"/>
      <c r="F3" s="11"/>
      <c r="G3" s="11"/>
      <c r="H3" s="11"/>
      <c r="I3" s="11"/>
      <c r="J3" s="11"/>
      <c r="K3" s="11"/>
      <c r="L3" s="11"/>
      <c r="M3" s="10"/>
      <c r="N3" s="10"/>
      <c r="O3" s="10"/>
      <c r="P3" s="10"/>
      <c r="Q3" s="10"/>
      <c r="V3" s="609" t="s">
        <v>5</v>
      </c>
      <c r="W3" s="609"/>
      <c r="X3" s="609"/>
      <c r="Y3" s="609"/>
      <c r="Z3" s="609"/>
      <c r="AA3" s="609"/>
      <c r="AB3" s="609"/>
      <c r="AC3" s="609"/>
      <c r="AD3" s="12"/>
    </row>
    <row r="4" spans="1:30" ht="18.75" x14ac:dyDescent="0.3">
      <c r="B4" s="2" t="s">
        <v>6</v>
      </c>
      <c r="C4" s="13"/>
      <c r="D4" s="13"/>
      <c r="E4" s="13"/>
      <c r="F4" s="13"/>
      <c r="G4" s="13"/>
      <c r="H4" s="13"/>
      <c r="I4" s="13"/>
      <c r="J4" s="13"/>
      <c r="K4" s="13"/>
      <c r="L4" s="13"/>
      <c r="M4" s="14"/>
      <c r="N4" s="14"/>
      <c r="O4" s="14"/>
      <c r="P4" s="14"/>
      <c r="Q4" s="14"/>
      <c r="V4" s="610" t="str">
        <f>+Based_on_the_Second_Calculation_of_the_FEFP_2010_11</f>
        <v>Based on the Fourth Calculation of the FEFP 2013-14</v>
      </c>
      <c r="W4" s="610"/>
      <c r="X4" s="610"/>
      <c r="Y4" s="610"/>
      <c r="Z4" s="610"/>
      <c r="AA4" s="610"/>
      <c r="AB4" s="610"/>
      <c r="AC4" s="610"/>
      <c r="AD4" s="15"/>
    </row>
    <row r="5" spans="1:30" ht="18.75" customHeight="1" x14ac:dyDescent="0.25">
      <c r="B5" s="16" t="s">
        <v>7</v>
      </c>
      <c r="C5" s="16"/>
      <c r="D5" s="16"/>
      <c r="E5" s="16"/>
      <c r="F5" s="16"/>
      <c r="G5" s="17" t="s">
        <v>8</v>
      </c>
      <c r="H5" s="17"/>
      <c r="I5" s="17"/>
      <c r="J5" s="17"/>
      <c r="K5" s="17"/>
      <c r="L5" s="17"/>
      <c r="M5" s="18"/>
      <c r="N5" s="18"/>
      <c r="O5" s="18"/>
      <c r="P5" s="18"/>
      <c r="Q5" s="18"/>
      <c r="V5" s="611" t="s">
        <v>7</v>
      </c>
      <c r="W5" s="611"/>
      <c r="X5" s="612" t="s">
        <v>8</v>
      </c>
      <c r="Y5" s="612"/>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613" t="s">
        <v>9</v>
      </c>
      <c r="W6" s="613"/>
      <c r="X6" s="613"/>
      <c r="Y6" s="613"/>
      <c r="Z6" s="613"/>
      <c r="AA6" s="613"/>
      <c r="AB6" s="613"/>
      <c r="AC6" s="613"/>
      <c r="AD6" s="22"/>
    </row>
    <row r="7" spans="1:30" ht="18" customHeight="1" x14ac:dyDescent="0.25">
      <c r="B7" s="23" t="s">
        <v>10</v>
      </c>
      <c r="C7" s="23"/>
      <c r="D7" s="23"/>
      <c r="E7" s="23"/>
      <c r="F7" s="23"/>
      <c r="G7" s="24">
        <v>3752.3</v>
      </c>
      <c r="H7" s="24"/>
      <c r="I7" s="23" t="s">
        <v>11</v>
      </c>
      <c r="J7" s="23"/>
      <c r="K7" s="25">
        <v>1.0326</v>
      </c>
      <c r="L7" s="25"/>
      <c r="O7" s="1"/>
      <c r="V7" s="620" t="s">
        <v>10</v>
      </c>
      <c r="W7" s="620"/>
      <c r="X7" s="621">
        <f>'3347'!G7</f>
        <v>3752.3</v>
      </c>
      <c r="Y7" s="621"/>
      <c r="Z7" s="622" t="s">
        <v>11</v>
      </c>
      <c r="AA7" s="622"/>
      <c r="AB7" s="602">
        <f>+K7</f>
        <v>1.0326</v>
      </c>
      <c r="AC7" s="602"/>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603" t="s">
        <v>12</v>
      </c>
      <c r="W8" s="603"/>
      <c r="X8" s="604" t="s">
        <v>15</v>
      </c>
      <c r="Y8" s="604"/>
      <c r="Z8" s="605" t="s">
        <v>16</v>
      </c>
      <c r="AA8" s="605"/>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614" t="s">
        <v>22</v>
      </c>
      <c r="W9" s="614"/>
      <c r="X9" s="615" t="s">
        <v>23</v>
      </c>
      <c r="Y9" s="615"/>
      <c r="Z9" s="616" t="s">
        <v>24</v>
      </c>
      <c r="AA9" s="616"/>
      <c r="AB9" s="43" t="s">
        <v>25</v>
      </c>
      <c r="AC9" s="44" t="s">
        <v>26</v>
      </c>
      <c r="AD9" s="9"/>
    </row>
    <row r="10" spans="1:30" x14ac:dyDescent="0.25">
      <c r="A10" s="1" t="s">
        <v>27</v>
      </c>
      <c r="B10" s="45" t="s">
        <v>28</v>
      </c>
      <c r="C10" s="45"/>
      <c r="D10" s="45">
        <v>0</v>
      </c>
      <c r="E10" s="45">
        <v>0</v>
      </c>
      <c r="F10" s="45">
        <v>0</v>
      </c>
      <c r="G10" s="46">
        <f>D10+E10</f>
        <v>0</v>
      </c>
      <c r="H10" s="47"/>
      <c r="I10" s="48">
        <v>1.125</v>
      </c>
      <c r="J10" s="48"/>
      <c r="K10" s="49">
        <f>ROUND(G10*I10,4)</f>
        <v>0</v>
      </c>
      <c r="L10" s="50">
        <f>ROUND(ROUND(K10*$G$7,4)*($K$7),0)</f>
        <v>0</v>
      </c>
      <c r="N10" s="51">
        <v>5101</v>
      </c>
      <c r="O10" s="52">
        <v>101</v>
      </c>
      <c r="P10" s="53"/>
      <c r="Q10" s="54"/>
      <c r="V10" s="617" t="s">
        <v>28</v>
      </c>
      <c r="W10" s="617"/>
      <c r="X10" s="618">
        <f>IF('3347'!K$84=1,'3347'!G10,0)</f>
        <v>0</v>
      </c>
      <c r="Y10" s="618"/>
      <c r="Z10" s="619">
        <v>1</v>
      </c>
      <c r="AA10" s="619"/>
      <c r="AB10" s="55">
        <f t="shared" ref="AB10:AB25" si="0">ROUND(X10*Z10,4)</f>
        <v>0</v>
      </c>
      <c r="AC10" s="56">
        <f t="shared" ref="AC10:AC25" si="1">ROUND(ROUND(AB10*$X$7,4)*($AB$7),0)</f>
        <v>0</v>
      </c>
      <c r="AD10" s="9">
        <v>1</v>
      </c>
    </row>
    <row r="11" spans="1:30" x14ac:dyDescent="0.25">
      <c r="A11" s="1" t="s">
        <v>29</v>
      </c>
      <c r="B11" s="13" t="s">
        <v>30</v>
      </c>
      <c r="C11" s="13"/>
      <c r="D11" s="13">
        <v>0</v>
      </c>
      <c r="E11" s="13">
        <v>0</v>
      </c>
      <c r="F11" s="13">
        <v>0</v>
      </c>
      <c r="G11" s="46">
        <f t="shared" ref="G11:G25" si="2">D11+E11</f>
        <v>0</v>
      </c>
      <c r="H11" s="47"/>
      <c r="I11" s="57">
        <f>I10</f>
        <v>1.125</v>
      </c>
      <c r="J11" s="57"/>
      <c r="K11" s="49">
        <f t="shared" ref="K11:K25" si="3">ROUND(G11*I11,4)</f>
        <v>0</v>
      </c>
      <c r="L11" s="50">
        <f t="shared" ref="L11:L25" si="4">ROUND(ROUND(K11*$G$7,4)*($K$7),0)</f>
        <v>0</v>
      </c>
      <c r="M11" s="1" t="str">
        <f>IF(ROUND(G11,2)=ROUND(SUM(G28:G30),2)," ","CHECK 2. PK-3 Lines Below")</f>
        <v xml:space="preserve"> </v>
      </c>
      <c r="N11" s="51">
        <v>5101</v>
      </c>
      <c r="O11" s="58" t="s">
        <v>31</v>
      </c>
      <c r="P11" s="53"/>
      <c r="Q11" s="54"/>
      <c r="V11" s="623" t="s">
        <v>30</v>
      </c>
      <c r="W11" s="623"/>
      <c r="X11" s="618">
        <f>IF('3347'!K$84=1,'3347'!G11,0)</f>
        <v>0</v>
      </c>
      <c r="Y11" s="618"/>
      <c r="Z11" s="624">
        <v>1</v>
      </c>
      <c r="AA11" s="624"/>
      <c r="AB11" s="55">
        <f t="shared" si="0"/>
        <v>0</v>
      </c>
      <c r="AC11" s="56">
        <f t="shared" si="1"/>
        <v>0</v>
      </c>
      <c r="AD11" s="9"/>
    </row>
    <row r="12" spans="1:30" x14ac:dyDescent="0.25">
      <c r="A12" s="1" t="s">
        <v>32</v>
      </c>
      <c r="B12" s="13" t="s">
        <v>33</v>
      </c>
      <c r="C12" s="13"/>
      <c r="D12" s="13">
        <v>0</v>
      </c>
      <c r="E12" s="13">
        <v>0</v>
      </c>
      <c r="F12" s="13">
        <v>0</v>
      </c>
      <c r="G12" s="46">
        <f t="shared" si="2"/>
        <v>0</v>
      </c>
      <c r="H12" s="47"/>
      <c r="I12" s="57">
        <v>1</v>
      </c>
      <c r="J12" s="57"/>
      <c r="K12" s="49">
        <f t="shared" si="3"/>
        <v>0</v>
      </c>
      <c r="L12" s="50">
        <f t="shared" si="4"/>
        <v>0</v>
      </c>
      <c r="N12" s="51">
        <v>5102</v>
      </c>
      <c r="O12" s="52">
        <v>102</v>
      </c>
      <c r="P12" s="53"/>
      <c r="Q12" s="54"/>
      <c r="V12" s="623" t="s">
        <v>33</v>
      </c>
      <c r="W12" s="623"/>
      <c r="X12" s="618">
        <f>IF('3347'!K$84=1,'3347'!G12,0)</f>
        <v>0</v>
      </c>
      <c r="Y12" s="618"/>
      <c r="Z12" s="624">
        <v>1</v>
      </c>
      <c r="AA12" s="624"/>
      <c r="AB12" s="55">
        <f t="shared" si="0"/>
        <v>0</v>
      </c>
      <c r="AC12" s="56">
        <f t="shared" si="1"/>
        <v>0</v>
      </c>
      <c r="AD12" s="9"/>
    </row>
    <row r="13" spans="1:30" x14ac:dyDescent="0.25">
      <c r="A13" s="1" t="s">
        <v>34</v>
      </c>
      <c r="B13" s="13" t="s">
        <v>35</v>
      </c>
      <c r="C13" s="13"/>
      <c r="D13" s="13">
        <v>0</v>
      </c>
      <c r="E13" s="13">
        <v>0</v>
      </c>
      <c r="F13" s="13">
        <v>0</v>
      </c>
      <c r="G13" s="46">
        <f t="shared" si="2"/>
        <v>0</v>
      </c>
      <c r="H13" s="47"/>
      <c r="I13" s="57">
        <f>I12</f>
        <v>1</v>
      </c>
      <c r="J13" s="57"/>
      <c r="K13" s="49">
        <f t="shared" si="3"/>
        <v>0</v>
      </c>
      <c r="L13" s="50">
        <f t="shared" si="4"/>
        <v>0</v>
      </c>
      <c r="M13" s="1" t="str">
        <f>IF(ROUND(G13,2)=ROUND(SUM(G31:G33),2)," ","CHECK 2. PK-3 Lines Below")</f>
        <v xml:space="preserve"> </v>
      </c>
      <c r="N13" s="51">
        <v>5102</v>
      </c>
      <c r="O13" s="58" t="s">
        <v>36</v>
      </c>
      <c r="P13" s="53"/>
      <c r="Q13" s="54"/>
      <c r="V13" s="623" t="s">
        <v>35</v>
      </c>
      <c r="W13" s="623"/>
      <c r="X13" s="618">
        <f>IF('3347'!K$84=1,'3347'!G13,0)</f>
        <v>0</v>
      </c>
      <c r="Y13" s="618"/>
      <c r="Z13" s="624">
        <v>1</v>
      </c>
      <c r="AA13" s="624"/>
      <c r="AB13" s="55">
        <f t="shared" si="0"/>
        <v>0</v>
      </c>
      <c r="AC13" s="56">
        <f t="shared" si="1"/>
        <v>0</v>
      </c>
      <c r="AD13" s="9"/>
    </row>
    <row r="14" spans="1:30" x14ac:dyDescent="0.25">
      <c r="A14" s="1" t="s">
        <v>37</v>
      </c>
      <c r="B14" s="13" t="s">
        <v>38</v>
      </c>
      <c r="C14" s="13"/>
      <c r="D14" s="13">
        <v>58.23</v>
      </c>
      <c r="E14" s="13">
        <v>46.14</v>
      </c>
      <c r="F14" s="13">
        <v>85.89</v>
      </c>
      <c r="G14" s="46">
        <f t="shared" si="2"/>
        <v>104.37</v>
      </c>
      <c r="H14" s="47"/>
      <c r="I14" s="57">
        <v>1.0109999999999999</v>
      </c>
      <c r="J14" s="57"/>
      <c r="K14" s="49">
        <f t="shared" si="3"/>
        <v>105.5181</v>
      </c>
      <c r="L14" s="50">
        <f t="shared" si="4"/>
        <v>408843</v>
      </c>
      <c r="N14" s="51">
        <v>5103</v>
      </c>
      <c r="O14" s="52">
        <v>103</v>
      </c>
      <c r="P14" s="53"/>
      <c r="Q14" s="54"/>
      <c r="V14" s="623" t="s">
        <v>38</v>
      </c>
      <c r="W14" s="623"/>
      <c r="X14" s="618">
        <f>IF('3347'!K$84=1,'3347'!G14,0)</f>
        <v>0</v>
      </c>
      <c r="Y14" s="618"/>
      <c r="Z14" s="624">
        <v>1</v>
      </c>
      <c r="AA14" s="624"/>
      <c r="AB14" s="55">
        <f t="shared" si="0"/>
        <v>0</v>
      </c>
      <c r="AC14" s="56">
        <f t="shared" si="1"/>
        <v>0</v>
      </c>
      <c r="AD14" s="9"/>
    </row>
    <row r="15" spans="1:30" x14ac:dyDescent="0.25">
      <c r="A15" s="1" t="s">
        <v>39</v>
      </c>
      <c r="B15" s="13" t="s">
        <v>40</v>
      </c>
      <c r="C15" s="13"/>
      <c r="D15" s="13">
        <v>13.49</v>
      </c>
      <c r="E15" s="13">
        <v>8.09</v>
      </c>
      <c r="F15" s="13">
        <v>20.010000000000002</v>
      </c>
      <c r="G15" s="46">
        <f t="shared" si="2"/>
        <v>21.58</v>
      </c>
      <c r="H15" s="47"/>
      <c r="I15" s="57">
        <f>I14</f>
        <v>1.0109999999999999</v>
      </c>
      <c r="J15" s="57"/>
      <c r="K15" s="49">
        <f t="shared" si="3"/>
        <v>21.817399999999999</v>
      </c>
      <c r="L15" s="59">
        <f t="shared" si="4"/>
        <v>84534</v>
      </c>
      <c r="M15" s="1" t="str">
        <f>IF(ROUND(G15,2)=ROUND(SUM(G34:G36),2)," ","CHECK 2. PK-3 Lines Below")</f>
        <v xml:space="preserve"> </v>
      </c>
      <c r="N15" s="51">
        <v>5103</v>
      </c>
      <c r="O15" s="58" t="s">
        <v>41</v>
      </c>
      <c r="P15" s="53"/>
      <c r="Q15" s="54"/>
      <c r="V15" s="623" t="s">
        <v>40</v>
      </c>
      <c r="W15" s="623"/>
      <c r="X15" s="618">
        <f>IF('3347'!K$84=1,'3347'!G15,0)</f>
        <v>0</v>
      </c>
      <c r="Y15" s="618"/>
      <c r="Z15" s="624">
        <v>1</v>
      </c>
      <c r="AA15" s="624"/>
      <c r="AB15" s="55">
        <f t="shared" si="0"/>
        <v>0</v>
      </c>
      <c r="AC15" s="60">
        <f t="shared" si="1"/>
        <v>0</v>
      </c>
      <c r="AD15" s="9"/>
    </row>
    <row r="16" spans="1:30" x14ac:dyDescent="0.25">
      <c r="A16" s="1" t="s">
        <v>42</v>
      </c>
      <c r="B16" s="13" t="s">
        <v>43</v>
      </c>
      <c r="C16" s="13"/>
      <c r="D16" s="13">
        <v>0</v>
      </c>
      <c r="E16" s="13">
        <v>0</v>
      </c>
      <c r="F16" s="13">
        <v>0</v>
      </c>
      <c r="G16" s="46">
        <f t="shared" si="2"/>
        <v>0</v>
      </c>
      <c r="H16" s="47"/>
      <c r="I16" s="57">
        <v>3.5579999999999998</v>
      </c>
      <c r="J16" s="57"/>
      <c r="K16" s="49">
        <f t="shared" si="3"/>
        <v>0</v>
      </c>
      <c r="L16" s="50">
        <f t="shared" si="4"/>
        <v>0</v>
      </c>
      <c r="N16" s="51">
        <v>5101</v>
      </c>
      <c r="O16" s="53">
        <v>254</v>
      </c>
      <c r="P16" s="53"/>
      <c r="Q16" s="54"/>
      <c r="V16" s="623" t="s">
        <v>43</v>
      </c>
      <c r="W16" s="623"/>
      <c r="X16" s="618">
        <f>IF('3347'!K$84=1,'3347'!G16,0)</f>
        <v>0</v>
      </c>
      <c r="Y16" s="618"/>
      <c r="Z16" s="624">
        <v>1</v>
      </c>
      <c r="AA16" s="624"/>
      <c r="AB16" s="55">
        <f t="shared" si="0"/>
        <v>0</v>
      </c>
      <c r="AC16" s="56">
        <f t="shared" si="1"/>
        <v>0</v>
      </c>
      <c r="AD16" s="9"/>
    </row>
    <row r="17" spans="1:30" x14ac:dyDescent="0.25">
      <c r="A17" s="1" t="s">
        <v>44</v>
      </c>
      <c r="B17" s="13" t="s">
        <v>45</v>
      </c>
      <c r="C17" s="13"/>
      <c r="D17" s="13">
        <v>0</v>
      </c>
      <c r="E17" s="13">
        <v>0</v>
      </c>
      <c r="F17" s="13">
        <v>0</v>
      </c>
      <c r="G17" s="46">
        <f t="shared" si="2"/>
        <v>0</v>
      </c>
      <c r="H17" s="47"/>
      <c r="I17" s="57">
        <f>I16</f>
        <v>3.5579999999999998</v>
      </c>
      <c r="J17" s="57"/>
      <c r="K17" s="49">
        <f t="shared" si="3"/>
        <v>0</v>
      </c>
      <c r="L17" s="50">
        <f t="shared" si="4"/>
        <v>0</v>
      </c>
      <c r="N17" s="51">
        <v>5102</v>
      </c>
      <c r="O17" s="54">
        <v>254</v>
      </c>
      <c r="P17" s="53"/>
      <c r="Q17" s="54"/>
      <c r="V17" s="623" t="s">
        <v>45</v>
      </c>
      <c r="W17" s="623"/>
      <c r="X17" s="618">
        <f>IF('3347'!K$84=1,'3347'!G17,0)</f>
        <v>0</v>
      </c>
      <c r="Y17" s="618"/>
      <c r="Z17" s="624">
        <v>1</v>
      </c>
      <c r="AA17" s="624"/>
      <c r="AB17" s="55">
        <f t="shared" si="0"/>
        <v>0</v>
      </c>
      <c r="AC17" s="56">
        <f t="shared" si="1"/>
        <v>0</v>
      </c>
      <c r="AD17" s="9"/>
    </row>
    <row r="18" spans="1:30" x14ac:dyDescent="0.25">
      <c r="A18" s="1" t="s">
        <v>46</v>
      </c>
      <c r="B18" s="13" t="s">
        <v>47</v>
      </c>
      <c r="C18" s="13"/>
      <c r="D18" s="13">
        <v>0</v>
      </c>
      <c r="E18" s="13">
        <v>0</v>
      </c>
      <c r="F18" s="13">
        <v>0</v>
      </c>
      <c r="G18" s="46">
        <f t="shared" si="2"/>
        <v>0</v>
      </c>
      <c r="H18" s="47"/>
      <c r="I18" s="57">
        <f>I17</f>
        <v>3.5579999999999998</v>
      </c>
      <c r="J18" s="57"/>
      <c r="K18" s="49">
        <f t="shared" si="3"/>
        <v>0</v>
      </c>
      <c r="L18" s="50">
        <f t="shared" si="4"/>
        <v>0</v>
      </c>
      <c r="N18" s="51">
        <v>5103</v>
      </c>
      <c r="O18" s="54">
        <v>254</v>
      </c>
      <c r="P18" s="53"/>
      <c r="Q18" s="54"/>
      <c r="V18" s="623" t="s">
        <v>47</v>
      </c>
      <c r="W18" s="623"/>
      <c r="X18" s="618">
        <f>IF('3347'!K$84=1,'3347'!G18,0)</f>
        <v>0</v>
      </c>
      <c r="Y18" s="618"/>
      <c r="Z18" s="624">
        <v>1</v>
      </c>
      <c r="AA18" s="624"/>
      <c r="AB18" s="55">
        <f t="shared" si="0"/>
        <v>0</v>
      </c>
      <c r="AC18" s="56">
        <f t="shared" si="1"/>
        <v>0</v>
      </c>
      <c r="AD18" s="9"/>
    </row>
    <row r="19" spans="1:30" ht="15" customHeight="1" x14ac:dyDescent="0.25">
      <c r="A19" s="1" t="s">
        <v>48</v>
      </c>
      <c r="B19" s="13" t="s">
        <v>49</v>
      </c>
      <c r="C19" s="13"/>
      <c r="D19" s="13">
        <v>0</v>
      </c>
      <c r="E19" s="13">
        <v>0</v>
      </c>
      <c r="F19" s="13">
        <v>0</v>
      </c>
      <c r="G19" s="46">
        <f t="shared" si="2"/>
        <v>0</v>
      </c>
      <c r="H19" s="47"/>
      <c r="I19" s="57">
        <v>5.0890000000000004</v>
      </c>
      <c r="J19" s="57"/>
      <c r="K19" s="49">
        <f t="shared" si="3"/>
        <v>0</v>
      </c>
      <c r="L19" s="50">
        <f t="shared" si="4"/>
        <v>0</v>
      </c>
      <c r="N19" s="51">
        <v>5101</v>
      </c>
      <c r="O19" s="53">
        <v>255</v>
      </c>
      <c r="P19" s="53"/>
      <c r="Q19" s="54"/>
      <c r="V19" s="623" t="s">
        <v>49</v>
      </c>
      <c r="W19" s="623"/>
      <c r="X19" s="618">
        <f>IF('3347'!K$84=1,'3347'!G19,0)</f>
        <v>0</v>
      </c>
      <c r="Y19" s="618"/>
      <c r="Z19" s="624">
        <v>1</v>
      </c>
      <c r="AA19" s="624"/>
      <c r="AB19" s="55">
        <f t="shared" si="0"/>
        <v>0</v>
      </c>
      <c r="AC19" s="56">
        <f t="shared" si="1"/>
        <v>0</v>
      </c>
      <c r="AD19" s="9"/>
    </row>
    <row r="20" spans="1:30" ht="15" customHeight="1" x14ac:dyDescent="0.25">
      <c r="A20" s="1" t="s">
        <v>50</v>
      </c>
      <c r="B20" s="13" t="s">
        <v>51</v>
      </c>
      <c r="C20" s="13"/>
      <c r="D20" s="13">
        <v>0</v>
      </c>
      <c r="E20" s="13">
        <v>0</v>
      </c>
      <c r="F20" s="13">
        <v>0</v>
      </c>
      <c r="G20" s="46">
        <f t="shared" si="2"/>
        <v>0</v>
      </c>
      <c r="H20" s="47"/>
      <c r="I20" s="57">
        <f>I19</f>
        <v>5.0890000000000004</v>
      </c>
      <c r="J20" s="57"/>
      <c r="K20" s="49">
        <f t="shared" si="3"/>
        <v>0</v>
      </c>
      <c r="L20" s="50">
        <f t="shared" si="4"/>
        <v>0</v>
      </c>
      <c r="N20" s="51">
        <v>5102</v>
      </c>
      <c r="O20" s="54">
        <v>255</v>
      </c>
      <c r="P20" s="53"/>
      <c r="Q20" s="54"/>
      <c r="V20" s="623" t="s">
        <v>51</v>
      </c>
      <c r="W20" s="623"/>
      <c r="X20" s="618">
        <f>IF('3347'!K$84=1,'3347'!G20,0)</f>
        <v>0</v>
      </c>
      <c r="Y20" s="618"/>
      <c r="Z20" s="624">
        <v>1</v>
      </c>
      <c r="AA20" s="624"/>
      <c r="AB20" s="55">
        <f t="shared" si="0"/>
        <v>0</v>
      </c>
      <c r="AC20" s="56">
        <f t="shared" si="1"/>
        <v>0</v>
      </c>
      <c r="AD20" s="9"/>
    </row>
    <row r="21" spans="1:30" ht="15" customHeight="1" x14ac:dyDescent="0.25">
      <c r="A21" s="1" t="s">
        <v>52</v>
      </c>
      <c r="B21" s="13" t="s">
        <v>53</v>
      </c>
      <c r="C21" s="13"/>
      <c r="D21" s="13">
        <v>0</v>
      </c>
      <c r="E21" s="13">
        <v>0</v>
      </c>
      <c r="F21" s="13">
        <v>0</v>
      </c>
      <c r="G21" s="46">
        <f t="shared" si="2"/>
        <v>0</v>
      </c>
      <c r="H21" s="47"/>
      <c r="I21" s="57">
        <f>I20</f>
        <v>5.0890000000000004</v>
      </c>
      <c r="J21" s="57"/>
      <c r="K21" s="49">
        <f t="shared" si="3"/>
        <v>0</v>
      </c>
      <c r="L21" s="50">
        <f t="shared" si="4"/>
        <v>0</v>
      </c>
      <c r="N21" s="51">
        <v>5103</v>
      </c>
      <c r="O21" s="54">
        <v>255</v>
      </c>
      <c r="P21" s="53"/>
      <c r="Q21" s="54"/>
      <c r="V21" s="623" t="s">
        <v>53</v>
      </c>
      <c r="W21" s="623"/>
      <c r="X21" s="618">
        <f>IF('3347'!K$84=1,'3347'!G21,0)</f>
        <v>0</v>
      </c>
      <c r="Y21" s="618"/>
      <c r="Z21" s="624">
        <v>1</v>
      </c>
      <c r="AA21" s="624"/>
      <c r="AB21" s="55">
        <f t="shared" si="0"/>
        <v>0</v>
      </c>
      <c r="AC21" s="56">
        <f t="shared" si="1"/>
        <v>0</v>
      </c>
      <c r="AD21" s="9"/>
    </row>
    <row r="22" spans="1:30" x14ac:dyDescent="0.25">
      <c r="A22" s="1" t="s">
        <v>54</v>
      </c>
      <c r="B22" s="13" t="s">
        <v>55</v>
      </c>
      <c r="C22" s="13"/>
      <c r="D22" s="13">
        <v>0</v>
      </c>
      <c r="E22" s="13">
        <v>0</v>
      </c>
      <c r="F22" s="13">
        <v>0</v>
      </c>
      <c r="G22" s="46">
        <f t="shared" si="2"/>
        <v>0</v>
      </c>
      <c r="H22" s="47"/>
      <c r="I22" s="57">
        <v>1.145</v>
      </c>
      <c r="J22" s="57"/>
      <c r="K22" s="49">
        <f t="shared" si="3"/>
        <v>0</v>
      </c>
      <c r="L22" s="50">
        <f t="shared" si="4"/>
        <v>0</v>
      </c>
      <c r="N22" s="51">
        <v>5101</v>
      </c>
      <c r="O22" s="52">
        <v>130</v>
      </c>
      <c r="P22" s="53"/>
      <c r="Q22" s="54"/>
      <c r="V22" s="623" t="s">
        <v>55</v>
      </c>
      <c r="W22" s="623"/>
      <c r="X22" s="618">
        <f>IF('3347'!K$84=1,'3347'!G22,0)</f>
        <v>0</v>
      </c>
      <c r="Y22" s="618"/>
      <c r="Z22" s="624">
        <v>1</v>
      </c>
      <c r="AA22" s="624"/>
      <c r="AB22" s="55">
        <f t="shared" si="0"/>
        <v>0</v>
      </c>
      <c r="AC22" s="56">
        <f t="shared" si="1"/>
        <v>0</v>
      </c>
      <c r="AD22" s="9"/>
    </row>
    <row r="23" spans="1:30" x14ac:dyDescent="0.25">
      <c r="A23" s="1" t="s">
        <v>56</v>
      </c>
      <c r="B23" s="13" t="s">
        <v>57</v>
      </c>
      <c r="C23" s="13"/>
      <c r="D23" s="13">
        <v>0</v>
      </c>
      <c r="E23" s="13">
        <v>0</v>
      </c>
      <c r="F23" s="13">
        <v>0</v>
      </c>
      <c r="G23" s="46">
        <f t="shared" si="2"/>
        <v>0</v>
      </c>
      <c r="H23" s="47"/>
      <c r="I23" s="57">
        <f>I22</f>
        <v>1.145</v>
      </c>
      <c r="J23" s="57"/>
      <c r="K23" s="49">
        <f t="shared" si="3"/>
        <v>0</v>
      </c>
      <c r="L23" s="50">
        <f t="shared" si="4"/>
        <v>0</v>
      </c>
      <c r="N23" s="51">
        <v>5102</v>
      </c>
      <c r="O23" s="52">
        <v>130</v>
      </c>
      <c r="P23" s="53"/>
      <c r="Q23" s="54"/>
      <c r="V23" s="623" t="s">
        <v>57</v>
      </c>
      <c r="W23" s="623"/>
      <c r="X23" s="618">
        <f>IF('3347'!K$84=1,'3347'!G23,0)</f>
        <v>0</v>
      </c>
      <c r="Y23" s="618"/>
      <c r="Z23" s="624">
        <v>1</v>
      </c>
      <c r="AA23" s="624"/>
      <c r="AB23" s="55">
        <f t="shared" si="0"/>
        <v>0</v>
      </c>
      <c r="AC23" s="56">
        <f t="shared" si="1"/>
        <v>0</v>
      </c>
      <c r="AD23" s="9"/>
    </row>
    <row r="24" spans="1:30" x14ac:dyDescent="0.25">
      <c r="A24" s="1" t="s">
        <v>58</v>
      </c>
      <c r="B24" s="13" t="s">
        <v>59</v>
      </c>
      <c r="C24" s="13"/>
      <c r="D24" s="13">
        <v>1.6</v>
      </c>
      <c r="E24" s="13">
        <v>1.1499999999999999</v>
      </c>
      <c r="F24" s="13">
        <v>2.38</v>
      </c>
      <c r="G24" s="46">
        <f t="shared" si="2"/>
        <v>2.75</v>
      </c>
      <c r="H24" s="47"/>
      <c r="I24" s="57">
        <f>I23</f>
        <v>1.145</v>
      </c>
      <c r="J24" s="57"/>
      <c r="K24" s="49">
        <f t="shared" si="3"/>
        <v>3.1488</v>
      </c>
      <c r="L24" s="50">
        <f t="shared" si="4"/>
        <v>12200</v>
      </c>
      <c r="N24" s="51">
        <v>5103</v>
      </c>
      <c r="O24" s="52">
        <v>130</v>
      </c>
      <c r="P24" s="53"/>
      <c r="Q24" s="54"/>
      <c r="V24" s="623" t="s">
        <v>59</v>
      </c>
      <c r="W24" s="623"/>
      <c r="X24" s="618">
        <f>IF('3347'!K$84=1,'3347'!G24,0)</f>
        <v>0</v>
      </c>
      <c r="Y24" s="618"/>
      <c r="Z24" s="624">
        <v>1</v>
      </c>
      <c r="AA24" s="624"/>
      <c r="AB24" s="55">
        <f t="shared" si="0"/>
        <v>0</v>
      </c>
      <c r="AC24" s="56">
        <f t="shared" si="1"/>
        <v>0</v>
      </c>
      <c r="AD24" s="9"/>
    </row>
    <row r="25" spans="1:30" ht="16.5" thickBot="1" x14ac:dyDescent="0.3">
      <c r="A25" s="1" t="s">
        <v>60</v>
      </c>
      <c r="B25" s="13" t="s">
        <v>61</v>
      </c>
      <c r="C25" s="13"/>
      <c r="D25" s="13">
        <v>5.28</v>
      </c>
      <c r="E25" s="13">
        <v>6.02</v>
      </c>
      <c r="F25" s="13">
        <v>7.53</v>
      </c>
      <c r="G25" s="46">
        <f t="shared" si="2"/>
        <v>11.3</v>
      </c>
      <c r="H25" s="47"/>
      <c r="I25" s="57">
        <v>1.0109999999999999</v>
      </c>
      <c r="J25" s="57"/>
      <c r="K25" s="49">
        <f t="shared" si="3"/>
        <v>11.424300000000001</v>
      </c>
      <c r="L25" s="50">
        <f t="shared" si="4"/>
        <v>44265</v>
      </c>
      <c r="N25" s="51">
        <v>5310</v>
      </c>
      <c r="O25" s="52">
        <v>300</v>
      </c>
      <c r="P25" s="53"/>
      <c r="Q25" s="54"/>
      <c r="V25" s="623" t="s">
        <v>61</v>
      </c>
      <c r="W25" s="623"/>
      <c r="X25" s="618">
        <f>IF('3347'!K$84=1,'3347'!G25,0)</f>
        <v>0</v>
      </c>
      <c r="Y25" s="618"/>
      <c r="Z25" s="624">
        <v>1</v>
      </c>
      <c r="AA25" s="624"/>
      <c r="AB25" s="55">
        <f t="shared" si="0"/>
        <v>0</v>
      </c>
      <c r="AC25" s="56">
        <f t="shared" si="1"/>
        <v>0</v>
      </c>
      <c r="AD25" s="9"/>
    </row>
    <row r="26" spans="1:30" ht="20.25" customHeight="1" thickBot="1" x14ac:dyDescent="0.3">
      <c r="B26" s="62" t="s">
        <v>62</v>
      </c>
      <c r="C26" s="62"/>
      <c r="D26" s="63">
        <f t="shared" ref="D26:E26" si="5">SUM(D10:D25)</f>
        <v>78.599999999999994</v>
      </c>
      <c r="E26" s="63">
        <f t="shared" si="5"/>
        <v>61.400000000000006</v>
      </c>
      <c r="F26" s="63"/>
      <c r="G26" s="63">
        <f>SUM(G10:G25)</f>
        <v>140</v>
      </c>
      <c r="H26" s="64"/>
      <c r="I26" s="64"/>
      <c r="J26" s="65"/>
      <c r="K26" s="66">
        <f>SUM(K10:K25)</f>
        <v>141.90859999999998</v>
      </c>
      <c r="L26" s="67">
        <f>SUM(L10:L25)</f>
        <v>549842</v>
      </c>
      <c r="N26" s="54"/>
      <c r="O26" s="68"/>
      <c r="P26" s="54"/>
      <c r="Q26" s="54"/>
      <c r="V26" s="625" t="s">
        <v>62</v>
      </c>
      <c r="W26" s="625"/>
      <c r="X26" s="626">
        <f>SUM(X10:X25)</f>
        <v>0</v>
      </c>
      <c r="Y26" s="626"/>
      <c r="Z26" s="627"/>
      <c r="AA26" s="628"/>
      <c r="AB26" s="69">
        <f>SUM(AB10:AB25)</f>
        <v>0</v>
      </c>
      <c r="AC26" s="70">
        <f>SUM(AC10:AC25)</f>
        <v>0</v>
      </c>
      <c r="AD26" s="9"/>
    </row>
    <row r="27" spans="1:30" ht="51.75" customHeight="1" x14ac:dyDescent="0.25">
      <c r="B27" s="62" t="s">
        <v>63</v>
      </c>
      <c r="C27" s="62"/>
      <c r="D27" s="71" t="s">
        <v>13</v>
      </c>
      <c r="E27" s="71" t="s">
        <v>14</v>
      </c>
      <c r="F27" s="27"/>
      <c r="G27" s="72" t="s">
        <v>64</v>
      </c>
      <c r="H27" s="73"/>
      <c r="I27" s="74" t="s">
        <v>65</v>
      </c>
      <c r="J27" s="74" t="s">
        <v>66</v>
      </c>
      <c r="K27" s="75" t="s">
        <v>67</v>
      </c>
      <c r="N27" s="54"/>
      <c r="O27" s="68"/>
      <c r="P27" s="54"/>
      <c r="Q27" s="54"/>
      <c r="V27" s="629" t="s">
        <v>63</v>
      </c>
      <c r="W27" s="629"/>
      <c r="X27" s="630" t="s">
        <v>64</v>
      </c>
      <c r="Y27" s="630"/>
      <c r="Z27" s="76" t="s">
        <v>65</v>
      </c>
      <c r="AA27" s="77" t="s">
        <v>66</v>
      </c>
      <c r="AB27" s="78" t="s">
        <v>67</v>
      </c>
      <c r="AC27" s="9"/>
      <c r="AD27" s="9"/>
    </row>
    <row r="28" spans="1:30" ht="15.75" customHeight="1" x14ac:dyDescent="0.25">
      <c r="A28" s="1" t="s">
        <v>68</v>
      </c>
      <c r="B28" s="631" t="s">
        <v>69</v>
      </c>
      <c r="C28" s="632"/>
      <c r="D28" s="13">
        <v>0</v>
      </c>
      <c r="E28" s="13">
        <v>0</v>
      </c>
      <c r="F28" s="79">
        <v>0</v>
      </c>
      <c r="G28" s="46">
        <f t="shared" ref="G28:G36" si="6">D28+E28</f>
        <v>0</v>
      </c>
      <c r="H28" s="80"/>
      <c r="I28" s="81" t="s">
        <v>70</v>
      </c>
      <c r="J28" s="82">
        <v>251</v>
      </c>
      <c r="K28" s="83">
        <v>1047</v>
      </c>
      <c r="L28" s="84">
        <f>ROUND(G28*K28,0)</f>
        <v>0</v>
      </c>
      <c r="N28" s="85">
        <v>5101</v>
      </c>
      <c r="O28" s="54">
        <v>251</v>
      </c>
      <c r="P28" s="86"/>
      <c r="Q28" s="87"/>
      <c r="V28" s="637" t="s">
        <v>69</v>
      </c>
      <c r="W28" s="637"/>
      <c r="X28" s="638"/>
      <c r="Y28" s="638"/>
      <c r="Z28" s="88" t="s">
        <v>70</v>
      </c>
      <c r="AA28" s="89">
        <v>251</v>
      </c>
      <c r="AB28" s="90">
        <f>+K28</f>
        <v>1047</v>
      </c>
      <c r="AC28" s="91">
        <f t="shared" ref="AC28:AC36" si="7">ROUND(X28*AB28,0)</f>
        <v>0</v>
      </c>
      <c r="AD28" s="9"/>
    </row>
    <row r="29" spans="1:30" x14ac:dyDescent="0.25">
      <c r="A29" s="1" t="s">
        <v>71</v>
      </c>
      <c r="B29" s="633"/>
      <c r="C29" s="634"/>
      <c r="D29" s="13">
        <v>0</v>
      </c>
      <c r="E29" s="13">
        <v>0</v>
      </c>
      <c r="F29" s="92">
        <v>0</v>
      </c>
      <c r="G29" s="46">
        <f t="shared" si="6"/>
        <v>0</v>
      </c>
      <c r="H29" s="80"/>
      <c r="I29" s="82" t="s">
        <v>70</v>
      </c>
      <c r="J29" s="82">
        <v>252</v>
      </c>
      <c r="K29" s="83">
        <v>3380</v>
      </c>
      <c r="L29" s="84">
        <f t="shared" ref="L29:L36" si="8">ROUND(G29*K29,0)</f>
        <v>0</v>
      </c>
      <c r="N29" s="85">
        <v>5101</v>
      </c>
      <c r="O29" s="54">
        <v>252</v>
      </c>
      <c r="P29" s="86"/>
      <c r="Q29" s="87"/>
      <c r="V29" s="637"/>
      <c r="W29" s="637"/>
      <c r="X29" s="638"/>
      <c r="Y29" s="638"/>
      <c r="Z29" s="89" t="s">
        <v>70</v>
      </c>
      <c r="AA29" s="89">
        <v>252</v>
      </c>
      <c r="AB29" s="90">
        <f t="shared" ref="AB29:AB36" si="9">+K29</f>
        <v>3380</v>
      </c>
      <c r="AC29" s="91">
        <f t="shared" si="7"/>
        <v>0</v>
      </c>
      <c r="AD29" s="9"/>
    </row>
    <row r="30" spans="1:30" x14ac:dyDescent="0.25">
      <c r="A30" s="1" t="s">
        <v>72</v>
      </c>
      <c r="B30" s="633"/>
      <c r="C30" s="634"/>
      <c r="D30" s="13">
        <v>0</v>
      </c>
      <c r="E30" s="13">
        <v>0</v>
      </c>
      <c r="F30" s="92">
        <v>0</v>
      </c>
      <c r="G30" s="46">
        <f t="shared" si="6"/>
        <v>0</v>
      </c>
      <c r="H30" s="80"/>
      <c r="I30" s="82" t="s">
        <v>70</v>
      </c>
      <c r="J30" s="82">
        <v>253</v>
      </c>
      <c r="K30" s="83">
        <v>6896</v>
      </c>
      <c r="L30" s="84">
        <f t="shared" si="8"/>
        <v>0</v>
      </c>
      <c r="N30" s="85">
        <v>5101</v>
      </c>
      <c r="O30" s="54">
        <v>253</v>
      </c>
      <c r="P30" s="86"/>
      <c r="Q30" s="68"/>
      <c r="V30" s="637"/>
      <c r="W30" s="637"/>
      <c r="X30" s="638"/>
      <c r="Y30" s="638"/>
      <c r="Z30" s="89" t="s">
        <v>70</v>
      </c>
      <c r="AA30" s="89">
        <v>253</v>
      </c>
      <c r="AB30" s="90">
        <f t="shared" si="9"/>
        <v>6896</v>
      </c>
      <c r="AC30" s="91">
        <f t="shared" si="7"/>
        <v>0</v>
      </c>
      <c r="AD30" s="9"/>
    </row>
    <row r="31" spans="1:30" x14ac:dyDescent="0.25">
      <c r="A31" s="1" t="s">
        <v>73</v>
      </c>
      <c r="B31" s="633"/>
      <c r="C31" s="634"/>
      <c r="D31" s="13">
        <v>0</v>
      </c>
      <c r="E31" s="13">
        <v>0</v>
      </c>
      <c r="F31" s="92">
        <v>0</v>
      </c>
      <c r="G31" s="46">
        <f t="shared" si="6"/>
        <v>0</v>
      </c>
      <c r="H31" s="80"/>
      <c r="I31" s="93" t="s">
        <v>74</v>
      </c>
      <c r="J31" s="82">
        <v>251</v>
      </c>
      <c r="K31" s="83">
        <v>1173</v>
      </c>
      <c r="L31" s="84">
        <f t="shared" si="8"/>
        <v>0</v>
      </c>
      <c r="N31" s="85">
        <v>5102</v>
      </c>
      <c r="O31" s="54">
        <v>251</v>
      </c>
      <c r="P31" s="86"/>
      <c r="Q31" s="68"/>
      <c r="V31" s="637"/>
      <c r="W31" s="637"/>
      <c r="X31" s="638"/>
      <c r="Y31" s="638"/>
      <c r="Z31" s="94" t="s">
        <v>74</v>
      </c>
      <c r="AA31" s="89">
        <v>251</v>
      </c>
      <c r="AB31" s="90">
        <f t="shared" si="9"/>
        <v>1173</v>
      </c>
      <c r="AC31" s="91">
        <f t="shared" si="7"/>
        <v>0</v>
      </c>
      <c r="AD31" s="9"/>
    </row>
    <row r="32" spans="1:30" x14ac:dyDescent="0.25">
      <c r="A32" s="1" t="s">
        <v>75</v>
      </c>
      <c r="B32" s="633"/>
      <c r="C32" s="634"/>
      <c r="D32" s="13">
        <v>0</v>
      </c>
      <c r="E32" s="13">
        <v>0</v>
      </c>
      <c r="F32" s="92">
        <v>0</v>
      </c>
      <c r="G32" s="46">
        <f t="shared" si="6"/>
        <v>0</v>
      </c>
      <c r="H32" s="80"/>
      <c r="I32" s="93" t="s">
        <v>74</v>
      </c>
      <c r="J32" s="82">
        <v>252</v>
      </c>
      <c r="K32" s="83">
        <v>3506</v>
      </c>
      <c r="L32" s="84">
        <f t="shared" si="8"/>
        <v>0</v>
      </c>
      <c r="N32" s="85">
        <v>5102</v>
      </c>
      <c r="O32" s="54">
        <v>252</v>
      </c>
      <c r="P32" s="86"/>
      <c r="Q32" s="54"/>
      <c r="V32" s="637"/>
      <c r="W32" s="637"/>
      <c r="X32" s="638"/>
      <c r="Y32" s="638"/>
      <c r="Z32" s="94" t="s">
        <v>74</v>
      </c>
      <c r="AA32" s="89">
        <v>252</v>
      </c>
      <c r="AB32" s="90">
        <f t="shared" si="9"/>
        <v>3506</v>
      </c>
      <c r="AC32" s="91">
        <f t="shared" si="7"/>
        <v>0</v>
      </c>
      <c r="AD32" s="9"/>
    </row>
    <row r="33" spans="1:30" x14ac:dyDescent="0.25">
      <c r="A33" s="1" t="s">
        <v>76</v>
      </c>
      <c r="B33" s="633"/>
      <c r="C33" s="634"/>
      <c r="D33" s="13">
        <v>0</v>
      </c>
      <c r="E33" s="13">
        <v>0</v>
      </c>
      <c r="F33" s="92">
        <v>0</v>
      </c>
      <c r="G33" s="46">
        <f t="shared" si="6"/>
        <v>0</v>
      </c>
      <c r="H33" s="80"/>
      <c r="I33" s="93" t="s">
        <v>74</v>
      </c>
      <c r="J33" s="82">
        <v>253</v>
      </c>
      <c r="K33" s="83">
        <v>7023</v>
      </c>
      <c r="L33" s="84">
        <f t="shared" si="8"/>
        <v>0</v>
      </c>
      <c r="N33" s="85">
        <v>5102</v>
      </c>
      <c r="O33" s="54">
        <v>253</v>
      </c>
      <c r="P33" s="86"/>
      <c r="Q33" s="87"/>
      <c r="V33" s="637"/>
      <c r="W33" s="637"/>
      <c r="X33" s="638"/>
      <c r="Y33" s="638"/>
      <c r="Z33" s="94" t="s">
        <v>74</v>
      </c>
      <c r="AA33" s="89">
        <v>253</v>
      </c>
      <c r="AB33" s="90">
        <f t="shared" si="9"/>
        <v>7023</v>
      </c>
      <c r="AC33" s="91">
        <f t="shared" si="7"/>
        <v>0</v>
      </c>
      <c r="AD33" s="9"/>
    </row>
    <row r="34" spans="1:30" x14ac:dyDescent="0.25">
      <c r="A34" s="1" t="s">
        <v>77</v>
      </c>
      <c r="B34" s="633"/>
      <c r="C34" s="634"/>
      <c r="D34" s="13">
        <v>13.49</v>
      </c>
      <c r="E34" s="13">
        <v>8.09</v>
      </c>
      <c r="F34" s="92">
        <v>9</v>
      </c>
      <c r="G34" s="46">
        <f t="shared" si="6"/>
        <v>21.58</v>
      </c>
      <c r="H34" s="80"/>
      <c r="I34" s="93" t="s">
        <v>78</v>
      </c>
      <c r="J34" s="82">
        <v>251</v>
      </c>
      <c r="K34" s="83">
        <v>835</v>
      </c>
      <c r="L34" s="84">
        <f t="shared" si="8"/>
        <v>18019</v>
      </c>
      <c r="N34" s="85">
        <v>5103</v>
      </c>
      <c r="O34" s="54">
        <v>251</v>
      </c>
      <c r="P34" s="86"/>
      <c r="Q34" s="87"/>
      <c r="V34" s="637"/>
      <c r="W34" s="637"/>
      <c r="X34" s="638"/>
      <c r="Y34" s="638"/>
      <c r="Z34" s="94" t="s">
        <v>78</v>
      </c>
      <c r="AA34" s="89">
        <v>251</v>
      </c>
      <c r="AB34" s="90">
        <f t="shared" si="9"/>
        <v>835</v>
      </c>
      <c r="AC34" s="91">
        <f t="shared" si="7"/>
        <v>0</v>
      </c>
      <c r="AD34" s="9"/>
    </row>
    <row r="35" spans="1:30" x14ac:dyDescent="0.25">
      <c r="A35" s="1" t="s">
        <v>79</v>
      </c>
      <c r="B35" s="633"/>
      <c r="C35" s="634"/>
      <c r="D35" s="13">
        <v>0</v>
      </c>
      <c r="E35" s="13">
        <v>0</v>
      </c>
      <c r="F35" s="92">
        <v>0</v>
      </c>
      <c r="G35" s="46">
        <f t="shared" si="6"/>
        <v>0</v>
      </c>
      <c r="H35" s="80"/>
      <c r="I35" s="93" t="s">
        <v>78</v>
      </c>
      <c r="J35" s="82">
        <v>252</v>
      </c>
      <c r="K35" s="83">
        <v>3168</v>
      </c>
      <c r="L35" s="84">
        <f t="shared" si="8"/>
        <v>0</v>
      </c>
      <c r="N35" s="85">
        <v>5103</v>
      </c>
      <c r="O35" s="54">
        <v>252</v>
      </c>
      <c r="P35" s="86"/>
      <c r="Q35" s="95"/>
      <c r="V35" s="637"/>
      <c r="W35" s="637"/>
      <c r="X35" s="638"/>
      <c r="Y35" s="638"/>
      <c r="Z35" s="94" t="s">
        <v>78</v>
      </c>
      <c r="AA35" s="89">
        <v>252</v>
      </c>
      <c r="AB35" s="90">
        <f t="shared" si="9"/>
        <v>3168</v>
      </c>
      <c r="AC35" s="91">
        <f t="shared" si="7"/>
        <v>0</v>
      </c>
      <c r="AD35" s="9"/>
    </row>
    <row r="36" spans="1:30" ht="16.5" thickBot="1" x14ac:dyDescent="0.3">
      <c r="A36" s="1" t="s">
        <v>80</v>
      </c>
      <c r="B36" s="635"/>
      <c r="C36" s="636"/>
      <c r="D36" s="13">
        <v>0</v>
      </c>
      <c r="E36" s="13">
        <v>0</v>
      </c>
      <c r="F36" s="92">
        <v>0</v>
      </c>
      <c r="G36" s="46">
        <f t="shared" si="6"/>
        <v>0</v>
      </c>
      <c r="H36" s="80"/>
      <c r="I36" s="93" t="s">
        <v>78</v>
      </c>
      <c r="J36" s="82">
        <v>253</v>
      </c>
      <c r="K36" s="83">
        <v>6685</v>
      </c>
      <c r="L36" s="96">
        <f t="shared" si="8"/>
        <v>0</v>
      </c>
      <c r="N36" s="85">
        <v>5103</v>
      </c>
      <c r="O36" s="54">
        <v>253</v>
      </c>
      <c r="P36" s="86"/>
      <c r="Q36" s="97"/>
      <c r="V36" s="637"/>
      <c r="W36" s="637"/>
      <c r="X36" s="645"/>
      <c r="Y36" s="645"/>
      <c r="Z36" s="94" t="s">
        <v>78</v>
      </c>
      <c r="AA36" s="89">
        <v>253</v>
      </c>
      <c r="AB36" s="90">
        <f t="shared" si="9"/>
        <v>6685</v>
      </c>
      <c r="AC36" s="98">
        <f t="shared" si="7"/>
        <v>0</v>
      </c>
      <c r="AD36" s="9"/>
    </row>
    <row r="37" spans="1:30" ht="18.75" customHeight="1" x14ac:dyDescent="0.25">
      <c r="B37" s="13" t="s">
        <v>81</v>
      </c>
      <c r="C37" s="13"/>
      <c r="D37" s="63">
        <f t="shared" ref="D37:E37" si="10">SUM(D28:D36)</f>
        <v>13.49</v>
      </c>
      <c r="E37" s="63">
        <f t="shared" si="10"/>
        <v>8.09</v>
      </c>
      <c r="F37" s="63"/>
      <c r="G37" s="63">
        <f>SUM(G28:G36)</f>
        <v>21.58</v>
      </c>
      <c r="H37" s="64"/>
      <c r="I37" s="13" t="s">
        <v>82</v>
      </c>
      <c r="J37" s="13"/>
      <c r="K37" s="13"/>
      <c r="L37" s="50">
        <f>SUM(L28:L36)</f>
        <v>18019</v>
      </c>
      <c r="N37" s="54"/>
      <c r="O37" s="68"/>
      <c r="P37" s="54"/>
      <c r="Q37" s="54"/>
      <c r="V37" s="646" t="s">
        <v>81</v>
      </c>
      <c r="W37" s="646"/>
      <c r="X37" s="626">
        <f>SUM(X28:X36)</f>
        <v>0</v>
      </c>
      <c r="Y37" s="626"/>
      <c r="Z37" s="646" t="s">
        <v>82</v>
      </c>
      <c r="AA37" s="646"/>
      <c r="AB37" s="646"/>
      <c r="AC37" s="56">
        <f>SUM(AC28:AC36)</f>
        <v>0</v>
      </c>
      <c r="AD37" s="9"/>
    </row>
    <row r="38" spans="1:30" ht="30.75" customHeight="1" x14ac:dyDescent="0.25">
      <c r="B38" s="99" t="s">
        <v>83</v>
      </c>
      <c r="C38" s="99"/>
      <c r="D38" s="99"/>
      <c r="E38" s="99"/>
      <c r="F38" s="99"/>
      <c r="G38" s="99"/>
      <c r="H38" s="100"/>
      <c r="I38" s="99"/>
      <c r="J38" s="99"/>
      <c r="K38" s="99"/>
      <c r="L38" s="99"/>
      <c r="M38" s="101"/>
      <c r="N38" s="54"/>
      <c r="O38" s="68"/>
      <c r="P38" s="54"/>
      <c r="Q38" s="54"/>
      <c r="V38" s="639" t="s">
        <v>83</v>
      </c>
      <c r="W38" s="639"/>
      <c r="X38" s="639"/>
      <c r="Y38" s="639"/>
      <c r="Z38" s="639"/>
      <c r="AA38" s="639"/>
      <c r="AB38" s="639"/>
      <c r="AC38" s="639"/>
      <c r="AD38" s="102"/>
    </row>
    <row r="39" spans="1:30" ht="15.75" customHeight="1" x14ac:dyDescent="0.25">
      <c r="B39" s="103" t="s">
        <v>84</v>
      </c>
      <c r="C39" s="103"/>
      <c r="D39" s="103"/>
      <c r="E39" s="103"/>
      <c r="F39" s="103"/>
      <c r="G39" s="104">
        <v>34389540</v>
      </c>
      <c r="H39" s="104"/>
      <c r="I39" s="13" t="s">
        <v>85</v>
      </c>
      <c r="J39" s="13"/>
      <c r="K39" s="13"/>
      <c r="L39" s="13"/>
      <c r="O39" s="1"/>
      <c r="V39" s="640" t="s">
        <v>84</v>
      </c>
      <c r="W39" s="640"/>
      <c r="X39" s="641">
        <f>+G39</f>
        <v>34389540</v>
      </c>
      <c r="Y39" s="641"/>
      <c r="Z39" s="642" t="s">
        <v>85</v>
      </c>
      <c r="AA39" s="642"/>
      <c r="AB39" s="642"/>
      <c r="AC39" s="642"/>
      <c r="AD39" s="9"/>
    </row>
    <row r="40" spans="1:30" ht="15.75" customHeight="1" x14ac:dyDescent="0.25">
      <c r="B40" s="105" t="s">
        <v>86</v>
      </c>
      <c r="C40" s="105"/>
      <c r="D40" s="105"/>
      <c r="E40" s="105"/>
      <c r="F40" s="105"/>
      <c r="G40" s="106">
        <v>180284.81</v>
      </c>
      <c r="H40" s="106"/>
      <c r="I40" s="106"/>
      <c r="J40" s="106"/>
      <c r="K40" s="50">
        <f>ROUND(G39/G40,0)</f>
        <v>191</v>
      </c>
      <c r="L40" s="50">
        <f>ROUND(K40*$G$26,0)</f>
        <v>26740</v>
      </c>
      <c r="N40" s="107"/>
      <c r="O40" s="107"/>
      <c r="P40" s="107"/>
      <c r="Q40" s="107"/>
      <c r="V40" s="643" t="s">
        <v>86</v>
      </c>
      <c r="W40" s="643"/>
      <c r="X40" s="644">
        <f>+G40</f>
        <v>180284.81</v>
      </c>
      <c r="Y40" s="644"/>
      <c r="Z40" s="644"/>
      <c r="AA40" s="644"/>
      <c r="AB40" s="56">
        <f>ROUND(X39/X40,0)</f>
        <v>191</v>
      </c>
      <c r="AC40" s="56">
        <f>ROUND(AB40*$X$26,0)</f>
        <v>0</v>
      </c>
      <c r="AD40" s="9"/>
    </row>
    <row r="41" spans="1:30" ht="15.75" customHeight="1" x14ac:dyDescent="0.25">
      <c r="B41" s="108" t="s">
        <v>87</v>
      </c>
      <c r="C41" s="108"/>
      <c r="D41" s="108"/>
      <c r="E41" s="108"/>
      <c r="F41" s="108"/>
      <c r="G41" s="108"/>
      <c r="H41" s="108"/>
      <c r="I41" s="108"/>
      <c r="J41" s="108"/>
      <c r="K41" s="108"/>
      <c r="L41" s="108"/>
      <c r="N41" s="101"/>
      <c r="O41" s="109"/>
      <c r="P41" s="101"/>
      <c r="Q41" s="101"/>
      <c r="V41" s="652" t="s">
        <v>87</v>
      </c>
      <c r="W41" s="652"/>
      <c r="X41" s="652"/>
      <c r="Y41" s="652"/>
      <c r="Z41" s="652"/>
      <c r="AA41" s="652"/>
      <c r="AB41" s="652"/>
      <c r="AC41" s="652"/>
      <c r="AD41" s="9"/>
    </row>
    <row r="42" spans="1:30" ht="28.5" customHeight="1" x14ac:dyDescent="0.25">
      <c r="B42" s="99" t="s">
        <v>88</v>
      </c>
      <c r="C42" s="99"/>
      <c r="D42" s="99"/>
      <c r="E42" s="99"/>
      <c r="F42" s="99"/>
      <c r="G42" s="99"/>
      <c r="H42" s="99"/>
      <c r="I42" s="99"/>
      <c r="J42" s="99"/>
      <c r="K42" s="99"/>
      <c r="L42" s="99"/>
      <c r="M42" s="107"/>
      <c r="O42" s="1"/>
      <c r="V42" s="639" t="s">
        <v>88</v>
      </c>
      <c r="W42" s="639"/>
      <c r="X42" s="639"/>
      <c r="Y42" s="639"/>
      <c r="Z42" s="639"/>
      <c r="AA42" s="639"/>
      <c r="AB42" s="639"/>
      <c r="AC42" s="639"/>
      <c r="AD42" s="110"/>
    </row>
    <row r="43" spans="1:30" x14ac:dyDescent="0.25">
      <c r="B43" s="111" t="s">
        <v>89</v>
      </c>
      <c r="C43" s="111"/>
      <c r="D43" s="111"/>
      <c r="E43" s="111"/>
      <c r="F43" s="111"/>
      <c r="G43" s="111"/>
      <c r="H43" s="111"/>
      <c r="I43" s="111"/>
      <c r="J43" s="111"/>
      <c r="K43" s="111"/>
      <c r="L43" s="111"/>
      <c r="M43" s="112"/>
      <c r="N43" s="101"/>
      <c r="O43" s="101"/>
      <c r="P43" s="101"/>
      <c r="Q43" s="101"/>
      <c r="V43" s="653" t="s">
        <v>89</v>
      </c>
      <c r="W43" s="653"/>
      <c r="X43" s="653"/>
      <c r="Y43" s="653"/>
      <c r="Z43" s="653"/>
      <c r="AA43" s="653"/>
      <c r="AB43" s="653"/>
      <c r="AC43" s="653"/>
      <c r="AD43" s="113"/>
    </row>
    <row r="44" spans="1:30" ht="24" customHeight="1" x14ac:dyDescent="0.25">
      <c r="B44" s="62" t="s">
        <v>90</v>
      </c>
      <c r="C44" s="62"/>
      <c r="D44" s="62"/>
      <c r="E44" s="62"/>
      <c r="F44" s="62"/>
      <c r="G44" s="62"/>
      <c r="H44" s="62"/>
      <c r="I44" s="62"/>
      <c r="J44" s="62"/>
      <c r="K44" s="62"/>
      <c r="L44" s="114">
        <f>SUM(L26,L37,L40)</f>
        <v>594601</v>
      </c>
      <c r="O44" s="1"/>
      <c r="V44" s="654" t="s">
        <v>90</v>
      </c>
      <c r="W44" s="654"/>
      <c r="X44" s="654"/>
      <c r="Y44" s="654"/>
      <c r="Z44" s="654"/>
      <c r="AA44" s="654"/>
      <c r="AB44" s="654"/>
      <c r="AC44" s="115">
        <f>SUM(AC26,AC37,AC40)</f>
        <v>0</v>
      </c>
      <c r="AD44" s="9"/>
    </row>
    <row r="45" spans="1:30" ht="30.75" customHeight="1" x14ac:dyDescent="0.25">
      <c r="B45" s="99" t="s">
        <v>91</v>
      </c>
      <c r="C45" s="99"/>
      <c r="D45" s="99"/>
      <c r="E45" s="99"/>
      <c r="F45" s="99"/>
      <c r="G45" s="99"/>
      <c r="H45" s="99"/>
      <c r="I45" s="99"/>
      <c r="J45" s="99"/>
      <c r="K45" s="99"/>
      <c r="L45" s="99"/>
      <c r="M45" s="116"/>
      <c r="O45" s="1"/>
      <c r="V45" s="639" t="s">
        <v>91</v>
      </c>
      <c r="W45" s="639"/>
      <c r="X45" s="639"/>
      <c r="Y45" s="639"/>
      <c r="Z45" s="639"/>
      <c r="AA45" s="639"/>
      <c r="AB45" s="639"/>
      <c r="AC45" s="639"/>
      <c r="AD45" s="117"/>
    </row>
    <row r="46" spans="1:30" ht="18.75" customHeight="1" x14ac:dyDescent="0.25">
      <c r="B46" s="1"/>
      <c r="C46" s="118" t="s">
        <v>92</v>
      </c>
      <c r="D46" s="118"/>
      <c r="E46" s="118"/>
      <c r="F46" s="118"/>
      <c r="G46" s="118" t="s">
        <v>93</v>
      </c>
      <c r="H46" s="119"/>
      <c r="I46" s="120" t="s">
        <v>94</v>
      </c>
      <c r="J46" s="121"/>
      <c r="K46" s="121"/>
      <c r="L46" s="121"/>
      <c r="M46" s="122"/>
      <c r="O46" s="1"/>
      <c r="V46" s="9"/>
      <c r="W46" s="123" t="s">
        <v>92</v>
      </c>
      <c r="X46" s="655" t="s">
        <v>95</v>
      </c>
      <c r="Y46" s="655"/>
      <c r="Z46" s="656" t="s">
        <v>94</v>
      </c>
      <c r="AA46" s="656"/>
      <c r="AB46" s="656"/>
      <c r="AC46" s="656"/>
      <c r="AD46" s="124"/>
    </row>
    <row r="47" spans="1:30" ht="18.75" customHeight="1" x14ac:dyDescent="0.25">
      <c r="B47" s="107" t="s">
        <v>96</v>
      </c>
      <c r="C47" s="125">
        <f>K10+K11+K16+K19+K22</f>
        <v>0</v>
      </c>
      <c r="D47" s="125"/>
      <c r="E47" s="125"/>
      <c r="F47" s="125"/>
      <c r="G47" s="126">
        <f>K7</f>
        <v>1.0326</v>
      </c>
      <c r="H47" s="126"/>
      <c r="I47" s="127">
        <v>1316.85</v>
      </c>
      <c r="J47" s="128" t="s">
        <v>97</v>
      </c>
      <c r="K47" s="129">
        <f>ROUND(C47*G47*I47,0)</f>
        <v>0</v>
      </c>
      <c r="L47" s="130"/>
      <c r="O47" s="1"/>
      <c r="V47" s="110" t="s">
        <v>96</v>
      </c>
      <c r="W47" s="131">
        <f>AB10+AB11+AB16+AB19+AB22</f>
        <v>0</v>
      </c>
      <c r="X47" s="647">
        <f>AB7</f>
        <v>1.0326</v>
      </c>
      <c r="Y47" s="647"/>
      <c r="Z47" s="132">
        <f>+I47</f>
        <v>1316.85</v>
      </c>
      <c r="AA47" s="133" t="s">
        <v>97</v>
      </c>
      <c r="AB47" s="134">
        <f>ROUND(W47*X47*Z47,0)</f>
        <v>0</v>
      </c>
      <c r="AC47" s="135"/>
      <c r="AD47" s="9"/>
    </row>
    <row r="48" spans="1:30" ht="18" customHeight="1" x14ac:dyDescent="0.25">
      <c r="B48" s="136" t="s">
        <v>74</v>
      </c>
      <c r="C48" s="125">
        <f>K12+K13+K17+K20+K23</f>
        <v>0</v>
      </c>
      <c r="D48" s="125"/>
      <c r="E48" s="125"/>
      <c r="F48" s="125"/>
      <c r="G48" s="126">
        <f>K7</f>
        <v>1.0326</v>
      </c>
      <c r="H48" s="126"/>
      <c r="I48" s="127">
        <v>898.23</v>
      </c>
      <c r="J48" s="128" t="s">
        <v>97</v>
      </c>
      <c r="K48" s="129">
        <f>ROUND(C48*G48*I48,0)</f>
        <v>0</v>
      </c>
      <c r="L48" s="62"/>
      <c r="O48" s="1"/>
      <c r="V48" s="137" t="s">
        <v>74</v>
      </c>
      <c r="W48" s="131">
        <f>AB12+AB13+AB17+AB20+AB23</f>
        <v>0</v>
      </c>
      <c r="X48" s="647">
        <f>AB7</f>
        <v>1.0326</v>
      </c>
      <c r="Y48" s="647"/>
      <c r="Z48" s="132">
        <f>+I48</f>
        <v>898.23</v>
      </c>
      <c r="AA48" s="133" t="s">
        <v>97</v>
      </c>
      <c r="AB48" s="134">
        <f>ROUND(W48*X48*Z48,0)</f>
        <v>0</v>
      </c>
      <c r="AC48" s="138"/>
      <c r="AD48" s="9"/>
    </row>
    <row r="49" spans="2:30" ht="19.5" customHeight="1" thickBot="1" x14ac:dyDescent="0.3">
      <c r="B49" s="139" t="s">
        <v>78</v>
      </c>
      <c r="C49" s="140">
        <f>K14+K15+K18+K21+K24+K25</f>
        <v>141.90859999999998</v>
      </c>
      <c r="D49" s="125"/>
      <c r="E49" s="125"/>
      <c r="F49" s="125"/>
      <c r="G49" s="126">
        <f>K7</f>
        <v>1.0326</v>
      </c>
      <c r="H49" s="126"/>
      <c r="I49" s="127">
        <v>900.39</v>
      </c>
      <c r="J49" s="128" t="s">
        <v>97</v>
      </c>
      <c r="K49" s="129">
        <f>ROUND(C49*G49*I49,0)</f>
        <v>131938</v>
      </c>
      <c r="L49" s="62"/>
      <c r="M49" s="112"/>
      <c r="N49" s="141"/>
      <c r="O49" s="142"/>
      <c r="P49" s="101"/>
      <c r="Q49" s="143"/>
      <c r="V49" s="144" t="s">
        <v>78</v>
      </c>
      <c r="W49" s="145">
        <f>AB14+AB15+AB18+AB21+AB24+AB25</f>
        <v>0</v>
      </c>
      <c r="X49" s="647">
        <f>AB7</f>
        <v>1.0326</v>
      </c>
      <c r="Y49" s="647"/>
      <c r="Z49" s="132">
        <f>+I49</f>
        <v>900.39</v>
      </c>
      <c r="AA49" s="133" t="s">
        <v>97</v>
      </c>
      <c r="AB49" s="134">
        <f>ROUND(W49*X49*Z49,0)</f>
        <v>0</v>
      </c>
      <c r="AC49" s="138"/>
      <c r="AD49" s="113"/>
    </row>
    <row r="50" spans="2:30" ht="24" customHeight="1" thickBot="1" x14ac:dyDescent="0.3">
      <c r="B50" s="146" t="s">
        <v>98</v>
      </c>
      <c r="C50" s="147">
        <f>SUM(C47:C49)</f>
        <v>141.90859999999998</v>
      </c>
      <c r="D50" s="148"/>
      <c r="E50" s="149"/>
      <c r="F50" s="149"/>
      <c r="G50" s="150" t="s">
        <v>99</v>
      </c>
      <c r="H50" s="150"/>
      <c r="I50" s="150"/>
      <c r="J50" s="150"/>
      <c r="K50" s="150"/>
      <c r="L50" s="50">
        <f>IF(B2=75,0,K49+K48+K47)</f>
        <v>131938</v>
      </c>
      <c r="N50" s="3"/>
      <c r="O50" s="1"/>
      <c r="V50" s="151" t="s">
        <v>98</v>
      </c>
      <c r="W50" s="152">
        <f>SUM(W47:W49)</f>
        <v>0</v>
      </c>
      <c r="X50" s="648" t="s">
        <v>99</v>
      </c>
      <c r="Y50" s="649"/>
      <c r="Z50" s="649"/>
      <c r="AA50" s="649"/>
      <c r="AB50" s="649"/>
      <c r="AC50" s="56">
        <f>IF(V2=75,0,AB49+AB48+AB47)</f>
        <v>0</v>
      </c>
      <c r="AD50" s="9"/>
    </row>
    <row r="51" spans="2:30" ht="19.5" customHeight="1" x14ac:dyDescent="0.25">
      <c r="B51" s="153" t="s">
        <v>100</v>
      </c>
      <c r="C51" s="153"/>
      <c r="D51" s="153"/>
      <c r="E51" s="153"/>
      <c r="F51" s="153"/>
      <c r="G51" s="153"/>
      <c r="H51" s="153"/>
      <c r="I51" s="153"/>
      <c r="J51" s="153"/>
      <c r="K51" s="153"/>
      <c r="L51" s="153"/>
      <c r="M51" s="141"/>
      <c r="N51" s="101"/>
      <c r="O51" s="1"/>
      <c r="V51" s="650" t="s">
        <v>100</v>
      </c>
      <c r="W51" s="650"/>
      <c r="X51" s="650"/>
      <c r="Y51" s="650"/>
      <c r="Z51" s="650"/>
      <c r="AA51" s="650"/>
      <c r="AB51" s="650"/>
      <c r="AC51" s="650"/>
      <c r="AD51" s="154"/>
    </row>
    <row r="52" spans="2:30" ht="27.75" customHeight="1" x14ac:dyDescent="0.25">
      <c r="B52" s="13" t="s">
        <v>101</v>
      </c>
      <c r="C52" s="13"/>
      <c r="D52" s="13"/>
      <c r="E52" s="13"/>
      <c r="F52" s="13"/>
      <c r="G52" s="13"/>
      <c r="H52" s="13"/>
      <c r="I52" s="13"/>
      <c r="J52" s="13"/>
      <c r="K52" s="13"/>
      <c r="L52" s="13"/>
      <c r="O52" s="1"/>
      <c r="V52" s="651" t="s">
        <v>101</v>
      </c>
      <c r="W52" s="651"/>
      <c r="X52" s="651"/>
      <c r="Y52" s="651"/>
      <c r="Z52" s="651"/>
      <c r="AA52" s="651"/>
      <c r="AB52" s="651"/>
      <c r="AC52" s="651"/>
      <c r="AD52" s="9"/>
    </row>
    <row r="53" spans="2:30" x14ac:dyDescent="0.25">
      <c r="B53" s="13" t="s">
        <v>102</v>
      </c>
      <c r="C53" s="13"/>
      <c r="D53" s="13"/>
      <c r="E53" s="13"/>
      <c r="F53" s="13"/>
      <c r="G53" s="155">
        <f>K26</f>
        <v>141.90859999999998</v>
      </c>
      <c r="H53" s="57" t="s">
        <v>103</v>
      </c>
      <c r="I53" s="57"/>
      <c r="J53" s="156">
        <v>197823.77</v>
      </c>
      <c r="K53" s="156"/>
      <c r="L53" s="156"/>
      <c r="N53" s="3"/>
      <c r="O53" s="1"/>
      <c r="V53" s="657" t="s">
        <v>102</v>
      </c>
      <c r="W53" s="657"/>
      <c r="X53" s="157">
        <f>AB26</f>
        <v>0</v>
      </c>
      <c r="Y53" s="658" t="s">
        <v>103</v>
      </c>
      <c r="Z53" s="658"/>
      <c r="AA53" s="659">
        <f>+J53</f>
        <v>197823.77</v>
      </c>
      <c r="AB53" s="659"/>
      <c r="AC53" s="659"/>
      <c r="AD53" s="9"/>
    </row>
    <row r="54" spans="2:30" x14ac:dyDescent="0.25">
      <c r="B54" s="13" t="s">
        <v>104</v>
      </c>
      <c r="C54" s="13"/>
      <c r="D54" s="13"/>
      <c r="E54" s="13"/>
      <c r="F54" s="13"/>
      <c r="G54" s="13"/>
      <c r="H54" s="13"/>
      <c r="I54" s="13"/>
      <c r="J54" s="13"/>
      <c r="K54" s="158">
        <f>ROUND(G53/J53,6)</f>
        <v>7.1699999999999997E-4</v>
      </c>
      <c r="L54" s="158"/>
      <c r="N54" s="101"/>
      <c r="O54" s="1"/>
      <c r="V54" s="657" t="s">
        <v>104</v>
      </c>
      <c r="W54" s="657"/>
      <c r="X54" s="657"/>
      <c r="Y54" s="657"/>
      <c r="Z54" s="657"/>
      <c r="AA54" s="657"/>
      <c r="AB54" s="660">
        <f>ROUND(X53/AA53,6)</f>
        <v>0</v>
      </c>
      <c r="AC54" s="660"/>
      <c r="AD54" s="9"/>
    </row>
    <row r="55" spans="2:30" ht="24" customHeight="1" x14ac:dyDescent="0.25">
      <c r="B55" s="13" t="s">
        <v>105</v>
      </c>
      <c r="C55" s="13"/>
      <c r="D55" s="13"/>
      <c r="E55" s="13"/>
      <c r="F55" s="13"/>
      <c r="G55" s="13"/>
      <c r="H55" s="13"/>
      <c r="I55" s="13"/>
      <c r="J55" s="13"/>
      <c r="K55" s="13"/>
      <c r="L55" s="13"/>
      <c r="O55" s="1"/>
      <c r="V55" s="651" t="s">
        <v>105</v>
      </c>
      <c r="W55" s="651"/>
      <c r="X55" s="651"/>
      <c r="Y55" s="651"/>
      <c r="Z55" s="651"/>
      <c r="AA55" s="651"/>
      <c r="AB55" s="651"/>
      <c r="AC55" s="651"/>
      <c r="AD55" s="9"/>
    </row>
    <row r="56" spans="2:30" x14ac:dyDescent="0.25">
      <c r="B56" s="13" t="s">
        <v>106</v>
      </c>
      <c r="C56" s="13"/>
      <c r="D56" s="13"/>
      <c r="E56" s="13"/>
      <c r="F56" s="13"/>
      <c r="G56" s="159">
        <f>G26</f>
        <v>140</v>
      </c>
      <c r="H56" s="57" t="s">
        <v>107</v>
      </c>
      <c r="I56" s="57"/>
      <c r="J56" s="156">
        <f>+G40</f>
        <v>180284.81</v>
      </c>
      <c r="K56" s="156"/>
      <c r="L56" s="156"/>
      <c r="O56" s="1"/>
      <c r="V56" s="657" t="s">
        <v>106</v>
      </c>
      <c r="W56" s="657"/>
      <c r="X56" s="160">
        <f>X26</f>
        <v>0</v>
      </c>
      <c r="Y56" s="658" t="s">
        <v>107</v>
      </c>
      <c r="Z56" s="658"/>
      <c r="AA56" s="659">
        <f>+J56</f>
        <v>180284.81</v>
      </c>
      <c r="AB56" s="659"/>
      <c r="AC56" s="659"/>
      <c r="AD56" s="9"/>
    </row>
    <row r="57" spans="2:30" x14ac:dyDescent="0.25">
      <c r="B57" s="13" t="s">
        <v>108</v>
      </c>
      <c r="C57" s="13"/>
      <c r="D57" s="13"/>
      <c r="E57" s="13"/>
      <c r="F57" s="13"/>
      <c r="G57" s="13"/>
      <c r="H57" s="13"/>
      <c r="I57" s="13"/>
      <c r="J57" s="13"/>
      <c r="K57" s="158">
        <f>ROUND(G56/J56,6)</f>
        <v>7.7700000000000002E-4</v>
      </c>
      <c r="L57" s="158"/>
      <c r="O57" s="1"/>
      <c r="V57" s="657" t="s">
        <v>108</v>
      </c>
      <c r="W57" s="657"/>
      <c r="X57" s="657"/>
      <c r="Y57" s="657"/>
      <c r="Z57" s="657"/>
      <c r="AA57" s="657"/>
      <c r="AB57" s="660">
        <f>ROUND(X56/AA56,6)</f>
        <v>0</v>
      </c>
      <c r="AC57" s="660"/>
      <c r="AD57" s="9"/>
    </row>
    <row r="58" spans="2:30" ht="20.25" customHeight="1" x14ac:dyDescent="0.25">
      <c r="B58" s="161" t="s">
        <v>109</v>
      </c>
      <c r="C58" s="161"/>
      <c r="D58" s="161"/>
      <c r="E58" s="161"/>
      <c r="F58" s="161"/>
      <c r="G58" s="161"/>
      <c r="H58" s="161"/>
      <c r="I58" s="161"/>
      <c r="J58" s="161"/>
      <c r="K58" s="161"/>
      <c r="L58" s="161"/>
      <c r="N58" s="18"/>
      <c r="O58" s="18"/>
      <c r="V58" s="629" t="s">
        <v>110</v>
      </c>
      <c r="W58" s="629"/>
      <c r="X58" s="629"/>
      <c r="Y58" s="661">
        <f>X65+X64+X62+X61+X60</f>
        <v>4123852</v>
      </c>
      <c r="Z58" s="661"/>
      <c r="AA58" s="162" t="s">
        <v>111</v>
      </c>
      <c r="AB58" s="163">
        <f>AB54</f>
        <v>0</v>
      </c>
      <c r="AC58" s="56">
        <f>ROUND(Y58*AB58,0)</f>
        <v>0</v>
      </c>
      <c r="AD58" s="9"/>
    </row>
    <row r="59" spans="2:30" x14ac:dyDescent="0.25">
      <c r="B59" s="62" t="s">
        <v>110</v>
      </c>
      <c r="C59" s="62"/>
      <c r="D59" s="62"/>
      <c r="E59" s="62"/>
      <c r="F59" s="62"/>
      <c r="G59" s="62"/>
      <c r="H59" s="164" t="s">
        <v>22</v>
      </c>
      <c r="I59" s="129">
        <v>4123852</v>
      </c>
      <c r="J59" s="165" t="s">
        <v>111</v>
      </c>
      <c r="K59" s="166">
        <f>K54</f>
        <v>7.1699999999999997E-4</v>
      </c>
      <c r="L59" s="50">
        <f>ROUND(I59*K59,0)</f>
        <v>2957</v>
      </c>
      <c r="O59" s="1"/>
      <c r="P59" s="165"/>
      <c r="Q59" s="165"/>
      <c r="V59" s="662" t="s">
        <v>112</v>
      </c>
      <c r="W59" s="662"/>
      <c r="X59" s="662"/>
      <c r="Y59" s="662"/>
      <c r="Z59" s="662"/>
      <c r="AA59" s="662"/>
      <c r="AB59" s="662"/>
      <c r="AC59" s="662"/>
      <c r="AD59" s="9"/>
    </row>
    <row r="60" spans="2:30" x14ac:dyDescent="0.25">
      <c r="B60" s="62" t="s">
        <v>112</v>
      </c>
      <c r="C60" s="62"/>
      <c r="D60" s="62"/>
      <c r="E60" s="62"/>
      <c r="F60" s="62"/>
      <c r="G60" s="62"/>
      <c r="H60" s="62"/>
      <c r="I60" s="62"/>
      <c r="J60" s="62"/>
      <c r="K60" s="62"/>
      <c r="L60" s="62"/>
      <c r="O60" s="1"/>
      <c r="P60" s="165"/>
      <c r="Q60" s="165"/>
      <c r="V60" s="663" t="s">
        <v>113</v>
      </c>
      <c r="W60" s="663"/>
      <c r="X60" s="664">
        <f>+G61</f>
        <v>0</v>
      </c>
      <c r="Y60" s="664"/>
      <c r="Z60" s="664"/>
      <c r="AA60" s="664"/>
      <c r="AB60" s="664"/>
      <c r="AC60" s="664"/>
      <c r="AD60" s="9"/>
    </row>
    <row r="61" spans="2:30" ht="15" customHeight="1" x14ac:dyDescent="0.25">
      <c r="B61" s="167" t="s">
        <v>113</v>
      </c>
      <c r="C61" s="62"/>
      <c r="D61" s="62"/>
      <c r="E61" s="62"/>
      <c r="F61" s="62"/>
      <c r="G61" s="168">
        <v>0</v>
      </c>
      <c r="H61" s="168"/>
      <c r="I61" s="168"/>
      <c r="J61" s="168"/>
      <c r="K61" s="168"/>
      <c r="L61" s="168"/>
      <c r="O61" s="1"/>
      <c r="P61" s="165"/>
      <c r="Q61" s="165"/>
      <c r="V61" s="663" t="s">
        <v>114</v>
      </c>
      <c r="W61" s="663"/>
      <c r="X61" s="664">
        <f>+G62</f>
        <v>0</v>
      </c>
      <c r="Y61" s="664"/>
      <c r="Z61" s="664"/>
      <c r="AA61" s="664"/>
      <c r="AB61" s="664"/>
      <c r="AC61" s="664"/>
      <c r="AD61" s="9"/>
    </row>
    <row r="62" spans="2:30" ht="13.5" customHeight="1" x14ac:dyDescent="0.25">
      <c r="B62" s="167" t="s">
        <v>114</v>
      </c>
      <c r="C62" s="62"/>
      <c r="D62" s="62"/>
      <c r="E62" s="62"/>
      <c r="F62" s="62"/>
      <c r="G62" s="168">
        <v>0</v>
      </c>
      <c r="H62" s="168"/>
      <c r="I62" s="168"/>
      <c r="J62" s="168"/>
      <c r="K62" s="168"/>
      <c r="L62" s="168"/>
      <c r="N62" s="165"/>
      <c r="O62" s="165"/>
      <c r="P62" s="165"/>
      <c r="Q62" s="165"/>
      <c r="V62" s="663" t="s">
        <v>115</v>
      </c>
      <c r="W62" s="663"/>
      <c r="X62" s="664">
        <v>0</v>
      </c>
      <c r="Y62" s="664"/>
      <c r="Z62" s="664"/>
      <c r="AA62" s="664"/>
      <c r="AB62" s="664"/>
      <c r="AC62" s="664"/>
      <c r="AD62" s="9"/>
    </row>
    <row r="63" spans="2:30" ht="13.5" hidden="1" customHeight="1" x14ac:dyDescent="0.25">
      <c r="B63" s="62" t="s">
        <v>115</v>
      </c>
      <c r="C63" s="62"/>
      <c r="D63" s="62"/>
      <c r="E63" s="62"/>
      <c r="F63" s="62"/>
      <c r="G63" s="168">
        <v>0</v>
      </c>
      <c r="H63" s="168"/>
      <c r="I63" s="168"/>
      <c r="J63" s="168"/>
      <c r="K63" s="168"/>
      <c r="L63" s="168"/>
      <c r="O63" s="1"/>
      <c r="P63" s="165"/>
      <c r="Q63" s="165"/>
      <c r="V63" s="662" t="s">
        <v>116</v>
      </c>
      <c r="W63" s="662"/>
      <c r="X63" s="662"/>
      <c r="Y63" s="662"/>
      <c r="Z63" s="662"/>
      <c r="AA63" s="662"/>
      <c r="AB63" s="662"/>
      <c r="AC63" s="662"/>
      <c r="AD63" s="117"/>
    </row>
    <row r="64" spans="2:30" ht="13.5" customHeight="1" x14ac:dyDescent="0.25">
      <c r="B64" s="62" t="s">
        <v>116</v>
      </c>
      <c r="C64" s="62"/>
      <c r="D64" s="62"/>
      <c r="E64" s="62"/>
      <c r="F64" s="62"/>
      <c r="G64" s="62"/>
      <c r="H64" s="62"/>
      <c r="I64" s="62"/>
      <c r="J64" s="62"/>
      <c r="K64" s="62"/>
      <c r="L64" s="62"/>
      <c r="M64" s="116"/>
      <c r="N64" s="18"/>
      <c r="O64" s="1"/>
      <c r="V64" s="663" t="s">
        <v>117</v>
      </c>
      <c r="W64" s="663"/>
      <c r="X64" s="664">
        <f>+G65</f>
        <v>4123852</v>
      </c>
      <c r="Y64" s="664"/>
      <c r="Z64" s="664"/>
      <c r="AA64" s="664"/>
      <c r="AB64" s="664"/>
      <c r="AC64" s="664"/>
      <c r="AD64" s="9"/>
    </row>
    <row r="65" spans="1:30" ht="12.75" customHeight="1" x14ac:dyDescent="0.25">
      <c r="B65" s="167" t="s">
        <v>117</v>
      </c>
      <c r="C65" s="62"/>
      <c r="D65" s="62"/>
      <c r="E65" s="62"/>
      <c r="F65" s="62"/>
      <c r="G65" s="168">
        <f>+I59</f>
        <v>4123852</v>
      </c>
      <c r="H65" s="168"/>
      <c r="I65" s="168"/>
      <c r="J65" s="168"/>
      <c r="K65" s="168"/>
      <c r="L65" s="168"/>
      <c r="O65" s="1"/>
      <c r="V65" s="663" t="s">
        <v>118</v>
      </c>
      <c r="W65" s="663"/>
      <c r="X65" s="664">
        <f>+G66</f>
        <v>0</v>
      </c>
      <c r="Y65" s="664"/>
      <c r="Z65" s="664"/>
      <c r="AA65" s="664"/>
      <c r="AB65" s="664"/>
      <c r="AC65" s="664"/>
      <c r="AD65" s="20"/>
    </row>
    <row r="66" spans="1:30" ht="15" customHeight="1" x14ac:dyDescent="0.25">
      <c r="B66" s="167" t="s">
        <v>118</v>
      </c>
      <c r="C66" s="62"/>
      <c r="D66" s="62"/>
      <c r="E66" s="62"/>
      <c r="F66" s="62"/>
      <c r="G66" s="168">
        <v>0</v>
      </c>
      <c r="H66" s="168"/>
      <c r="I66" s="168"/>
      <c r="J66" s="168"/>
      <c r="K66" s="168"/>
      <c r="L66" s="168"/>
      <c r="M66" s="18"/>
      <c r="N66" s="3"/>
      <c r="O66" s="169"/>
      <c r="P66" s="169"/>
      <c r="Q66" s="169"/>
      <c r="V66" s="651" t="s">
        <v>119</v>
      </c>
      <c r="W66" s="651"/>
      <c r="X66" s="651"/>
      <c r="Y66" s="661">
        <f>+I67</f>
        <v>96774526</v>
      </c>
      <c r="Z66" s="661"/>
      <c r="AA66" s="162" t="s">
        <v>111</v>
      </c>
      <c r="AB66" s="163">
        <f>AB54</f>
        <v>0</v>
      </c>
      <c r="AC66" s="56">
        <f>ROUND(Y66*AB66,0)</f>
        <v>0</v>
      </c>
      <c r="AD66" s="9"/>
    </row>
    <row r="67" spans="1:30" ht="20.25" customHeight="1" x14ac:dyDescent="0.25">
      <c r="B67" s="13" t="s">
        <v>119</v>
      </c>
      <c r="C67" s="13"/>
      <c r="D67" s="13"/>
      <c r="E67" s="13"/>
      <c r="F67" s="13"/>
      <c r="H67" s="164" t="s">
        <v>25</v>
      </c>
      <c r="I67" s="129">
        <v>96774526</v>
      </c>
      <c r="J67" s="165" t="s">
        <v>111</v>
      </c>
      <c r="K67" s="166">
        <f>K54</f>
        <v>7.1699999999999997E-4</v>
      </c>
      <c r="L67" s="50">
        <f>ROUND(I67*K67,0)</f>
        <v>69387</v>
      </c>
      <c r="O67" s="1"/>
      <c r="V67" s="651" t="s">
        <v>120</v>
      </c>
      <c r="W67" s="651"/>
      <c r="X67" s="651"/>
      <c r="Y67" s="651"/>
      <c r="Z67" s="651"/>
      <c r="AA67" s="651"/>
      <c r="AB67" s="651"/>
      <c r="AC67" s="651"/>
      <c r="AD67" s="9"/>
    </row>
    <row r="68" spans="1:30" ht="20.25" customHeight="1" x14ac:dyDescent="0.25">
      <c r="B68" s="13" t="s">
        <v>120</v>
      </c>
      <c r="C68" s="13"/>
      <c r="D68" s="13"/>
      <c r="E68" s="13"/>
      <c r="F68" s="13"/>
      <c r="H68" s="13"/>
      <c r="I68" s="13"/>
      <c r="J68" s="82"/>
      <c r="K68" s="13"/>
      <c r="L68" s="13"/>
      <c r="O68" s="1"/>
      <c r="V68" s="667" t="s">
        <v>121</v>
      </c>
      <c r="W68" s="667"/>
      <c r="X68" s="667"/>
      <c r="Y68" s="661">
        <f>+I69</f>
        <v>0</v>
      </c>
      <c r="Z68" s="661"/>
      <c r="AA68" s="162" t="s">
        <v>111</v>
      </c>
      <c r="AB68" s="163">
        <f>AB57</f>
        <v>0</v>
      </c>
      <c r="AC68" s="56">
        <f>ROUND(Y68*AB68,0)</f>
        <v>0</v>
      </c>
      <c r="AD68" s="9"/>
    </row>
    <row r="69" spans="1:30" ht="15" customHeight="1" x14ac:dyDescent="0.25">
      <c r="B69" s="170" t="s">
        <v>121</v>
      </c>
      <c r="C69" s="13"/>
      <c r="D69" s="13"/>
      <c r="E69" s="13"/>
      <c r="F69" s="13"/>
      <c r="H69" s="164" t="s">
        <v>23</v>
      </c>
      <c r="I69" s="129">
        <v>0</v>
      </c>
      <c r="J69" s="165" t="s">
        <v>111</v>
      </c>
      <c r="K69" s="166">
        <f>K57</f>
        <v>7.7700000000000002E-4</v>
      </c>
      <c r="L69" s="50">
        <f>ROUND(I69*K69,0)</f>
        <v>0</v>
      </c>
      <c r="O69" s="1"/>
      <c r="V69" s="651" t="s">
        <v>122</v>
      </c>
      <c r="W69" s="651"/>
      <c r="X69" s="651"/>
      <c r="Y69" s="668">
        <f>+I70</f>
        <v>-3460775</v>
      </c>
      <c r="Z69" s="668"/>
      <c r="AA69" s="162" t="s">
        <v>111</v>
      </c>
      <c r="AB69" s="163">
        <f>AB54</f>
        <v>0</v>
      </c>
      <c r="AC69" s="56">
        <f>ROUND(Y69*AB69,0)</f>
        <v>0</v>
      </c>
      <c r="AD69" s="9"/>
    </row>
    <row r="70" spans="1:30" ht="20.25" customHeight="1" x14ac:dyDescent="0.25">
      <c r="B70" s="13" t="s">
        <v>122</v>
      </c>
      <c r="C70" s="13"/>
      <c r="D70" s="13"/>
      <c r="E70" s="13"/>
      <c r="F70" s="13"/>
      <c r="H70" s="164" t="s">
        <v>22</v>
      </c>
      <c r="I70" s="129">
        <v>-3460775</v>
      </c>
      <c r="J70" s="165" t="s">
        <v>111</v>
      </c>
      <c r="K70" s="166">
        <f>K54</f>
        <v>7.1699999999999997E-4</v>
      </c>
      <c r="L70" s="50">
        <f>ROUND(I70*K70,0)</f>
        <v>-2481</v>
      </c>
      <c r="O70" s="1"/>
      <c r="V70" s="651" t="s">
        <v>123</v>
      </c>
      <c r="W70" s="651"/>
      <c r="X70" s="651"/>
      <c r="Y70" s="665">
        <f>+I71</f>
        <v>1874788</v>
      </c>
      <c r="Z70" s="665"/>
      <c r="AA70" s="162" t="s">
        <v>111</v>
      </c>
      <c r="AB70" s="163">
        <f>AB54</f>
        <v>0</v>
      </c>
      <c r="AC70" s="56">
        <f>ROUND(Y70*AB70,0)</f>
        <v>0</v>
      </c>
      <c r="AD70" s="9"/>
    </row>
    <row r="71" spans="1:30" ht="20.25" customHeight="1" x14ac:dyDescent="0.25">
      <c r="B71" s="13" t="s">
        <v>123</v>
      </c>
      <c r="C71" s="13"/>
      <c r="D71" s="13"/>
      <c r="E71" s="13"/>
      <c r="F71" s="13"/>
      <c r="H71" s="164" t="s">
        <v>22</v>
      </c>
      <c r="I71" s="129">
        <v>1874788</v>
      </c>
      <c r="J71" s="165" t="s">
        <v>111</v>
      </c>
      <c r="K71" s="166">
        <f>K54</f>
        <v>7.1699999999999997E-4</v>
      </c>
      <c r="L71" s="50">
        <f>ROUND(I71*K71,0)</f>
        <v>1344</v>
      </c>
      <c r="O71" s="1"/>
      <c r="V71" s="651" t="s">
        <v>124</v>
      </c>
      <c r="W71" s="651"/>
      <c r="X71" s="651"/>
      <c r="Y71" s="665">
        <f>+I72</f>
        <v>14223298</v>
      </c>
      <c r="Z71" s="665"/>
      <c r="AA71" s="162" t="s">
        <v>111</v>
      </c>
      <c r="AB71" s="163">
        <f>AB57</f>
        <v>0</v>
      </c>
      <c r="AC71" s="56">
        <f>ROUND(Y71*AB71,0)</f>
        <v>0</v>
      </c>
      <c r="AD71" s="9"/>
    </row>
    <row r="72" spans="1:30" ht="21" customHeight="1" x14ac:dyDescent="0.25">
      <c r="B72" s="13" t="s">
        <v>124</v>
      </c>
      <c r="C72" s="13"/>
      <c r="D72" s="13"/>
      <c r="E72" s="13"/>
      <c r="F72" s="13"/>
      <c r="H72" s="164" t="s">
        <v>23</v>
      </c>
      <c r="I72" s="171">
        <v>14223298</v>
      </c>
      <c r="J72" s="165" t="s">
        <v>111</v>
      </c>
      <c r="K72" s="166">
        <f>K57</f>
        <v>7.7700000000000002E-4</v>
      </c>
      <c r="L72" s="50">
        <f>ROUND(I72*K72,0)</f>
        <v>11052</v>
      </c>
      <c r="O72" s="1"/>
      <c r="V72" s="623" t="s">
        <v>125</v>
      </c>
      <c r="W72" s="623"/>
      <c r="X72" s="623"/>
      <c r="Y72" s="623"/>
      <c r="Z72" s="623"/>
      <c r="AA72" s="623"/>
      <c r="AB72" s="623"/>
      <c r="AC72" s="60"/>
      <c r="AD72" s="9"/>
    </row>
    <row r="73" spans="1:30" ht="17.25" customHeight="1" x14ac:dyDescent="0.25">
      <c r="B73" s="13" t="s">
        <v>125</v>
      </c>
      <c r="C73" s="13"/>
      <c r="D73" s="13"/>
      <c r="E73" s="13"/>
      <c r="F73" s="13"/>
      <c r="H73" s="13"/>
      <c r="I73" s="13"/>
      <c r="J73" s="82"/>
      <c r="K73" s="13"/>
      <c r="L73" s="59"/>
      <c r="O73" s="1"/>
      <c r="V73" s="651" t="s">
        <v>126</v>
      </c>
      <c r="W73" s="651"/>
      <c r="X73" s="651"/>
      <c r="Y73" s="651"/>
      <c r="Z73" s="651"/>
      <c r="AA73" s="651"/>
      <c r="AB73" s="651"/>
      <c r="AC73" s="651"/>
      <c r="AD73" s="9"/>
    </row>
    <row r="74" spans="1:30" ht="31.5" x14ac:dyDescent="0.25">
      <c r="B74" s="13" t="s">
        <v>126</v>
      </c>
      <c r="C74" s="13"/>
      <c r="D74" s="27" t="s">
        <v>13</v>
      </c>
      <c r="E74" s="27" t="s">
        <v>14</v>
      </c>
      <c r="F74" s="27"/>
      <c r="H74" s="164" t="s">
        <v>26</v>
      </c>
      <c r="I74" s="172"/>
      <c r="J74" s="164"/>
      <c r="K74" s="172"/>
      <c r="L74" s="112"/>
      <c r="O74" s="1"/>
      <c r="V74" s="666" t="s">
        <v>127</v>
      </c>
      <c r="W74" s="666"/>
      <c r="X74" s="173" t="s">
        <v>128</v>
      </c>
      <c r="Y74" s="174"/>
      <c r="Z74" s="175">
        <f>+I75</f>
        <v>60.5</v>
      </c>
      <c r="AA74" s="176" t="s">
        <v>129</v>
      </c>
      <c r="AB74" s="177">
        <f>+K75</f>
        <v>361</v>
      </c>
      <c r="AC74" s="56">
        <f>ROUND(AB74*Z74,0)</f>
        <v>21841</v>
      </c>
      <c r="AD74" s="9"/>
    </row>
    <row r="75" spans="1:30" ht="19.5" customHeight="1" x14ac:dyDescent="0.25">
      <c r="A75" s="1" t="s">
        <v>130</v>
      </c>
      <c r="B75" s="178" t="s">
        <v>127</v>
      </c>
      <c r="C75" s="179" t="s">
        <v>128</v>
      </c>
      <c r="D75" s="178">
        <v>51</v>
      </c>
      <c r="E75" s="178">
        <v>70</v>
      </c>
      <c r="F75" s="178">
        <v>0</v>
      </c>
      <c r="G75" s="180">
        <f>IF(E75=0,D75,E75)</f>
        <v>70</v>
      </c>
      <c r="H75" s="181"/>
      <c r="I75" s="182">
        <f>AVERAGE(G75,D75)</f>
        <v>60.5</v>
      </c>
      <c r="J75" s="183" t="s">
        <v>129</v>
      </c>
      <c r="K75" s="184">
        <v>361</v>
      </c>
      <c r="L75" s="50">
        <f>ROUND(K75*I75,0)</f>
        <v>21841</v>
      </c>
      <c r="N75" s="1">
        <v>7802</v>
      </c>
      <c r="O75" s="1">
        <v>0</v>
      </c>
      <c r="V75" s="666" t="s">
        <v>127</v>
      </c>
      <c r="W75" s="666"/>
      <c r="X75" s="173" t="s">
        <v>131</v>
      </c>
      <c r="Y75" s="185"/>
      <c r="Z75" s="186">
        <f>+I76</f>
        <v>0</v>
      </c>
      <c r="AA75" s="176" t="s">
        <v>129</v>
      </c>
      <c r="AB75" s="187">
        <f>+K76</f>
        <v>1358</v>
      </c>
      <c r="AC75" s="56">
        <f>ROUND(AB75*Z75,0)</f>
        <v>0</v>
      </c>
      <c r="AD75" s="9"/>
    </row>
    <row r="76" spans="1:30" ht="19.5" customHeight="1" x14ac:dyDescent="0.25">
      <c r="A76" s="1" t="s">
        <v>132</v>
      </c>
      <c r="B76" s="178" t="s">
        <v>127</v>
      </c>
      <c r="C76" s="179" t="s">
        <v>131</v>
      </c>
      <c r="D76" s="178">
        <v>0</v>
      </c>
      <c r="E76" s="178">
        <v>0</v>
      </c>
      <c r="F76" s="178">
        <v>0</v>
      </c>
      <c r="G76" s="180">
        <f>IF(E76=0,D76,E76)</f>
        <v>0</v>
      </c>
      <c r="H76" s="181"/>
      <c r="I76" s="182">
        <f>AVERAGE(G76,D76)</f>
        <v>0</v>
      </c>
      <c r="J76" s="183" t="s">
        <v>129</v>
      </c>
      <c r="K76" s="188">
        <v>1358</v>
      </c>
      <c r="L76" s="50">
        <f>ROUND(K76*I76,0)</f>
        <v>0</v>
      </c>
      <c r="N76" s="1">
        <v>7802</v>
      </c>
      <c r="O76" s="1">
        <v>110</v>
      </c>
      <c r="V76" s="651" t="s">
        <v>133</v>
      </c>
      <c r="W76" s="651"/>
      <c r="X76" s="651"/>
      <c r="Y76" s="661">
        <f>+I77</f>
        <v>33305823</v>
      </c>
      <c r="Z76" s="661"/>
      <c r="AA76" s="176" t="s">
        <v>129</v>
      </c>
      <c r="AB76" s="163">
        <f>AB54</f>
        <v>0</v>
      </c>
      <c r="AC76" s="56">
        <f>ROUND(Y76*AB76,0)</f>
        <v>0</v>
      </c>
      <c r="AD76" s="9"/>
    </row>
    <row r="77" spans="1:30" ht="26.25" customHeight="1" x14ac:dyDescent="0.25">
      <c r="B77" s="13" t="s">
        <v>133</v>
      </c>
      <c r="C77" s="13"/>
      <c r="D77" s="13"/>
      <c r="E77" s="13"/>
      <c r="F77" s="13"/>
      <c r="H77" s="164" t="s">
        <v>134</v>
      </c>
      <c r="I77" s="189">
        <v>33305823</v>
      </c>
      <c r="J77" s="165" t="s">
        <v>111</v>
      </c>
      <c r="K77" s="166">
        <f>K54</f>
        <v>7.1699999999999997E-4</v>
      </c>
      <c r="L77" s="50">
        <f>ROUND(I77*K77,0)</f>
        <v>23880</v>
      </c>
      <c r="O77" s="1"/>
      <c r="V77" s="651" t="str">
        <f>+B78</f>
        <v>15.  Additional Allocation (WFTE share)</v>
      </c>
      <c r="W77" s="651"/>
      <c r="X77" s="651"/>
      <c r="Y77" s="661">
        <f>+I78</f>
        <v>680688</v>
      </c>
      <c r="Z77" s="661"/>
      <c r="AA77" s="176" t="s">
        <v>129</v>
      </c>
      <c r="AB77" s="163">
        <f>AB54</f>
        <v>0</v>
      </c>
      <c r="AC77" s="56">
        <f>ROUND(Y77*AB77,0)</f>
        <v>0</v>
      </c>
      <c r="AD77" s="9"/>
    </row>
    <row r="78" spans="1:30" ht="26.25" customHeight="1" x14ac:dyDescent="0.25">
      <c r="B78" s="669" t="s">
        <v>135</v>
      </c>
      <c r="C78" s="669"/>
      <c r="D78" s="669"/>
      <c r="E78" s="13"/>
      <c r="F78" s="13"/>
      <c r="H78" s="164" t="s">
        <v>136</v>
      </c>
      <c r="I78" s="190">
        <v>680688</v>
      </c>
      <c r="J78" s="165" t="s">
        <v>111</v>
      </c>
      <c r="K78" s="166">
        <f>K54</f>
        <v>7.1699999999999997E-4</v>
      </c>
      <c r="L78" s="50">
        <f>ROUND(I78*K78,0)</f>
        <v>488</v>
      </c>
      <c r="O78" s="1"/>
      <c r="V78" s="651" t="str">
        <f t="shared" ref="V78:V79" si="11">+B79</f>
        <v>16.  Florida Teachers Lead Program Stipend</v>
      </c>
      <c r="W78" s="651"/>
      <c r="X78" s="651"/>
      <c r="Y78" s="191"/>
      <c r="Z78" s="191"/>
      <c r="AA78" s="191"/>
      <c r="AB78" s="191"/>
      <c r="AC78" s="134"/>
      <c r="AD78" s="9"/>
    </row>
    <row r="79" spans="1:30" ht="21" customHeight="1" x14ac:dyDescent="0.25">
      <c r="B79" s="669" t="s">
        <v>137</v>
      </c>
      <c r="C79" s="669"/>
      <c r="D79" s="669"/>
      <c r="E79" s="13"/>
      <c r="F79" s="13"/>
      <c r="H79" s="164"/>
      <c r="I79" s="172"/>
      <c r="J79" s="172"/>
      <c r="K79" s="172"/>
      <c r="L79" s="129"/>
      <c r="N79" s="192"/>
      <c r="O79" s="1"/>
      <c r="Q79" s="164"/>
      <c r="V79" s="651" t="str">
        <f t="shared" si="11"/>
        <v>17.  Food Service Allocation</v>
      </c>
      <c r="W79" s="651"/>
      <c r="X79" s="651"/>
      <c r="Y79" s="191"/>
      <c r="Z79" s="191"/>
      <c r="AA79" s="191"/>
      <c r="AB79" s="191"/>
      <c r="AC79" s="193"/>
      <c r="AD79" s="9"/>
    </row>
    <row r="80" spans="1:30" ht="21" customHeight="1" x14ac:dyDescent="0.25">
      <c r="B80" s="669" t="s">
        <v>138</v>
      </c>
      <c r="C80" s="669"/>
      <c r="D80" s="669"/>
      <c r="E80" s="13"/>
      <c r="F80" s="13"/>
      <c r="H80" s="194" t="s">
        <v>139</v>
      </c>
      <c r="I80" s="195"/>
      <c r="J80" s="195"/>
      <c r="K80" s="195"/>
      <c r="L80" s="196"/>
      <c r="N80" s="197"/>
      <c r="O80" s="1"/>
      <c r="Q80" s="164"/>
      <c r="V80" s="191"/>
      <c r="W80" s="191"/>
      <c r="X80" s="191"/>
      <c r="Y80" s="191"/>
      <c r="Z80" s="191"/>
      <c r="AA80" s="191"/>
      <c r="AB80" s="191"/>
      <c r="AC80" s="193"/>
      <c r="AD80" s="9"/>
    </row>
    <row r="81" spans="1:30" ht="21" customHeight="1" thickBot="1" x14ac:dyDescent="0.3">
      <c r="B81" s="13"/>
      <c r="C81" s="13"/>
      <c r="D81" s="13"/>
      <c r="E81" s="13"/>
      <c r="F81" s="13"/>
      <c r="G81" s="13"/>
      <c r="H81" s="13"/>
      <c r="I81" s="13"/>
      <c r="J81" s="13"/>
      <c r="K81" s="13"/>
      <c r="L81" s="196"/>
      <c r="M81" s="198"/>
      <c r="N81" s="197"/>
      <c r="O81" s="1"/>
      <c r="Q81" s="164"/>
      <c r="V81" s="191" t="s">
        <v>140</v>
      </c>
      <c r="W81" s="191"/>
      <c r="X81" s="191"/>
      <c r="Y81" s="191"/>
      <c r="Z81" s="191"/>
      <c r="AA81" s="191"/>
      <c r="AB81" s="191"/>
      <c r="AC81" s="199">
        <f>SUM(AC44:AC80)</f>
        <v>21841</v>
      </c>
      <c r="AD81" s="200"/>
    </row>
    <row r="82" spans="1:30" ht="22.5" customHeight="1" thickTop="1" thickBot="1" x14ac:dyDescent="0.3">
      <c r="B82" s="13" t="s">
        <v>141</v>
      </c>
      <c r="C82" s="13"/>
      <c r="D82" s="13"/>
      <c r="E82" s="13"/>
      <c r="F82" s="13"/>
      <c r="G82" s="13"/>
      <c r="H82" s="13"/>
      <c r="I82" s="13"/>
      <c r="J82" s="13"/>
      <c r="K82" s="13"/>
      <c r="L82" s="201">
        <f>SUM(L44:L81)</f>
        <v>855007</v>
      </c>
      <c r="M82" s="202"/>
      <c r="N82" s="203"/>
      <c r="O82" s="1"/>
      <c r="Q82" s="164"/>
      <c r="V82" s="191"/>
      <c r="W82" s="191"/>
      <c r="X82" s="191"/>
      <c r="Y82" s="191"/>
      <c r="Z82" s="191"/>
      <c r="AA82" s="191"/>
      <c r="AB82" s="191"/>
      <c r="AC82" s="204"/>
      <c r="AD82" s="200"/>
    </row>
    <row r="83" spans="1:30" ht="27.75" customHeight="1" thickTop="1" x14ac:dyDescent="0.25">
      <c r="B83" s="13" t="s">
        <v>142</v>
      </c>
      <c r="C83" s="13"/>
      <c r="D83" s="13"/>
      <c r="E83" s="13"/>
      <c r="F83" s="13"/>
      <c r="G83" s="13"/>
      <c r="H83" s="13"/>
      <c r="I83" s="13"/>
      <c r="J83" s="13"/>
      <c r="K83" s="82" t="s">
        <v>143</v>
      </c>
      <c r="L83" s="205" t="s">
        <v>144</v>
      </c>
      <c r="M83" s="202"/>
      <c r="N83" s="203"/>
      <c r="O83" s="1"/>
      <c r="Q83" s="164"/>
      <c r="V83" s="9" t="s">
        <v>145</v>
      </c>
      <c r="W83" s="9"/>
      <c r="X83" s="9"/>
      <c r="Y83" s="9"/>
      <c r="Z83" s="9"/>
      <c r="AA83" s="9"/>
      <c r="AB83" s="9"/>
      <c r="AC83" s="9"/>
      <c r="AD83" s="206"/>
    </row>
    <row r="84" spans="1:30" ht="18.75" customHeight="1" thickBot="1" x14ac:dyDescent="0.3">
      <c r="B84" s="13" t="s">
        <v>146</v>
      </c>
      <c r="C84" s="13"/>
      <c r="D84" s="13"/>
      <c r="E84" s="13"/>
      <c r="F84" s="13"/>
      <c r="G84" s="13"/>
      <c r="H84" s="13"/>
      <c r="I84" s="13"/>
      <c r="J84" s="13"/>
      <c r="K84" s="207" t="str">
        <f>IF(G26=0,"",IF((G11+G13+SUM(G15:G21))/G26&gt;0.75,1,""))</f>
        <v/>
      </c>
      <c r="L84" s="201">
        <f>'3347'!AC81</f>
        <v>21841</v>
      </c>
      <c r="M84" s="202"/>
      <c r="N84" s="203"/>
      <c r="O84" s="1"/>
      <c r="Q84" s="164"/>
      <c r="V84" s="208" t="s">
        <v>147</v>
      </c>
      <c r="W84" s="208"/>
      <c r="X84" s="208"/>
      <c r="Y84" s="208"/>
      <c r="Z84" s="208"/>
      <c r="AA84" s="208"/>
      <c r="AB84" s="208"/>
      <c r="AC84" s="208"/>
      <c r="AD84" s="9"/>
    </row>
    <row r="85" spans="1:30" ht="18.75" customHeight="1" thickTop="1" x14ac:dyDescent="0.25">
      <c r="B85" s="13"/>
      <c r="C85" s="13"/>
      <c r="D85" s="13"/>
      <c r="E85" s="13"/>
      <c r="F85" s="13"/>
      <c r="G85" s="13"/>
      <c r="H85" s="13"/>
      <c r="I85" s="13"/>
      <c r="J85" s="13"/>
      <c r="M85" s="202"/>
      <c r="N85" s="203"/>
      <c r="O85" s="1"/>
      <c r="Q85" s="164"/>
      <c r="V85" s="208" t="s">
        <v>148</v>
      </c>
      <c r="W85" s="208"/>
      <c r="X85" s="208"/>
      <c r="Y85" s="208"/>
      <c r="Z85" s="208"/>
      <c r="AA85" s="208"/>
      <c r="AB85" s="208"/>
      <c r="AC85" s="208"/>
      <c r="AD85" s="206"/>
    </row>
    <row r="86" spans="1:30" ht="18.75" customHeight="1" x14ac:dyDescent="0.25">
      <c r="B86" s="2" t="s">
        <v>149</v>
      </c>
      <c r="C86" s="13"/>
      <c r="D86" s="13"/>
      <c r="E86" s="13"/>
      <c r="F86" s="13"/>
      <c r="G86" s="13"/>
      <c r="H86" s="13"/>
      <c r="I86" s="13"/>
      <c r="J86" s="209" t="s">
        <v>150</v>
      </c>
      <c r="K86" s="210">
        <f>IF(K84=1,L84,L82)</f>
        <v>855007</v>
      </c>
      <c r="L86" s="211">
        <f>IF(G26=0,0,IF(G26&gt;250,-(((250/G26)*K86)*IF(M86="H",0.02,0.05)),IF(M86="H",-0.02*K86,-0.05*K86)))</f>
        <v>-42750.350000000006</v>
      </c>
      <c r="M86" s="212" t="str">
        <f>IF(B123="2801","H",IF(B123="2911","H",IF(B123="3382","H"," ")))</f>
        <v xml:space="preserve"> </v>
      </c>
      <c r="N86" s="203"/>
      <c r="O86" s="1"/>
      <c r="Q86" s="164"/>
      <c r="V86" s="208" t="s">
        <v>151</v>
      </c>
      <c r="W86" s="208"/>
      <c r="X86" s="208"/>
      <c r="Y86" s="208"/>
      <c r="Z86" s="208"/>
      <c r="AA86" s="208"/>
      <c r="AB86" s="208"/>
      <c r="AC86" s="208"/>
      <c r="AD86" s="206"/>
    </row>
    <row r="87" spans="1:30" ht="18.75" customHeight="1" x14ac:dyDescent="0.25">
      <c r="B87" s="2" t="s">
        <v>152</v>
      </c>
      <c r="C87" s="13"/>
      <c r="D87" s="13"/>
      <c r="E87" s="13"/>
      <c r="F87" s="13"/>
      <c r="G87" s="13"/>
      <c r="H87" s="13"/>
      <c r="I87" s="13"/>
      <c r="J87" s="13"/>
      <c r="K87" s="213"/>
      <c r="L87" s="205">
        <f>L82+L86</f>
        <v>812256.65</v>
      </c>
      <c r="M87" s="202"/>
      <c r="N87" s="203"/>
      <c r="O87" s="1"/>
      <c r="Q87" s="164"/>
      <c r="V87" s="198"/>
      <c r="W87" s="198"/>
      <c r="X87" s="198"/>
      <c r="Y87" s="198"/>
      <c r="Z87" s="198"/>
      <c r="AA87" s="198"/>
      <c r="AB87" s="198"/>
      <c r="AC87" s="198"/>
      <c r="AD87" s="214"/>
    </row>
    <row r="88" spans="1:30" x14ac:dyDescent="0.25">
      <c r="V88" s="198"/>
      <c r="W88" s="198"/>
      <c r="X88" s="198"/>
      <c r="Y88" s="198"/>
      <c r="Z88" s="198"/>
      <c r="AA88" s="198"/>
      <c r="AB88" s="198"/>
      <c r="AC88" s="198"/>
      <c r="AD88" s="215"/>
    </row>
    <row r="89" spans="1:30" ht="18.75" customHeight="1" x14ac:dyDescent="0.25">
      <c r="A89" s="1" t="s">
        <v>153</v>
      </c>
      <c r="B89" s="13" t="s">
        <v>154</v>
      </c>
      <c r="C89" s="13"/>
      <c r="D89" s="13">
        <v>424633</v>
      </c>
      <c r="E89" s="13">
        <v>60832</v>
      </c>
      <c r="F89" s="13">
        <v>667959</v>
      </c>
      <c r="G89" s="13"/>
      <c r="H89" s="13"/>
      <c r="I89" s="13"/>
      <c r="J89" s="13"/>
      <c r="K89" s="213"/>
      <c r="L89" s="84">
        <f>-F89-73178</f>
        <v>-741137</v>
      </c>
      <c r="M89" s="202"/>
      <c r="N89" s="203"/>
      <c r="O89" s="1"/>
      <c r="Q89" s="164"/>
      <c r="V89" s="198">
        <v>2801</v>
      </c>
      <c r="W89" s="198"/>
      <c r="X89" s="198"/>
      <c r="Y89" s="198"/>
      <c r="Z89" s="198"/>
      <c r="AA89" s="198"/>
      <c r="AB89" s="198"/>
      <c r="AC89" s="198"/>
      <c r="AD89" s="214"/>
    </row>
    <row r="90" spans="1:30" ht="18.75" customHeight="1" x14ac:dyDescent="0.25">
      <c r="B90" s="13" t="s">
        <v>155</v>
      </c>
      <c r="C90" s="13"/>
      <c r="D90" s="13"/>
      <c r="E90" s="13"/>
      <c r="F90" s="13"/>
      <c r="G90" s="13"/>
      <c r="H90" s="13"/>
      <c r="I90" s="13"/>
      <c r="J90" s="13"/>
      <c r="K90" s="213"/>
      <c r="L90" s="205">
        <f>L87+L89</f>
        <v>71119.650000000023</v>
      </c>
      <c r="M90" s="202"/>
      <c r="N90" s="203"/>
      <c r="O90" s="1"/>
      <c r="Q90" s="164"/>
      <c r="V90" s="198">
        <v>2911</v>
      </c>
      <c r="W90" s="216"/>
      <c r="X90" s="216"/>
      <c r="Y90" s="216"/>
      <c r="Z90" s="216"/>
      <c r="AA90" s="216"/>
      <c r="AB90" s="216"/>
      <c r="AC90" s="216"/>
      <c r="AD90" s="214"/>
    </row>
    <row r="91" spans="1:30" ht="18.75" customHeight="1" x14ac:dyDescent="0.25">
      <c r="B91" s="13" t="s">
        <v>156</v>
      </c>
      <c r="C91" s="13"/>
      <c r="D91" s="13"/>
      <c r="E91" s="13"/>
      <c r="F91" s="13"/>
      <c r="G91" s="13"/>
      <c r="H91" s="13"/>
      <c r="I91" s="13"/>
      <c r="J91" s="13"/>
      <c r="K91" s="213"/>
      <c r="L91" s="205">
        <v>1</v>
      </c>
      <c r="M91" s="202"/>
      <c r="N91" s="203"/>
      <c r="O91" s="1"/>
      <c r="Q91" s="164"/>
      <c r="V91" s="198">
        <v>3382</v>
      </c>
      <c r="W91" s="216"/>
      <c r="X91" s="216"/>
      <c r="Y91" s="216"/>
      <c r="Z91" s="216"/>
      <c r="AA91" s="216"/>
      <c r="AB91" s="216"/>
      <c r="AC91" s="216"/>
      <c r="AD91" s="214"/>
    </row>
    <row r="92" spans="1:30" ht="18.75" customHeight="1" thickBot="1" x14ac:dyDescent="0.3">
      <c r="B92" s="13" t="s">
        <v>157</v>
      </c>
      <c r="C92" s="13"/>
      <c r="D92" s="13"/>
      <c r="E92" s="13"/>
      <c r="F92" s="13"/>
      <c r="G92" s="13"/>
      <c r="H92" s="13"/>
      <c r="I92" s="13"/>
      <c r="J92" s="13"/>
      <c r="K92" s="213"/>
      <c r="L92" s="217">
        <f>L90/L91</f>
        <v>71119.650000000023</v>
      </c>
      <c r="M92" s="202"/>
      <c r="N92" s="203"/>
      <c r="O92" s="1"/>
      <c r="Q92" s="164"/>
      <c r="V92" s="218"/>
      <c r="W92" s="218"/>
      <c r="X92" s="218"/>
      <c r="Y92" s="218"/>
      <c r="Z92" s="218"/>
      <c r="AA92" s="218"/>
      <c r="AB92" s="218"/>
      <c r="AC92" s="218"/>
      <c r="AD92" s="219"/>
    </row>
    <row r="93" spans="1:30" ht="18.75" customHeight="1" thickTop="1" x14ac:dyDescent="0.25">
      <c r="N93" s="219"/>
      <c r="O93" s="220"/>
      <c r="P93" s="219"/>
      <c r="Q93" s="219"/>
      <c r="V93" s="218"/>
      <c r="W93" s="218"/>
      <c r="X93" s="218"/>
      <c r="Y93" s="218"/>
      <c r="Z93" s="218"/>
      <c r="AA93" s="218"/>
      <c r="AB93" s="218"/>
      <c r="AC93" s="218"/>
      <c r="AD93" s="214"/>
    </row>
    <row r="94" spans="1:30" ht="18.75" customHeight="1" thickBot="1" x14ac:dyDescent="0.3">
      <c r="B94" s="221" t="s">
        <v>158</v>
      </c>
      <c r="C94" s="13"/>
      <c r="D94" s="13"/>
      <c r="E94" s="13"/>
      <c r="G94" s="13"/>
      <c r="H94" s="13"/>
      <c r="I94" s="13"/>
      <c r="J94" s="13"/>
      <c r="L94" s="222">
        <f>IF(M86="H",(K86*0.02)+L86,(K86*0.05)+L86)</f>
        <v>0</v>
      </c>
      <c r="M94" s="202"/>
      <c r="V94" s="223"/>
      <c r="W94" s="223"/>
      <c r="X94" s="223"/>
      <c r="Y94" s="223"/>
      <c r="Z94" s="223"/>
      <c r="AA94" s="223"/>
      <c r="AB94" s="223"/>
      <c r="AC94" s="223"/>
      <c r="AD94" s="214"/>
    </row>
    <row r="95" spans="1:30" ht="21.75" customHeight="1" thickTop="1" x14ac:dyDescent="0.25">
      <c r="B95" s="224" t="s">
        <v>159</v>
      </c>
      <c r="C95" s="224"/>
      <c r="D95" s="224"/>
      <c r="E95" s="224"/>
      <c r="F95" s="224"/>
      <c r="G95" s="224"/>
      <c r="H95" s="224"/>
      <c r="I95" s="224"/>
      <c r="J95" s="224"/>
      <c r="K95" s="224"/>
      <c r="L95" s="224"/>
      <c r="M95" s="219"/>
      <c r="V95" s="223"/>
      <c r="W95" s="223"/>
      <c r="X95" s="223"/>
      <c r="Y95" s="223"/>
      <c r="Z95" s="223"/>
      <c r="AA95" s="223"/>
      <c r="AB95" s="223"/>
      <c r="AC95" s="223"/>
      <c r="AD95" s="214"/>
    </row>
    <row r="96" spans="1:30" x14ac:dyDescent="0.25">
      <c r="B96" s="225"/>
      <c r="V96" s="223"/>
      <c r="W96" s="223"/>
      <c r="X96" s="223"/>
      <c r="Y96" s="223"/>
      <c r="Z96" s="223"/>
      <c r="AA96" s="223"/>
      <c r="AB96" s="223"/>
      <c r="AC96" s="223"/>
      <c r="AD96" s="219"/>
    </row>
    <row r="97" spans="2:30" x14ac:dyDescent="0.25">
      <c r="B97" s="225"/>
      <c r="V97" s="223"/>
      <c r="W97" s="223"/>
      <c r="X97" s="223"/>
      <c r="Y97" s="223"/>
      <c r="Z97" s="223"/>
      <c r="AA97" s="223"/>
      <c r="AB97" s="223"/>
      <c r="AC97" s="223"/>
      <c r="AD97" s="219"/>
    </row>
    <row r="98" spans="2:30" hidden="1" x14ac:dyDescent="0.25">
      <c r="B98" s="226" t="s">
        <v>160</v>
      </c>
      <c r="C98" s="227"/>
      <c r="V98" s="228"/>
      <c r="W98" s="228"/>
      <c r="X98" s="228"/>
      <c r="Y98" s="228"/>
      <c r="Z98" s="228"/>
      <c r="AA98" s="228"/>
      <c r="AB98" s="228"/>
      <c r="AC98" s="228"/>
    </row>
    <row r="99" spans="2:30" hidden="1" x14ac:dyDescent="0.25">
      <c r="B99" s="229"/>
      <c r="C99" s="227"/>
      <c r="V99" s="225"/>
      <c r="W99" s="13"/>
      <c r="X99" s="13"/>
      <c r="Y99" s="13"/>
      <c r="Z99" s="13"/>
      <c r="AA99" s="13"/>
      <c r="AB99" s="13"/>
      <c r="AC99" s="13"/>
    </row>
    <row r="100" spans="2:30" hidden="1" x14ac:dyDescent="0.25">
      <c r="B100" s="230" t="s">
        <v>161</v>
      </c>
      <c r="C100" s="226" t="s">
        <v>162</v>
      </c>
      <c r="V100" s="225"/>
    </row>
    <row r="101" spans="2:30" hidden="1" x14ac:dyDescent="0.25">
      <c r="B101" s="230" t="s">
        <v>163</v>
      </c>
      <c r="C101" s="226" t="s">
        <v>164</v>
      </c>
      <c r="V101" s="225"/>
    </row>
    <row r="102" spans="2:30" hidden="1" x14ac:dyDescent="0.25">
      <c r="B102" s="230" t="s">
        <v>165</v>
      </c>
      <c r="C102" s="226" t="s">
        <v>166</v>
      </c>
      <c r="V102" s="225"/>
      <c r="W102" s="231"/>
      <c r="X102" s="231"/>
      <c r="Y102" s="231"/>
      <c r="Z102" s="231"/>
      <c r="AA102" s="231"/>
      <c r="AB102" s="231"/>
      <c r="AC102" s="231"/>
      <c r="AD102" s="231"/>
    </row>
    <row r="103" spans="2:30" hidden="1" x14ac:dyDescent="0.25">
      <c r="B103" s="230" t="s">
        <v>167</v>
      </c>
      <c r="C103" s="226" t="s">
        <v>168</v>
      </c>
      <c r="V103" s="225"/>
    </row>
    <row r="104" spans="2:30" hidden="1" x14ac:dyDescent="0.25">
      <c r="B104" s="232"/>
      <c r="C104" s="226" t="s">
        <v>169</v>
      </c>
      <c r="V104" s="225"/>
    </row>
    <row r="105" spans="2:30" hidden="1" x14ac:dyDescent="0.25">
      <c r="B105" s="230" t="s">
        <v>170</v>
      </c>
      <c r="C105" s="226" t="s">
        <v>171</v>
      </c>
      <c r="V105" s="225"/>
    </row>
    <row r="106" spans="2:30" hidden="1" x14ac:dyDescent="0.25">
      <c r="B106" s="230" t="s">
        <v>172</v>
      </c>
      <c r="C106" s="226" t="s">
        <v>173</v>
      </c>
      <c r="V106" s="225"/>
    </row>
    <row r="107" spans="2:30" hidden="1" x14ac:dyDescent="0.25">
      <c r="B107" s="230" t="s">
        <v>256</v>
      </c>
      <c r="C107" s="226" t="s">
        <v>175</v>
      </c>
      <c r="V107" s="225"/>
    </row>
    <row r="108" spans="2:30" hidden="1" x14ac:dyDescent="0.25">
      <c r="B108" s="230" t="s">
        <v>176</v>
      </c>
      <c r="C108" s="226" t="s">
        <v>177</v>
      </c>
      <c r="V108" s="225"/>
    </row>
    <row r="109" spans="2:30" hidden="1" x14ac:dyDescent="0.25">
      <c r="B109" s="230" t="s">
        <v>178</v>
      </c>
      <c r="C109" s="226" t="s">
        <v>179</v>
      </c>
      <c r="V109" s="225"/>
    </row>
    <row r="110" spans="2:30" hidden="1" x14ac:dyDescent="0.25">
      <c r="B110" s="232"/>
      <c r="C110" s="226"/>
      <c r="V110" s="225"/>
    </row>
    <row r="111" spans="2:30" hidden="1" x14ac:dyDescent="0.25">
      <c r="B111" s="230" t="s">
        <v>180</v>
      </c>
      <c r="C111" s="226" t="s">
        <v>181</v>
      </c>
      <c r="V111" s="225"/>
    </row>
    <row r="112" spans="2:30" hidden="1" x14ac:dyDescent="0.25">
      <c r="B112" s="230" t="s">
        <v>180</v>
      </c>
      <c r="C112" s="226" t="s">
        <v>182</v>
      </c>
    </row>
    <row r="113" spans="2:3" hidden="1" x14ac:dyDescent="0.25">
      <c r="B113" s="230" t="s">
        <v>183</v>
      </c>
      <c r="C113" s="226" t="s">
        <v>184</v>
      </c>
    </row>
    <row r="114" spans="2:3" hidden="1" x14ac:dyDescent="0.25">
      <c r="B114" s="230" t="s">
        <v>185</v>
      </c>
      <c r="C114" s="226" t="s">
        <v>186</v>
      </c>
    </row>
    <row r="115" spans="2:3" hidden="1" x14ac:dyDescent="0.25">
      <c r="B115" s="230" t="s">
        <v>183</v>
      </c>
      <c r="C115" s="226" t="s">
        <v>187</v>
      </c>
    </row>
    <row r="116" spans="2:3" hidden="1" x14ac:dyDescent="0.25">
      <c r="B116" s="230" t="s">
        <v>188</v>
      </c>
      <c r="C116" s="226" t="s">
        <v>189</v>
      </c>
    </row>
    <row r="117" spans="2:3" hidden="1" x14ac:dyDescent="0.25">
      <c r="B117" s="230" t="s">
        <v>190</v>
      </c>
      <c r="C117" s="226" t="s">
        <v>191</v>
      </c>
    </row>
    <row r="118" spans="2:3" hidden="1" x14ac:dyDescent="0.25">
      <c r="B118" s="232" t="s">
        <v>192</v>
      </c>
      <c r="C118" s="226" t="s">
        <v>193</v>
      </c>
    </row>
    <row r="119" spans="2:3" hidden="1" x14ac:dyDescent="0.25">
      <c r="B119" s="232"/>
      <c r="C119" s="226"/>
    </row>
    <row r="120" spans="2:3" hidden="1" x14ac:dyDescent="0.25">
      <c r="B120" s="230" t="s">
        <v>161</v>
      </c>
      <c r="C120" s="226" t="s">
        <v>194</v>
      </c>
    </row>
    <row r="121" spans="2:3" hidden="1" x14ac:dyDescent="0.25">
      <c r="B121" s="230" t="s">
        <v>195</v>
      </c>
      <c r="C121" s="226" t="s">
        <v>196</v>
      </c>
    </row>
    <row r="122" spans="2:3" hidden="1" x14ac:dyDescent="0.25">
      <c r="B122" s="230" t="s">
        <v>197</v>
      </c>
      <c r="C122" s="226" t="s">
        <v>198</v>
      </c>
    </row>
    <row r="123" spans="2:3" hidden="1" x14ac:dyDescent="0.25">
      <c r="B123" s="230" t="s">
        <v>257</v>
      </c>
      <c r="C123" s="226" t="s">
        <v>200</v>
      </c>
    </row>
    <row r="124" spans="2:3" hidden="1" x14ac:dyDescent="0.25">
      <c r="B124" s="230" t="s">
        <v>258</v>
      </c>
      <c r="C124" s="226" t="s">
        <v>202</v>
      </c>
    </row>
    <row r="125" spans="2:3" hidden="1" x14ac:dyDescent="0.25">
      <c r="B125" s="230" t="s">
        <v>203</v>
      </c>
      <c r="C125" s="226" t="s">
        <v>204</v>
      </c>
    </row>
    <row r="126" spans="2:3" hidden="1" x14ac:dyDescent="0.25">
      <c r="B126" s="230" t="s">
        <v>203</v>
      </c>
      <c r="C126" s="226" t="s">
        <v>205</v>
      </c>
    </row>
    <row r="127" spans="2:3" hidden="1" x14ac:dyDescent="0.25">
      <c r="B127" s="230" t="s">
        <v>203</v>
      </c>
      <c r="C127" s="226" t="s">
        <v>206</v>
      </c>
    </row>
    <row r="128" spans="2:3" hidden="1" x14ac:dyDescent="0.25">
      <c r="B128" s="230" t="s">
        <v>203</v>
      </c>
      <c r="C128" s="226" t="s">
        <v>207</v>
      </c>
    </row>
    <row r="129" spans="2:3" hidden="1" x14ac:dyDescent="0.25">
      <c r="B129" s="230" t="s">
        <v>167</v>
      </c>
      <c r="C129" s="226" t="s">
        <v>208</v>
      </c>
    </row>
    <row r="130" spans="2:3" hidden="1" x14ac:dyDescent="0.25">
      <c r="B130" s="230" t="s">
        <v>209</v>
      </c>
      <c r="C130" s="226" t="s">
        <v>210</v>
      </c>
    </row>
    <row r="131" spans="2:3" hidden="1" x14ac:dyDescent="0.25">
      <c r="B131" s="230" t="s">
        <v>203</v>
      </c>
      <c r="C131" s="226" t="s">
        <v>211</v>
      </c>
    </row>
    <row r="132" spans="2:3" hidden="1" x14ac:dyDescent="0.25">
      <c r="B132" s="226"/>
      <c r="C132" s="226"/>
    </row>
    <row r="133" spans="2:3" hidden="1" x14ac:dyDescent="0.25">
      <c r="B133" s="226"/>
      <c r="C133" s="226"/>
    </row>
    <row r="134" spans="2:3" hidden="1" x14ac:dyDescent="0.25">
      <c r="B134" s="232"/>
      <c r="C134" s="232"/>
    </row>
    <row r="135" spans="2:3" hidden="1" x14ac:dyDescent="0.25">
      <c r="B135" s="232">
        <f>NvsElapsedTime</f>
        <v>0</v>
      </c>
      <c r="C135" s="232"/>
    </row>
    <row r="136" spans="2:3" hidden="1" x14ac:dyDescent="0.25">
      <c r="B136" s="233">
        <f>NvsEndTime</f>
        <v>41754.487835648099</v>
      </c>
      <c r="C136" s="233" t="s">
        <v>212</v>
      </c>
    </row>
    <row r="137" spans="2:3" x14ac:dyDescent="0.25">
      <c r="B137" s="226"/>
      <c r="C137" s="234"/>
    </row>
    <row r="138" spans="2:3" x14ac:dyDescent="0.25">
      <c r="B138" s="226"/>
      <c r="C138" s="226"/>
    </row>
    <row r="139" spans="2:3" x14ac:dyDescent="0.25">
      <c r="B139" s="226"/>
      <c r="C139" s="226"/>
    </row>
    <row r="140" spans="2:3" x14ac:dyDescent="0.25">
      <c r="B140" s="226"/>
      <c r="C140" s="226"/>
    </row>
    <row r="141" spans="2:3" x14ac:dyDescent="0.25">
      <c r="B141" s="226"/>
      <c r="C141" s="226"/>
    </row>
    <row r="142" spans="2:3" x14ac:dyDescent="0.25">
      <c r="B142" s="226"/>
      <c r="C142" s="226"/>
    </row>
    <row r="143" spans="2:3" x14ac:dyDescent="0.25">
      <c r="B143" s="226"/>
      <c r="C143" s="226"/>
    </row>
    <row r="144" spans="2:3" x14ac:dyDescent="0.25">
      <c r="B144" s="226"/>
      <c r="C144" s="226"/>
    </row>
    <row r="145" spans="2:3" x14ac:dyDescent="0.25">
      <c r="B145" s="226"/>
      <c r="C145" s="226"/>
    </row>
    <row r="146" spans="2:3" x14ac:dyDescent="0.25">
      <c r="B146" s="226"/>
      <c r="C146" s="226"/>
    </row>
    <row r="147" spans="2:3" x14ac:dyDescent="0.25">
      <c r="B147" s="226"/>
      <c r="C147" s="226"/>
    </row>
    <row r="148" spans="2:3" x14ac:dyDescent="0.25">
      <c r="B148" s="226"/>
      <c r="C148" s="226"/>
    </row>
    <row r="149" spans="2:3" x14ac:dyDescent="0.25">
      <c r="B149" s="226"/>
      <c r="C149" s="226"/>
    </row>
    <row r="150" spans="2:3" x14ac:dyDescent="0.25">
      <c r="B150" s="226"/>
      <c r="C150" s="226"/>
    </row>
    <row r="151" spans="2:3" x14ac:dyDescent="0.25">
      <c r="B151" s="226"/>
      <c r="C151" s="226"/>
    </row>
  </sheetData>
  <mergeCells count="151">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9:W9"/>
    <mergeCell ref="X9:Y9"/>
    <mergeCell ref="Z9:AA9"/>
    <mergeCell ref="V10:W10"/>
    <mergeCell ref="X10:Y10"/>
    <mergeCell ref="Z10:AA10"/>
    <mergeCell ref="V7:W7"/>
    <mergeCell ref="X7:Y7"/>
    <mergeCell ref="Z7:AA7"/>
    <mergeCell ref="AB7:AC7"/>
    <mergeCell ref="V8:W8"/>
    <mergeCell ref="X8:Y8"/>
    <mergeCell ref="Z8:AA8"/>
    <mergeCell ref="W2:AC2"/>
    <mergeCell ref="V3:AC3"/>
    <mergeCell ref="V4:AC4"/>
    <mergeCell ref="V5:W5"/>
    <mergeCell ref="X5:Y5"/>
    <mergeCell ref="V6:AC6"/>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pageSetUpPr fitToPage="1"/>
  </sheetPr>
  <dimension ref="A1:AD151"/>
  <sheetViews>
    <sheetView topLeftCell="B2" zoomScale="70" zoomScaleNormal="70" workbookViewId="0">
      <selection activeCell="K5" sqref="K5"/>
    </sheetView>
  </sheetViews>
  <sheetFormatPr defaultColWidth="8.85546875" defaultRowHeight="15.75" x14ac:dyDescent="0.25"/>
  <cols>
    <col min="1" max="1" width="11.28515625" style="1" hidden="1" customWidth="1"/>
    <col min="2" max="2" width="10.28515625" style="2" customWidth="1"/>
    <col min="3" max="3" width="29" style="1" customWidth="1"/>
    <col min="4" max="5" width="12.28515625" style="1" customWidth="1"/>
    <col min="6" max="6" width="12.28515625" style="1" hidden="1" customWidth="1"/>
    <col min="7" max="7" width="15.28515625" style="1" customWidth="1"/>
    <col min="8" max="8" width="6.7109375" style="1" customWidth="1"/>
    <col min="9" max="9" width="14.28515625" style="1" customWidth="1"/>
    <col min="10" max="10" width="12.85546875" style="1" customWidth="1"/>
    <col min="11" max="11" width="15.5703125" style="1" bestFit="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28515625" style="1" customWidth="1"/>
    <col min="18" max="18" width="8.85546875" style="1"/>
    <col min="19" max="21" width="0" style="1" hidden="1" customWidth="1"/>
    <col min="22" max="23" width="8.85546875" style="1"/>
    <col min="24" max="24" width="12.7109375" style="1" customWidth="1"/>
    <col min="25" max="27" width="8.85546875" style="1"/>
    <col min="28" max="28" width="13.140625" style="1" bestFit="1" customWidth="1"/>
    <col min="29" max="16384" width="8.85546875" style="1"/>
  </cols>
  <sheetData>
    <row r="1" spans="1:30" ht="15.6"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7"/>
      <c r="N2" s="3"/>
      <c r="O2" s="1"/>
      <c r="V2" s="8">
        <f>'3381'!B2</f>
        <v>50</v>
      </c>
      <c r="W2" s="606" t="s">
        <v>4</v>
      </c>
      <c r="X2" s="607"/>
      <c r="Y2" s="608"/>
      <c r="Z2" s="608"/>
      <c r="AA2" s="608"/>
      <c r="AB2" s="608"/>
      <c r="AC2" s="608"/>
      <c r="AD2" s="9"/>
    </row>
    <row r="3" spans="1:30" ht="20.25" x14ac:dyDescent="0.3">
      <c r="B3" s="10" t="str">
        <f>"Revenue Estimate Worksheet for "&amp;B124</f>
        <v>Revenue Estimate Worksheet for Imagine Sch-Chancellor Campus</v>
      </c>
      <c r="C3" s="11"/>
      <c r="D3" s="11"/>
      <c r="E3" s="11"/>
      <c r="F3" s="11"/>
      <c r="G3" s="11"/>
      <c r="H3" s="11"/>
      <c r="I3" s="11"/>
      <c r="J3" s="11"/>
      <c r="K3" s="11"/>
      <c r="L3" s="11"/>
      <c r="M3" s="10"/>
      <c r="N3" s="10"/>
      <c r="O3" s="10"/>
      <c r="P3" s="10"/>
      <c r="Q3" s="10"/>
      <c r="V3" s="609" t="s">
        <v>5</v>
      </c>
      <c r="W3" s="609"/>
      <c r="X3" s="609"/>
      <c r="Y3" s="609"/>
      <c r="Z3" s="609"/>
      <c r="AA3" s="609"/>
      <c r="AB3" s="609"/>
      <c r="AC3" s="609"/>
      <c r="AD3" s="12"/>
    </row>
    <row r="4" spans="1:30" ht="18.75" x14ac:dyDescent="0.3">
      <c r="B4" s="2" t="s">
        <v>6</v>
      </c>
      <c r="C4" s="13"/>
      <c r="D4" s="13"/>
      <c r="E4" s="13"/>
      <c r="F4" s="13"/>
      <c r="G4" s="13"/>
      <c r="H4" s="13"/>
      <c r="I4" s="13"/>
      <c r="J4" s="13"/>
      <c r="K4" s="13"/>
      <c r="L4" s="13"/>
      <c r="M4" s="14"/>
      <c r="N4" s="14"/>
      <c r="O4" s="14"/>
      <c r="P4" s="14"/>
      <c r="Q4" s="14"/>
      <c r="V4" s="610" t="str">
        <f>+Based_on_the_Second_Calculation_of_the_FEFP_2010_11</f>
        <v>Based on the Fourth Calculation of the FEFP 2013-14</v>
      </c>
      <c r="W4" s="610"/>
      <c r="X4" s="610"/>
      <c r="Y4" s="610"/>
      <c r="Z4" s="610"/>
      <c r="AA4" s="610"/>
      <c r="AB4" s="610"/>
      <c r="AC4" s="610"/>
      <c r="AD4" s="15"/>
    </row>
    <row r="5" spans="1:30" ht="18.75" customHeight="1" x14ac:dyDescent="0.25">
      <c r="B5" s="16" t="s">
        <v>7</v>
      </c>
      <c r="C5" s="16"/>
      <c r="D5" s="16"/>
      <c r="E5" s="16"/>
      <c r="F5" s="16"/>
      <c r="G5" s="17" t="s">
        <v>8</v>
      </c>
      <c r="H5" s="17"/>
      <c r="I5" s="17"/>
      <c r="J5" s="17"/>
      <c r="K5" s="17"/>
      <c r="L5" s="17"/>
      <c r="M5" s="18"/>
      <c r="N5" s="18"/>
      <c r="O5" s="18"/>
      <c r="P5" s="18"/>
      <c r="Q5" s="18"/>
      <c r="V5" s="611" t="s">
        <v>7</v>
      </c>
      <c r="W5" s="611"/>
      <c r="X5" s="612" t="s">
        <v>8</v>
      </c>
      <c r="Y5" s="612"/>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613" t="s">
        <v>9</v>
      </c>
      <c r="W6" s="613"/>
      <c r="X6" s="613"/>
      <c r="Y6" s="613"/>
      <c r="Z6" s="613"/>
      <c r="AA6" s="613"/>
      <c r="AB6" s="613"/>
      <c r="AC6" s="613"/>
      <c r="AD6" s="22"/>
    </row>
    <row r="7" spans="1:30" ht="18" customHeight="1" x14ac:dyDescent="0.25">
      <c r="B7" s="23" t="s">
        <v>10</v>
      </c>
      <c r="C7" s="23"/>
      <c r="D7" s="23"/>
      <c r="E7" s="23"/>
      <c r="F7" s="23"/>
      <c r="G7" s="24">
        <v>3752.3</v>
      </c>
      <c r="H7" s="24"/>
      <c r="I7" s="23" t="s">
        <v>11</v>
      </c>
      <c r="J7" s="23"/>
      <c r="K7" s="25">
        <v>1.0326</v>
      </c>
      <c r="L7" s="25"/>
      <c r="O7" s="1"/>
      <c r="V7" s="620" t="s">
        <v>10</v>
      </c>
      <c r="W7" s="620"/>
      <c r="X7" s="621">
        <f>'3381'!G7</f>
        <v>3752.3</v>
      </c>
      <c r="Y7" s="621"/>
      <c r="Z7" s="622" t="s">
        <v>11</v>
      </c>
      <c r="AA7" s="622"/>
      <c r="AB7" s="602">
        <f>+K7</f>
        <v>1.0326</v>
      </c>
      <c r="AC7" s="602"/>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603" t="s">
        <v>12</v>
      </c>
      <c r="W8" s="603"/>
      <c r="X8" s="604" t="s">
        <v>15</v>
      </c>
      <c r="Y8" s="604"/>
      <c r="Z8" s="605" t="s">
        <v>16</v>
      </c>
      <c r="AA8" s="605"/>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614" t="s">
        <v>22</v>
      </c>
      <c r="W9" s="614"/>
      <c r="X9" s="615" t="s">
        <v>23</v>
      </c>
      <c r="Y9" s="615"/>
      <c r="Z9" s="616" t="s">
        <v>24</v>
      </c>
      <c r="AA9" s="616"/>
      <c r="AB9" s="43" t="s">
        <v>25</v>
      </c>
      <c r="AC9" s="44" t="s">
        <v>26</v>
      </c>
      <c r="AD9" s="9"/>
    </row>
    <row r="10" spans="1:30" x14ac:dyDescent="0.25">
      <c r="A10" s="1" t="s">
        <v>27</v>
      </c>
      <c r="B10" s="45" t="s">
        <v>28</v>
      </c>
      <c r="C10" s="45"/>
      <c r="D10" s="45">
        <v>178.68</v>
      </c>
      <c r="E10" s="45">
        <v>169.92</v>
      </c>
      <c r="F10" s="45">
        <v>223.03</v>
      </c>
      <c r="G10" s="46">
        <f>D10+E10</f>
        <v>348.6</v>
      </c>
      <c r="H10" s="47"/>
      <c r="I10" s="48">
        <v>1.125</v>
      </c>
      <c r="J10" s="48"/>
      <c r="K10" s="49">
        <f>ROUND(G10*I10,4)</f>
        <v>392.17500000000001</v>
      </c>
      <c r="L10" s="50">
        <f>ROUND(ROUND(K10*$G$7,4)*($K$7),0)</f>
        <v>1519531</v>
      </c>
      <c r="N10" s="51">
        <v>5101</v>
      </c>
      <c r="O10" s="52">
        <v>101</v>
      </c>
      <c r="P10" s="53"/>
      <c r="Q10" s="54"/>
      <c r="V10" s="617" t="s">
        <v>28</v>
      </c>
      <c r="W10" s="617"/>
      <c r="X10" s="618">
        <f>IF('3381'!K$84=1,'3381'!G10,0)</f>
        <v>0</v>
      </c>
      <c r="Y10" s="618"/>
      <c r="Z10" s="619">
        <v>1</v>
      </c>
      <c r="AA10" s="619"/>
      <c r="AB10" s="55">
        <f t="shared" ref="AB10:AB25" si="0">ROUND(X10*Z10,4)</f>
        <v>0</v>
      </c>
      <c r="AC10" s="56">
        <f t="shared" ref="AC10:AC25" si="1">ROUND(ROUND(AB10*$X$7,4)*($AB$7),0)</f>
        <v>0</v>
      </c>
      <c r="AD10" s="9">
        <v>1</v>
      </c>
    </row>
    <row r="11" spans="1:30" x14ac:dyDescent="0.25">
      <c r="A11" s="1" t="s">
        <v>29</v>
      </c>
      <c r="B11" s="13" t="s">
        <v>30</v>
      </c>
      <c r="C11" s="13"/>
      <c r="D11" s="13">
        <v>30.92</v>
      </c>
      <c r="E11" s="13">
        <v>38.159999999999997</v>
      </c>
      <c r="F11" s="13">
        <v>39.19</v>
      </c>
      <c r="G11" s="46">
        <f t="shared" ref="G11:G25" si="2">D11+E11</f>
        <v>69.08</v>
      </c>
      <c r="H11" s="47"/>
      <c r="I11" s="57">
        <f>I10</f>
        <v>1.125</v>
      </c>
      <c r="J11" s="57"/>
      <c r="K11" s="49">
        <f t="shared" ref="K11:K25" si="3">ROUND(G11*I11,4)</f>
        <v>77.715000000000003</v>
      </c>
      <c r="L11" s="50">
        <f t="shared" ref="L11:L25" si="4">ROUND(ROUND(K11*$G$7,4)*($K$7),0)</f>
        <v>301116</v>
      </c>
      <c r="M11" s="1" t="str">
        <f>IF(ROUND(G11,2)=ROUND(SUM(G28:G30),2)," ","CHECK 2. PK-3 Lines Below")</f>
        <v xml:space="preserve"> </v>
      </c>
      <c r="N11" s="51">
        <v>5101</v>
      </c>
      <c r="O11" s="58" t="s">
        <v>31</v>
      </c>
      <c r="P11" s="53"/>
      <c r="Q11" s="54"/>
      <c r="V11" s="623" t="s">
        <v>30</v>
      </c>
      <c r="W11" s="623"/>
      <c r="X11" s="618">
        <f>IF('3381'!K$84=1,'3381'!G11,0)</f>
        <v>0</v>
      </c>
      <c r="Y11" s="618"/>
      <c r="Z11" s="624">
        <v>1</v>
      </c>
      <c r="AA11" s="624"/>
      <c r="AB11" s="55">
        <f t="shared" si="0"/>
        <v>0</v>
      </c>
      <c r="AC11" s="56">
        <f t="shared" si="1"/>
        <v>0</v>
      </c>
      <c r="AD11" s="9"/>
    </row>
    <row r="12" spans="1:30" x14ac:dyDescent="0.25">
      <c r="A12" s="1" t="s">
        <v>32</v>
      </c>
      <c r="B12" s="13" t="s">
        <v>33</v>
      </c>
      <c r="C12" s="13"/>
      <c r="D12" s="13">
        <v>227.59</v>
      </c>
      <c r="E12" s="13">
        <v>232.41</v>
      </c>
      <c r="F12" s="13">
        <v>279.31</v>
      </c>
      <c r="G12" s="46">
        <f t="shared" si="2"/>
        <v>460</v>
      </c>
      <c r="H12" s="47"/>
      <c r="I12" s="57">
        <v>1</v>
      </c>
      <c r="J12" s="57"/>
      <c r="K12" s="49">
        <f t="shared" si="3"/>
        <v>460</v>
      </c>
      <c r="L12" s="50">
        <f t="shared" si="4"/>
        <v>1782327</v>
      </c>
      <c r="N12" s="51">
        <v>5102</v>
      </c>
      <c r="O12" s="52">
        <v>102</v>
      </c>
      <c r="P12" s="53"/>
      <c r="Q12" s="54"/>
      <c r="V12" s="623" t="s">
        <v>33</v>
      </c>
      <c r="W12" s="623"/>
      <c r="X12" s="618">
        <f>IF('3381'!K$84=1,'3381'!G12,0)</f>
        <v>0</v>
      </c>
      <c r="Y12" s="618"/>
      <c r="Z12" s="624">
        <v>1</v>
      </c>
      <c r="AA12" s="624"/>
      <c r="AB12" s="55">
        <f t="shared" si="0"/>
        <v>0</v>
      </c>
      <c r="AC12" s="56">
        <f t="shared" si="1"/>
        <v>0</v>
      </c>
      <c r="AD12" s="9"/>
    </row>
    <row r="13" spans="1:30" x14ac:dyDescent="0.25">
      <c r="A13" s="1" t="s">
        <v>34</v>
      </c>
      <c r="B13" s="13" t="s">
        <v>35</v>
      </c>
      <c r="C13" s="13"/>
      <c r="D13" s="13">
        <v>51.02</v>
      </c>
      <c r="E13" s="13">
        <v>53.07</v>
      </c>
      <c r="F13" s="13">
        <v>64.34</v>
      </c>
      <c r="G13" s="46">
        <f t="shared" si="2"/>
        <v>104.09</v>
      </c>
      <c r="H13" s="47"/>
      <c r="I13" s="57">
        <f>I12</f>
        <v>1</v>
      </c>
      <c r="J13" s="57"/>
      <c r="K13" s="49">
        <f t="shared" si="3"/>
        <v>104.09</v>
      </c>
      <c r="L13" s="50">
        <f t="shared" si="4"/>
        <v>403310</v>
      </c>
      <c r="M13" s="1" t="str">
        <f>IF(ROUND(G13,2)=ROUND(SUM(G31:G33),2)," ","CHECK 2. PK-3 Lines Below")</f>
        <v xml:space="preserve"> </v>
      </c>
      <c r="N13" s="51">
        <v>5102</v>
      </c>
      <c r="O13" s="58" t="s">
        <v>36</v>
      </c>
      <c r="P13" s="53"/>
      <c r="Q13" s="54"/>
      <c r="V13" s="623" t="s">
        <v>35</v>
      </c>
      <c r="W13" s="623"/>
      <c r="X13" s="618">
        <f>IF('3381'!K$84=1,'3381'!G13,0)</f>
        <v>0</v>
      </c>
      <c r="Y13" s="618"/>
      <c r="Z13" s="624">
        <v>1</v>
      </c>
      <c r="AA13" s="624"/>
      <c r="AB13" s="55">
        <f t="shared" si="0"/>
        <v>0</v>
      </c>
      <c r="AC13" s="56">
        <f t="shared" si="1"/>
        <v>0</v>
      </c>
      <c r="AD13" s="9"/>
    </row>
    <row r="14" spans="1:30" x14ac:dyDescent="0.25">
      <c r="A14" s="1" t="s">
        <v>37</v>
      </c>
      <c r="B14" s="13" t="s">
        <v>38</v>
      </c>
      <c r="C14" s="13"/>
      <c r="D14" s="13">
        <v>0</v>
      </c>
      <c r="E14" s="13">
        <v>0</v>
      </c>
      <c r="F14" s="13">
        <v>0</v>
      </c>
      <c r="G14" s="46">
        <f t="shared" si="2"/>
        <v>0</v>
      </c>
      <c r="H14" s="47"/>
      <c r="I14" s="57">
        <v>1.0109999999999999</v>
      </c>
      <c r="J14" s="57"/>
      <c r="K14" s="49">
        <f t="shared" si="3"/>
        <v>0</v>
      </c>
      <c r="L14" s="50">
        <f t="shared" si="4"/>
        <v>0</v>
      </c>
      <c r="N14" s="51">
        <v>5103</v>
      </c>
      <c r="O14" s="52">
        <v>103</v>
      </c>
      <c r="P14" s="53"/>
      <c r="Q14" s="54"/>
      <c r="V14" s="623" t="s">
        <v>38</v>
      </c>
      <c r="W14" s="623"/>
      <c r="X14" s="618">
        <f>IF('3381'!K$84=1,'3381'!G14,0)</f>
        <v>0</v>
      </c>
      <c r="Y14" s="618"/>
      <c r="Z14" s="624">
        <v>1</v>
      </c>
      <c r="AA14" s="624"/>
      <c r="AB14" s="55">
        <f t="shared" si="0"/>
        <v>0</v>
      </c>
      <c r="AC14" s="56">
        <f t="shared" si="1"/>
        <v>0</v>
      </c>
      <c r="AD14" s="9"/>
    </row>
    <row r="15" spans="1:30" x14ac:dyDescent="0.25">
      <c r="A15" s="1" t="s">
        <v>39</v>
      </c>
      <c r="B15" s="13" t="s">
        <v>40</v>
      </c>
      <c r="C15" s="13"/>
      <c r="D15" s="13">
        <v>0</v>
      </c>
      <c r="E15" s="13">
        <v>0</v>
      </c>
      <c r="F15" s="13">
        <v>0</v>
      </c>
      <c r="G15" s="46">
        <f t="shared" si="2"/>
        <v>0</v>
      </c>
      <c r="H15" s="47"/>
      <c r="I15" s="57">
        <f>I14</f>
        <v>1.0109999999999999</v>
      </c>
      <c r="J15" s="57"/>
      <c r="K15" s="49">
        <f t="shared" si="3"/>
        <v>0</v>
      </c>
      <c r="L15" s="59">
        <f t="shared" si="4"/>
        <v>0</v>
      </c>
      <c r="M15" s="1" t="str">
        <f>IF(ROUND(G15,2)=ROUND(SUM(G34:G36),2)," ","CHECK 2. PK-3 Lines Below")</f>
        <v xml:space="preserve"> </v>
      </c>
      <c r="N15" s="51">
        <v>5103</v>
      </c>
      <c r="O15" s="58" t="s">
        <v>41</v>
      </c>
      <c r="P15" s="53"/>
      <c r="Q15" s="54"/>
      <c r="V15" s="623" t="s">
        <v>40</v>
      </c>
      <c r="W15" s="623"/>
      <c r="X15" s="618">
        <f>IF('3381'!K$84=1,'3381'!G15,0)</f>
        <v>0</v>
      </c>
      <c r="Y15" s="618"/>
      <c r="Z15" s="624">
        <v>1</v>
      </c>
      <c r="AA15" s="624"/>
      <c r="AB15" s="55">
        <f t="shared" si="0"/>
        <v>0</v>
      </c>
      <c r="AC15" s="60">
        <f t="shared" si="1"/>
        <v>0</v>
      </c>
      <c r="AD15" s="9"/>
    </row>
    <row r="16" spans="1:30" x14ac:dyDescent="0.25">
      <c r="A16" s="1" t="s">
        <v>42</v>
      </c>
      <c r="B16" s="13" t="s">
        <v>43</v>
      </c>
      <c r="C16" s="13"/>
      <c r="D16" s="13">
        <v>0</v>
      </c>
      <c r="E16" s="13">
        <v>0</v>
      </c>
      <c r="F16" s="13">
        <v>0</v>
      </c>
      <c r="G16" s="46">
        <f t="shared" si="2"/>
        <v>0</v>
      </c>
      <c r="H16" s="47"/>
      <c r="I16" s="57">
        <v>3.5579999999999998</v>
      </c>
      <c r="J16" s="57"/>
      <c r="K16" s="49">
        <f t="shared" si="3"/>
        <v>0</v>
      </c>
      <c r="L16" s="50">
        <f t="shared" si="4"/>
        <v>0</v>
      </c>
      <c r="N16" s="51">
        <v>5101</v>
      </c>
      <c r="O16" s="53">
        <v>254</v>
      </c>
      <c r="P16" s="53"/>
      <c r="Q16" s="54"/>
      <c r="V16" s="623" t="s">
        <v>43</v>
      </c>
      <c r="W16" s="623"/>
      <c r="X16" s="618">
        <f>IF('3381'!K$84=1,'3381'!G16,0)</f>
        <v>0</v>
      </c>
      <c r="Y16" s="618"/>
      <c r="Z16" s="624">
        <v>1</v>
      </c>
      <c r="AA16" s="624"/>
      <c r="AB16" s="55">
        <f t="shared" si="0"/>
        <v>0</v>
      </c>
      <c r="AC16" s="56">
        <f t="shared" si="1"/>
        <v>0</v>
      </c>
      <c r="AD16" s="9"/>
    </row>
    <row r="17" spans="1:30" x14ac:dyDescent="0.25">
      <c r="A17" s="1" t="s">
        <v>44</v>
      </c>
      <c r="B17" s="13" t="s">
        <v>45</v>
      </c>
      <c r="C17" s="13"/>
      <c r="D17" s="13">
        <v>0</v>
      </c>
      <c r="E17" s="13">
        <v>0</v>
      </c>
      <c r="F17" s="13">
        <v>0</v>
      </c>
      <c r="G17" s="46">
        <f t="shared" si="2"/>
        <v>0</v>
      </c>
      <c r="H17" s="47"/>
      <c r="I17" s="57">
        <f>I16</f>
        <v>3.5579999999999998</v>
      </c>
      <c r="J17" s="57"/>
      <c r="K17" s="49">
        <f t="shared" si="3"/>
        <v>0</v>
      </c>
      <c r="L17" s="50">
        <f t="shared" si="4"/>
        <v>0</v>
      </c>
      <c r="N17" s="51">
        <v>5102</v>
      </c>
      <c r="O17" s="54">
        <v>254</v>
      </c>
      <c r="P17" s="53"/>
      <c r="Q17" s="54"/>
      <c r="V17" s="623" t="s">
        <v>45</v>
      </c>
      <c r="W17" s="623"/>
      <c r="X17" s="618">
        <f>IF('3381'!K$84=1,'3381'!G17,0)</f>
        <v>0</v>
      </c>
      <c r="Y17" s="618"/>
      <c r="Z17" s="624">
        <v>1</v>
      </c>
      <c r="AA17" s="624"/>
      <c r="AB17" s="55">
        <f t="shared" si="0"/>
        <v>0</v>
      </c>
      <c r="AC17" s="56">
        <f t="shared" si="1"/>
        <v>0</v>
      </c>
      <c r="AD17" s="9"/>
    </row>
    <row r="18" spans="1:30" x14ac:dyDescent="0.25">
      <c r="A18" s="1" t="s">
        <v>46</v>
      </c>
      <c r="B18" s="13" t="s">
        <v>47</v>
      </c>
      <c r="C18" s="13"/>
      <c r="D18" s="13">
        <v>0</v>
      </c>
      <c r="E18" s="13">
        <v>0</v>
      </c>
      <c r="F18" s="13">
        <v>0</v>
      </c>
      <c r="G18" s="46">
        <f t="shared" si="2"/>
        <v>0</v>
      </c>
      <c r="H18" s="47"/>
      <c r="I18" s="57">
        <f>I17</f>
        <v>3.5579999999999998</v>
      </c>
      <c r="J18" s="57"/>
      <c r="K18" s="49">
        <f t="shared" si="3"/>
        <v>0</v>
      </c>
      <c r="L18" s="50">
        <f t="shared" si="4"/>
        <v>0</v>
      </c>
      <c r="N18" s="51">
        <v>5103</v>
      </c>
      <c r="O18" s="54">
        <v>254</v>
      </c>
      <c r="P18" s="53"/>
      <c r="Q18" s="54"/>
      <c r="V18" s="623" t="s">
        <v>47</v>
      </c>
      <c r="W18" s="623"/>
      <c r="X18" s="618">
        <f>IF('3381'!K$84=1,'3381'!G18,0)</f>
        <v>0</v>
      </c>
      <c r="Y18" s="618"/>
      <c r="Z18" s="624">
        <v>1</v>
      </c>
      <c r="AA18" s="624"/>
      <c r="AB18" s="55">
        <f t="shared" si="0"/>
        <v>0</v>
      </c>
      <c r="AC18" s="56">
        <f t="shared" si="1"/>
        <v>0</v>
      </c>
      <c r="AD18" s="9"/>
    </row>
    <row r="19" spans="1:30" ht="15" customHeight="1" x14ac:dyDescent="0.25">
      <c r="A19" s="1" t="s">
        <v>48</v>
      </c>
      <c r="B19" s="13" t="s">
        <v>49</v>
      </c>
      <c r="C19" s="13"/>
      <c r="D19" s="13">
        <v>0</v>
      </c>
      <c r="E19" s="13">
        <v>0</v>
      </c>
      <c r="F19" s="13">
        <v>0</v>
      </c>
      <c r="G19" s="46">
        <f t="shared" si="2"/>
        <v>0</v>
      </c>
      <c r="H19" s="47"/>
      <c r="I19" s="57">
        <v>5.0890000000000004</v>
      </c>
      <c r="J19" s="57"/>
      <c r="K19" s="49">
        <f t="shared" si="3"/>
        <v>0</v>
      </c>
      <c r="L19" s="50">
        <f t="shared" si="4"/>
        <v>0</v>
      </c>
      <c r="N19" s="51">
        <v>5101</v>
      </c>
      <c r="O19" s="53">
        <v>255</v>
      </c>
      <c r="P19" s="53"/>
      <c r="Q19" s="54"/>
      <c r="V19" s="623" t="s">
        <v>49</v>
      </c>
      <c r="W19" s="623"/>
      <c r="X19" s="618">
        <f>IF('3381'!K$84=1,'3381'!G19,0)</f>
        <v>0</v>
      </c>
      <c r="Y19" s="618"/>
      <c r="Z19" s="624">
        <v>1</v>
      </c>
      <c r="AA19" s="624"/>
      <c r="AB19" s="55">
        <f t="shared" si="0"/>
        <v>0</v>
      </c>
      <c r="AC19" s="56">
        <f t="shared" si="1"/>
        <v>0</v>
      </c>
      <c r="AD19" s="9"/>
    </row>
    <row r="20" spans="1:30" ht="15" customHeight="1" x14ac:dyDescent="0.25">
      <c r="A20" s="1" t="s">
        <v>50</v>
      </c>
      <c r="B20" s="13" t="s">
        <v>51</v>
      </c>
      <c r="C20" s="13"/>
      <c r="D20" s="13">
        <v>0</v>
      </c>
      <c r="E20" s="13">
        <v>0</v>
      </c>
      <c r="F20" s="13">
        <v>0</v>
      </c>
      <c r="G20" s="46">
        <f t="shared" si="2"/>
        <v>0</v>
      </c>
      <c r="H20" s="47"/>
      <c r="I20" s="57">
        <f>I19</f>
        <v>5.0890000000000004</v>
      </c>
      <c r="J20" s="57"/>
      <c r="K20" s="49">
        <f t="shared" si="3"/>
        <v>0</v>
      </c>
      <c r="L20" s="50">
        <f t="shared" si="4"/>
        <v>0</v>
      </c>
      <c r="N20" s="51">
        <v>5102</v>
      </c>
      <c r="O20" s="54">
        <v>255</v>
      </c>
      <c r="P20" s="53"/>
      <c r="Q20" s="54"/>
      <c r="V20" s="623" t="s">
        <v>51</v>
      </c>
      <c r="W20" s="623"/>
      <c r="X20" s="618">
        <f>IF('3381'!K$84=1,'3381'!G20,0)</f>
        <v>0</v>
      </c>
      <c r="Y20" s="618"/>
      <c r="Z20" s="624">
        <v>1</v>
      </c>
      <c r="AA20" s="624"/>
      <c r="AB20" s="55">
        <f t="shared" si="0"/>
        <v>0</v>
      </c>
      <c r="AC20" s="56">
        <f t="shared" si="1"/>
        <v>0</v>
      </c>
      <c r="AD20" s="9"/>
    </row>
    <row r="21" spans="1:30" ht="15" customHeight="1" x14ac:dyDescent="0.25">
      <c r="A21" s="1" t="s">
        <v>52</v>
      </c>
      <c r="B21" s="13" t="s">
        <v>53</v>
      </c>
      <c r="C21" s="13"/>
      <c r="D21" s="13">
        <v>0</v>
      </c>
      <c r="E21" s="13">
        <v>0</v>
      </c>
      <c r="F21" s="13">
        <v>0</v>
      </c>
      <c r="G21" s="46">
        <f t="shared" si="2"/>
        <v>0</v>
      </c>
      <c r="H21" s="47"/>
      <c r="I21" s="57">
        <f>I20</f>
        <v>5.0890000000000004</v>
      </c>
      <c r="J21" s="57"/>
      <c r="K21" s="49">
        <f t="shared" si="3"/>
        <v>0</v>
      </c>
      <c r="L21" s="50">
        <f t="shared" si="4"/>
        <v>0</v>
      </c>
      <c r="N21" s="51">
        <v>5103</v>
      </c>
      <c r="O21" s="54">
        <v>255</v>
      </c>
      <c r="P21" s="53"/>
      <c r="Q21" s="54"/>
      <c r="V21" s="623" t="s">
        <v>53</v>
      </c>
      <c r="W21" s="623"/>
      <c r="X21" s="618">
        <f>IF('3381'!K$84=1,'3381'!G21,0)</f>
        <v>0</v>
      </c>
      <c r="Y21" s="618"/>
      <c r="Z21" s="624">
        <v>1</v>
      </c>
      <c r="AA21" s="624"/>
      <c r="AB21" s="55">
        <f t="shared" si="0"/>
        <v>0</v>
      </c>
      <c r="AC21" s="56">
        <f t="shared" si="1"/>
        <v>0</v>
      </c>
      <c r="AD21" s="9"/>
    </row>
    <row r="22" spans="1:30" x14ac:dyDescent="0.25">
      <c r="A22" s="1" t="s">
        <v>54</v>
      </c>
      <c r="B22" s="13" t="s">
        <v>55</v>
      </c>
      <c r="C22" s="13"/>
      <c r="D22" s="13">
        <v>9.66</v>
      </c>
      <c r="E22" s="13">
        <v>9.26</v>
      </c>
      <c r="F22" s="13">
        <v>12.21</v>
      </c>
      <c r="G22" s="46">
        <f t="shared" si="2"/>
        <v>18.920000000000002</v>
      </c>
      <c r="H22" s="47"/>
      <c r="I22" s="57">
        <v>1.145</v>
      </c>
      <c r="J22" s="57"/>
      <c r="K22" s="49">
        <f t="shared" si="3"/>
        <v>21.663399999999999</v>
      </c>
      <c r="L22" s="50">
        <f t="shared" si="4"/>
        <v>83938</v>
      </c>
      <c r="N22" s="51">
        <v>5101</v>
      </c>
      <c r="O22" s="52">
        <v>130</v>
      </c>
      <c r="P22" s="53"/>
      <c r="Q22" s="54"/>
      <c r="V22" s="623" t="s">
        <v>55</v>
      </c>
      <c r="W22" s="623"/>
      <c r="X22" s="618">
        <f>IF('3381'!K$84=1,'3381'!G22,0)</f>
        <v>0</v>
      </c>
      <c r="Y22" s="618"/>
      <c r="Z22" s="624">
        <v>1</v>
      </c>
      <c r="AA22" s="624"/>
      <c r="AB22" s="55">
        <f t="shared" si="0"/>
        <v>0</v>
      </c>
      <c r="AC22" s="56">
        <f t="shared" si="1"/>
        <v>0</v>
      </c>
      <c r="AD22" s="9"/>
    </row>
    <row r="23" spans="1:30" x14ac:dyDescent="0.25">
      <c r="A23" s="1" t="s">
        <v>56</v>
      </c>
      <c r="B23" s="13" t="s">
        <v>57</v>
      </c>
      <c r="C23" s="13"/>
      <c r="D23" s="13">
        <v>0</v>
      </c>
      <c r="E23" s="13">
        <v>0</v>
      </c>
      <c r="F23" s="13">
        <v>0</v>
      </c>
      <c r="G23" s="46">
        <f t="shared" si="2"/>
        <v>0</v>
      </c>
      <c r="H23" s="47"/>
      <c r="I23" s="57">
        <f>I22</f>
        <v>1.145</v>
      </c>
      <c r="J23" s="57"/>
      <c r="K23" s="49">
        <f t="shared" si="3"/>
        <v>0</v>
      </c>
      <c r="L23" s="50">
        <f t="shared" si="4"/>
        <v>0</v>
      </c>
      <c r="N23" s="51">
        <v>5102</v>
      </c>
      <c r="O23" s="52">
        <v>130</v>
      </c>
      <c r="P23" s="53"/>
      <c r="Q23" s="54"/>
      <c r="V23" s="623" t="s">
        <v>57</v>
      </c>
      <c r="W23" s="623"/>
      <c r="X23" s="618">
        <f>IF('3381'!K$84=1,'3381'!G23,0)</f>
        <v>0</v>
      </c>
      <c r="Y23" s="618"/>
      <c r="Z23" s="624">
        <v>1</v>
      </c>
      <c r="AA23" s="624"/>
      <c r="AB23" s="55">
        <f t="shared" si="0"/>
        <v>0</v>
      </c>
      <c r="AC23" s="56">
        <f t="shared" si="1"/>
        <v>0</v>
      </c>
      <c r="AD23" s="9"/>
    </row>
    <row r="24" spans="1:30" x14ac:dyDescent="0.25">
      <c r="A24" s="1" t="s">
        <v>58</v>
      </c>
      <c r="B24" s="13" t="s">
        <v>59</v>
      </c>
      <c r="C24" s="13"/>
      <c r="D24" s="13">
        <v>0</v>
      </c>
      <c r="E24" s="13">
        <v>0</v>
      </c>
      <c r="F24" s="13">
        <v>0</v>
      </c>
      <c r="G24" s="46">
        <f t="shared" si="2"/>
        <v>0</v>
      </c>
      <c r="H24" s="47"/>
      <c r="I24" s="57">
        <f>I23</f>
        <v>1.145</v>
      </c>
      <c r="J24" s="57"/>
      <c r="K24" s="49">
        <f t="shared" si="3"/>
        <v>0</v>
      </c>
      <c r="L24" s="50">
        <f t="shared" si="4"/>
        <v>0</v>
      </c>
      <c r="N24" s="51">
        <v>5103</v>
      </c>
      <c r="O24" s="52">
        <v>130</v>
      </c>
      <c r="P24" s="53"/>
      <c r="Q24" s="54"/>
      <c r="V24" s="623" t="s">
        <v>59</v>
      </c>
      <c r="W24" s="623"/>
      <c r="X24" s="618">
        <f>IF('3381'!K$84=1,'3381'!G24,0)</f>
        <v>0</v>
      </c>
      <c r="Y24" s="618"/>
      <c r="Z24" s="624">
        <v>1</v>
      </c>
      <c r="AA24" s="624"/>
      <c r="AB24" s="55">
        <f t="shared" si="0"/>
        <v>0</v>
      </c>
      <c r="AC24" s="56">
        <f t="shared" si="1"/>
        <v>0</v>
      </c>
      <c r="AD24" s="9"/>
    </row>
    <row r="25" spans="1:30" ht="16.5" thickBot="1" x14ac:dyDescent="0.3">
      <c r="A25" s="1" t="s">
        <v>60</v>
      </c>
      <c r="B25" s="13" t="s">
        <v>61</v>
      </c>
      <c r="C25" s="13"/>
      <c r="D25" s="13">
        <v>0</v>
      </c>
      <c r="E25" s="13">
        <v>0</v>
      </c>
      <c r="F25" s="13">
        <v>0</v>
      </c>
      <c r="G25" s="46">
        <f t="shared" si="2"/>
        <v>0</v>
      </c>
      <c r="H25" s="47"/>
      <c r="I25" s="57">
        <v>1.0109999999999999</v>
      </c>
      <c r="J25" s="57"/>
      <c r="K25" s="49">
        <f t="shared" si="3"/>
        <v>0</v>
      </c>
      <c r="L25" s="50">
        <f t="shared" si="4"/>
        <v>0</v>
      </c>
      <c r="N25" s="51">
        <v>5310</v>
      </c>
      <c r="O25" s="52">
        <v>300</v>
      </c>
      <c r="P25" s="53"/>
      <c r="Q25" s="54"/>
      <c r="V25" s="623" t="s">
        <v>61</v>
      </c>
      <c r="W25" s="623"/>
      <c r="X25" s="618">
        <f>IF('3381'!K$84=1,'3381'!G25,0)</f>
        <v>0</v>
      </c>
      <c r="Y25" s="618"/>
      <c r="Z25" s="624">
        <v>1</v>
      </c>
      <c r="AA25" s="624"/>
      <c r="AB25" s="55">
        <f t="shared" si="0"/>
        <v>0</v>
      </c>
      <c r="AC25" s="56">
        <f t="shared" si="1"/>
        <v>0</v>
      </c>
      <c r="AD25" s="9"/>
    </row>
    <row r="26" spans="1:30" ht="20.25" customHeight="1" thickBot="1" x14ac:dyDescent="0.3">
      <c r="B26" s="62" t="s">
        <v>62</v>
      </c>
      <c r="C26" s="62"/>
      <c r="D26" s="63">
        <f t="shared" ref="D26:E26" si="5">SUM(D10:D25)</f>
        <v>497.87000000000006</v>
      </c>
      <c r="E26" s="63">
        <f t="shared" si="5"/>
        <v>502.82</v>
      </c>
      <c r="F26" s="63"/>
      <c r="G26" s="63">
        <f>SUM(G10:G25)</f>
        <v>1000.69</v>
      </c>
      <c r="H26" s="64"/>
      <c r="I26" s="64"/>
      <c r="J26" s="65"/>
      <c r="K26" s="66">
        <f>SUM(K10:K25)</f>
        <v>1055.6433999999999</v>
      </c>
      <c r="L26" s="67">
        <f>SUM(L10:L25)</f>
        <v>4090222</v>
      </c>
      <c r="N26" s="54"/>
      <c r="O26" s="68"/>
      <c r="P26" s="54"/>
      <c r="Q26" s="54"/>
      <c r="V26" s="625" t="s">
        <v>62</v>
      </c>
      <c r="W26" s="625"/>
      <c r="X26" s="626">
        <f>SUM(X10:X25)</f>
        <v>0</v>
      </c>
      <c r="Y26" s="626"/>
      <c r="Z26" s="627"/>
      <c r="AA26" s="628"/>
      <c r="AB26" s="69">
        <f>SUM(AB10:AB25)</f>
        <v>0</v>
      </c>
      <c r="AC26" s="70">
        <f>SUM(AC10:AC25)</f>
        <v>0</v>
      </c>
      <c r="AD26" s="9"/>
    </row>
    <row r="27" spans="1:30" ht="51.75" customHeight="1" x14ac:dyDescent="0.25">
      <c r="B27" s="62" t="s">
        <v>63</v>
      </c>
      <c r="C27" s="62"/>
      <c r="D27" s="71" t="s">
        <v>13</v>
      </c>
      <c r="E27" s="71" t="s">
        <v>14</v>
      </c>
      <c r="F27" s="27"/>
      <c r="G27" s="72" t="s">
        <v>64</v>
      </c>
      <c r="H27" s="73"/>
      <c r="I27" s="74" t="s">
        <v>65</v>
      </c>
      <c r="J27" s="74" t="s">
        <v>66</v>
      </c>
      <c r="K27" s="75" t="s">
        <v>67</v>
      </c>
      <c r="N27" s="54"/>
      <c r="O27" s="68"/>
      <c r="P27" s="54"/>
      <c r="Q27" s="54"/>
      <c r="V27" s="629" t="s">
        <v>63</v>
      </c>
      <c r="W27" s="629"/>
      <c r="X27" s="630" t="s">
        <v>64</v>
      </c>
      <c r="Y27" s="630"/>
      <c r="Z27" s="76" t="s">
        <v>65</v>
      </c>
      <c r="AA27" s="77" t="s">
        <v>66</v>
      </c>
      <c r="AB27" s="78" t="s">
        <v>67</v>
      </c>
      <c r="AC27" s="9"/>
      <c r="AD27" s="9"/>
    </row>
    <row r="28" spans="1:30" ht="15.75" customHeight="1" x14ac:dyDescent="0.25">
      <c r="A28" s="1" t="s">
        <v>68</v>
      </c>
      <c r="B28" s="631" t="s">
        <v>69</v>
      </c>
      <c r="C28" s="632"/>
      <c r="D28" s="13">
        <v>30.43</v>
      </c>
      <c r="E28" s="13">
        <v>37.64</v>
      </c>
      <c r="F28" s="79">
        <v>28.3</v>
      </c>
      <c r="G28" s="46">
        <f t="shared" ref="G28:G36" si="6">D28+E28</f>
        <v>68.069999999999993</v>
      </c>
      <c r="H28" s="80"/>
      <c r="I28" s="81" t="s">
        <v>70</v>
      </c>
      <c r="J28" s="82">
        <v>251</v>
      </c>
      <c r="K28" s="83">
        <v>1047</v>
      </c>
      <c r="L28" s="84">
        <f>ROUND(G28*K28,0)</f>
        <v>71269</v>
      </c>
      <c r="N28" s="85">
        <v>5101</v>
      </c>
      <c r="O28" s="54">
        <v>251</v>
      </c>
      <c r="P28" s="86"/>
      <c r="Q28" s="87"/>
      <c r="V28" s="637" t="s">
        <v>69</v>
      </c>
      <c r="W28" s="637"/>
      <c r="X28" s="638"/>
      <c r="Y28" s="638"/>
      <c r="Z28" s="88" t="s">
        <v>70</v>
      </c>
      <c r="AA28" s="89">
        <v>251</v>
      </c>
      <c r="AB28" s="90">
        <f>+K28</f>
        <v>1047</v>
      </c>
      <c r="AC28" s="91">
        <f t="shared" ref="AC28:AC36" si="7">ROUND(X28*AB28,0)</f>
        <v>0</v>
      </c>
      <c r="AD28" s="9"/>
    </row>
    <row r="29" spans="1:30" x14ac:dyDescent="0.25">
      <c r="A29" s="1" t="s">
        <v>71</v>
      </c>
      <c r="B29" s="633"/>
      <c r="C29" s="634"/>
      <c r="D29" s="13">
        <v>0.49</v>
      </c>
      <c r="E29" s="13">
        <v>0.52</v>
      </c>
      <c r="F29" s="92">
        <v>1</v>
      </c>
      <c r="G29" s="46">
        <f t="shared" si="6"/>
        <v>1.01</v>
      </c>
      <c r="H29" s="80"/>
      <c r="I29" s="82" t="s">
        <v>70</v>
      </c>
      <c r="J29" s="82">
        <v>252</v>
      </c>
      <c r="K29" s="83">
        <v>3380</v>
      </c>
      <c r="L29" s="84">
        <f t="shared" ref="L29:L36" si="8">ROUND(G29*K29,0)</f>
        <v>3414</v>
      </c>
      <c r="N29" s="85">
        <v>5101</v>
      </c>
      <c r="O29" s="54">
        <v>252</v>
      </c>
      <c r="P29" s="86"/>
      <c r="Q29" s="87"/>
      <c r="V29" s="637"/>
      <c r="W29" s="637"/>
      <c r="X29" s="638"/>
      <c r="Y29" s="638"/>
      <c r="Z29" s="89" t="s">
        <v>70</v>
      </c>
      <c r="AA29" s="89">
        <v>252</v>
      </c>
      <c r="AB29" s="90">
        <f t="shared" ref="AB29:AB36" si="9">+K29</f>
        <v>3380</v>
      </c>
      <c r="AC29" s="91">
        <f t="shared" si="7"/>
        <v>0</v>
      </c>
      <c r="AD29" s="9"/>
    </row>
    <row r="30" spans="1:30" x14ac:dyDescent="0.25">
      <c r="A30" s="1" t="s">
        <v>72</v>
      </c>
      <c r="B30" s="633"/>
      <c r="C30" s="634"/>
      <c r="D30" s="13">
        <v>0</v>
      </c>
      <c r="E30" s="13">
        <v>0</v>
      </c>
      <c r="F30" s="92">
        <v>0</v>
      </c>
      <c r="G30" s="46">
        <f t="shared" si="6"/>
        <v>0</v>
      </c>
      <c r="H30" s="80"/>
      <c r="I30" s="82" t="s">
        <v>70</v>
      </c>
      <c r="J30" s="82">
        <v>253</v>
      </c>
      <c r="K30" s="83">
        <v>6896</v>
      </c>
      <c r="L30" s="84">
        <f t="shared" si="8"/>
        <v>0</v>
      </c>
      <c r="N30" s="85">
        <v>5101</v>
      </c>
      <c r="O30" s="54">
        <v>253</v>
      </c>
      <c r="P30" s="86"/>
      <c r="Q30" s="68"/>
      <c r="V30" s="637"/>
      <c r="W30" s="637"/>
      <c r="X30" s="638"/>
      <c r="Y30" s="638"/>
      <c r="Z30" s="89" t="s">
        <v>70</v>
      </c>
      <c r="AA30" s="89">
        <v>253</v>
      </c>
      <c r="AB30" s="90">
        <f t="shared" si="9"/>
        <v>6896</v>
      </c>
      <c r="AC30" s="91">
        <f t="shared" si="7"/>
        <v>0</v>
      </c>
      <c r="AD30" s="9"/>
    </row>
    <row r="31" spans="1:30" x14ac:dyDescent="0.25">
      <c r="A31" s="1" t="s">
        <v>73</v>
      </c>
      <c r="B31" s="633"/>
      <c r="C31" s="634"/>
      <c r="D31" s="13">
        <v>50.06</v>
      </c>
      <c r="E31" s="13">
        <v>52.03</v>
      </c>
      <c r="F31" s="92">
        <v>51.54</v>
      </c>
      <c r="G31" s="46">
        <f t="shared" si="6"/>
        <v>102.09</v>
      </c>
      <c r="H31" s="80"/>
      <c r="I31" s="93" t="s">
        <v>74</v>
      </c>
      <c r="J31" s="82">
        <v>251</v>
      </c>
      <c r="K31" s="83">
        <v>1173</v>
      </c>
      <c r="L31" s="84">
        <f t="shared" si="8"/>
        <v>119752</v>
      </c>
      <c r="N31" s="85">
        <v>5102</v>
      </c>
      <c r="O31" s="54">
        <v>251</v>
      </c>
      <c r="P31" s="86"/>
      <c r="Q31" s="68"/>
      <c r="V31" s="637"/>
      <c r="W31" s="637"/>
      <c r="X31" s="638"/>
      <c r="Y31" s="638"/>
      <c r="Z31" s="94" t="s">
        <v>74</v>
      </c>
      <c r="AA31" s="89">
        <v>251</v>
      </c>
      <c r="AB31" s="90">
        <f t="shared" si="9"/>
        <v>1173</v>
      </c>
      <c r="AC31" s="91">
        <f t="shared" si="7"/>
        <v>0</v>
      </c>
      <c r="AD31" s="9"/>
    </row>
    <row r="32" spans="1:30" x14ac:dyDescent="0.25">
      <c r="A32" s="1" t="s">
        <v>75</v>
      </c>
      <c r="B32" s="633"/>
      <c r="C32" s="634"/>
      <c r="D32" s="13">
        <v>0.96</v>
      </c>
      <c r="E32" s="13">
        <v>1.04</v>
      </c>
      <c r="F32" s="92">
        <v>1</v>
      </c>
      <c r="G32" s="46">
        <f t="shared" si="6"/>
        <v>2</v>
      </c>
      <c r="H32" s="80"/>
      <c r="I32" s="93" t="s">
        <v>74</v>
      </c>
      <c r="J32" s="82">
        <v>252</v>
      </c>
      <c r="K32" s="83">
        <v>3506</v>
      </c>
      <c r="L32" s="84">
        <f t="shared" si="8"/>
        <v>7012</v>
      </c>
      <c r="N32" s="85">
        <v>5102</v>
      </c>
      <c r="O32" s="54">
        <v>252</v>
      </c>
      <c r="P32" s="86"/>
      <c r="Q32" s="54"/>
      <c r="V32" s="637"/>
      <c r="W32" s="637"/>
      <c r="X32" s="638"/>
      <c r="Y32" s="638"/>
      <c r="Z32" s="94" t="s">
        <v>74</v>
      </c>
      <c r="AA32" s="89">
        <v>252</v>
      </c>
      <c r="AB32" s="90">
        <f t="shared" si="9"/>
        <v>3506</v>
      </c>
      <c r="AC32" s="91">
        <f t="shared" si="7"/>
        <v>0</v>
      </c>
      <c r="AD32" s="9"/>
    </row>
    <row r="33" spans="1:30" x14ac:dyDescent="0.25">
      <c r="A33" s="1" t="s">
        <v>76</v>
      </c>
      <c r="B33" s="633"/>
      <c r="C33" s="634"/>
      <c r="D33" s="13">
        <v>0</v>
      </c>
      <c r="E33" s="13">
        <v>0</v>
      </c>
      <c r="F33" s="92">
        <v>0</v>
      </c>
      <c r="G33" s="46">
        <f t="shared" si="6"/>
        <v>0</v>
      </c>
      <c r="H33" s="80"/>
      <c r="I33" s="93" t="s">
        <v>74</v>
      </c>
      <c r="J33" s="82">
        <v>253</v>
      </c>
      <c r="K33" s="83">
        <v>7023</v>
      </c>
      <c r="L33" s="84">
        <f t="shared" si="8"/>
        <v>0</v>
      </c>
      <c r="N33" s="85">
        <v>5102</v>
      </c>
      <c r="O33" s="54">
        <v>253</v>
      </c>
      <c r="P33" s="86"/>
      <c r="Q33" s="87"/>
      <c r="V33" s="637"/>
      <c r="W33" s="637"/>
      <c r="X33" s="638"/>
      <c r="Y33" s="638"/>
      <c r="Z33" s="94" t="s">
        <v>74</v>
      </c>
      <c r="AA33" s="89">
        <v>253</v>
      </c>
      <c r="AB33" s="90">
        <f t="shared" si="9"/>
        <v>7023</v>
      </c>
      <c r="AC33" s="91">
        <f t="shared" si="7"/>
        <v>0</v>
      </c>
      <c r="AD33" s="9"/>
    </row>
    <row r="34" spans="1:30" x14ac:dyDescent="0.25">
      <c r="A34" s="1" t="s">
        <v>77</v>
      </c>
      <c r="B34" s="633"/>
      <c r="C34" s="634"/>
      <c r="D34" s="13">
        <v>0</v>
      </c>
      <c r="E34" s="13">
        <v>0</v>
      </c>
      <c r="F34" s="92">
        <v>0</v>
      </c>
      <c r="G34" s="46">
        <f t="shared" si="6"/>
        <v>0</v>
      </c>
      <c r="H34" s="80"/>
      <c r="I34" s="93" t="s">
        <v>78</v>
      </c>
      <c r="J34" s="82">
        <v>251</v>
      </c>
      <c r="K34" s="83">
        <v>835</v>
      </c>
      <c r="L34" s="84">
        <f t="shared" si="8"/>
        <v>0</v>
      </c>
      <c r="N34" s="85">
        <v>5103</v>
      </c>
      <c r="O34" s="54">
        <v>251</v>
      </c>
      <c r="P34" s="86"/>
      <c r="Q34" s="87"/>
      <c r="V34" s="637"/>
      <c r="W34" s="637"/>
      <c r="X34" s="638"/>
      <c r="Y34" s="638"/>
      <c r="Z34" s="94" t="s">
        <v>78</v>
      </c>
      <c r="AA34" s="89">
        <v>251</v>
      </c>
      <c r="AB34" s="90">
        <f t="shared" si="9"/>
        <v>835</v>
      </c>
      <c r="AC34" s="91">
        <f t="shared" si="7"/>
        <v>0</v>
      </c>
      <c r="AD34" s="9"/>
    </row>
    <row r="35" spans="1:30" x14ac:dyDescent="0.25">
      <c r="A35" s="1" t="s">
        <v>79</v>
      </c>
      <c r="B35" s="633"/>
      <c r="C35" s="634"/>
      <c r="D35" s="13">
        <v>0</v>
      </c>
      <c r="E35" s="13">
        <v>0</v>
      </c>
      <c r="F35" s="92">
        <v>0</v>
      </c>
      <c r="G35" s="46">
        <f t="shared" si="6"/>
        <v>0</v>
      </c>
      <c r="H35" s="80"/>
      <c r="I35" s="93" t="s">
        <v>78</v>
      </c>
      <c r="J35" s="82">
        <v>252</v>
      </c>
      <c r="K35" s="83">
        <v>3168</v>
      </c>
      <c r="L35" s="84">
        <f t="shared" si="8"/>
        <v>0</v>
      </c>
      <c r="N35" s="85">
        <v>5103</v>
      </c>
      <c r="O35" s="54">
        <v>252</v>
      </c>
      <c r="P35" s="86"/>
      <c r="Q35" s="95"/>
      <c r="V35" s="637"/>
      <c r="W35" s="637"/>
      <c r="X35" s="638"/>
      <c r="Y35" s="638"/>
      <c r="Z35" s="94" t="s">
        <v>78</v>
      </c>
      <c r="AA35" s="89">
        <v>252</v>
      </c>
      <c r="AB35" s="90">
        <f t="shared" si="9"/>
        <v>3168</v>
      </c>
      <c r="AC35" s="91">
        <f t="shared" si="7"/>
        <v>0</v>
      </c>
      <c r="AD35" s="9"/>
    </row>
    <row r="36" spans="1:30" ht="16.5" thickBot="1" x14ac:dyDescent="0.3">
      <c r="A36" s="1" t="s">
        <v>80</v>
      </c>
      <c r="B36" s="635"/>
      <c r="C36" s="636"/>
      <c r="D36" s="13">
        <v>0</v>
      </c>
      <c r="E36" s="13">
        <v>0</v>
      </c>
      <c r="F36" s="92">
        <v>0</v>
      </c>
      <c r="G36" s="46">
        <f t="shared" si="6"/>
        <v>0</v>
      </c>
      <c r="H36" s="80"/>
      <c r="I36" s="93" t="s">
        <v>78</v>
      </c>
      <c r="J36" s="82">
        <v>253</v>
      </c>
      <c r="K36" s="83">
        <v>6685</v>
      </c>
      <c r="L36" s="96">
        <f t="shared" si="8"/>
        <v>0</v>
      </c>
      <c r="N36" s="85">
        <v>5103</v>
      </c>
      <c r="O36" s="54">
        <v>253</v>
      </c>
      <c r="P36" s="86"/>
      <c r="Q36" s="97"/>
      <c r="V36" s="637"/>
      <c r="W36" s="637"/>
      <c r="X36" s="645"/>
      <c r="Y36" s="645"/>
      <c r="Z36" s="94" t="s">
        <v>78</v>
      </c>
      <c r="AA36" s="89">
        <v>253</v>
      </c>
      <c r="AB36" s="90">
        <f t="shared" si="9"/>
        <v>6685</v>
      </c>
      <c r="AC36" s="98">
        <f t="shared" si="7"/>
        <v>0</v>
      </c>
      <c r="AD36" s="9"/>
    </row>
    <row r="37" spans="1:30" ht="18.75" customHeight="1" x14ac:dyDescent="0.25">
      <c r="B37" s="13" t="s">
        <v>81</v>
      </c>
      <c r="C37" s="13"/>
      <c r="D37" s="63">
        <f t="shared" ref="D37:E37" si="10">SUM(D28:D36)</f>
        <v>81.94</v>
      </c>
      <c r="E37" s="63">
        <f t="shared" si="10"/>
        <v>91.23</v>
      </c>
      <c r="F37" s="63"/>
      <c r="G37" s="63">
        <f>SUM(G28:G36)</f>
        <v>173.17000000000002</v>
      </c>
      <c r="H37" s="64"/>
      <c r="I37" s="13" t="s">
        <v>82</v>
      </c>
      <c r="J37" s="13"/>
      <c r="K37" s="13"/>
      <c r="L37" s="50">
        <f>SUM(L28:L36)</f>
        <v>201447</v>
      </c>
      <c r="N37" s="54"/>
      <c r="O37" s="68"/>
      <c r="P37" s="54"/>
      <c r="Q37" s="54"/>
      <c r="V37" s="646" t="s">
        <v>81</v>
      </c>
      <c r="W37" s="646"/>
      <c r="X37" s="626">
        <f>SUM(X28:X36)</f>
        <v>0</v>
      </c>
      <c r="Y37" s="626"/>
      <c r="Z37" s="646" t="s">
        <v>82</v>
      </c>
      <c r="AA37" s="646"/>
      <c r="AB37" s="646"/>
      <c r="AC37" s="56">
        <f>SUM(AC28:AC36)</f>
        <v>0</v>
      </c>
      <c r="AD37" s="9"/>
    </row>
    <row r="38" spans="1:30" ht="30.75" customHeight="1" x14ac:dyDescent="0.25">
      <c r="B38" s="99" t="s">
        <v>83</v>
      </c>
      <c r="C38" s="99"/>
      <c r="D38" s="99"/>
      <c r="E38" s="99"/>
      <c r="F38" s="99"/>
      <c r="G38" s="99"/>
      <c r="H38" s="100"/>
      <c r="I38" s="99"/>
      <c r="J38" s="99"/>
      <c r="K38" s="99"/>
      <c r="L38" s="99"/>
      <c r="M38" s="101"/>
      <c r="N38" s="54"/>
      <c r="O38" s="68"/>
      <c r="P38" s="54"/>
      <c r="Q38" s="54"/>
      <c r="V38" s="639" t="s">
        <v>83</v>
      </c>
      <c r="W38" s="639"/>
      <c r="X38" s="639"/>
      <c r="Y38" s="639"/>
      <c r="Z38" s="639"/>
      <c r="AA38" s="639"/>
      <c r="AB38" s="639"/>
      <c r="AC38" s="639"/>
      <c r="AD38" s="102"/>
    </row>
    <row r="39" spans="1:30" ht="15.75" customHeight="1" x14ac:dyDescent="0.25">
      <c r="B39" s="103" t="s">
        <v>84</v>
      </c>
      <c r="C39" s="103"/>
      <c r="D39" s="103"/>
      <c r="E39" s="103"/>
      <c r="F39" s="103"/>
      <c r="G39" s="104">
        <v>34389540</v>
      </c>
      <c r="H39" s="104"/>
      <c r="I39" s="13" t="s">
        <v>85</v>
      </c>
      <c r="J39" s="13"/>
      <c r="K39" s="13"/>
      <c r="L39" s="13"/>
      <c r="O39" s="1"/>
      <c r="V39" s="640" t="s">
        <v>84</v>
      </c>
      <c r="W39" s="640"/>
      <c r="X39" s="641">
        <f>+G39</f>
        <v>34389540</v>
      </c>
      <c r="Y39" s="641"/>
      <c r="Z39" s="642" t="s">
        <v>85</v>
      </c>
      <c r="AA39" s="642"/>
      <c r="AB39" s="642"/>
      <c r="AC39" s="642"/>
      <c r="AD39" s="9"/>
    </row>
    <row r="40" spans="1:30" ht="15.75" customHeight="1" x14ac:dyDescent="0.25">
      <c r="B40" s="105" t="s">
        <v>86</v>
      </c>
      <c r="C40" s="105"/>
      <c r="D40" s="105"/>
      <c r="E40" s="105"/>
      <c r="F40" s="105"/>
      <c r="G40" s="106">
        <v>180284.81</v>
      </c>
      <c r="H40" s="106"/>
      <c r="I40" s="106"/>
      <c r="J40" s="106"/>
      <c r="K40" s="50">
        <f>ROUND(G39/G40,0)</f>
        <v>191</v>
      </c>
      <c r="L40" s="50">
        <f>ROUND(K40*$G$26,0)</f>
        <v>191132</v>
      </c>
      <c r="N40" s="107"/>
      <c r="O40" s="107"/>
      <c r="P40" s="107"/>
      <c r="Q40" s="107"/>
      <c r="V40" s="643" t="s">
        <v>86</v>
      </c>
      <c r="W40" s="643"/>
      <c r="X40" s="644">
        <f>+G40</f>
        <v>180284.81</v>
      </c>
      <c r="Y40" s="644"/>
      <c r="Z40" s="644"/>
      <c r="AA40" s="644"/>
      <c r="AB40" s="56">
        <f>ROUND(X39/X40,0)</f>
        <v>191</v>
      </c>
      <c r="AC40" s="56">
        <f>ROUND(AB40*$X$26,0)</f>
        <v>0</v>
      </c>
      <c r="AD40" s="9"/>
    </row>
    <row r="41" spans="1:30" ht="15.75" customHeight="1" x14ac:dyDescent="0.25">
      <c r="B41" s="108" t="s">
        <v>87</v>
      </c>
      <c r="C41" s="108"/>
      <c r="D41" s="108"/>
      <c r="E41" s="108"/>
      <c r="F41" s="108"/>
      <c r="G41" s="108"/>
      <c r="H41" s="108"/>
      <c r="I41" s="108"/>
      <c r="J41" s="108"/>
      <c r="K41" s="108"/>
      <c r="L41" s="108"/>
      <c r="N41" s="101"/>
      <c r="O41" s="109"/>
      <c r="P41" s="101"/>
      <c r="Q41" s="101"/>
      <c r="V41" s="652" t="s">
        <v>87</v>
      </c>
      <c r="W41" s="652"/>
      <c r="X41" s="652"/>
      <c r="Y41" s="652"/>
      <c r="Z41" s="652"/>
      <c r="AA41" s="652"/>
      <c r="AB41" s="652"/>
      <c r="AC41" s="652"/>
      <c r="AD41" s="9"/>
    </row>
    <row r="42" spans="1:30" ht="28.5" customHeight="1" x14ac:dyDescent="0.25">
      <c r="B42" s="99" t="s">
        <v>88</v>
      </c>
      <c r="C42" s="99"/>
      <c r="D42" s="99"/>
      <c r="E42" s="99"/>
      <c r="F42" s="99"/>
      <c r="G42" s="99"/>
      <c r="H42" s="99"/>
      <c r="I42" s="99"/>
      <c r="J42" s="99"/>
      <c r="K42" s="99"/>
      <c r="L42" s="99"/>
      <c r="M42" s="107"/>
      <c r="O42" s="1"/>
      <c r="V42" s="639" t="s">
        <v>88</v>
      </c>
      <c r="W42" s="639"/>
      <c r="X42" s="639"/>
      <c r="Y42" s="639"/>
      <c r="Z42" s="639"/>
      <c r="AA42" s="639"/>
      <c r="AB42" s="639"/>
      <c r="AC42" s="639"/>
      <c r="AD42" s="110"/>
    </row>
    <row r="43" spans="1:30" x14ac:dyDescent="0.25">
      <c r="B43" s="111" t="s">
        <v>89</v>
      </c>
      <c r="C43" s="111"/>
      <c r="D43" s="111"/>
      <c r="E43" s="111"/>
      <c r="F43" s="111"/>
      <c r="G43" s="111"/>
      <c r="H43" s="111"/>
      <c r="I43" s="111"/>
      <c r="J43" s="111"/>
      <c r="K43" s="111"/>
      <c r="L43" s="111"/>
      <c r="M43" s="112"/>
      <c r="N43" s="101"/>
      <c r="O43" s="101"/>
      <c r="P43" s="101"/>
      <c r="Q43" s="101"/>
      <c r="V43" s="653" t="s">
        <v>89</v>
      </c>
      <c r="W43" s="653"/>
      <c r="X43" s="653"/>
      <c r="Y43" s="653"/>
      <c r="Z43" s="653"/>
      <c r="AA43" s="653"/>
      <c r="AB43" s="653"/>
      <c r="AC43" s="653"/>
      <c r="AD43" s="113"/>
    </row>
    <row r="44" spans="1:30" ht="24" customHeight="1" x14ac:dyDescent="0.25">
      <c r="B44" s="62" t="s">
        <v>90</v>
      </c>
      <c r="C44" s="62"/>
      <c r="D44" s="62"/>
      <c r="E44" s="62"/>
      <c r="F44" s="62"/>
      <c r="G44" s="62"/>
      <c r="H44" s="62"/>
      <c r="I44" s="62"/>
      <c r="J44" s="62"/>
      <c r="K44" s="62"/>
      <c r="L44" s="114">
        <f>SUM(L26,L37,L40)</f>
        <v>4482801</v>
      </c>
      <c r="O44" s="1"/>
      <c r="V44" s="654" t="s">
        <v>90</v>
      </c>
      <c r="W44" s="654"/>
      <c r="X44" s="654"/>
      <c r="Y44" s="654"/>
      <c r="Z44" s="654"/>
      <c r="AA44" s="654"/>
      <c r="AB44" s="654"/>
      <c r="AC44" s="115">
        <f>SUM(AC26,AC37,AC40)</f>
        <v>0</v>
      </c>
      <c r="AD44" s="9"/>
    </row>
    <row r="45" spans="1:30" ht="30.75" customHeight="1" x14ac:dyDescent="0.25">
      <c r="B45" s="99" t="s">
        <v>91</v>
      </c>
      <c r="C45" s="99"/>
      <c r="D45" s="99"/>
      <c r="E45" s="99"/>
      <c r="F45" s="99"/>
      <c r="G45" s="99"/>
      <c r="H45" s="99"/>
      <c r="I45" s="99"/>
      <c r="J45" s="99"/>
      <c r="K45" s="99"/>
      <c r="L45" s="99"/>
      <c r="M45" s="116"/>
      <c r="O45" s="1"/>
      <c r="V45" s="639" t="s">
        <v>91</v>
      </c>
      <c r="W45" s="639"/>
      <c r="X45" s="639"/>
      <c r="Y45" s="639"/>
      <c r="Z45" s="639"/>
      <c r="AA45" s="639"/>
      <c r="AB45" s="639"/>
      <c r="AC45" s="639"/>
      <c r="AD45" s="117"/>
    </row>
    <row r="46" spans="1:30" ht="18.75" customHeight="1" x14ac:dyDescent="0.25">
      <c r="B46" s="1"/>
      <c r="C46" s="118" t="s">
        <v>92</v>
      </c>
      <c r="D46" s="118"/>
      <c r="E46" s="118"/>
      <c r="F46" s="118"/>
      <c r="G46" s="118" t="s">
        <v>93</v>
      </c>
      <c r="H46" s="119"/>
      <c r="I46" s="120" t="s">
        <v>94</v>
      </c>
      <c r="J46" s="121"/>
      <c r="K46" s="121"/>
      <c r="L46" s="121"/>
      <c r="M46" s="122"/>
      <c r="O46" s="1"/>
      <c r="V46" s="9"/>
      <c r="W46" s="123" t="s">
        <v>92</v>
      </c>
      <c r="X46" s="655" t="s">
        <v>95</v>
      </c>
      <c r="Y46" s="655"/>
      <c r="Z46" s="656" t="s">
        <v>94</v>
      </c>
      <c r="AA46" s="656"/>
      <c r="AB46" s="656"/>
      <c r="AC46" s="656"/>
      <c r="AD46" s="124"/>
    </row>
    <row r="47" spans="1:30" ht="18.75" customHeight="1" x14ac:dyDescent="0.25">
      <c r="B47" s="107" t="s">
        <v>96</v>
      </c>
      <c r="C47" s="125">
        <f>K10+K11+K16+K19+K22</f>
        <v>491.55340000000001</v>
      </c>
      <c r="D47" s="125"/>
      <c r="E47" s="125"/>
      <c r="F47" s="125"/>
      <c r="G47" s="126">
        <f>K7</f>
        <v>1.0326</v>
      </c>
      <c r="H47" s="126"/>
      <c r="I47" s="127">
        <v>1316.85</v>
      </c>
      <c r="J47" s="128" t="s">
        <v>97</v>
      </c>
      <c r="K47" s="129">
        <f>ROUND(C47*G47*I47,0)</f>
        <v>668404</v>
      </c>
      <c r="L47" s="130"/>
      <c r="O47" s="1"/>
      <c r="V47" s="110" t="s">
        <v>96</v>
      </c>
      <c r="W47" s="131">
        <f>AB10+AB11+AB16+AB19+AB22</f>
        <v>0</v>
      </c>
      <c r="X47" s="647">
        <f>AB7</f>
        <v>1.0326</v>
      </c>
      <c r="Y47" s="647"/>
      <c r="Z47" s="132">
        <f>+I47</f>
        <v>1316.85</v>
      </c>
      <c r="AA47" s="133" t="s">
        <v>97</v>
      </c>
      <c r="AB47" s="134">
        <f>ROUND(W47*X47*Z47,0)</f>
        <v>0</v>
      </c>
      <c r="AC47" s="135"/>
      <c r="AD47" s="9"/>
    </row>
    <row r="48" spans="1:30" ht="18" customHeight="1" x14ac:dyDescent="0.25">
      <c r="B48" s="136" t="s">
        <v>74</v>
      </c>
      <c r="C48" s="125">
        <f>K12+K13+K17+K20+K23</f>
        <v>564.09</v>
      </c>
      <c r="D48" s="125"/>
      <c r="E48" s="125"/>
      <c r="F48" s="125"/>
      <c r="G48" s="126">
        <f>K7</f>
        <v>1.0326</v>
      </c>
      <c r="H48" s="126"/>
      <c r="I48" s="127">
        <v>898.23</v>
      </c>
      <c r="J48" s="128" t="s">
        <v>97</v>
      </c>
      <c r="K48" s="129">
        <f>ROUND(C48*G48*I48,0)</f>
        <v>523200</v>
      </c>
      <c r="L48" s="62"/>
      <c r="O48" s="1"/>
      <c r="V48" s="137" t="s">
        <v>74</v>
      </c>
      <c r="W48" s="131">
        <f>AB12+AB13+AB17+AB20+AB23</f>
        <v>0</v>
      </c>
      <c r="X48" s="647">
        <f>AB7</f>
        <v>1.0326</v>
      </c>
      <c r="Y48" s="647"/>
      <c r="Z48" s="132">
        <f>+I48</f>
        <v>898.23</v>
      </c>
      <c r="AA48" s="133" t="s">
        <v>97</v>
      </c>
      <c r="AB48" s="134">
        <f>ROUND(W48*X48*Z48,0)</f>
        <v>0</v>
      </c>
      <c r="AC48" s="138"/>
      <c r="AD48" s="9"/>
    </row>
    <row r="49" spans="2:30" ht="19.5" customHeight="1" thickBot="1" x14ac:dyDescent="0.3">
      <c r="B49" s="139" t="s">
        <v>78</v>
      </c>
      <c r="C49" s="140">
        <f>K14+K15+K18+K21+K24+K25</f>
        <v>0</v>
      </c>
      <c r="D49" s="125"/>
      <c r="E49" s="125"/>
      <c r="F49" s="125"/>
      <c r="G49" s="126">
        <f>K7</f>
        <v>1.0326</v>
      </c>
      <c r="H49" s="126"/>
      <c r="I49" s="127">
        <v>900.39</v>
      </c>
      <c r="J49" s="128" t="s">
        <v>97</v>
      </c>
      <c r="K49" s="129">
        <f>ROUND(C49*G49*I49,0)</f>
        <v>0</v>
      </c>
      <c r="L49" s="62"/>
      <c r="M49" s="112"/>
      <c r="N49" s="141"/>
      <c r="O49" s="142"/>
      <c r="P49" s="101"/>
      <c r="Q49" s="143"/>
      <c r="V49" s="144" t="s">
        <v>78</v>
      </c>
      <c r="W49" s="145">
        <f>AB14+AB15+AB18+AB21+AB24+AB25</f>
        <v>0</v>
      </c>
      <c r="X49" s="647">
        <f>AB7</f>
        <v>1.0326</v>
      </c>
      <c r="Y49" s="647"/>
      <c r="Z49" s="132">
        <f>+I49</f>
        <v>900.39</v>
      </c>
      <c r="AA49" s="133" t="s">
        <v>97</v>
      </c>
      <c r="AB49" s="134">
        <f>ROUND(W49*X49*Z49,0)</f>
        <v>0</v>
      </c>
      <c r="AC49" s="138"/>
      <c r="AD49" s="113"/>
    </row>
    <row r="50" spans="2:30" ht="24" customHeight="1" thickBot="1" x14ac:dyDescent="0.3">
      <c r="B50" s="146" t="s">
        <v>98</v>
      </c>
      <c r="C50" s="147">
        <f>SUM(C47:C49)</f>
        <v>1055.6433999999999</v>
      </c>
      <c r="D50" s="148"/>
      <c r="E50" s="149"/>
      <c r="F50" s="149"/>
      <c r="G50" s="150" t="s">
        <v>99</v>
      </c>
      <c r="H50" s="150"/>
      <c r="I50" s="150"/>
      <c r="J50" s="150"/>
      <c r="K50" s="150"/>
      <c r="L50" s="50">
        <f>IF(B2=75,0,K49+K48+K47)</f>
        <v>1191604</v>
      </c>
      <c r="N50" s="3"/>
      <c r="O50" s="1"/>
      <c r="V50" s="151" t="s">
        <v>98</v>
      </c>
      <c r="W50" s="152">
        <f>SUM(W47:W49)</f>
        <v>0</v>
      </c>
      <c r="X50" s="648" t="s">
        <v>99</v>
      </c>
      <c r="Y50" s="649"/>
      <c r="Z50" s="649"/>
      <c r="AA50" s="649"/>
      <c r="AB50" s="649"/>
      <c r="AC50" s="56">
        <f>IF(V2=75,0,AB49+AB48+AB47)</f>
        <v>0</v>
      </c>
      <c r="AD50" s="9"/>
    </row>
    <row r="51" spans="2:30" ht="19.5" customHeight="1" x14ac:dyDescent="0.25">
      <c r="B51" s="153" t="s">
        <v>100</v>
      </c>
      <c r="C51" s="153"/>
      <c r="D51" s="153"/>
      <c r="E51" s="153"/>
      <c r="F51" s="153"/>
      <c r="G51" s="153"/>
      <c r="H51" s="153"/>
      <c r="I51" s="153"/>
      <c r="J51" s="153"/>
      <c r="K51" s="153"/>
      <c r="L51" s="153"/>
      <c r="M51" s="141"/>
      <c r="N51" s="101"/>
      <c r="O51" s="1"/>
      <c r="V51" s="650" t="s">
        <v>100</v>
      </c>
      <c r="W51" s="650"/>
      <c r="X51" s="650"/>
      <c r="Y51" s="650"/>
      <c r="Z51" s="650"/>
      <c r="AA51" s="650"/>
      <c r="AB51" s="650"/>
      <c r="AC51" s="650"/>
      <c r="AD51" s="154"/>
    </row>
    <row r="52" spans="2:30" ht="27.75" customHeight="1" x14ac:dyDescent="0.25">
      <c r="B52" s="13" t="s">
        <v>101</v>
      </c>
      <c r="C52" s="13"/>
      <c r="D52" s="13"/>
      <c r="E52" s="13"/>
      <c r="F52" s="13"/>
      <c r="G52" s="13"/>
      <c r="H52" s="13"/>
      <c r="I52" s="13"/>
      <c r="J52" s="13"/>
      <c r="K52" s="13"/>
      <c r="L52" s="13"/>
      <c r="O52" s="1"/>
      <c r="V52" s="651" t="s">
        <v>101</v>
      </c>
      <c r="W52" s="651"/>
      <c r="X52" s="651"/>
      <c r="Y52" s="651"/>
      <c r="Z52" s="651"/>
      <c r="AA52" s="651"/>
      <c r="AB52" s="651"/>
      <c r="AC52" s="651"/>
      <c r="AD52" s="9"/>
    </row>
    <row r="53" spans="2:30" x14ac:dyDescent="0.25">
      <c r="B53" s="13" t="s">
        <v>102</v>
      </c>
      <c r="C53" s="13"/>
      <c r="D53" s="13"/>
      <c r="E53" s="13"/>
      <c r="F53" s="13"/>
      <c r="G53" s="155">
        <f>K26</f>
        <v>1055.6433999999999</v>
      </c>
      <c r="H53" s="57" t="s">
        <v>103</v>
      </c>
      <c r="I53" s="57"/>
      <c r="J53" s="156">
        <v>197823.77</v>
      </c>
      <c r="K53" s="156"/>
      <c r="L53" s="156"/>
      <c r="N53" s="3"/>
      <c r="O53" s="1"/>
      <c r="V53" s="657" t="s">
        <v>102</v>
      </c>
      <c r="W53" s="657"/>
      <c r="X53" s="157">
        <f>AB26</f>
        <v>0</v>
      </c>
      <c r="Y53" s="658" t="s">
        <v>103</v>
      </c>
      <c r="Z53" s="658"/>
      <c r="AA53" s="659">
        <f>+J53</f>
        <v>197823.77</v>
      </c>
      <c r="AB53" s="659"/>
      <c r="AC53" s="659"/>
      <c r="AD53" s="9"/>
    </row>
    <row r="54" spans="2:30" x14ac:dyDescent="0.25">
      <c r="B54" s="13" t="s">
        <v>104</v>
      </c>
      <c r="C54" s="13"/>
      <c r="D54" s="13"/>
      <c r="E54" s="13"/>
      <c r="F54" s="13"/>
      <c r="G54" s="13"/>
      <c r="H54" s="13"/>
      <c r="I54" s="13"/>
      <c r="J54" s="13"/>
      <c r="K54" s="158">
        <f>ROUND(G53/J53,6)</f>
        <v>5.3359999999999996E-3</v>
      </c>
      <c r="L54" s="158"/>
      <c r="N54" s="101"/>
      <c r="O54" s="1"/>
      <c r="V54" s="657" t="s">
        <v>104</v>
      </c>
      <c r="W54" s="657"/>
      <c r="X54" s="657"/>
      <c r="Y54" s="657"/>
      <c r="Z54" s="657"/>
      <c r="AA54" s="657"/>
      <c r="AB54" s="660">
        <f>ROUND(X53/AA53,6)</f>
        <v>0</v>
      </c>
      <c r="AC54" s="660"/>
      <c r="AD54" s="9"/>
    </row>
    <row r="55" spans="2:30" ht="24" customHeight="1" x14ac:dyDescent="0.25">
      <c r="B55" s="13" t="s">
        <v>105</v>
      </c>
      <c r="C55" s="13"/>
      <c r="D55" s="13"/>
      <c r="E55" s="13"/>
      <c r="F55" s="13"/>
      <c r="G55" s="13"/>
      <c r="H55" s="13"/>
      <c r="I55" s="13"/>
      <c r="J55" s="13"/>
      <c r="K55" s="13"/>
      <c r="L55" s="13"/>
      <c r="O55" s="1"/>
      <c r="V55" s="651" t="s">
        <v>105</v>
      </c>
      <c r="W55" s="651"/>
      <c r="X55" s="651"/>
      <c r="Y55" s="651"/>
      <c r="Z55" s="651"/>
      <c r="AA55" s="651"/>
      <c r="AB55" s="651"/>
      <c r="AC55" s="651"/>
      <c r="AD55" s="9"/>
    </row>
    <row r="56" spans="2:30" x14ac:dyDescent="0.25">
      <c r="B56" s="13" t="s">
        <v>106</v>
      </c>
      <c r="C56" s="13"/>
      <c r="D56" s="13"/>
      <c r="E56" s="13"/>
      <c r="F56" s="13"/>
      <c r="G56" s="159">
        <f>G26</f>
        <v>1000.69</v>
      </c>
      <c r="H56" s="57" t="s">
        <v>107</v>
      </c>
      <c r="I56" s="57"/>
      <c r="J56" s="156">
        <f>+G40</f>
        <v>180284.81</v>
      </c>
      <c r="K56" s="156"/>
      <c r="L56" s="156"/>
      <c r="O56" s="1"/>
      <c r="V56" s="657" t="s">
        <v>106</v>
      </c>
      <c r="W56" s="657"/>
      <c r="X56" s="160">
        <f>X26</f>
        <v>0</v>
      </c>
      <c r="Y56" s="658" t="s">
        <v>107</v>
      </c>
      <c r="Z56" s="658"/>
      <c r="AA56" s="659">
        <f>+J56</f>
        <v>180284.81</v>
      </c>
      <c r="AB56" s="659"/>
      <c r="AC56" s="659"/>
      <c r="AD56" s="9"/>
    </row>
    <row r="57" spans="2:30" x14ac:dyDescent="0.25">
      <c r="B57" s="13" t="s">
        <v>108</v>
      </c>
      <c r="C57" s="13"/>
      <c r="D57" s="13"/>
      <c r="E57" s="13"/>
      <c r="F57" s="13"/>
      <c r="G57" s="13"/>
      <c r="H57" s="13"/>
      <c r="I57" s="13"/>
      <c r="J57" s="13"/>
      <c r="K57" s="158">
        <f>ROUND(G56/J56,6)</f>
        <v>5.5510000000000004E-3</v>
      </c>
      <c r="L57" s="158"/>
      <c r="O57" s="1"/>
      <c r="V57" s="657" t="s">
        <v>108</v>
      </c>
      <c r="W57" s="657"/>
      <c r="X57" s="657"/>
      <c r="Y57" s="657"/>
      <c r="Z57" s="657"/>
      <c r="AA57" s="657"/>
      <c r="AB57" s="660">
        <f>ROUND(X56/AA56,6)</f>
        <v>0</v>
      </c>
      <c r="AC57" s="660"/>
      <c r="AD57" s="9"/>
    </row>
    <row r="58" spans="2:30" ht="20.25" customHeight="1" x14ac:dyDescent="0.25">
      <c r="B58" s="161" t="s">
        <v>109</v>
      </c>
      <c r="C58" s="161"/>
      <c r="D58" s="161"/>
      <c r="E58" s="161"/>
      <c r="F58" s="161"/>
      <c r="G58" s="161"/>
      <c r="H58" s="161"/>
      <c r="I58" s="161"/>
      <c r="J58" s="161"/>
      <c r="K58" s="161"/>
      <c r="L58" s="161"/>
      <c r="N58" s="18"/>
      <c r="O58" s="18"/>
      <c r="V58" s="629" t="s">
        <v>110</v>
      </c>
      <c r="W58" s="629"/>
      <c r="X58" s="629"/>
      <c r="Y58" s="661">
        <f>X65+X64+X62+X61+X60</f>
        <v>4123852</v>
      </c>
      <c r="Z58" s="661"/>
      <c r="AA58" s="162" t="s">
        <v>111</v>
      </c>
      <c r="AB58" s="163">
        <f>AB54</f>
        <v>0</v>
      </c>
      <c r="AC58" s="56">
        <f>ROUND(Y58*AB58,0)</f>
        <v>0</v>
      </c>
      <c r="AD58" s="9"/>
    </row>
    <row r="59" spans="2:30" x14ac:dyDescent="0.25">
      <c r="B59" s="62" t="s">
        <v>110</v>
      </c>
      <c r="C59" s="62"/>
      <c r="D59" s="62"/>
      <c r="E59" s="62"/>
      <c r="F59" s="62"/>
      <c r="G59" s="62"/>
      <c r="H59" s="164" t="s">
        <v>22</v>
      </c>
      <c r="I59" s="129">
        <v>4123852</v>
      </c>
      <c r="J59" s="165" t="s">
        <v>111</v>
      </c>
      <c r="K59" s="166">
        <f>K54</f>
        <v>5.3359999999999996E-3</v>
      </c>
      <c r="L59" s="50">
        <f>ROUND(I59*K59,0)</f>
        <v>22005</v>
      </c>
      <c r="O59" s="1"/>
      <c r="P59" s="165"/>
      <c r="Q59" s="165"/>
      <c r="V59" s="662" t="s">
        <v>112</v>
      </c>
      <c r="W59" s="662"/>
      <c r="X59" s="662"/>
      <c r="Y59" s="662"/>
      <c r="Z59" s="662"/>
      <c r="AA59" s="662"/>
      <c r="AB59" s="662"/>
      <c r="AC59" s="662"/>
      <c r="AD59" s="9"/>
    </row>
    <row r="60" spans="2:30" x14ac:dyDescent="0.25">
      <c r="B60" s="62" t="s">
        <v>112</v>
      </c>
      <c r="C60" s="62"/>
      <c r="D60" s="62"/>
      <c r="E60" s="62"/>
      <c r="F60" s="62"/>
      <c r="G60" s="62"/>
      <c r="H60" s="62"/>
      <c r="I60" s="62"/>
      <c r="J60" s="62"/>
      <c r="K60" s="62"/>
      <c r="L60" s="62"/>
      <c r="O60" s="1"/>
      <c r="P60" s="165"/>
      <c r="Q60" s="165"/>
      <c r="V60" s="663" t="s">
        <v>113</v>
      </c>
      <c r="W60" s="663"/>
      <c r="X60" s="664">
        <f>+G61</f>
        <v>0</v>
      </c>
      <c r="Y60" s="664"/>
      <c r="Z60" s="664"/>
      <c r="AA60" s="664"/>
      <c r="AB60" s="664"/>
      <c r="AC60" s="664"/>
      <c r="AD60" s="9"/>
    </row>
    <row r="61" spans="2:30" ht="15" customHeight="1" x14ac:dyDescent="0.25">
      <c r="B61" s="167" t="s">
        <v>113</v>
      </c>
      <c r="C61" s="62"/>
      <c r="D61" s="62"/>
      <c r="E61" s="62"/>
      <c r="F61" s="62"/>
      <c r="G61" s="168">
        <v>0</v>
      </c>
      <c r="H61" s="168"/>
      <c r="I61" s="168"/>
      <c r="J61" s="168"/>
      <c r="K61" s="168"/>
      <c r="L61" s="168"/>
      <c r="O61" s="1"/>
      <c r="P61" s="165"/>
      <c r="Q61" s="165"/>
      <c r="V61" s="663" t="s">
        <v>114</v>
      </c>
      <c r="W61" s="663"/>
      <c r="X61" s="664">
        <f>+G62</f>
        <v>0</v>
      </c>
      <c r="Y61" s="664"/>
      <c r="Z61" s="664"/>
      <c r="AA61" s="664"/>
      <c r="AB61" s="664"/>
      <c r="AC61" s="664"/>
      <c r="AD61" s="9"/>
    </row>
    <row r="62" spans="2:30" ht="13.5" customHeight="1" x14ac:dyDescent="0.25">
      <c r="B62" s="167" t="s">
        <v>114</v>
      </c>
      <c r="C62" s="62"/>
      <c r="D62" s="62"/>
      <c r="E62" s="62"/>
      <c r="F62" s="62"/>
      <c r="G62" s="168">
        <v>0</v>
      </c>
      <c r="H62" s="168"/>
      <c r="I62" s="168"/>
      <c r="J62" s="168"/>
      <c r="K62" s="168"/>
      <c r="L62" s="168"/>
      <c r="N62" s="165"/>
      <c r="O62" s="165"/>
      <c r="P62" s="165"/>
      <c r="Q62" s="165"/>
      <c r="V62" s="663" t="s">
        <v>115</v>
      </c>
      <c r="W62" s="663"/>
      <c r="X62" s="664">
        <v>0</v>
      </c>
      <c r="Y62" s="664"/>
      <c r="Z62" s="664"/>
      <c r="AA62" s="664"/>
      <c r="AB62" s="664"/>
      <c r="AC62" s="664"/>
      <c r="AD62" s="9"/>
    </row>
    <row r="63" spans="2:30" ht="13.5" hidden="1" customHeight="1" x14ac:dyDescent="0.25">
      <c r="B63" s="62" t="s">
        <v>115</v>
      </c>
      <c r="C63" s="62"/>
      <c r="D63" s="62"/>
      <c r="E63" s="62"/>
      <c r="F63" s="62"/>
      <c r="G63" s="168">
        <v>0</v>
      </c>
      <c r="H63" s="168"/>
      <c r="I63" s="168"/>
      <c r="J63" s="168"/>
      <c r="K63" s="168"/>
      <c r="L63" s="168"/>
      <c r="O63" s="1"/>
      <c r="P63" s="165"/>
      <c r="Q63" s="165"/>
      <c r="V63" s="662" t="s">
        <v>116</v>
      </c>
      <c r="W63" s="662"/>
      <c r="X63" s="662"/>
      <c r="Y63" s="662"/>
      <c r="Z63" s="662"/>
      <c r="AA63" s="662"/>
      <c r="AB63" s="662"/>
      <c r="AC63" s="662"/>
      <c r="AD63" s="117"/>
    </row>
    <row r="64" spans="2:30" ht="13.5" customHeight="1" x14ac:dyDescent="0.25">
      <c r="B64" s="62" t="s">
        <v>116</v>
      </c>
      <c r="C64" s="62"/>
      <c r="D64" s="62"/>
      <c r="E64" s="62"/>
      <c r="F64" s="62"/>
      <c r="G64" s="62"/>
      <c r="H64" s="62"/>
      <c r="I64" s="62"/>
      <c r="J64" s="62"/>
      <c r="K64" s="62"/>
      <c r="L64" s="62"/>
      <c r="M64" s="116"/>
      <c r="N64" s="18"/>
      <c r="O64" s="1"/>
      <c r="V64" s="663" t="s">
        <v>117</v>
      </c>
      <c r="W64" s="663"/>
      <c r="X64" s="664">
        <f>+G65</f>
        <v>4123852</v>
      </c>
      <c r="Y64" s="664"/>
      <c r="Z64" s="664"/>
      <c r="AA64" s="664"/>
      <c r="AB64" s="664"/>
      <c r="AC64" s="664"/>
      <c r="AD64" s="9"/>
    </row>
    <row r="65" spans="1:30" ht="12.75" customHeight="1" x14ac:dyDescent="0.25">
      <c r="B65" s="167" t="s">
        <v>117</v>
      </c>
      <c r="C65" s="62"/>
      <c r="D65" s="62"/>
      <c r="E65" s="62"/>
      <c r="F65" s="62"/>
      <c r="G65" s="168">
        <f>+I59</f>
        <v>4123852</v>
      </c>
      <c r="H65" s="168"/>
      <c r="I65" s="168"/>
      <c r="J65" s="168"/>
      <c r="K65" s="168"/>
      <c r="L65" s="168"/>
      <c r="O65" s="1"/>
      <c r="V65" s="663" t="s">
        <v>118</v>
      </c>
      <c r="W65" s="663"/>
      <c r="X65" s="664">
        <f>+G66</f>
        <v>0</v>
      </c>
      <c r="Y65" s="664"/>
      <c r="Z65" s="664"/>
      <c r="AA65" s="664"/>
      <c r="AB65" s="664"/>
      <c r="AC65" s="664"/>
      <c r="AD65" s="20"/>
    </row>
    <row r="66" spans="1:30" ht="15" customHeight="1" x14ac:dyDescent="0.25">
      <c r="B66" s="167" t="s">
        <v>118</v>
      </c>
      <c r="C66" s="62"/>
      <c r="D66" s="62"/>
      <c r="E66" s="62"/>
      <c r="F66" s="62"/>
      <c r="G66" s="168">
        <v>0</v>
      </c>
      <c r="H66" s="168"/>
      <c r="I66" s="168"/>
      <c r="J66" s="168"/>
      <c r="K66" s="168"/>
      <c r="L66" s="168"/>
      <c r="M66" s="18"/>
      <c r="N66" s="3"/>
      <c r="O66" s="169"/>
      <c r="P66" s="169"/>
      <c r="Q66" s="169"/>
      <c r="V66" s="651" t="s">
        <v>119</v>
      </c>
      <c r="W66" s="651"/>
      <c r="X66" s="651"/>
      <c r="Y66" s="661">
        <f>+I67</f>
        <v>96774526</v>
      </c>
      <c r="Z66" s="661"/>
      <c r="AA66" s="162" t="s">
        <v>111</v>
      </c>
      <c r="AB66" s="163">
        <f>AB54</f>
        <v>0</v>
      </c>
      <c r="AC66" s="56">
        <f>ROUND(Y66*AB66,0)</f>
        <v>0</v>
      </c>
      <c r="AD66" s="9"/>
    </row>
    <row r="67" spans="1:30" ht="20.25" customHeight="1" x14ac:dyDescent="0.25">
      <c r="B67" s="13" t="s">
        <v>119</v>
      </c>
      <c r="C67" s="13"/>
      <c r="D67" s="13"/>
      <c r="E67" s="13"/>
      <c r="F67" s="13"/>
      <c r="H67" s="164" t="s">
        <v>25</v>
      </c>
      <c r="I67" s="129">
        <v>96774526</v>
      </c>
      <c r="J67" s="165" t="s">
        <v>111</v>
      </c>
      <c r="K67" s="166">
        <f>K54</f>
        <v>5.3359999999999996E-3</v>
      </c>
      <c r="L67" s="50">
        <f>ROUND(I67*K67,0)</f>
        <v>516389</v>
      </c>
      <c r="O67" s="1"/>
      <c r="V67" s="651" t="s">
        <v>120</v>
      </c>
      <c r="W67" s="651"/>
      <c r="X67" s="651"/>
      <c r="Y67" s="651"/>
      <c r="Z67" s="651"/>
      <c r="AA67" s="651"/>
      <c r="AB67" s="651"/>
      <c r="AC67" s="651"/>
      <c r="AD67" s="9"/>
    </row>
    <row r="68" spans="1:30" ht="20.25" customHeight="1" x14ac:dyDescent="0.25">
      <c r="B68" s="13" t="s">
        <v>120</v>
      </c>
      <c r="C68" s="13"/>
      <c r="D68" s="13"/>
      <c r="E68" s="13"/>
      <c r="F68" s="13"/>
      <c r="H68" s="13"/>
      <c r="I68" s="13"/>
      <c r="J68" s="82"/>
      <c r="K68" s="13"/>
      <c r="L68" s="13"/>
      <c r="O68" s="1"/>
      <c r="V68" s="667" t="s">
        <v>121</v>
      </c>
      <c r="W68" s="667"/>
      <c r="X68" s="667"/>
      <c r="Y68" s="661">
        <f>+I69</f>
        <v>0</v>
      </c>
      <c r="Z68" s="661"/>
      <c r="AA68" s="162" t="s">
        <v>111</v>
      </c>
      <c r="AB68" s="163">
        <f>AB57</f>
        <v>0</v>
      </c>
      <c r="AC68" s="56">
        <f>ROUND(Y68*AB68,0)</f>
        <v>0</v>
      </c>
      <c r="AD68" s="9"/>
    </row>
    <row r="69" spans="1:30" ht="15" customHeight="1" x14ac:dyDescent="0.25">
      <c r="B69" s="170" t="s">
        <v>121</v>
      </c>
      <c r="C69" s="13"/>
      <c r="D69" s="13"/>
      <c r="E69" s="13"/>
      <c r="F69" s="13"/>
      <c r="H69" s="164" t="s">
        <v>23</v>
      </c>
      <c r="I69" s="129">
        <v>0</v>
      </c>
      <c r="J69" s="165" t="s">
        <v>111</v>
      </c>
      <c r="K69" s="166">
        <f>K57</f>
        <v>5.5510000000000004E-3</v>
      </c>
      <c r="L69" s="50">
        <f>ROUND(I69*K69,0)</f>
        <v>0</v>
      </c>
      <c r="O69" s="1"/>
      <c r="V69" s="651" t="s">
        <v>122</v>
      </c>
      <c r="W69" s="651"/>
      <c r="X69" s="651"/>
      <c r="Y69" s="668">
        <f>+I70</f>
        <v>-3460775</v>
      </c>
      <c r="Z69" s="668"/>
      <c r="AA69" s="162" t="s">
        <v>111</v>
      </c>
      <c r="AB69" s="163">
        <f>AB54</f>
        <v>0</v>
      </c>
      <c r="AC69" s="56">
        <f>ROUND(Y69*AB69,0)</f>
        <v>0</v>
      </c>
      <c r="AD69" s="9"/>
    </row>
    <row r="70" spans="1:30" ht="20.25" customHeight="1" x14ac:dyDescent="0.25">
      <c r="B70" s="13" t="s">
        <v>122</v>
      </c>
      <c r="C70" s="13"/>
      <c r="D70" s="13"/>
      <c r="E70" s="13"/>
      <c r="F70" s="13"/>
      <c r="H70" s="164" t="s">
        <v>22</v>
      </c>
      <c r="I70" s="129">
        <v>-3460775</v>
      </c>
      <c r="J70" s="165" t="s">
        <v>111</v>
      </c>
      <c r="K70" s="166">
        <f>K54</f>
        <v>5.3359999999999996E-3</v>
      </c>
      <c r="L70" s="50">
        <f>ROUND(I70*K70,0)</f>
        <v>-18467</v>
      </c>
      <c r="O70" s="1"/>
      <c r="V70" s="651" t="s">
        <v>123</v>
      </c>
      <c r="W70" s="651"/>
      <c r="X70" s="651"/>
      <c r="Y70" s="665">
        <f>+I71</f>
        <v>1874788</v>
      </c>
      <c r="Z70" s="665"/>
      <c r="AA70" s="162" t="s">
        <v>111</v>
      </c>
      <c r="AB70" s="163">
        <f>AB54</f>
        <v>0</v>
      </c>
      <c r="AC70" s="56">
        <f>ROUND(Y70*AB70,0)</f>
        <v>0</v>
      </c>
      <c r="AD70" s="9"/>
    </row>
    <row r="71" spans="1:30" ht="20.25" customHeight="1" x14ac:dyDescent="0.25">
      <c r="B71" s="13" t="s">
        <v>123</v>
      </c>
      <c r="C71" s="13"/>
      <c r="D71" s="13"/>
      <c r="E71" s="13"/>
      <c r="F71" s="13"/>
      <c r="H71" s="164" t="s">
        <v>22</v>
      </c>
      <c r="I71" s="129">
        <v>1874788</v>
      </c>
      <c r="J71" s="165" t="s">
        <v>111</v>
      </c>
      <c r="K71" s="166">
        <f>K54</f>
        <v>5.3359999999999996E-3</v>
      </c>
      <c r="L71" s="50">
        <f>ROUND(I71*K71,0)</f>
        <v>10004</v>
      </c>
      <c r="O71" s="1"/>
      <c r="V71" s="651" t="s">
        <v>124</v>
      </c>
      <c r="W71" s="651"/>
      <c r="X71" s="651"/>
      <c r="Y71" s="665">
        <f>+I72</f>
        <v>14223298</v>
      </c>
      <c r="Z71" s="665"/>
      <c r="AA71" s="162" t="s">
        <v>111</v>
      </c>
      <c r="AB71" s="163">
        <f>AB57</f>
        <v>0</v>
      </c>
      <c r="AC71" s="56">
        <f>ROUND(Y71*AB71,0)</f>
        <v>0</v>
      </c>
      <c r="AD71" s="9"/>
    </row>
    <row r="72" spans="1:30" ht="21" customHeight="1" x14ac:dyDescent="0.25">
      <c r="B72" s="13" t="s">
        <v>124</v>
      </c>
      <c r="C72" s="13"/>
      <c r="D72" s="13"/>
      <c r="E72" s="13"/>
      <c r="F72" s="13"/>
      <c r="H72" s="164" t="s">
        <v>23</v>
      </c>
      <c r="I72" s="171">
        <v>14223298</v>
      </c>
      <c r="J72" s="165" t="s">
        <v>111</v>
      </c>
      <c r="K72" s="166">
        <f>K57</f>
        <v>5.5510000000000004E-3</v>
      </c>
      <c r="L72" s="50">
        <f>ROUND(I72*K72,0)</f>
        <v>78954</v>
      </c>
      <c r="O72" s="1"/>
      <c r="V72" s="623" t="s">
        <v>125</v>
      </c>
      <c r="W72" s="623"/>
      <c r="X72" s="623"/>
      <c r="Y72" s="623"/>
      <c r="Z72" s="623"/>
      <c r="AA72" s="623"/>
      <c r="AB72" s="623"/>
      <c r="AC72" s="60"/>
      <c r="AD72" s="9"/>
    </row>
    <row r="73" spans="1:30" ht="17.25" customHeight="1" x14ac:dyDescent="0.25">
      <c r="B73" s="13" t="s">
        <v>125</v>
      </c>
      <c r="C73" s="13"/>
      <c r="D73" s="13"/>
      <c r="E73" s="13"/>
      <c r="F73" s="13"/>
      <c r="H73" s="13"/>
      <c r="I73" s="13"/>
      <c r="J73" s="82"/>
      <c r="K73" s="13"/>
      <c r="L73" s="59"/>
      <c r="O73" s="1"/>
      <c r="V73" s="651" t="s">
        <v>126</v>
      </c>
      <c r="W73" s="651"/>
      <c r="X73" s="651"/>
      <c r="Y73" s="651"/>
      <c r="Z73" s="651"/>
      <c r="AA73" s="651"/>
      <c r="AB73" s="651"/>
      <c r="AC73" s="651"/>
      <c r="AD73" s="9"/>
    </row>
    <row r="74" spans="1:30" ht="31.5" x14ac:dyDescent="0.25">
      <c r="B74" s="13" t="s">
        <v>126</v>
      </c>
      <c r="C74" s="13"/>
      <c r="D74" s="27" t="s">
        <v>13</v>
      </c>
      <c r="E74" s="27" t="s">
        <v>14</v>
      </c>
      <c r="F74" s="27"/>
      <c r="H74" s="164" t="s">
        <v>26</v>
      </c>
      <c r="I74" s="172"/>
      <c r="J74" s="164"/>
      <c r="K74" s="172"/>
      <c r="L74" s="112"/>
      <c r="O74" s="1"/>
      <c r="V74" s="666" t="s">
        <v>127</v>
      </c>
      <c r="W74" s="666"/>
      <c r="X74" s="173" t="s">
        <v>128</v>
      </c>
      <c r="Y74" s="174"/>
      <c r="Z74" s="175">
        <f>+I75</f>
        <v>0</v>
      </c>
      <c r="AA74" s="176" t="s">
        <v>129</v>
      </c>
      <c r="AB74" s="177">
        <f>+K75</f>
        <v>361</v>
      </c>
      <c r="AC74" s="56">
        <f>ROUND(AB74*Z74,0)</f>
        <v>0</v>
      </c>
      <c r="AD74" s="9"/>
    </row>
    <row r="75" spans="1:30" ht="19.5" customHeight="1" x14ac:dyDescent="0.25">
      <c r="A75" s="1" t="s">
        <v>130</v>
      </c>
      <c r="B75" s="178" t="s">
        <v>127</v>
      </c>
      <c r="C75" s="179" t="s">
        <v>128</v>
      </c>
      <c r="D75" s="178">
        <v>0</v>
      </c>
      <c r="E75" s="178">
        <v>0</v>
      </c>
      <c r="F75" s="178">
        <v>0</v>
      </c>
      <c r="G75" s="180">
        <f>IF(E75=0,D75,E75)</f>
        <v>0</v>
      </c>
      <c r="H75" s="181"/>
      <c r="I75" s="182">
        <f>AVERAGE(G75,D75)</f>
        <v>0</v>
      </c>
      <c r="J75" s="183" t="s">
        <v>129</v>
      </c>
      <c r="K75" s="184">
        <v>361</v>
      </c>
      <c r="L75" s="50">
        <f>ROUND(K75*I75,0)</f>
        <v>0</v>
      </c>
      <c r="N75" s="1">
        <v>7802</v>
      </c>
      <c r="O75" s="1">
        <v>0</v>
      </c>
      <c r="V75" s="666" t="s">
        <v>127</v>
      </c>
      <c r="W75" s="666"/>
      <c r="X75" s="173" t="s">
        <v>131</v>
      </c>
      <c r="Y75" s="185"/>
      <c r="Z75" s="186">
        <f>+I76</f>
        <v>0</v>
      </c>
      <c r="AA75" s="176" t="s">
        <v>129</v>
      </c>
      <c r="AB75" s="187">
        <f>+K76</f>
        <v>1358</v>
      </c>
      <c r="AC75" s="56">
        <f>ROUND(AB75*Z75,0)</f>
        <v>0</v>
      </c>
      <c r="AD75" s="9"/>
    </row>
    <row r="76" spans="1:30" ht="19.5" customHeight="1" x14ac:dyDescent="0.25">
      <c r="A76" s="1" t="s">
        <v>132</v>
      </c>
      <c r="B76" s="178" t="s">
        <v>127</v>
      </c>
      <c r="C76" s="179" t="s">
        <v>131</v>
      </c>
      <c r="D76" s="178">
        <v>0</v>
      </c>
      <c r="E76" s="178">
        <v>0</v>
      </c>
      <c r="F76" s="178">
        <v>0</v>
      </c>
      <c r="G76" s="180">
        <f>IF(E76=0,D76,E76)</f>
        <v>0</v>
      </c>
      <c r="H76" s="181"/>
      <c r="I76" s="182">
        <f>AVERAGE(G76,D76)</f>
        <v>0</v>
      </c>
      <c r="J76" s="183" t="s">
        <v>129</v>
      </c>
      <c r="K76" s="188">
        <v>1358</v>
      </c>
      <c r="L76" s="50">
        <f>ROUND(K76*I76,0)</f>
        <v>0</v>
      </c>
      <c r="N76" s="1">
        <v>7802</v>
      </c>
      <c r="O76" s="1">
        <v>110</v>
      </c>
      <c r="V76" s="651" t="s">
        <v>133</v>
      </c>
      <c r="W76" s="651"/>
      <c r="X76" s="651"/>
      <c r="Y76" s="661">
        <f>+I77</f>
        <v>33305823</v>
      </c>
      <c r="Z76" s="661"/>
      <c r="AA76" s="176" t="s">
        <v>129</v>
      </c>
      <c r="AB76" s="163">
        <f>AB54</f>
        <v>0</v>
      </c>
      <c r="AC76" s="56">
        <f>ROUND(Y76*AB76,0)</f>
        <v>0</v>
      </c>
      <c r="AD76" s="9"/>
    </row>
    <row r="77" spans="1:30" ht="26.25" customHeight="1" x14ac:dyDescent="0.25">
      <c r="B77" s="13" t="s">
        <v>133</v>
      </c>
      <c r="C77" s="13"/>
      <c r="D77" s="13"/>
      <c r="E77" s="13"/>
      <c r="F77" s="13"/>
      <c r="H77" s="164" t="s">
        <v>134</v>
      </c>
      <c r="I77" s="189">
        <v>33305823</v>
      </c>
      <c r="J77" s="165" t="s">
        <v>111</v>
      </c>
      <c r="K77" s="166">
        <f>K54</f>
        <v>5.3359999999999996E-3</v>
      </c>
      <c r="L77" s="50">
        <f>ROUND(I77*K77,0)</f>
        <v>177720</v>
      </c>
      <c r="O77" s="1"/>
      <c r="V77" s="651" t="str">
        <f>+B78</f>
        <v>15.  Additional Allocation (WFTE share)</v>
      </c>
      <c r="W77" s="651"/>
      <c r="X77" s="651"/>
      <c r="Y77" s="661">
        <f>+I78</f>
        <v>680688</v>
      </c>
      <c r="Z77" s="661"/>
      <c r="AA77" s="176" t="s">
        <v>129</v>
      </c>
      <c r="AB77" s="163">
        <f>AB54</f>
        <v>0</v>
      </c>
      <c r="AC77" s="56">
        <f>ROUND(Y77*AB77,0)</f>
        <v>0</v>
      </c>
      <c r="AD77" s="9"/>
    </row>
    <row r="78" spans="1:30" ht="26.25" customHeight="1" x14ac:dyDescent="0.25">
      <c r="B78" s="669" t="s">
        <v>135</v>
      </c>
      <c r="C78" s="669"/>
      <c r="D78" s="669"/>
      <c r="E78" s="13"/>
      <c r="F78" s="13"/>
      <c r="H78" s="164" t="s">
        <v>136</v>
      </c>
      <c r="I78" s="190">
        <v>680688</v>
      </c>
      <c r="J78" s="165" t="s">
        <v>111</v>
      </c>
      <c r="K78" s="166">
        <f>K54</f>
        <v>5.3359999999999996E-3</v>
      </c>
      <c r="L78" s="50">
        <f>ROUND(I78*K78,0)</f>
        <v>3632</v>
      </c>
      <c r="O78" s="1"/>
      <c r="V78" s="651" t="str">
        <f t="shared" ref="V78:V79" si="11">+B79</f>
        <v>16.  Florida Teachers Lead Program Stipend</v>
      </c>
      <c r="W78" s="651"/>
      <c r="X78" s="651"/>
      <c r="Y78" s="191"/>
      <c r="Z78" s="191"/>
      <c r="AA78" s="191"/>
      <c r="AB78" s="191"/>
      <c r="AC78" s="134"/>
      <c r="AD78" s="9"/>
    </row>
    <row r="79" spans="1:30" ht="21" customHeight="1" x14ac:dyDescent="0.25">
      <c r="B79" s="669" t="s">
        <v>137</v>
      </c>
      <c r="C79" s="669"/>
      <c r="D79" s="669"/>
      <c r="E79" s="13"/>
      <c r="F79" s="13"/>
      <c r="H79" s="164"/>
      <c r="I79" s="172"/>
      <c r="J79" s="172"/>
      <c r="K79" s="172"/>
      <c r="L79" s="129"/>
      <c r="N79" s="192"/>
      <c r="O79" s="1"/>
      <c r="Q79" s="164"/>
      <c r="V79" s="651" t="str">
        <f t="shared" si="11"/>
        <v>17.  Food Service Allocation</v>
      </c>
      <c r="W79" s="651"/>
      <c r="X79" s="651"/>
      <c r="Y79" s="191"/>
      <c r="Z79" s="191"/>
      <c r="AA79" s="191"/>
      <c r="AB79" s="191"/>
      <c r="AC79" s="193"/>
      <c r="AD79" s="9"/>
    </row>
    <row r="80" spans="1:30" ht="21" customHeight="1" x14ac:dyDescent="0.25">
      <c r="B80" s="669" t="s">
        <v>138</v>
      </c>
      <c r="C80" s="669"/>
      <c r="D80" s="669"/>
      <c r="E80" s="13"/>
      <c r="F80" s="13"/>
      <c r="H80" s="194" t="s">
        <v>139</v>
      </c>
      <c r="I80" s="195"/>
      <c r="J80" s="195"/>
      <c r="K80" s="195"/>
      <c r="L80" s="196"/>
      <c r="N80" s="197"/>
      <c r="O80" s="1"/>
      <c r="Q80" s="164"/>
      <c r="V80" s="191"/>
      <c r="W80" s="191"/>
      <c r="X80" s="191"/>
      <c r="Y80" s="191"/>
      <c r="Z80" s="191"/>
      <c r="AA80" s="191"/>
      <c r="AB80" s="191"/>
      <c r="AC80" s="193"/>
      <c r="AD80" s="9"/>
    </row>
    <row r="81" spans="1:30" ht="21" customHeight="1" thickBot="1" x14ac:dyDescent="0.3">
      <c r="B81" s="13"/>
      <c r="C81" s="13"/>
      <c r="D81" s="13"/>
      <c r="E81" s="13"/>
      <c r="F81" s="13"/>
      <c r="G81" s="13"/>
      <c r="H81" s="13"/>
      <c r="I81" s="13"/>
      <c r="J81" s="13"/>
      <c r="K81" s="13"/>
      <c r="L81" s="196"/>
      <c r="M81" s="198"/>
      <c r="N81" s="197"/>
      <c r="O81" s="1"/>
      <c r="Q81" s="164"/>
      <c r="V81" s="191" t="s">
        <v>140</v>
      </c>
      <c r="W81" s="191"/>
      <c r="X81" s="191"/>
      <c r="Y81" s="191"/>
      <c r="Z81" s="191"/>
      <c r="AA81" s="191"/>
      <c r="AB81" s="191"/>
      <c r="AC81" s="199">
        <f>SUM(AC44:AC80)</f>
        <v>0</v>
      </c>
      <c r="AD81" s="200"/>
    </row>
    <row r="82" spans="1:30" ht="22.5" customHeight="1" thickTop="1" thickBot="1" x14ac:dyDescent="0.3">
      <c r="B82" s="13" t="s">
        <v>141</v>
      </c>
      <c r="C82" s="13"/>
      <c r="D82" s="13"/>
      <c r="E82" s="13"/>
      <c r="F82" s="13"/>
      <c r="G82" s="13"/>
      <c r="H82" s="13"/>
      <c r="I82" s="13"/>
      <c r="J82" s="13"/>
      <c r="K82" s="13"/>
      <c r="L82" s="201">
        <f>SUM(L44:L81)</f>
        <v>6464642</v>
      </c>
      <c r="M82" s="202"/>
      <c r="N82" s="203"/>
      <c r="O82" s="1"/>
      <c r="Q82" s="164"/>
      <c r="V82" s="191"/>
      <c r="W82" s="191"/>
      <c r="X82" s="191"/>
      <c r="Y82" s="191"/>
      <c r="Z82" s="191"/>
      <c r="AA82" s="191"/>
      <c r="AB82" s="191"/>
      <c r="AC82" s="204"/>
      <c r="AD82" s="200"/>
    </row>
    <row r="83" spans="1:30" ht="27.75" customHeight="1" thickTop="1" x14ac:dyDescent="0.25">
      <c r="B83" s="13" t="s">
        <v>142</v>
      </c>
      <c r="C83" s="13"/>
      <c r="D83" s="13"/>
      <c r="E83" s="13"/>
      <c r="F83" s="13"/>
      <c r="G83" s="13"/>
      <c r="H83" s="13"/>
      <c r="I83" s="13"/>
      <c r="J83" s="13"/>
      <c r="K83" s="82" t="s">
        <v>143</v>
      </c>
      <c r="L83" s="205" t="s">
        <v>144</v>
      </c>
      <c r="M83" s="202"/>
      <c r="N83" s="203"/>
      <c r="O83" s="1"/>
      <c r="Q83" s="164"/>
      <c r="V83" s="9" t="s">
        <v>145</v>
      </c>
      <c r="W83" s="9"/>
      <c r="X83" s="9"/>
      <c r="Y83" s="9"/>
      <c r="Z83" s="9"/>
      <c r="AA83" s="9"/>
      <c r="AB83" s="9"/>
      <c r="AC83" s="9"/>
      <c r="AD83" s="206"/>
    </row>
    <row r="84" spans="1:30" ht="18.75" customHeight="1" thickBot="1" x14ac:dyDescent="0.3">
      <c r="B84" s="13" t="s">
        <v>146</v>
      </c>
      <c r="C84" s="13"/>
      <c r="D84" s="13"/>
      <c r="E84" s="13"/>
      <c r="F84" s="13"/>
      <c r="G84" s="13"/>
      <c r="H84" s="13"/>
      <c r="I84" s="13"/>
      <c r="J84" s="13"/>
      <c r="K84" s="207" t="str">
        <f>IF(G26=0,"",IF((G11+G13+SUM(G15:G21))/G26&gt;0.75,1,""))</f>
        <v/>
      </c>
      <c r="L84" s="201">
        <f>'3381'!AC81</f>
        <v>0</v>
      </c>
      <c r="M84" s="202"/>
      <c r="N84" s="203"/>
      <c r="O84" s="1"/>
      <c r="Q84" s="164"/>
      <c r="V84" s="208" t="s">
        <v>147</v>
      </c>
      <c r="W84" s="208"/>
      <c r="X84" s="208"/>
      <c r="Y84" s="208"/>
      <c r="Z84" s="208"/>
      <c r="AA84" s="208"/>
      <c r="AB84" s="208"/>
      <c r="AC84" s="208"/>
      <c r="AD84" s="9"/>
    </row>
    <row r="85" spans="1:30" ht="18.75" customHeight="1" thickTop="1" x14ac:dyDescent="0.25">
      <c r="B85" s="13"/>
      <c r="C85" s="13"/>
      <c r="D85" s="13"/>
      <c r="E85" s="13"/>
      <c r="F85" s="13"/>
      <c r="G85" s="13"/>
      <c r="H85" s="13"/>
      <c r="I85" s="13"/>
      <c r="J85" s="13"/>
      <c r="M85" s="202"/>
      <c r="N85" s="203"/>
      <c r="O85" s="1"/>
      <c r="Q85" s="164"/>
      <c r="V85" s="208" t="s">
        <v>148</v>
      </c>
      <c r="W85" s="208"/>
      <c r="X85" s="208"/>
      <c r="Y85" s="208"/>
      <c r="Z85" s="208"/>
      <c r="AA85" s="208"/>
      <c r="AB85" s="208"/>
      <c r="AC85" s="208"/>
      <c r="AD85" s="206"/>
    </row>
    <row r="86" spans="1:30" ht="18.75" customHeight="1" x14ac:dyDescent="0.25">
      <c r="B86" s="2" t="s">
        <v>149</v>
      </c>
      <c r="C86" s="13"/>
      <c r="D86" s="13"/>
      <c r="E86" s="13"/>
      <c r="F86" s="13"/>
      <c r="G86" s="13"/>
      <c r="H86" s="13"/>
      <c r="I86" s="13"/>
      <c r="J86" s="209" t="s">
        <v>150</v>
      </c>
      <c r="K86" s="210">
        <f>IF(K84=1,L84,L82)</f>
        <v>6464642</v>
      </c>
      <c r="L86" s="211">
        <f>IF(G26=0,0,IF(G26&gt;250,-(((250/G26)*K86)*IF(M86="H",0.02,0.05)),IF(M86="H",-0.02*K86,-0.05*K86)))</f>
        <v>-80752.305908922848</v>
      </c>
      <c r="M86" s="212" t="str">
        <f>IF(B123="2801","H",IF(B123="2911","H",IF(B123="3382","H"," ")))</f>
        <v xml:space="preserve"> </v>
      </c>
      <c r="N86" s="203"/>
      <c r="O86" s="1"/>
      <c r="Q86" s="164"/>
      <c r="V86" s="208" t="s">
        <v>151</v>
      </c>
      <c r="W86" s="208"/>
      <c r="X86" s="208"/>
      <c r="Y86" s="208"/>
      <c r="Z86" s="208"/>
      <c r="AA86" s="208"/>
      <c r="AB86" s="208"/>
      <c r="AC86" s="208"/>
      <c r="AD86" s="206"/>
    </row>
    <row r="87" spans="1:30" ht="18.75" customHeight="1" x14ac:dyDescent="0.25">
      <c r="B87" s="2" t="s">
        <v>152</v>
      </c>
      <c r="C87" s="13"/>
      <c r="D87" s="13"/>
      <c r="E87" s="13"/>
      <c r="F87" s="13"/>
      <c r="G87" s="13"/>
      <c r="H87" s="13"/>
      <c r="I87" s="13"/>
      <c r="J87" s="13"/>
      <c r="K87" s="213"/>
      <c r="L87" s="205">
        <f>L82+L86</f>
        <v>6383889.694091077</v>
      </c>
      <c r="M87" s="202"/>
      <c r="N87" s="203"/>
      <c r="O87" s="1"/>
      <c r="Q87" s="164"/>
      <c r="V87" s="198"/>
      <c r="W87" s="198"/>
      <c r="X87" s="198"/>
      <c r="Y87" s="198"/>
      <c r="Z87" s="198"/>
      <c r="AA87" s="198"/>
      <c r="AB87" s="198"/>
      <c r="AC87" s="198"/>
      <c r="AD87" s="214"/>
    </row>
    <row r="88" spans="1:30" x14ac:dyDescent="0.25">
      <c r="V88" s="198"/>
      <c r="W88" s="198"/>
      <c r="X88" s="198"/>
      <c r="Y88" s="198"/>
      <c r="Z88" s="198"/>
      <c r="AA88" s="198"/>
      <c r="AB88" s="198"/>
      <c r="AC88" s="198"/>
      <c r="AD88" s="215"/>
    </row>
    <row r="89" spans="1:30" ht="18.75" customHeight="1" x14ac:dyDescent="0.25">
      <c r="A89" s="1" t="s">
        <v>153</v>
      </c>
      <c r="B89" s="13" t="s">
        <v>154</v>
      </c>
      <c r="C89" s="13"/>
      <c r="D89" s="13">
        <v>3187506</v>
      </c>
      <c r="E89" s="13">
        <v>538070</v>
      </c>
      <c r="F89" s="13">
        <v>5339784</v>
      </c>
      <c r="G89" s="13"/>
      <c r="H89" s="13"/>
      <c r="I89" s="13"/>
      <c r="J89" s="13"/>
      <c r="K89" s="213"/>
      <c r="L89" s="84">
        <f>-F89-522053</f>
        <v>-5861837</v>
      </c>
      <c r="M89" s="202"/>
      <c r="N89" s="203"/>
      <c r="O89" s="1"/>
      <c r="Q89" s="164"/>
      <c r="V89" s="198">
        <v>2801</v>
      </c>
      <c r="W89" s="198"/>
      <c r="X89" s="198"/>
      <c r="Y89" s="198"/>
      <c r="Z89" s="198"/>
      <c r="AA89" s="198"/>
      <c r="AB89" s="198"/>
      <c r="AC89" s="198"/>
      <c r="AD89" s="214"/>
    </row>
    <row r="90" spans="1:30" ht="18.75" customHeight="1" x14ac:dyDescent="0.25">
      <c r="B90" s="13" t="s">
        <v>155</v>
      </c>
      <c r="C90" s="13"/>
      <c r="D90" s="13"/>
      <c r="E90" s="13"/>
      <c r="F90" s="13"/>
      <c r="G90" s="13"/>
      <c r="H90" s="13"/>
      <c r="I90" s="13"/>
      <c r="J90" s="13"/>
      <c r="K90" s="213"/>
      <c r="L90" s="205">
        <f>L87+L89</f>
        <v>522052.69409107696</v>
      </c>
      <c r="M90" s="202"/>
      <c r="N90" s="203"/>
      <c r="O90" s="1"/>
      <c r="Q90" s="164"/>
      <c r="V90" s="198">
        <v>2911</v>
      </c>
      <c r="W90" s="216"/>
      <c r="X90" s="216"/>
      <c r="Y90" s="216"/>
      <c r="Z90" s="216"/>
      <c r="AA90" s="216"/>
      <c r="AB90" s="216"/>
      <c r="AC90" s="216"/>
      <c r="AD90" s="214"/>
    </row>
    <row r="91" spans="1:30" ht="18.75" customHeight="1" x14ac:dyDescent="0.25">
      <c r="B91" s="13" t="s">
        <v>156</v>
      </c>
      <c r="C91" s="13"/>
      <c r="D91" s="13"/>
      <c r="E91" s="13"/>
      <c r="F91" s="13"/>
      <c r="G91" s="13"/>
      <c r="H91" s="13"/>
      <c r="I91" s="13"/>
      <c r="J91" s="13"/>
      <c r="K91" s="213"/>
      <c r="L91" s="205">
        <v>1</v>
      </c>
      <c r="M91" s="202"/>
      <c r="N91" s="203"/>
      <c r="O91" s="1"/>
      <c r="Q91" s="164"/>
      <c r="V91" s="198">
        <v>3382</v>
      </c>
      <c r="W91" s="216"/>
      <c r="X91" s="216"/>
      <c r="Y91" s="216"/>
      <c r="Z91" s="216"/>
      <c r="AA91" s="216"/>
      <c r="AB91" s="216"/>
      <c r="AC91" s="216"/>
      <c r="AD91" s="214"/>
    </row>
    <row r="92" spans="1:30" ht="18.75" customHeight="1" thickBot="1" x14ac:dyDescent="0.3">
      <c r="B92" s="13" t="s">
        <v>157</v>
      </c>
      <c r="C92" s="13"/>
      <c r="D92" s="13"/>
      <c r="E92" s="13"/>
      <c r="F92" s="13"/>
      <c r="G92" s="13"/>
      <c r="H92" s="13"/>
      <c r="I92" s="13"/>
      <c r="J92" s="13"/>
      <c r="K92" s="213"/>
      <c r="L92" s="217">
        <f>L90/L91</f>
        <v>522052.69409107696</v>
      </c>
      <c r="M92" s="202"/>
      <c r="N92" s="203"/>
      <c r="O92" s="1"/>
      <c r="Q92" s="164"/>
      <c r="V92" s="218"/>
      <c r="W92" s="218"/>
      <c r="X92" s="218"/>
      <c r="Y92" s="218"/>
      <c r="Z92" s="218"/>
      <c r="AA92" s="218"/>
      <c r="AB92" s="218"/>
      <c r="AC92" s="218"/>
      <c r="AD92" s="219"/>
    </row>
    <row r="93" spans="1:30" ht="18.75" customHeight="1" thickTop="1" x14ac:dyDescent="0.25">
      <c r="N93" s="219"/>
      <c r="O93" s="220"/>
      <c r="P93" s="219"/>
      <c r="Q93" s="219"/>
      <c r="V93" s="218"/>
      <c r="W93" s="218"/>
      <c r="X93" s="218"/>
      <c r="Y93" s="218"/>
      <c r="Z93" s="218"/>
      <c r="AA93" s="218"/>
      <c r="AB93" s="218"/>
      <c r="AC93" s="218"/>
      <c r="AD93" s="214"/>
    </row>
    <row r="94" spans="1:30" ht="18.75" customHeight="1" thickBot="1" x14ac:dyDescent="0.3">
      <c r="B94" s="221" t="s">
        <v>158</v>
      </c>
      <c r="C94" s="13"/>
      <c r="D94" s="13"/>
      <c r="E94" s="13"/>
      <c r="G94" s="13"/>
      <c r="H94" s="13"/>
      <c r="I94" s="13"/>
      <c r="J94" s="13"/>
      <c r="L94" s="222">
        <f>IF(M86="H",(K86*0.02)+L86,(K86*0.05)+L86)</f>
        <v>242479.79409107717</v>
      </c>
      <c r="M94" s="202"/>
      <c r="V94" s="223"/>
      <c r="W94" s="223"/>
      <c r="X94" s="223"/>
      <c r="Y94" s="223"/>
      <c r="Z94" s="223"/>
      <c r="AA94" s="223"/>
      <c r="AB94" s="223"/>
      <c r="AC94" s="223"/>
      <c r="AD94" s="214"/>
    </row>
    <row r="95" spans="1:30" ht="21.75" customHeight="1" thickTop="1" x14ac:dyDescent="0.25">
      <c r="B95" s="224" t="s">
        <v>159</v>
      </c>
      <c r="C95" s="224"/>
      <c r="D95" s="224"/>
      <c r="E95" s="224"/>
      <c r="F95" s="224"/>
      <c r="G95" s="224"/>
      <c r="H95" s="224"/>
      <c r="I95" s="224"/>
      <c r="J95" s="224"/>
      <c r="K95" s="224"/>
      <c r="L95" s="224"/>
      <c r="M95" s="219"/>
      <c r="V95" s="223"/>
      <c r="W95" s="223"/>
      <c r="X95" s="223"/>
      <c r="Y95" s="223"/>
      <c r="Z95" s="223"/>
      <c r="AA95" s="223"/>
      <c r="AB95" s="223"/>
      <c r="AC95" s="223"/>
      <c r="AD95" s="214"/>
    </row>
    <row r="96" spans="1:30" x14ac:dyDescent="0.25">
      <c r="B96" s="225"/>
      <c r="V96" s="223"/>
      <c r="W96" s="223"/>
      <c r="X96" s="223"/>
      <c r="Y96" s="223"/>
      <c r="Z96" s="223"/>
      <c r="AA96" s="223"/>
      <c r="AB96" s="223"/>
      <c r="AC96" s="223"/>
      <c r="AD96" s="219"/>
    </row>
    <row r="97" spans="2:30" x14ac:dyDescent="0.25">
      <c r="B97" s="225"/>
      <c r="V97" s="223"/>
      <c r="W97" s="223"/>
      <c r="X97" s="223"/>
      <c r="Y97" s="223"/>
      <c r="Z97" s="223"/>
      <c r="AA97" s="223"/>
      <c r="AB97" s="223"/>
      <c r="AC97" s="223"/>
      <c r="AD97" s="219"/>
    </row>
    <row r="98" spans="2:30" hidden="1" x14ac:dyDescent="0.25">
      <c r="B98" s="226" t="s">
        <v>160</v>
      </c>
      <c r="C98" s="227"/>
      <c r="V98" s="228"/>
      <c r="W98" s="228"/>
      <c r="X98" s="228"/>
      <c r="Y98" s="228"/>
      <c r="Z98" s="228"/>
      <c r="AA98" s="228"/>
      <c r="AB98" s="228"/>
      <c r="AC98" s="228"/>
    </row>
    <row r="99" spans="2:30" hidden="1" x14ac:dyDescent="0.25">
      <c r="B99" s="229"/>
      <c r="C99" s="227"/>
      <c r="V99" s="225"/>
      <c r="W99" s="13"/>
      <c r="X99" s="13"/>
      <c r="Y99" s="13"/>
      <c r="Z99" s="13"/>
      <c r="AA99" s="13"/>
      <c r="AB99" s="13"/>
      <c r="AC99" s="13"/>
    </row>
    <row r="100" spans="2:30" hidden="1" x14ac:dyDescent="0.25">
      <c r="B100" s="230" t="s">
        <v>161</v>
      </c>
      <c r="C100" s="226" t="s">
        <v>162</v>
      </c>
      <c r="V100" s="225"/>
    </row>
    <row r="101" spans="2:30" hidden="1" x14ac:dyDescent="0.25">
      <c r="B101" s="230" t="s">
        <v>163</v>
      </c>
      <c r="C101" s="226" t="s">
        <v>164</v>
      </c>
      <c r="V101" s="225"/>
    </row>
    <row r="102" spans="2:30" hidden="1" x14ac:dyDescent="0.25">
      <c r="B102" s="230" t="s">
        <v>165</v>
      </c>
      <c r="C102" s="226" t="s">
        <v>166</v>
      </c>
      <c r="V102" s="225"/>
      <c r="W102" s="231"/>
      <c r="X102" s="231"/>
      <c r="Y102" s="231"/>
      <c r="Z102" s="231"/>
      <c r="AA102" s="231"/>
      <c r="AB102" s="231"/>
      <c r="AC102" s="231"/>
      <c r="AD102" s="231"/>
    </row>
    <row r="103" spans="2:30" hidden="1" x14ac:dyDescent="0.25">
      <c r="B103" s="230" t="s">
        <v>167</v>
      </c>
      <c r="C103" s="226" t="s">
        <v>168</v>
      </c>
      <c r="V103" s="225"/>
    </row>
    <row r="104" spans="2:30" hidden="1" x14ac:dyDescent="0.25">
      <c r="B104" s="232"/>
      <c r="C104" s="226" t="s">
        <v>169</v>
      </c>
      <c r="V104" s="225"/>
    </row>
    <row r="105" spans="2:30" hidden="1" x14ac:dyDescent="0.25">
      <c r="B105" s="230" t="s">
        <v>170</v>
      </c>
      <c r="C105" s="226" t="s">
        <v>171</v>
      </c>
      <c r="V105" s="225"/>
    </row>
    <row r="106" spans="2:30" hidden="1" x14ac:dyDescent="0.25">
      <c r="B106" s="230" t="s">
        <v>172</v>
      </c>
      <c r="C106" s="226" t="s">
        <v>173</v>
      </c>
      <c r="V106" s="225"/>
    </row>
    <row r="107" spans="2:30" hidden="1" x14ac:dyDescent="0.25">
      <c r="B107" s="230" t="s">
        <v>259</v>
      </c>
      <c r="C107" s="226" t="s">
        <v>175</v>
      </c>
      <c r="V107" s="225"/>
    </row>
    <row r="108" spans="2:30" hidden="1" x14ac:dyDescent="0.25">
      <c r="B108" s="230" t="s">
        <v>176</v>
      </c>
      <c r="C108" s="226" t="s">
        <v>177</v>
      </c>
      <c r="V108" s="225"/>
    </row>
    <row r="109" spans="2:30" hidden="1" x14ac:dyDescent="0.25">
      <c r="B109" s="230" t="s">
        <v>178</v>
      </c>
      <c r="C109" s="226" t="s">
        <v>179</v>
      </c>
      <c r="V109" s="225"/>
    </row>
    <row r="110" spans="2:30" hidden="1" x14ac:dyDescent="0.25">
      <c r="B110" s="232"/>
      <c r="C110" s="226"/>
      <c r="V110" s="225"/>
    </row>
    <row r="111" spans="2:30" hidden="1" x14ac:dyDescent="0.25">
      <c r="B111" s="230" t="s">
        <v>180</v>
      </c>
      <c r="C111" s="226" t="s">
        <v>181</v>
      </c>
      <c r="V111" s="225"/>
    </row>
    <row r="112" spans="2:30" hidden="1" x14ac:dyDescent="0.25">
      <c r="B112" s="230" t="s">
        <v>180</v>
      </c>
      <c r="C112" s="226" t="s">
        <v>182</v>
      </c>
    </row>
    <row r="113" spans="2:3" hidden="1" x14ac:dyDescent="0.25">
      <c r="B113" s="230" t="s">
        <v>183</v>
      </c>
      <c r="C113" s="226" t="s">
        <v>184</v>
      </c>
    </row>
    <row r="114" spans="2:3" hidden="1" x14ac:dyDescent="0.25">
      <c r="B114" s="230" t="s">
        <v>185</v>
      </c>
      <c r="C114" s="226" t="s">
        <v>186</v>
      </c>
    </row>
    <row r="115" spans="2:3" hidden="1" x14ac:dyDescent="0.25">
      <c r="B115" s="230" t="s">
        <v>183</v>
      </c>
      <c r="C115" s="226" t="s">
        <v>187</v>
      </c>
    </row>
    <row r="116" spans="2:3" hidden="1" x14ac:dyDescent="0.25">
      <c r="B116" s="230" t="s">
        <v>188</v>
      </c>
      <c r="C116" s="226" t="s">
        <v>189</v>
      </c>
    </row>
    <row r="117" spans="2:3" hidden="1" x14ac:dyDescent="0.25">
      <c r="B117" s="230" t="s">
        <v>190</v>
      </c>
      <c r="C117" s="226" t="s">
        <v>191</v>
      </c>
    </row>
    <row r="118" spans="2:3" hidden="1" x14ac:dyDescent="0.25">
      <c r="B118" s="232" t="s">
        <v>192</v>
      </c>
      <c r="C118" s="226" t="s">
        <v>193</v>
      </c>
    </row>
    <row r="119" spans="2:3" hidden="1" x14ac:dyDescent="0.25">
      <c r="B119" s="232"/>
      <c r="C119" s="226"/>
    </row>
    <row r="120" spans="2:3" hidden="1" x14ac:dyDescent="0.25">
      <c r="B120" s="230" t="s">
        <v>161</v>
      </c>
      <c r="C120" s="226" t="s">
        <v>194</v>
      </c>
    </row>
    <row r="121" spans="2:3" hidden="1" x14ac:dyDescent="0.25">
      <c r="B121" s="230" t="s">
        <v>195</v>
      </c>
      <c r="C121" s="226" t="s">
        <v>196</v>
      </c>
    </row>
    <row r="122" spans="2:3" hidden="1" x14ac:dyDescent="0.25">
      <c r="B122" s="230" t="s">
        <v>197</v>
      </c>
      <c r="C122" s="226" t="s">
        <v>198</v>
      </c>
    </row>
    <row r="123" spans="2:3" hidden="1" x14ac:dyDescent="0.25">
      <c r="B123" s="230" t="s">
        <v>260</v>
      </c>
      <c r="C123" s="226" t="s">
        <v>200</v>
      </c>
    </row>
    <row r="124" spans="2:3" hidden="1" x14ac:dyDescent="0.25">
      <c r="B124" s="230" t="s">
        <v>261</v>
      </c>
      <c r="C124" s="226" t="s">
        <v>202</v>
      </c>
    </row>
    <row r="125" spans="2:3" hidden="1" x14ac:dyDescent="0.25">
      <c r="B125" s="230" t="s">
        <v>203</v>
      </c>
      <c r="C125" s="226" t="s">
        <v>204</v>
      </c>
    </row>
    <row r="126" spans="2:3" hidden="1" x14ac:dyDescent="0.25">
      <c r="B126" s="230" t="s">
        <v>203</v>
      </c>
      <c r="C126" s="226" t="s">
        <v>205</v>
      </c>
    </row>
    <row r="127" spans="2:3" hidden="1" x14ac:dyDescent="0.25">
      <c r="B127" s="230" t="s">
        <v>203</v>
      </c>
      <c r="C127" s="226" t="s">
        <v>206</v>
      </c>
    </row>
    <row r="128" spans="2:3" hidden="1" x14ac:dyDescent="0.25">
      <c r="B128" s="230" t="s">
        <v>203</v>
      </c>
      <c r="C128" s="226" t="s">
        <v>207</v>
      </c>
    </row>
    <row r="129" spans="2:3" hidden="1" x14ac:dyDescent="0.25">
      <c r="B129" s="230" t="s">
        <v>167</v>
      </c>
      <c r="C129" s="226" t="s">
        <v>208</v>
      </c>
    </row>
    <row r="130" spans="2:3" hidden="1" x14ac:dyDescent="0.25">
      <c r="B130" s="230" t="s">
        <v>209</v>
      </c>
      <c r="C130" s="226" t="s">
        <v>210</v>
      </c>
    </row>
    <row r="131" spans="2:3" hidden="1" x14ac:dyDescent="0.25">
      <c r="B131" s="230" t="s">
        <v>203</v>
      </c>
      <c r="C131" s="226" t="s">
        <v>211</v>
      </c>
    </row>
    <row r="132" spans="2:3" hidden="1" x14ac:dyDescent="0.25">
      <c r="B132" s="226"/>
      <c r="C132" s="226"/>
    </row>
    <row r="133" spans="2:3" hidden="1" x14ac:dyDescent="0.25">
      <c r="B133" s="226"/>
      <c r="C133" s="226"/>
    </row>
    <row r="134" spans="2:3" hidden="1" x14ac:dyDescent="0.25">
      <c r="B134" s="232"/>
      <c r="C134" s="232"/>
    </row>
    <row r="135" spans="2:3" hidden="1" x14ac:dyDescent="0.25">
      <c r="B135" s="232">
        <f>NvsElapsedTime</f>
        <v>1.15740767796524E-5</v>
      </c>
      <c r="C135" s="232"/>
    </row>
    <row r="136" spans="2:3" hidden="1" x14ac:dyDescent="0.25">
      <c r="B136" s="233">
        <f>NvsEndTime</f>
        <v>41754.487858796303</v>
      </c>
      <c r="C136" s="233" t="s">
        <v>212</v>
      </c>
    </row>
    <row r="137" spans="2:3" x14ac:dyDescent="0.25">
      <c r="B137" s="226"/>
      <c r="C137" s="234"/>
    </row>
    <row r="138" spans="2:3" x14ac:dyDescent="0.25">
      <c r="B138" s="226"/>
      <c r="C138" s="226"/>
    </row>
    <row r="139" spans="2:3" x14ac:dyDescent="0.25">
      <c r="B139" s="226"/>
      <c r="C139" s="226"/>
    </row>
    <row r="140" spans="2:3" x14ac:dyDescent="0.25">
      <c r="B140" s="226"/>
      <c r="C140" s="226"/>
    </row>
    <row r="141" spans="2:3" x14ac:dyDescent="0.25">
      <c r="B141" s="226"/>
      <c r="C141" s="226"/>
    </row>
    <row r="142" spans="2:3" x14ac:dyDescent="0.25">
      <c r="B142" s="226"/>
      <c r="C142" s="226"/>
    </row>
    <row r="143" spans="2:3" x14ac:dyDescent="0.25">
      <c r="B143" s="226"/>
      <c r="C143" s="226"/>
    </row>
    <row r="144" spans="2:3" x14ac:dyDescent="0.25">
      <c r="B144" s="226"/>
      <c r="C144" s="226"/>
    </row>
    <row r="145" spans="2:3" x14ac:dyDescent="0.25">
      <c r="B145" s="226"/>
      <c r="C145" s="226"/>
    </row>
    <row r="146" spans="2:3" x14ac:dyDescent="0.25">
      <c r="B146" s="226"/>
      <c r="C146" s="226"/>
    </row>
    <row r="147" spans="2:3" x14ac:dyDescent="0.25">
      <c r="B147" s="226"/>
      <c r="C147" s="226"/>
    </row>
    <row r="148" spans="2:3" x14ac:dyDescent="0.25">
      <c r="B148" s="226"/>
      <c r="C148" s="226"/>
    </row>
    <row r="149" spans="2:3" x14ac:dyDescent="0.25">
      <c r="B149" s="226"/>
      <c r="C149" s="226"/>
    </row>
    <row r="150" spans="2:3" x14ac:dyDescent="0.25">
      <c r="B150" s="226"/>
      <c r="C150" s="226"/>
    </row>
    <row r="151" spans="2:3" x14ac:dyDescent="0.25">
      <c r="B151" s="226"/>
      <c r="C151" s="226"/>
    </row>
  </sheetData>
  <mergeCells count="151">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9:W9"/>
    <mergeCell ref="X9:Y9"/>
    <mergeCell ref="Z9:AA9"/>
    <mergeCell ref="V10:W10"/>
    <mergeCell ref="X10:Y10"/>
    <mergeCell ref="Z10:AA10"/>
    <mergeCell ref="V7:W7"/>
    <mergeCell ref="X7:Y7"/>
    <mergeCell ref="Z7:AA7"/>
    <mergeCell ref="AB7:AC7"/>
    <mergeCell ref="V8:W8"/>
    <mergeCell ref="X8:Y8"/>
    <mergeCell ref="Z8:AA8"/>
    <mergeCell ref="W2:AC2"/>
    <mergeCell ref="V3:AC3"/>
    <mergeCell ref="V4:AC4"/>
    <mergeCell ref="V5:W5"/>
    <mergeCell ref="X5:Y5"/>
    <mergeCell ref="V6:AC6"/>
  </mergeCells>
  <printOptions horizontalCentered="1"/>
  <pageMargins left="0" right="0" top="0.67" bottom="0.2" header="0.25" footer="0.196850393700787"/>
  <pageSetup scale="63" fitToWidth="2" fitToHeight="2" orientation="portrait" horizontalDpi="4294967295" verticalDpi="4294967295" r:id="rId1"/>
  <headerFooter alignWithMargins="0">
    <oddHeader>&amp;L&amp;8&amp;F
&amp;D &amp;T</oddHeader>
    <oddFooter>&amp;C&amp;P</oddFooter>
  </headerFooter>
  <rowBreaks count="1" manualBreakCount="1">
    <brk id="51" max="16383"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D151"/>
  <sheetViews>
    <sheetView topLeftCell="B2" zoomScale="70" zoomScaleNormal="70" workbookViewId="0">
      <selection activeCell="G68" sqref="G68"/>
    </sheetView>
  </sheetViews>
  <sheetFormatPr defaultColWidth="8.85546875" defaultRowHeight="15.75" x14ac:dyDescent="0.25"/>
  <cols>
    <col min="1" max="1" width="11.28515625" style="1" hidden="1" customWidth="1"/>
    <col min="2" max="2" width="10.28515625" style="2" customWidth="1"/>
    <col min="3" max="3" width="29" style="1" customWidth="1"/>
    <col min="4" max="5" width="12.28515625" style="1" customWidth="1"/>
    <col min="6" max="6" width="12.28515625" style="1" hidden="1" customWidth="1"/>
    <col min="7" max="7" width="15.28515625" style="1" customWidth="1"/>
    <col min="8" max="8" width="6.7109375" style="1" customWidth="1"/>
    <col min="9" max="9" width="16.85546875" style="1" customWidth="1"/>
    <col min="10" max="10" width="12.85546875" style="1" customWidth="1"/>
    <col min="11" max="11" width="15.5703125" style="1" bestFit="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28515625" style="1" customWidth="1"/>
    <col min="18" max="18" width="8.85546875" style="1"/>
    <col min="19" max="21" width="0" style="1" hidden="1" customWidth="1"/>
    <col min="22" max="23" width="8.85546875" style="1"/>
    <col min="24" max="24" width="12.7109375" style="1" customWidth="1"/>
    <col min="25" max="27" width="8.85546875" style="1"/>
    <col min="28" max="28" width="13.140625" style="1" bestFit="1" customWidth="1"/>
    <col min="29" max="16384" width="8.85546875" style="1"/>
  </cols>
  <sheetData>
    <row r="1" spans="1:30" ht="15.6"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7"/>
      <c r="N2" s="3"/>
      <c r="O2" s="1"/>
      <c r="V2" s="8">
        <f>'3381 June Final'!B2</f>
        <v>50</v>
      </c>
      <c r="W2" s="606" t="s">
        <v>4</v>
      </c>
      <c r="X2" s="607"/>
      <c r="Y2" s="608"/>
      <c r="Z2" s="608"/>
      <c r="AA2" s="608"/>
      <c r="AB2" s="608"/>
      <c r="AC2" s="608"/>
      <c r="AD2" s="9"/>
    </row>
    <row r="3" spans="1:30" ht="20.25" x14ac:dyDescent="0.3">
      <c r="B3" s="10" t="str">
        <f>"Revenue Estimate Worksheet for "&amp;B124</f>
        <v>Revenue Estimate Worksheet for Imagine Sch-Chancellor Campus</v>
      </c>
      <c r="C3" s="11"/>
      <c r="D3" s="11"/>
      <c r="E3" s="11"/>
      <c r="F3" s="11"/>
      <c r="G3" s="11"/>
      <c r="H3" s="11"/>
      <c r="I3" s="11"/>
      <c r="J3" s="11"/>
      <c r="K3" s="11"/>
      <c r="L3" s="11"/>
      <c r="M3" s="10"/>
      <c r="N3" s="10"/>
      <c r="O3" s="10"/>
      <c r="P3" s="10"/>
      <c r="Q3" s="10"/>
      <c r="V3" s="609" t="s">
        <v>5</v>
      </c>
      <c r="W3" s="609"/>
      <c r="X3" s="609"/>
      <c r="Y3" s="609"/>
      <c r="Z3" s="609"/>
      <c r="AA3" s="609"/>
      <c r="AB3" s="609"/>
      <c r="AC3" s="609"/>
      <c r="AD3" s="12"/>
    </row>
    <row r="4" spans="1:30" ht="18.75" x14ac:dyDescent="0.3">
      <c r="B4" s="2" t="s">
        <v>6</v>
      </c>
      <c r="C4" s="13"/>
      <c r="D4" s="13"/>
      <c r="E4" s="13"/>
      <c r="F4" s="13"/>
      <c r="G4" s="13"/>
      <c r="H4" s="13"/>
      <c r="I4" s="13"/>
      <c r="J4" s="13"/>
      <c r="K4" s="13"/>
      <c r="L4" s="13"/>
      <c r="M4" s="14"/>
      <c r="N4" s="14"/>
      <c r="O4" s="14"/>
      <c r="P4" s="14"/>
      <c r="Q4" s="14"/>
      <c r="V4" s="610" t="str">
        <f>+Based_on_the_Second_Calculation_of_the_FEFP_2010_11</f>
        <v>Based on the Fourth Calculation of the FEFP 2013-14</v>
      </c>
      <c r="W4" s="610"/>
      <c r="X4" s="610"/>
      <c r="Y4" s="610"/>
      <c r="Z4" s="610"/>
      <c r="AA4" s="610"/>
      <c r="AB4" s="610"/>
      <c r="AC4" s="610"/>
      <c r="AD4" s="15"/>
    </row>
    <row r="5" spans="1:30" ht="18.75" customHeight="1" x14ac:dyDescent="0.25">
      <c r="B5" s="16" t="s">
        <v>7</v>
      </c>
      <c r="C5" s="16"/>
      <c r="D5" s="16"/>
      <c r="E5" s="16"/>
      <c r="F5" s="16"/>
      <c r="G5" s="17" t="s">
        <v>8</v>
      </c>
      <c r="H5" s="17"/>
      <c r="I5" s="17"/>
      <c r="J5" s="17"/>
      <c r="K5" s="17"/>
      <c r="L5" s="17"/>
      <c r="M5" s="18"/>
      <c r="N5" s="18"/>
      <c r="O5" s="18"/>
      <c r="P5" s="18"/>
      <c r="Q5" s="18"/>
      <c r="V5" s="611" t="s">
        <v>7</v>
      </c>
      <c r="W5" s="611"/>
      <c r="X5" s="612" t="s">
        <v>8</v>
      </c>
      <c r="Y5" s="612"/>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613" t="s">
        <v>9</v>
      </c>
      <c r="W6" s="613"/>
      <c r="X6" s="613"/>
      <c r="Y6" s="613"/>
      <c r="Z6" s="613"/>
      <c r="AA6" s="613"/>
      <c r="AB6" s="613"/>
      <c r="AC6" s="613"/>
      <c r="AD6" s="22"/>
    </row>
    <row r="7" spans="1:30" ht="18" customHeight="1" x14ac:dyDescent="0.25">
      <c r="B7" s="23" t="s">
        <v>10</v>
      </c>
      <c r="C7" s="23"/>
      <c r="D7" s="23"/>
      <c r="E7" s="23"/>
      <c r="F7" s="23"/>
      <c r="G7" s="24">
        <v>3752.3</v>
      </c>
      <c r="H7" s="24"/>
      <c r="I7" s="23" t="s">
        <v>11</v>
      </c>
      <c r="J7" s="23"/>
      <c r="K7" s="25">
        <v>1.0326</v>
      </c>
      <c r="L7" s="25"/>
      <c r="O7" s="1"/>
      <c r="V7" s="620" t="s">
        <v>10</v>
      </c>
      <c r="W7" s="620"/>
      <c r="X7" s="621">
        <f>'3381 June Final'!G7</f>
        <v>3752.3</v>
      </c>
      <c r="Y7" s="621"/>
      <c r="Z7" s="622" t="s">
        <v>11</v>
      </c>
      <c r="AA7" s="622"/>
      <c r="AB7" s="602">
        <f>+K7</f>
        <v>1.0326</v>
      </c>
      <c r="AC7" s="602"/>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603" t="s">
        <v>12</v>
      </c>
      <c r="W8" s="603"/>
      <c r="X8" s="604" t="s">
        <v>15</v>
      </c>
      <c r="Y8" s="604"/>
      <c r="Z8" s="605" t="s">
        <v>16</v>
      </c>
      <c r="AA8" s="605"/>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614" t="s">
        <v>22</v>
      </c>
      <c r="W9" s="614"/>
      <c r="X9" s="615" t="s">
        <v>23</v>
      </c>
      <c r="Y9" s="615"/>
      <c r="Z9" s="616" t="s">
        <v>24</v>
      </c>
      <c r="AA9" s="616"/>
      <c r="AB9" s="43" t="s">
        <v>25</v>
      </c>
      <c r="AC9" s="44" t="s">
        <v>26</v>
      </c>
      <c r="AD9" s="9"/>
    </row>
    <row r="10" spans="1:30" x14ac:dyDescent="0.25">
      <c r="A10" s="1" t="s">
        <v>27</v>
      </c>
      <c r="B10" s="45" t="s">
        <v>28</v>
      </c>
      <c r="C10" s="45"/>
      <c r="D10" s="45">
        <v>178.68</v>
      </c>
      <c r="E10" s="45">
        <v>169.92</v>
      </c>
      <c r="F10" s="45">
        <v>223.03</v>
      </c>
      <c r="G10" s="46">
        <f t="shared" ref="G10:G25" si="0">D10+E10</f>
        <v>348.6</v>
      </c>
      <c r="H10" s="47"/>
      <c r="I10" s="48">
        <v>1.125</v>
      </c>
      <c r="J10" s="48"/>
      <c r="K10" s="49">
        <f t="shared" ref="K10:K25" si="1">ROUND(G10*I10,4)</f>
        <v>392.17500000000001</v>
      </c>
      <c r="L10" s="50">
        <f t="shared" ref="L10:L25" si="2">ROUND(ROUND(K10*$G$7,4)*($K$7),0)</f>
        <v>1519531</v>
      </c>
      <c r="N10" s="51">
        <v>5101</v>
      </c>
      <c r="O10" s="52">
        <v>101</v>
      </c>
      <c r="P10" s="53"/>
      <c r="Q10" s="54"/>
      <c r="V10" s="617" t="s">
        <v>28</v>
      </c>
      <c r="W10" s="617"/>
      <c r="X10" s="618">
        <f>IF('3381 June Final'!K$84=1,'3381 June Final'!G10,0)</f>
        <v>0</v>
      </c>
      <c r="Y10" s="618"/>
      <c r="Z10" s="619">
        <v>1</v>
      </c>
      <c r="AA10" s="619"/>
      <c r="AB10" s="55">
        <f t="shared" ref="AB10:AB25" si="3">ROUND(X10*Z10,4)</f>
        <v>0</v>
      </c>
      <c r="AC10" s="56">
        <f t="shared" ref="AC10:AC25" si="4">ROUND(ROUND(AB10*$X$7,4)*($AB$7),0)</f>
        <v>0</v>
      </c>
      <c r="AD10" s="9">
        <v>1</v>
      </c>
    </row>
    <row r="11" spans="1:30" x14ac:dyDescent="0.25">
      <c r="A11" s="1" t="s">
        <v>29</v>
      </c>
      <c r="B11" s="13" t="s">
        <v>30</v>
      </c>
      <c r="C11" s="13"/>
      <c r="D11" s="13">
        <v>30.92</v>
      </c>
      <c r="E11" s="13">
        <v>38.159999999999997</v>
      </c>
      <c r="F11" s="13">
        <v>39.19</v>
      </c>
      <c r="G11" s="46">
        <f t="shared" si="0"/>
        <v>69.08</v>
      </c>
      <c r="H11" s="47"/>
      <c r="I11" s="57">
        <f>I10</f>
        <v>1.125</v>
      </c>
      <c r="J11" s="57"/>
      <c r="K11" s="49">
        <f t="shared" si="1"/>
        <v>77.715000000000003</v>
      </c>
      <c r="L11" s="50">
        <f t="shared" si="2"/>
        <v>301116</v>
      </c>
      <c r="M11" s="1" t="str">
        <f>IF(ROUND(G11,2)=ROUND(SUM(G28:G30),2)," ","CHECK 2. PK-3 Lines Below")</f>
        <v xml:space="preserve"> </v>
      </c>
      <c r="N11" s="51">
        <v>5101</v>
      </c>
      <c r="O11" s="58" t="s">
        <v>31</v>
      </c>
      <c r="P11" s="53"/>
      <c r="Q11" s="54"/>
      <c r="V11" s="623" t="s">
        <v>30</v>
      </c>
      <c r="W11" s="623"/>
      <c r="X11" s="618">
        <f>IF('3381 June Final'!K$84=1,'3381 June Final'!G11,0)</f>
        <v>0</v>
      </c>
      <c r="Y11" s="618"/>
      <c r="Z11" s="624">
        <v>1</v>
      </c>
      <c r="AA11" s="624"/>
      <c r="AB11" s="55">
        <f t="shared" si="3"/>
        <v>0</v>
      </c>
      <c r="AC11" s="56">
        <f t="shared" si="4"/>
        <v>0</v>
      </c>
      <c r="AD11" s="9"/>
    </row>
    <row r="12" spans="1:30" x14ac:dyDescent="0.25">
      <c r="A12" s="1" t="s">
        <v>32</v>
      </c>
      <c r="B12" s="13" t="s">
        <v>33</v>
      </c>
      <c r="C12" s="13"/>
      <c r="D12" s="13">
        <v>227.6</v>
      </c>
      <c r="E12" s="13">
        <v>232.41</v>
      </c>
      <c r="F12" s="13">
        <v>279.31</v>
      </c>
      <c r="G12" s="46">
        <f t="shared" si="0"/>
        <v>460.01</v>
      </c>
      <c r="H12" s="47"/>
      <c r="I12" s="57">
        <v>1</v>
      </c>
      <c r="J12" s="57"/>
      <c r="K12" s="49">
        <f t="shared" si="1"/>
        <v>460.01</v>
      </c>
      <c r="L12" s="50">
        <f t="shared" si="2"/>
        <v>1782366</v>
      </c>
      <c r="N12" s="51">
        <v>5102</v>
      </c>
      <c r="O12" s="52">
        <v>102</v>
      </c>
      <c r="P12" s="53"/>
      <c r="Q12" s="54"/>
      <c r="V12" s="623" t="s">
        <v>33</v>
      </c>
      <c r="W12" s="623"/>
      <c r="X12" s="618">
        <f>IF('3381 June Final'!K$84=1,'3381 June Final'!G12,0)</f>
        <v>0</v>
      </c>
      <c r="Y12" s="618"/>
      <c r="Z12" s="624">
        <v>1</v>
      </c>
      <c r="AA12" s="624"/>
      <c r="AB12" s="55">
        <f t="shared" si="3"/>
        <v>0</v>
      </c>
      <c r="AC12" s="56">
        <f t="shared" si="4"/>
        <v>0</v>
      </c>
      <c r="AD12" s="9"/>
    </row>
    <row r="13" spans="1:30" x14ac:dyDescent="0.25">
      <c r="A13" s="1" t="s">
        <v>34</v>
      </c>
      <c r="B13" s="13" t="s">
        <v>35</v>
      </c>
      <c r="C13" s="13"/>
      <c r="D13" s="13">
        <v>51.02</v>
      </c>
      <c r="E13" s="13">
        <v>53.06</v>
      </c>
      <c r="F13" s="13">
        <v>64.34</v>
      </c>
      <c r="G13" s="46">
        <f t="shared" si="0"/>
        <v>104.08000000000001</v>
      </c>
      <c r="H13" s="47"/>
      <c r="I13" s="57">
        <f>I12</f>
        <v>1</v>
      </c>
      <c r="J13" s="57"/>
      <c r="K13" s="49">
        <f t="shared" si="1"/>
        <v>104.08</v>
      </c>
      <c r="L13" s="50">
        <f t="shared" si="2"/>
        <v>403271</v>
      </c>
      <c r="M13" s="1" t="str">
        <f>IF(ROUND(G13,2)=ROUND(SUM(G31:G33),2)," ","CHECK 2. PK-3 Lines Below")</f>
        <v xml:space="preserve"> </v>
      </c>
      <c r="N13" s="51">
        <v>5102</v>
      </c>
      <c r="O13" s="58" t="s">
        <v>36</v>
      </c>
      <c r="P13" s="53"/>
      <c r="Q13" s="54"/>
      <c r="V13" s="623" t="s">
        <v>35</v>
      </c>
      <c r="W13" s="623"/>
      <c r="X13" s="618">
        <f>IF('3381 June Final'!K$84=1,'3381 June Final'!G13,0)</f>
        <v>0</v>
      </c>
      <c r="Y13" s="618"/>
      <c r="Z13" s="624">
        <v>1</v>
      </c>
      <c r="AA13" s="624"/>
      <c r="AB13" s="55">
        <f t="shared" si="3"/>
        <v>0</v>
      </c>
      <c r="AC13" s="56">
        <f t="shared" si="4"/>
        <v>0</v>
      </c>
      <c r="AD13" s="9"/>
    </row>
    <row r="14" spans="1:30" x14ac:dyDescent="0.25">
      <c r="A14" s="1" t="s">
        <v>37</v>
      </c>
      <c r="B14" s="13" t="s">
        <v>38</v>
      </c>
      <c r="C14" s="13"/>
      <c r="D14" s="13">
        <v>0</v>
      </c>
      <c r="E14" s="13">
        <v>0</v>
      </c>
      <c r="F14" s="13">
        <v>0</v>
      </c>
      <c r="G14" s="46">
        <f t="shared" si="0"/>
        <v>0</v>
      </c>
      <c r="H14" s="47"/>
      <c r="I14" s="57">
        <v>1.0109999999999999</v>
      </c>
      <c r="J14" s="57"/>
      <c r="K14" s="49">
        <f t="shared" si="1"/>
        <v>0</v>
      </c>
      <c r="L14" s="50">
        <f t="shared" si="2"/>
        <v>0</v>
      </c>
      <c r="N14" s="51">
        <v>5103</v>
      </c>
      <c r="O14" s="52">
        <v>103</v>
      </c>
      <c r="P14" s="53"/>
      <c r="Q14" s="54"/>
      <c r="V14" s="623" t="s">
        <v>38</v>
      </c>
      <c r="W14" s="623"/>
      <c r="X14" s="618">
        <f>IF('3381 June Final'!K$84=1,'3381 June Final'!G14,0)</f>
        <v>0</v>
      </c>
      <c r="Y14" s="618"/>
      <c r="Z14" s="624">
        <v>1</v>
      </c>
      <c r="AA14" s="624"/>
      <c r="AB14" s="55">
        <f t="shared" si="3"/>
        <v>0</v>
      </c>
      <c r="AC14" s="56">
        <f t="shared" si="4"/>
        <v>0</v>
      </c>
      <c r="AD14" s="9"/>
    </row>
    <row r="15" spans="1:30" x14ac:dyDescent="0.25">
      <c r="A15" s="1" t="s">
        <v>39</v>
      </c>
      <c r="B15" s="13" t="s">
        <v>40</v>
      </c>
      <c r="C15" s="13"/>
      <c r="D15" s="13">
        <v>0</v>
      </c>
      <c r="E15" s="13">
        <v>0</v>
      </c>
      <c r="F15" s="13">
        <v>0</v>
      </c>
      <c r="G15" s="46">
        <f t="shared" si="0"/>
        <v>0</v>
      </c>
      <c r="H15" s="47"/>
      <c r="I15" s="57">
        <f>I14</f>
        <v>1.0109999999999999</v>
      </c>
      <c r="J15" s="57"/>
      <c r="K15" s="49">
        <f t="shared" si="1"/>
        <v>0</v>
      </c>
      <c r="L15" s="59">
        <f t="shared" si="2"/>
        <v>0</v>
      </c>
      <c r="M15" s="1" t="str">
        <f>IF(ROUND(G15,2)=ROUND(SUM(G34:G36),2)," ","CHECK 2. PK-3 Lines Below")</f>
        <v xml:space="preserve"> </v>
      </c>
      <c r="N15" s="51">
        <v>5103</v>
      </c>
      <c r="O15" s="58" t="s">
        <v>41</v>
      </c>
      <c r="P15" s="53"/>
      <c r="Q15" s="54"/>
      <c r="V15" s="623" t="s">
        <v>40</v>
      </c>
      <c r="W15" s="623"/>
      <c r="X15" s="618">
        <f>IF('3381 June Final'!K$84=1,'3381 June Final'!G15,0)</f>
        <v>0</v>
      </c>
      <c r="Y15" s="618"/>
      <c r="Z15" s="624">
        <v>1</v>
      </c>
      <c r="AA15" s="624"/>
      <c r="AB15" s="55">
        <f t="shared" si="3"/>
        <v>0</v>
      </c>
      <c r="AC15" s="60">
        <f t="shared" si="4"/>
        <v>0</v>
      </c>
      <c r="AD15" s="9"/>
    </row>
    <row r="16" spans="1:30" x14ac:dyDescent="0.25">
      <c r="A16" s="1" t="s">
        <v>42</v>
      </c>
      <c r="B16" s="13" t="s">
        <v>43</v>
      </c>
      <c r="C16" s="13"/>
      <c r="D16" s="13">
        <v>0</v>
      </c>
      <c r="E16" s="13">
        <v>0</v>
      </c>
      <c r="F16" s="13">
        <v>0</v>
      </c>
      <c r="G16" s="46">
        <f t="shared" si="0"/>
        <v>0</v>
      </c>
      <c r="H16" s="47"/>
      <c r="I16" s="57">
        <v>3.5579999999999998</v>
      </c>
      <c r="J16" s="57"/>
      <c r="K16" s="49">
        <f t="shared" si="1"/>
        <v>0</v>
      </c>
      <c r="L16" s="50">
        <f t="shared" si="2"/>
        <v>0</v>
      </c>
      <c r="N16" s="51">
        <v>5101</v>
      </c>
      <c r="O16" s="53">
        <v>254</v>
      </c>
      <c r="P16" s="53"/>
      <c r="Q16" s="54"/>
      <c r="V16" s="623" t="s">
        <v>43</v>
      </c>
      <c r="W16" s="623"/>
      <c r="X16" s="618">
        <f>IF('3381 June Final'!K$84=1,'3381 June Final'!G16,0)</f>
        <v>0</v>
      </c>
      <c r="Y16" s="618"/>
      <c r="Z16" s="624">
        <v>1</v>
      </c>
      <c r="AA16" s="624"/>
      <c r="AB16" s="55">
        <f t="shared" si="3"/>
        <v>0</v>
      </c>
      <c r="AC16" s="56">
        <f t="shared" si="4"/>
        <v>0</v>
      </c>
      <c r="AD16" s="9"/>
    </row>
    <row r="17" spans="1:30" x14ac:dyDescent="0.25">
      <c r="A17" s="1" t="s">
        <v>44</v>
      </c>
      <c r="B17" s="13" t="s">
        <v>45</v>
      </c>
      <c r="C17" s="13"/>
      <c r="D17" s="13">
        <v>0</v>
      </c>
      <c r="E17" s="13">
        <v>0</v>
      </c>
      <c r="F17" s="13">
        <v>0</v>
      </c>
      <c r="G17" s="46">
        <f t="shared" si="0"/>
        <v>0</v>
      </c>
      <c r="H17" s="47"/>
      <c r="I17" s="57">
        <f>I16</f>
        <v>3.5579999999999998</v>
      </c>
      <c r="J17" s="57"/>
      <c r="K17" s="49">
        <f t="shared" si="1"/>
        <v>0</v>
      </c>
      <c r="L17" s="50">
        <f t="shared" si="2"/>
        <v>0</v>
      </c>
      <c r="N17" s="51">
        <v>5102</v>
      </c>
      <c r="O17" s="54">
        <v>254</v>
      </c>
      <c r="P17" s="53"/>
      <c r="Q17" s="54"/>
      <c r="V17" s="623" t="s">
        <v>45</v>
      </c>
      <c r="W17" s="623"/>
      <c r="X17" s="618">
        <f>IF('3381 June Final'!K$84=1,'3381 June Final'!G17,0)</f>
        <v>0</v>
      </c>
      <c r="Y17" s="618"/>
      <c r="Z17" s="624">
        <v>1</v>
      </c>
      <c r="AA17" s="624"/>
      <c r="AB17" s="55">
        <f t="shared" si="3"/>
        <v>0</v>
      </c>
      <c r="AC17" s="56">
        <f t="shared" si="4"/>
        <v>0</v>
      </c>
      <c r="AD17" s="9"/>
    </row>
    <row r="18" spans="1:30" x14ac:dyDescent="0.25">
      <c r="A18" s="1" t="s">
        <v>46</v>
      </c>
      <c r="B18" s="13" t="s">
        <v>47</v>
      </c>
      <c r="C18" s="13"/>
      <c r="D18" s="13">
        <v>0</v>
      </c>
      <c r="E18" s="13">
        <v>0</v>
      </c>
      <c r="F18" s="13">
        <v>0</v>
      </c>
      <c r="G18" s="46">
        <f t="shared" si="0"/>
        <v>0</v>
      </c>
      <c r="H18" s="47"/>
      <c r="I18" s="57">
        <f>I17</f>
        <v>3.5579999999999998</v>
      </c>
      <c r="J18" s="57"/>
      <c r="K18" s="49">
        <f t="shared" si="1"/>
        <v>0</v>
      </c>
      <c r="L18" s="50">
        <f t="shared" si="2"/>
        <v>0</v>
      </c>
      <c r="N18" s="51">
        <v>5103</v>
      </c>
      <c r="O18" s="54">
        <v>254</v>
      </c>
      <c r="P18" s="53"/>
      <c r="Q18" s="54"/>
      <c r="V18" s="623" t="s">
        <v>47</v>
      </c>
      <c r="W18" s="623"/>
      <c r="X18" s="618">
        <f>IF('3381 June Final'!K$84=1,'3381 June Final'!G18,0)</f>
        <v>0</v>
      </c>
      <c r="Y18" s="618"/>
      <c r="Z18" s="624">
        <v>1</v>
      </c>
      <c r="AA18" s="624"/>
      <c r="AB18" s="55">
        <f t="shared" si="3"/>
        <v>0</v>
      </c>
      <c r="AC18" s="56">
        <f t="shared" si="4"/>
        <v>0</v>
      </c>
      <c r="AD18" s="9"/>
    </row>
    <row r="19" spans="1:30" ht="15" customHeight="1" x14ac:dyDescent="0.25">
      <c r="A19" s="1" t="s">
        <v>48</v>
      </c>
      <c r="B19" s="13" t="s">
        <v>49</v>
      </c>
      <c r="C19" s="13"/>
      <c r="D19" s="13">
        <v>0</v>
      </c>
      <c r="E19" s="13">
        <v>0</v>
      </c>
      <c r="F19" s="13">
        <v>0</v>
      </c>
      <c r="G19" s="46">
        <f t="shared" si="0"/>
        <v>0</v>
      </c>
      <c r="H19" s="47"/>
      <c r="I19" s="57">
        <v>5.0890000000000004</v>
      </c>
      <c r="J19" s="57"/>
      <c r="K19" s="49">
        <f t="shared" si="1"/>
        <v>0</v>
      </c>
      <c r="L19" s="50">
        <f t="shared" si="2"/>
        <v>0</v>
      </c>
      <c r="N19" s="51">
        <v>5101</v>
      </c>
      <c r="O19" s="53">
        <v>255</v>
      </c>
      <c r="P19" s="53"/>
      <c r="Q19" s="54"/>
      <c r="V19" s="623" t="s">
        <v>49</v>
      </c>
      <c r="W19" s="623"/>
      <c r="X19" s="618">
        <f>IF('3381 June Final'!K$84=1,'3381 June Final'!G19,0)</f>
        <v>0</v>
      </c>
      <c r="Y19" s="618"/>
      <c r="Z19" s="624">
        <v>1</v>
      </c>
      <c r="AA19" s="624"/>
      <c r="AB19" s="55">
        <f t="shared" si="3"/>
        <v>0</v>
      </c>
      <c r="AC19" s="56">
        <f t="shared" si="4"/>
        <v>0</v>
      </c>
      <c r="AD19" s="9"/>
    </row>
    <row r="20" spans="1:30" ht="15" customHeight="1" x14ac:dyDescent="0.25">
      <c r="A20" s="1" t="s">
        <v>50</v>
      </c>
      <c r="B20" s="13" t="s">
        <v>51</v>
      </c>
      <c r="C20" s="13"/>
      <c r="D20" s="13">
        <v>0</v>
      </c>
      <c r="E20" s="13">
        <v>0</v>
      </c>
      <c r="F20" s="13">
        <v>0</v>
      </c>
      <c r="G20" s="46">
        <f t="shared" si="0"/>
        <v>0</v>
      </c>
      <c r="H20" s="47"/>
      <c r="I20" s="57">
        <f>I19</f>
        <v>5.0890000000000004</v>
      </c>
      <c r="J20" s="57"/>
      <c r="K20" s="49">
        <f t="shared" si="1"/>
        <v>0</v>
      </c>
      <c r="L20" s="50">
        <f t="shared" si="2"/>
        <v>0</v>
      </c>
      <c r="N20" s="51">
        <v>5102</v>
      </c>
      <c r="O20" s="54">
        <v>255</v>
      </c>
      <c r="P20" s="53"/>
      <c r="Q20" s="54"/>
      <c r="V20" s="623" t="s">
        <v>51</v>
      </c>
      <c r="W20" s="623"/>
      <c r="X20" s="618">
        <f>IF('3381 June Final'!K$84=1,'3381 June Final'!G20,0)</f>
        <v>0</v>
      </c>
      <c r="Y20" s="618"/>
      <c r="Z20" s="624">
        <v>1</v>
      </c>
      <c r="AA20" s="624"/>
      <c r="AB20" s="55">
        <f t="shared" si="3"/>
        <v>0</v>
      </c>
      <c r="AC20" s="56">
        <f t="shared" si="4"/>
        <v>0</v>
      </c>
      <c r="AD20" s="9"/>
    </row>
    <row r="21" spans="1:30" ht="15" customHeight="1" x14ac:dyDescent="0.25">
      <c r="A21" s="1" t="s">
        <v>52</v>
      </c>
      <c r="B21" s="13" t="s">
        <v>53</v>
      </c>
      <c r="C21" s="13"/>
      <c r="D21" s="13">
        <v>0</v>
      </c>
      <c r="E21" s="13">
        <v>0</v>
      </c>
      <c r="F21" s="13">
        <v>0</v>
      </c>
      <c r="G21" s="46">
        <f t="shared" si="0"/>
        <v>0</v>
      </c>
      <c r="H21" s="47"/>
      <c r="I21" s="57">
        <f>I20</f>
        <v>5.0890000000000004</v>
      </c>
      <c r="J21" s="57"/>
      <c r="K21" s="49">
        <f t="shared" si="1"/>
        <v>0</v>
      </c>
      <c r="L21" s="50">
        <f t="shared" si="2"/>
        <v>0</v>
      </c>
      <c r="N21" s="51">
        <v>5103</v>
      </c>
      <c r="O21" s="54">
        <v>255</v>
      </c>
      <c r="P21" s="53"/>
      <c r="Q21" s="54"/>
      <c r="V21" s="623" t="s">
        <v>53</v>
      </c>
      <c r="W21" s="623"/>
      <c r="X21" s="618">
        <f>IF('3381 June Final'!K$84=1,'3381 June Final'!G21,0)</f>
        <v>0</v>
      </c>
      <c r="Y21" s="618"/>
      <c r="Z21" s="624">
        <v>1</v>
      </c>
      <c r="AA21" s="624"/>
      <c r="AB21" s="55">
        <f t="shared" si="3"/>
        <v>0</v>
      </c>
      <c r="AC21" s="56">
        <f t="shared" si="4"/>
        <v>0</v>
      </c>
      <c r="AD21" s="9"/>
    </row>
    <row r="22" spans="1:30" x14ac:dyDescent="0.25">
      <c r="A22" s="1" t="s">
        <v>54</v>
      </c>
      <c r="B22" s="13" t="s">
        <v>55</v>
      </c>
      <c r="C22" s="13"/>
      <c r="D22" s="13">
        <v>6.9</v>
      </c>
      <c r="E22" s="13">
        <v>6.52</v>
      </c>
      <c r="F22" s="13">
        <v>12.21</v>
      </c>
      <c r="G22" s="46">
        <f t="shared" si="0"/>
        <v>13.42</v>
      </c>
      <c r="H22" s="47"/>
      <c r="I22" s="57">
        <v>1.145</v>
      </c>
      <c r="J22" s="57"/>
      <c r="K22" s="49">
        <f t="shared" si="1"/>
        <v>15.3659</v>
      </c>
      <c r="L22" s="50">
        <f t="shared" si="2"/>
        <v>59537</v>
      </c>
      <c r="N22" s="51">
        <v>5101</v>
      </c>
      <c r="O22" s="52">
        <v>130</v>
      </c>
      <c r="P22" s="53"/>
      <c r="Q22" s="54"/>
      <c r="V22" s="623" t="s">
        <v>55</v>
      </c>
      <c r="W22" s="623"/>
      <c r="X22" s="618">
        <f>IF('3381 June Final'!K$84=1,'3381 June Final'!G22,0)</f>
        <v>0</v>
      </c>
      <c r="Y22" s="618"/>
      <c r="Z22" s="624">
        <v>1</v>
      </c>
      <c r="AA22" s="624"/>
      <c r="AB22" s="55">
        <f t="shared" si="3"/>
        <v>0</v>
      </c>
      <c r="AC22" s="56">
        <f t="shared" si="4"/>
        <v>0</v>
      </c>
      <c r="AD22" s="9"/>
    </row>
    <row r="23" spans="1:30" x14ac:dyDescent="0.25">
      <c r="A23" s="1" t="s">
        <v>56</v>
      </c>
      <c r="B23" s="13" t="s">
        <v>57</v>
      </c>
      <c r="C23" s="13"/>
      <c r="D23" s="13">
        <v>2.76</v>
      </c>
      <c r="E23" s="13">
        <v>2.74</v>
      </c>
      <c r="F23" s="13">
        <v>0</v>
      </c>
      <c r="G23" s="46">
        <f t="shared" si="0"/>
        <v>5.5</v>
      </c>
      <c r="H23" s="47"/>
      <c r="I23" s="57">
        <f>I22</f>
        <v>1.145</v>
      </c>
      <c r="J23" s="57"/>
      <c r="K23" s="49">
        <f t="shared" si="1"/>
        <v>6.2975000000000003</v>
      </c>
      <c r="L23" s="50">
        <f t="shared" si="2"/>
        <v>24400</v>
      </c>
      <c r="N23" s="51">
        <v>5102</v>
      </c>
      <c r="O23" s="52">
        <v>130</v>
      </c>
      <c r="P23" s="53"/>
      <c r="Q23" s="54"/>
      <c r="V23" s="623" t="s">
        <v>57</v>
      </c>
      <c r="W23" s="623"/>
      <c r="X23" s="618">
        <f>IF('3381 June Final'!K$84=1,'3381 June Final'!G23,0)</f>
        <v>0</v>
      </c>
      <c r="Y23" s="618"/>
      <c r="Z23" s="624">
        <v>1</v>
      </c>
      <c r="AA23" s="624"/>
      <c r="AB23" s="55">
        <f t="shared" si="3"/>
        <v>0</v>
      </c>
      <c r="AC23" s="56">
        <f t="shared" si="4"/>
        <v>0</v>
      </c>
      <c r="AD23" s="9"/>
    </row>
    <row r="24" spans="1:30" x14ac:dyDescent="0.25">
      <c r="A24" s="1" t="s">
        <v>58</v>
      </c>
      <c r="B24" s="13" t="s">
        <v>59</v>
      </c>
      <c r="C24" s="13"/>
      <c r="D24" s="13">
        <v>0</v>
      </c>
      <c r="E24" s="13">
        <v>0</v>
      </c>
      <c r="F24" s="13">
        <v>0</v>
      </c>
      <c r="G24" s="46">
        <f t="shared" si="0"/>
        <v>0</v>
      </c>
      <c r="H24" s="47"/>
      <c r="I24" s="57">
        <f>I23</f>
        <v>1.145</v>
      </c>
      <c r="J24" s="57"/>
      <c r="K24" s="49">
        <f t="shared" si="1"/>
        <v>0</v>
      </c>
      <c r="L24" s="50">
        <f t="shared" si="2"/>
        <v>0</v>
      </c>
      <c r="N24" s="51">
        <v>5103</v>
      </c>
      <c r="O24" s="52">
        <v>130</v>
      </c>
      <c r="P24" s="53"/>
      <c r="Q24" s="54"/>
      <c r="V24" s="623" t="s">
        <v>59</v>
      </c>
      <c r="W24" s="623"/>
      <c r="X24" s="618">
        <f>IF('3381 June Final'!K$84=1,'3381 June Final'!G24,0)</f>
        <v>0</v>
      </c>
      <c r="Y24" s="618"/>
      <c r="Z24" s="624">
        <v>1</v>
      </c>
      <c r="AA24" s="624"/>
      <c r="AB24" s="55">
        <f t="shared" si="3"/>
        <v>0</v>
      </c>
      <c r="AC24" s="56">
        <f t="shared" si="4"/>
        <v>0</v>
      </c>
      <c r="AD24" s="9"/>
    </row>
    <row r="25" spans="1:30" ht="16.5" thickBot="1" x14ac:dyDescent="0.3">
      <c r="A25" s="1" t="s">
        <v>60</v>
      </c>
      <c r="B25" s="13" t="s">
        <v>61</v>
      </c>
      <c r="C25" s="13"/>
      <c r="D25" s="13">
        <v>0</v>
      </c>
      <c r="E25" s="13">
        <v>0</v>
      </c>
      <c r="F25" s="13">
        <v>0</v>
      </c>
      <c r="G25" s="46">
        <f t="shared" si="0"/>
        <v>0</v>
      </c>
      <c r="H25" s="47"/>
      <c r="I25" s="57">
        <v>1.0109999999999999</v>
      </c>
      <c r="J25" s="57"/>
      <c r="K25" s="49">
        <f t="shared" si="1"/>
        <v>0</v>
      </c>
      <c r="L25" s="50">
        <f t="shared" si="2"/>
        <v>0</v>
      </c>
      <c r="N25" s="51">
        <v>5310</v>
      </c>
      <c r="O25" s="52">
        <v>300</v>
      </c>
      <c r="P25" s="53"/>
      <c r="Q25" s="54"/>
      <c r="V25" s="623" t="s">
        <v>61</v>
      </c>
      <c r="W25" s="623"/>
      <c r="X25" s="618">
        <f>IF('3381 June Final'!K$84=1,'3381 June Final'!G25,0)</f>
        <v>0</v>
      </c>
      <c r="Y25" s="618"/>
      <c r="Z25" s="624">
        <v>1</v>
      </c>
      <c r="AA25" s="624"/>
      <c r="AB25" s="55">
        <f t="shared" si="3"/>
        <v>0</v>
      </c>
      <c r="AC25" s="56">
        <f t="shared" si="4"/>
        <v>0</v>
      </c>
      <c r="AD25" s="9"/>
    </row>
    <row r="26" spans="1:30" ht="20.25" customHeight="1" thickBot="1" x14ac:dyDescent="0.3">
      <c r="B26" s="62" t="s">
        <v>62</v>
      </c>
      <c r="C26" s="62"/>
      <c r="D26" s="63">
        <f>SUM(D10:D25)</f>
        <v>497.88</v>
      </c>
      <c r="E26" s="63">
        <f>SUM(E10:E25)</f>
        <v>502.81</v>
      </c>
      <c r="F26" s="63"/>
      <c r="G26" s="63">
        <f>SUM(G10:G25)</f>
        <v>1000.69</v>
      </c>
      <c r="H26" s="64"/>
      <c r="I26" s="64"/>
      <c r="J26" s="65"/>
      <c r="K26" s="66">
        <f>SUM(K10:K25)</f>
        <v>1055.6433999999999</v>
      </c>
      <c r="L26" s="67">
        <f>SUM(L10:L25)</f>
        <v>4090221</v>
      </c>
      <c r="N26" s="54"/>
      <c r="O26" s="68"/>
      <c r="P26" s="54"/>
      <c r="Q26" s="54"/>
      <c r="V26" s="625" t="s">
        <v>62</v>
      </c>
      <c r="W26" s="625"/>
      <c r="X26" s="626">
        <f>SUM(X10:X25)</f>
        <v>0</v>
      </c>
      <c r="Y26" s="626"/>
      <c r="Z26" s="627"/>
      <c r="AA26" s="628"/>
      <c r="AB26" s="69">
        <f>SUM(AB10:AB25)</f>
        <v>0</v>
      </c>
      <c r="AC26" s="70">
        <f>SUM(AC10:AC25)</f>
        <v>0</v>
      </c>
      <c r="AD26" s="9"/>
    </row>
    <row r="27" spans="1:30" ht="51.75" customHeight="1" x14ac:dyDescent="0.25">
      <c r="B27" s="62" t="s">
        <v>63</v>
      </c>
      <c r="C27" s="62"/>
      <c r="D27" s="71" t="s">
        <v>13</v>
      </c>
      <c r="E27" s="71" t="s">
        <v>14</v>
      </c>
      <c r="F27" s="27"/>
      <c r="G27" s="72" t="s">
        <v>64</v>
      </c>
      <c r="H27" s="73"/>
      <c r="I27" s="74" t="s">
        <v>65</v>
      </c>
      <c r="J27" s="74" t="s">
        <v>66</v>
      </c>
      <c r="K27" s="75" t="s">
        <v>67</v>
      </c>
      <c r="N27" s="54"/>
      <c r="O27" s="68"/>
      <c r="P27" s="54"/>
      <c r="Q27" s="54"/>
      <c r="V27" s="629" t="s">
        <v>63</v>
      </c>
      <c r="W27" s="629"/>
      <c r="X27" s="630" t="s">
        <v>64</v>
      </c>
      <c r="Y27" s="630"/>
      <c r="Z27" s="76" t="s">
        <v>65</v>
      </c>
      <c r="AA27" s="77" t="s">
        <v>66</v>
      </c>
      <c r="AB27" s="78" t="s">
        <v>67</v>
      </c>
      <c r="AC27" s="9"/>
      <c r="AD27" s="9"/>
    </row>
    <row r="28" spans="1:30" ht="15.75" customHeight="1" x14ac:dyDescent="0.25">
      <c r="A28" s="1" t="s">
        <v>68</v>
      </c>
      <c r="B28" s="631" t="s">
        <v>69</v>
      </c>
      <c r="C28" s="632"/>
      <c r="D28" s="13">
        <v>30.43</v>
      </c>
      <c r="E28" s="13">
        <v>37.64</v>
      </c>
      <c r="F28" s="79">
        <v>28.3</v>
      </c>
      <c r="G28" s="46">
        <f t="shared" ref="G28:G36" si="5">D28+E28</f>
        <v>68.069999999999993</v>
      </c>
      <c r="H28" s="80"/>
      <c r="I28" s="81" t="s">
        <v>70</v>
      </c>
      <c r="J28" s="82">
        <v>251</v>
      </c>
      <c r="K28" s="83">
        <v>1047</v>
      </c>
      <c r="L28" s="84">
        <f t="shared" ref="L28:L36" si="6">ROUND(G28*K28,0)</f>
        <v>71269</v>
      </c>
      <c r="N28" s="337">
        <v>5101</v>
      </c>
      <c r="O28" s="54">
        <v>251</v>
      </c>
      <c r="P28" s="86"/>
      <c r="Q28" s="87"/>
      <c r="V28" s="637" t="s">
        <v>69</v>
      </c>
      <c r="W28" s="637"/>
      <c r="X28" s="638"/>
      <c r="Y28" s="638"/>
      <c r="Z28" s="88" t="s">
        <v>70</v>
      </c>
      <c r="AA28" s="330">
        <v>251</v>
      </c>
      <c r="AB28" s="90">
        <f t="shared" ref="AB28:AB36" si="7">+K28</f>
        <v>1047</v>
      </c>
      <c r="AC28" s="91">
        <f t="shared" ref="AC28:AC36" si="8">ROUND(X28*AB28,0)</f>
        <v>0</v>
      </c>
      <c r="AD28" s="9"/>
    </row>
    <row r="29" spans="1:30" x14ac:dyDescent="0.25">
      <c r="A29" s="1" t="s">
        <v>71</v>
      </c>
      <c r="B29" s="633"/>
      <c r="C29" s="634"/>
      <c r="D29" s="13">
        <v>0.49</v>
      </c>
      <c r="E29" s="13">
        <v>0.52</v>
      </c>
      <c r="F29" s="92">
        <v>1</v>
      </c>
      <c r="G29" s="46">
        <f t="shared" si="5"/>
        <v>1.01</v>
      </c>
      <c r="H29" s="80"/>
      <c r="I29" s="82" t="s">
        <v>70</v>
      </c>
      <c r="J29" s="82">
        <v>252</v>
      </c>
      <c r="K29" s="83">
        <v>3380</v>
      </c>
      <c r="L29" s="84">
        <f t="shared" si="6"/>
        <v>3414</v>
      </c>
      <c r="N29" s="337">
        <v>5101</v>
      </c>
      <c r="O29" s="54">
        <v>252</v>
      </c>
      <c r="P29" s="86"/>
      <c r="Q29" s="87"/>
      <c r="V29" s="637"/>
      <c r="W29" s="637"/>
      <c r="X29" s="638"/>
      <c r="Y29" s="638"/>
      <c r="Z29" s="330" t="s">
        <v>70</v>
      </c>
      <c r="AA29" s="330">
        <v>252</v>
      </c>
      <c r="AB29" s="90">
        <f t="shared" si="7"/>
        <v>3380</v>
      </c>
      <c r="AC29" s="91">
        <f t="shared" si="8"/>
        <v>0</v>
      </c>
      <c r="AD29" s="9"/>
    </row>
    <row r="30" spans="1:30" x14ac:dyDescent="0.25">
      <c r="A30" s="1" t="s">
        <v>72</v>
      </c>
      <c r="B30" s="633"/>
      <c r="C30" s="634"/>
      <c r="D30" s="13">
        <v>0</v>
      </c>
      <c r="E30" s="13">
        <v>0</v>
      </c>
      <c r="F30" s="92">
        <v>0</v>
      </c>
      <c r="G30" s="46">
        <f t="shared" si="5"/>
        <v>0</v>
      </c>
      <c r="H30" s="80"/>
      <c r="I30" s="82" t="s">
        <v>70</v>
      </c>
      <c r="J30" s="82">
        <v>253</v>
      </c>
      <c r="K30" s="83">
        <v>6896</v>
      </c>
      <c r="L30" s="84">
        <f t="shared" si="6"/>
        <v>0</v>
      </c>
      <c r="N30" s="337">
        <v>5101</v>
      </c>
      <c r="O30" s="54">
        <v>253</v>
      </c>
      <c r="P30" s="86"/>
      <c r="Q30" s="68"/>
      <c r="V30" s="637"/>
      <c r="W30" s="637"/>
      <c r="X30" s="638"/>
      <c r="Y30" s="638"/>
      <c r="Z30" s="330" t="s">
        <v>70</v>
      </c>
      <c r="AA30" s="330">
        <v>253</v>
      </c>
      <c r="AB30" s="90">
        <f t="shared" si="7"/>
        <v>6896</v>
      </c>
      <c r="AC30" s="91">
        <f t="shared" si="8"/>
        <v>0</v>
      </c>
      <c r="AD30" s="9"/>
    </row>
    <row r="31" spans="1:30" x14ac:dyDescent="0.25">
      <c r="A31" s="1" t="s">
        <v>73</v>
      </c>
      <c r="B31" s="633"/>
      <c r="C31" s="634"/>
      <c r="D31" s="13">
        <v>50.06</v>
      </c>
      <c r="E31" s="13">
        <v>52.03</v>
      </c>
      <c r="F31" s="92">
        <v>51.54</v>
      </c>
      <c r="G31" s="46">
        <f t="shared" si="5"/>
        <v>102.09</v>
      </c>
      <c r="H31" s="80"/>
      <c r="I31" s="93" t="s">
        <v>74</v>
      </c>
      <c r="J31" s="82">
        <v>251</v>
      </c>
      <c r="K31" s="83">
        <v>1173</v>
      </c>
      <c r="L31" s="84">
        <f t="shared" si="6"/>
        <v>119752</v>
      </c>
      <c r="N31" s="337">
        <v>5102</v>
      </c>
      <c r="O31" s="54">
        <v>251</v>
      </c>
      <c r="P31" s="86"/>
      <c r="Q31" s="68"/>
      <c r="V31" s="637"/>
      <c r="W31" s="637"/>
      <c r="X31" s="638"/>
      <c r="Y31" s="638"/>
      <c r="Z31" s="94" t="s">
        <v>74</v>
      </c>
      <c r="AA31" s="330">
        <v>251</v>
      </c>
      <c r="AB31" s="90">
        <f t="shared" si="7"/>
        <v>1173</v>
      </c>
      <c r="AC31" s="91">
        <f t="shared" si="8"/>
        <v>0</v>
      </c>
      <c r="AD31" s="9"/>
    </row>
    <row r="32" spans="1:30" x14ac:dyDescent="0.25">
      <c r="A32" s="1" t="s">
        <v>75</v>
      </c>
      <c r="B32" s="633"/>
      <c r="C32" s="634"/>
      <c r="D32" s="13">
        <v>0.96</v>
      </c>
      <c r="E32" s="13">
        <v>1.03</v>
      </c>
      <c r="F32" s="92">
        <v>1</v>
      </c>
      <c r="G32" s="46">
        <f t="shared" si="5"/>
        <v>1.99</v>
      </c>
      <c r="H32" s="80"/>
      <c r="I32" s="93" t="s">
        <v>74</v>
      </c>
      <c r="J32" s="82">
        <v>252</v>
      </c>
      <c r="K32" s="83">
        <v>3506</v>
      </c>
      <c r="L32" s="84">
        <f t="shared" si="6"/>
        <v>6977</v>
      </c>
      <c r="N32" s="337">
        <v>5102</v>
      </c>
      <c r="O32" s="54">
        <v>252</v>
      </c>
      <c r="P32" s="86"/>
      <c r="Q32" s="54"/>
      <c r="V32" s="637"/>
      <c r="W32" s="637"/>
      <c r="X32" s="638"/>
      <c r="Y32" s="638"/>
      <c r="Z32" s="94" t="s">
        <v>74</v>
      </c>
      <c r="AA32" s="330">
        <v>252</v>
      </c>
      <c r="AB32" s="90">
        <f t="shared" si="7"/>
        <v>3506</v>
      </c>
      <c r="AC32" s="91">
        <f t="shared" si="8"/>
        <v>0</v>
      </c>
      <c r="AD32" s="9"/>
    </row>
    <row r="33" spans="1:30" x14ac:dyDescent="0.25">
      <c r="A33" s="1" t="s">
        <v>76</v>
      </c>
      <c r="B33" s="633"/>
      <c r="C33" s="634"/>
      <c r="D33" s="13">
        <v>0</v>
      </c>
      <c r="E33" s="13">
        <v>0</v>
      </c>
      <c r="F33" s="92">
        <v>0</v>
      </c>
      <c r="G33" s="46">
        <f t="shared" si="5"/>
        <v>0</v>
      </c>
      <c r="H33" s="80"/>
      <c r="I33" s="93" t="s">
        <v>74</v>
      </c>
      <c r="J33" s="82">
        <v>253</v>
      </c>
      <c r="K33" s="83">
        <v>7023</v>
      </c>
      <c r="L33" s="84">
        <f t="shared" si="6"/>
        <v>0</v>
      </c>
      <c r="N33" s="337">
        <v>5102</v>
      </c>
      <c r="O33" s="54">
        <v>253</v>
      </c>
      <c r="P33" s="86"/>
      <c r="Q33" s="87"/>
      <c r="V33" s="637"/>
      <c r="W33" s="637"/>
      <c r="X33" s="638"/>
      <c r="Y33" s="638"/>
      <c r="Z33" s="94" t="s">
        <v>74</v>
      </c>
      <c r="AA33" s="330">
        <v>253</v>
      </c>
      <c r="AB33" s="90">
        <f t="shared" si="7"/>
        <v>7023</v>
      </c>
      <c r="AC33" s="91">
        <f t="shared" si="8"/>
        <v>0</v>
      </c>
      <c r="AD33" s="9"/>
    </row>
    <row r="34" spans="1:30" x14ac:dyDescent="0.25">
      <c r="A34" s="1" t="s">
        <v>77</v>
      </c>
      <c r="B34" s="633"/>
      <c r="C34" s="634"/>
      <c r="D34" s="13">
        <v>0</v>
      </c>
      <c r="E34" s="13">
        <v>0</v>
      </c>
      <c r="F34" s="92">
        <v>0</v>
      </c>
      <c r="G34" s="46">
        <f t="shared" si="5"/>
        <v>0</v>
      </c>
      <c r="H34" s="80"/>
      <c r="I34" s="93" t="s">
        <v>78</v>
      </c>
      <c r="J34" s="82">
        <v>251</v>
      </c>
      <c r="K34" s="83">
        <v>835</v>
      </c>
      <c r="L34" s="84">
        <f t="shared" si="6"/>
        <v>0</v>
      </c>
      <c r="N34" s="337">
        <v>5103</v>
      </c>
      <c r="O34" s="54">
        <v>251</v>
      </c>
      <c r="P34" s="86"/>
      <c r="Q34" s="87"/>
      <c r="V34" s="637"/>
      <c r="W34" s="637"/>
      <c r="X34" s="638"/>
      <c r="Y34" s="638"/>
      <c r="Z34" s="94" t="s">
        <v>78</v>
      </c>
      <c r="AA34" s="330">
        <v>251</v>
      </c>
      <c r="AB34" s="90">
        <f t="shared" si="7"/>
        <v>835</v>
      </c>
      <c r="AC34" s="91">
        <f t="shared" si="8"/>
        <v>0</v>
      </c>
      <c r="AD34" s="9"/>
    </row>
    <row r="35" spans="1:30" x14ac:dyDescent="0.25">
      <c r="A35" s="1" t="s">
        <v>79</v>
      </c>
      <c r="B35" s="633"/>
      <c r="C35" s="634"/>
      <c r="D35" s="13">
        <v>0</v>
      </c>
      <c r="E35" s="13">
        <v>0</v>
      </c>
      <c r="F35" s="92">
        <v>0</v>
      </c>
      <c r="G35" s="46">
        <f t="shared" si="5"/>
        <v>0</v>
      </c>
      <c r="H35" s="80"/>
      <c r="I35" s="93" t="s">
        <v>78</v>
      </c>
      <c r="J35" s="82">
        <v>252</v>
      </c>
      <c r="K35" s="83">
        <v>3168</v>
      </c>
      <c r="L35" s="84">
        <f t="shared" si="6"/>
        <v>0</v>
      </c>
      <c r="N35" s="337">
        <v>5103</v>
      </c>
      <c r="O35" s="54">
        <v>252</v>
      </c>
      <c r="P35" s="86"/>
      <c r="Q35" s="95"/>
      <c r="V35" s="637"/>
      <c r="W35" s="637"/>
      <c r="X35" s="638"/>
      <c r="Y35" s="638"/>
      <c r="Z35" s="94" t="s">
        <v>78</v>
      </c>
      <c r="AA35" s="330">
        <v>252</v>
      </c>
      <c r="AB35" s="90">
        <f t="shared" si="7"/>
        <v>3168</v>
      </c>
      <c r="AC35" s="91">
        <f t="shared" si="8"/>
        <v>0</v>
      </c>
      <c r="AD35" s="9"/>
    </row>
    <row r="36" spans="1:30" ht="16.5" thickBot="1" x14ac:dyDescent="0.3">
      <c r="A36" s="1" t="s">
        <v>80</v>
      </c>
      <c r="B36" s="635"/>
      <c r="C36" s="636"/>
      <c r="D36" s="13">
        <v>0</v>
      </c>
      <c r="E36" s="13">
        <v>0</v>
      </c>
      <c r="F36" s="92">
        <v>0</v>
      </c>
      <c r="G36" s="46">
        <f t="shared" si="5"/>
        <v>0</v>
      </c>
      <c r="H36" s="80"/>
      <c r="I36" s="93" t="s">
        <v>78</v>
      </c>
      <c r="J36" s="82">
        <v>253</v>
      </c>
      <c r="K36" s="83">
        <v>6685</v>
      </c>
      <c r="L36" s="96">
        <f t="shared" si="6"/>
        <v>0</v>
      </c>
      <c r="N36" s="337">
        <v>5103</v>
      </c>
      <c r="O36" s="54">
        <v>253</v>
      </c>
      <c r="P36" s="86"/>
      <c r="Q36" s="97"/>
      <c r="V36" s="637"/>
      <c r="W36" s="637"/>
      <c r="X36" s="645"/>
      <c r="Y36" s="645"/>
      <c r="Z36" s="94" t="s">
        <v>78</v>
      </c>
      <c r="AA36" s="330">
        <v>253</v>
      </c>
      <c r="AB36" s="90">
        <f t="shared" si="7"/>
        <v>6685</v>
      </c>
      <c r="AC36" s="98">
        <f t="shared" si="8"/>
        <v>0</v>
      </c>
      <c r="AD36" s="9"/>
    </row>
    <row r="37" spans="1:30" ht="18.75" customHeight="1" x14ac:dyDescent="0.25">
      <c r="B37" s="13" t="s">
        <v>81</v>
      </c>
      <c r="C37" s="13"/>
      <c r="D37" s="63">
        <f>SUM(D28:D36)</f>
        <v>81.94</v>
      </c>
      <c r="E37" s="63">
        <f>SUM(E28:E36)</f>
        <v>91.22</v>
      </c>
      <c r="F37" s="63"/>
      <c r="G37" s="63">
        <f>SUM(G28:G36)</f>
        <v>173.16000000000003</v>
      </c>
      <c r="H37" s="64"/>
      <c r="I37" s="13" t="s">
        <v>82</v>
      </c>
      <c r="J37" s="13"/>
      <c r="K37" s="13"/>
      <c r="L37" s="50">
        <f>SUM(L28:L36)</f>
        <v>201412</v>
      </c>
      <c r="N37" s="54"/>
      <c r="O37" s="68"/>
      <c r="P37" s="54"/>
      <c r="Q37" s="54"/>
      <c r="V37" s="646" t="s">
        <v>81</v>
      </c>
      <c r="W37" s="646"/>
      <c r="X37" s="626">
        <f>SUM(X28:X36)</f>
        <v>0</v>
      </c>
      <c r="Y37" s="626"/>
      <c r="Z37" s="646" t="s">
        <v>82</v>
      </c>
      <c r="AA37" s="646"/>
      <c r="AB37" s="646"/>
      <c r="AC37" s="56">
        <f>SUM(AC28:AC36)</f>
        <v>0</v>
      </c>
      <c r="AD37" s="9"/>
    </row>
    <row r="38" spans="1:30" ht="30.75" customHeight="1" x14ac:dyDescent="0.25">
      <c r="B38" s="99" t="s">
        <v>83</v>
      </c>
      <c r="C38" s="99"/>
      <c r="D38" s="99"/>
      <c r="E38" s="99"/>
      <c r="F38" s="99"/>
      <c r="G38" s="99"/>
      <c r="H38" s="100"/>
      <c r="I38" s="99"/>
      <c r="J38" s="99"/>
      <c r="K38" s="99"/>
      <c r="L38" s="99"/>
      <c r="M38" s="101"/>
      <c r="N38" s="54"/>
      <c r="O38" s="68"/>
      <c r="P38" s="54"/>
      <c r="Q38" s="54"/>
      <c r="V38" s="639" t="s">
        <v>83</v>
      </c>
      <c r="W38" s="639"/>
      <c r="X38" s="639"/>
      <c r="Y38" s="639"/>
      <c r="Z38" s="639"/>
      <c r="AA38" s="639"/>
      <c r="AB38" s="639"/>
      <c r="AC38" s="639"/>
      <c r="AD38" s="102"/>
    </row>
    <row r="39" spans="1:30" ht="15.75" customHeight="1" x14ac:dyDescent="0.25">
      <c r="B39" s="103" t="s">
        <v>84</v>
      </c>
      <c r="C39" s="103"/>
      <c r="D39" s="103"/>
      <c r="E39" s="103"/>
      <c r="F39" s="103"/>
      <c r="G39" s="104">
        <v>34389540</v>
      </c>
      <c r="H39" s="104"/>
      <c r="I39" s="13" t="s">
        <v>85</v>
      </c>
      <c r="J39" s="13"/>
      <c r="K39" s="13"/>
      <c r="L39" s="13"/>
      <c r="O39" s="1"/>
      <c r="V39" s="640" t="s">
        <v>84</v>
      </c>
      <c r="W39" s="640"/>
      <c r="X39" s="641">
        <f>+G39</f>
        <v>34389540</v>
      </c>
      <c r="Y39" s="641"/>
      <c r="Z39" s="642" t="s">
        <v>85</v>
      </c>
      <c r="AA39" s="642"/>
      <c r="AB39" s="642"/>
      <c r="AC39" s="642"/>
      <c r="AD39" s="9"/>
    </row>
    <row r="40" spans="1:30" ht="15.75" customHeight="1" x14ac:dyDescent="0.25">
      <c r="B40" s="105" t="s">
        <v>86</v>
      </c>
      <c r="C40" s="105"/>
      <c r="D40" s="105"/>
      <c r="E40" s="105"/>
      <c r="F40" s="105"/>
      <c r="G40" s="106">
        <v>180284.81</v>
      </c>
      <c r="H40" s="106"/>
      <c r="I40" s="106"/>
      <c r="J40" s="106"/>
      <c r="K40" s="50">
        <f>ROUND(G39/G40,0)</f>
        <v>191</v>
      </c>
      <c r="L40" s="50">
        <f>ROUND(K40*$G$26,0)</f>
        <v>191132</v>
      </c>
      <c r="N40" s="107"/>
      <c r="O40" s="107"/>
      <c r="P40" s="107"/>
      <c r="Q40" s="107"/>
      <c r="V40" s="643" t="s">
        <v>86</v>
      </c>
      <c r="W40" s="643"/>
      <c r="X40" s="644">
        <f>+G40</f>
        <v>180284.81</v>
      </c>
      <c r="Y40" s="644"/>
      <c r="Z40" s="644"/>
      <c r="AA40" s="644"/>
      <c r="AB40" s="56">
        <f>ROUND(X39/X40,0)</f>
        <v>191</v>
      </c>
      <c r="AC40" s="56">
        <f>ROUND(AB40*$X$26,0)</f>
        <v>0</v>
      </c>
      <c r="AD40" s="9"/>
    </row>
    <row r="41" spans="1:30" ht="15.75" customHeight="1" x14ac:dyDescent="0.25">
      <c r="B41" s="108" t="s">
        <v>87</v>
      </c>
      <c r="C41" s="108"/>
      <c r="D41" s="108"/>
      <c r="E41" s="108"/>
      <c r="F41" s="108"/>
      <c r="G41" s="108"/>
      <c r="H41" s="108"/>
      <c r="I41" s="108"/>
      <c r="J41" s="108"/>
      <c r="K41" s="108"/>
      <c r="L41" s="108"/>
      <c r="N41" s="101"/>
      <c r="O41" s="109"/>
      <c r="P41" s="101"/>
      <c r="Q41" s="101"/>
      <c r="V41" s="652" t="s">
        <v>87</v>
      </c>
      <c r="W41" s="652"/>
      <c r="X41" s="652"/>
      <c r="Y41" s="652"/>
      <c r="Z41" s="652"/>
      <c r="AA41" s="652"/>
      <c r="AB41" s="652"/>
      <c r="AC41" s="652"/>
      <c r="AD41" s="9"/>
    </row>
    <row r="42" spans="1:30" ht="28.5" customHeight="1" x14ac:dyDescent="0.25">
      <c r="B42" s="99" t="s">
        <v>88</v>
      </c>
      <c r="C42" s="99"/>
      <c r="D42" s="99"/>
      <c r="E42" s="99"/>
      <c r="F42" s="99"/>
      <c r="G42" s="99"/>
      <c r="H42" s="99"/>
      <c r="I42" s="99"/>
      <c r="J42" s="99"/>
      <c r="K42" s="99"/>
      <c r="L42" s="99"/>
      <c r="M42" s="107"/>
      <c r="O42" s="1"/>
      <c r="V42" s="639" t="s">
        <v>88</v>
      </c>
      <c r="W42" s="639"/>
      <c r="X42" s="639"/>
      <c r="Y42" s="639"/>
      <c r="Z42" s="639"/>
      <c r="AA42" s="639"/>
      <c r="AB42" s="639"/>
      <c r="AC42" s="639"/>
      <c r="AD42" s="334"/>
    </row>
    <row r="43" spans="1:30" x14ac:dyDescent="0.25">
      <c r="B43" s="111" t="s">
        <v>89</v>
      </c>
      <c r="C43" s="111"/>
      <c r="D43" s="111"/>
      <c r="E43" s="111"/>
      <c r="F43" s="111"/>
      <c r="G43" s="111"/>
      <c r="H43" s="111"/>
      <c r="I43" s="111"/>
      <c r="J43" s="111"/>
      <c r="K43" s="111"/>
      <c r="L43" s="111"/>
      <c r="M43" s="112"/>
      <c r="N43" s="101"/>
      <c r="O43" s="101"/>
      <c r="P43" s="101"/>
      <c r="Q43" s="101"/>
      <c r="V43" s="653" t="s">
        <v>89</v>
      </c>
      <c r="W43" s="653"/>
      <c r="X43" s="653"/>
      <c r="Y43" s="653"/>
      <c r="Z43" s="653"/>
      <c r="AA43" s="653"/>
      <c r="AB43" s="653"/>
      <c r="AC43" s="653"/>
      <c r="AD43" s="113"/>
    </row>
    <row r="44" spans="1:30" ht="24" customHeight="1" x14ac:dyDescent="0.25">
      <c r="B44" s="62" t="s">
        <v>90</v>
      </c>
      <c r="C44" s="62"/>
      <c r="D44" s="62"/>
      <c r="E44" s="62"/>
      <c r="F44" s="62"/>
      <c r="G44" s="62"/>
      <c r="H44" s="62"/>
      <c r="I44" s="62"/>
      <c r="J44" s="62"/>
      <c r="K44" s="62"/>
      <c r="L44" s="114">
        <f>SUM(L26,L37,L40)</f>
        <v>4482765</v>
      </c>
      <c r="O44" s="1"/>
      <c r="V44" s="654" t="s">
        <v>90</v>
      </c>
      <c r="W44" s="654"/>
      <c r="X44" s="654"/>
      <c r="Y44" s="654"/>
      <c r="Z44" s="654"/>
      <c r="AA44" s="654"/>
      <c r="AB44" s="654"/>
      <c r="AC44" s="115">
        <f>SUM(AC26,AC37,AC40)</f>
        <v>0</v>
      </c>
      <c r="AD44" s="9"/>
    </row>
    <row r="45" spans="1:30" ht="30.75" customHeight="1" x14ac:dyDescent="0.25">
      <c r="B45" s="99" t="s">
        <v>91</v>
      </c>
      <c r="C45" s="99"/>
      <c r="D45" s="99"/>
      <c r="E45" s="99"/>
      <c r="F45" s="99"/>
      <c r="G45" s="99"/>
      <c r="H45" s="99"/>
      <c r="I45" s="99"/>
      <c r="J45" s="99"/>
      <c r="K45" s="99"/>
      <c r="L45" s="99"/>
      <c r="M45" s="116"/>
      <c r="O45" s="1"/>
      <c r="V45" s="639" t="s">
        <v>91</v>
      </c>
      <c r="W45" s="639"/>
      <c r="X45" s="639"/>
      <c r="Y45" s="639"/>
      <c r="Z45" s="639"/>
      <c r="AA45" s="639"/>
      <c r="AB45" s="639"/>
      <c r="AC45" s="639"/>
      <c r="AD45" s="333"/>
    </row>
    <row r="46" spans="1:30" ht="18.75" customHeight="1" x14ac:dyDescent="0.25">
      <c r="B46" s="1"/>
      <c r="C46" s="118" t="s">
        <v>92</v>
      </c>
      <c r="D46" s="118"/>
      <c r="E46" s="118"/>
      <c r="F46" s="118"/>
      <c r="G46" s="118" t="s">
        <v>93</v>
      </c>
      <c r="H46" s="119"/>
      <c r="I46" s="120" t="s">
        <v>94</v>
      </c>
      <c r="J46" s="121"/>
      <c r="K46" s="121"/>
      <c r="L46" s="121"/>
      <c r="M46" s="122"/>
      <c r="O46" s="1"/>
      <c r="V46" s="9"/>
      <c r="W46" s="336" t="s">
        <v>92</v>
      </c>
      <c r="X46" s="655" t="s">
        <v>95</v>
      </c>
      <c r="Y46" s="655"/>
      <c r="Z46" s="656" t="s">
        <v>94</v>
      </c>
      <c r="AA46" s="656"/>
      <c r="AB46" s="656"/>
      <c r="AC46" s="656"/>
      <c r="AD46" s="124"/>
    </row>
    <row r="47" spans="1:30" ht="18.75" customHeight="1" x14ac:dyDescent="0.25">
      <c r="B47" s="107" t="s">
        <v>96</v>
      </c>
      <c r="C47" s="125">
        <f>K10+K11+K16+K19+K22</f>
        <v>485.2559</v>
      </c>
      <c r="D47" s="125"/>
      <c r="E47" s="125"/>
      <c r="F47" s="125"/>
      <c r="G47" s="126">
        <f>K7</f>
        <v>1.0326</v>
      </c>
      <c r="H47" s="126"/>
      <c r="I47" s="127">
        <v>1316.85</v>
      </c>
      <c r="J47" s="128" t="s">
        <v>97</v>
      </c>
      <c r="K47" s="129">
        <f>ROUND(C47*G47*I47,0)</f>
        <v>659841</v>
      </c>
      <c r="L47" s="130"/>
      <c r="O47" s="1"/>
      <c r="V47" s="334" t="s">
        <v>96</v>
      </c>
      <c r="W47" s="131">
        <f>AB10+AB11+AB16+AB19+AB22</f>
        <v>0</v>
      </c>
      <c r="X47" s="647">
        <f>AB7</f>
        <v>1.0326</v>
      </c>
      <c r="Y47" s="647"/>
      <c r="Z47" s="132">
        <f>+I47</f>
        <v>1316.85</v>
      </c>
      <c r="AA47" s="133" t="s">
        <v>97</v>
      </c>
      <c r="AB47" s="134">
        <f>ROUND(W47*X47*Z47,0)</f>
        <v>0</v>
      </c>
      <c r="AC47" s="135"/>
      <c r="AD47" s="9"/>
    </row>
    <row r="48" spans="1:30" ht="18" customHeight="1" x14ac:dyDescent="0.25">
      <c r="B48" s="136" t="s">
        <v>74</v>
      </c>
      <c r="C48" s="125">
        <f>K12+K13+K17+K20+K23</f>
        <v>570.38750000000005</v>
      </c>
      <c r="D48" s="125"/>
      <c r="E48" s="125"/>
      <c r="F48" s="125"/>
      <c r="G48" s="126">
        <f>K7</f>
        <v>1.0326</v>
      </c>
      <c r="H48" s="126"/>
      <c r="I48" s="127">
        <v>898.23</v>
      </c>
      <c r="J48" s="128" t="s">
        <v>97</v>
      </c>
      <c r="K48" s="129">
        <f>ROUND(C48*G48*I48,0)</f>
        <v>529041</v>
      </c>
      <c r="L48" s="62"/>
      <c r="O48" s="1"/>
      <c r="V48" s="137" t="s">
        <v>74</v>
      </c>
      <c r="W48" s="131">
        <f>AB12+AB13+AB17+AB20+AB23</f>
        <v>0</v>
      </c>
      <c r="X48" s="647">
        <f>AB7</f>
        <v>1.0326</v>
      </c>
      <c r="Y48" s="647"/>
      <c r="Z48" s="132">
        <f>+I48</f>
        <v>898.23</v>
      </c>
      <c r="AA48" s="133" t="s">
        <v>97</v>
      </c>
      <c r="AB48" s="134">
        <f>ROUND(W48*X48*Z48,0)</f>
        <v>0</v>
      </c>
      <c r="AC48" s="138"/>
      <c r="AD48" s="9"/>
    </row>
    <row r="49" spans="2:30" ht="19.5" customHeight="1" thickBot="1" x14ac:dyDescent="0.3">
      <c r="B49" s="139" t="s">
        <v>78</v>
      </c>
      <c r="C49" s="140">
        <f>K14+K15+K18+K21+K24+K25</f>
        <v>0</v>
      </c>
      <c r="D49" s="125"/>
      <c r="E49" s="125"/>
      <c r="F49" s="125"/>
      <c r="G49" s="126">
        <f>K7</f>
        <v>1.0326</v>
      </c>
      <c r="H49" s="126"/>
      <c r="I49" s="127">
        <v>900.39</v>
      </c>
      <c r="J49" s="128" t="s">
        <v>97</v>
      </c>
      <c r="K49" s="129">
        <f>ROUND(C49*G49*I49,0)</f>
        <v>0</v>
      </c>
      <c r="L49" s="62"/>
      <c r="M49" s="112"/>
      <c r="N49" s="141"/>
      <c r="O49" s="142"/>
      <c r="P49" s="101"/>
      <c r="Q49" s="143"/>
      <c r="V49" s="144" t="s">
        <v>78</v>
      </c>
      <c r="W49" s="145">
        <f>AB14+AB15+AB18+AB21+AB24+AB25</f>
        <v>0</v>
      </c>
      <c r="X49" s="647">
        <f>AB7</f>
        <v>1.0326</v>
      </c>
      <c r="Y49" s="647"/>
      <c r="Z49" s="132">
        <f>+I49</f>
        <v>900.39</v>
      </c>
      <c r="AA49" s="133" t="s">
        <v>97</v>
      </c>
      <c r="AB49" s="134">
        <f>ROUND(W49*X49*Z49,0)</f>
        <v>0</v>
      </c>
      <c r="AC49" s="138"/>
      <c r="AD49" s="113"/>
    </row>
    <row r="50" spans="2:30" ht="24" customHeight="1" thickBot="1" x14ac:dyDescent="0.3">
      <c r="B50" s="146" t="s">
        <v>98</v>
      </c>
      <c r="C50" s="147">
        <f>SUM(C47:C49)</f>
        <v>1055.6433999999999</v>
      </c>
      <c r="D50" s="148"/>
      <c r="E50" s="149"/>
      <c r="F50" s="149"/>
      <c r="G50" s="150" t="s">
        <v>99</v>
      </c>
      <c r="H50" s="150"/>
      <c r="I50" s="150"/>
      <c r="J50" s="150"/>
      <c r="K50" s="150"/>
      <c r="L50" s="50">
        <f>IF(B2=75,0,K49+K48+K47)</f>
        <v>1188882</v>
      </c>
      <c r="N50" s="3"/>
      <c r="O50" s="1"/>
      <c r="V50" s="335" t="s">
        <v>98</v>
      </c>
      <c r="W50" s="152">
        <f>SUM(W47:W49)</f>
        <v>0</v>
      </c>
      <c r="X50" s="648" t="s">
        <v>99</v>
      </c>
      <c r="Y50" s="649"/>
      <c r="Z50" s="649"/>
      <c r="AA50" s="649"/>
      <c r="AB50" s="649"/>
      <c r="AC50" s="56">
        <f>IF(V2=75,0,AB49+AB48+AB47)</f>
        <v>0</v>
      </c>
      <c r="AD50" s="9"/>
    </row>
    <row r="51" spans="2:30" ht="19.5" customHeight="1" x14ac:dyDescent="0.25">
      <c r="B51" s="153" t="s">
        <v>100</v>
      </c>
      <c r="C51" s="153"/>
      <c r="D51" s="153"/>
      <c r="E51" s="153"/>
      <c r="F51" s="153"/>
      <c r="G51" s="153"/>
      <c r="H51" s="153"/>
      <c r="I51" s="153"/>
      <c r="J51" s="153"/>
      <c r="K51" s="153"/>
      <c r="L51" s="153"/>
      <c r="M51" s="141"/>
      <c r="N51" s="101"/>
      <c r="O51" s="1"/>
      <c r="V51" s="650" t="s">
        <v>100</v>
      </c>
      <c r="W51" s="650"/>
      <c r="X51" s="650"/>
      <c r="Y51" s="650"/>
      <c r="Z51" s="650"/>
      <c r="AA51" s="650"/>
      <c r="AB51" s="650"/>
      <c r="AC51" s="650"/>
      <c r="AD51" s="154"/>
    </row>
    <row r="52" spans="2:30" ht="27.75" customHeight="1" x14ac:dyDescent="0.25">
      <c r="B52" s="13" t="s">
        <v>101</v>
      </c>
      <c r="C52" s="13"/>
      <c r="D52" s="13"/>
      <c r="E52" s="13"/>
      <c r="F52" s="13"/>
      <c r="G52" s="13"/>
      <c r="H52" s="13"/>
      <c r="I52" s="13"/>
      <c r="J52" s="13"/>
      <c r="K52" s="13"/>
      <c r="L52" s="13"/>
      <c r="O52" s="1"/>
      <c r="V52" s="651" t="s">
        <v>101</v>
      </c>
      <c r="W52" s="651"/>
      <c r="X52" s="651"/>
      <c r="Y52" s="651"/>
      <c r="Z52" s="651"/>
      <c r="AA52" s="651"/>
      <c r="AB52" s="651"/>
      <c r="AC52" s="651"/>
      <c r="AD52" s="9"/>
    </row>
    <row r="53" spans="2:30" x14ac:dyDescent="0.25">
      <c r="B53" s="13" t="s">
        <v>102</v>
      </c>
      <c r="C53" s="13"/>
      <c r="D53" s="13"/>
      <c r="E53" s="13"/>
      <c r="F53" s="13"/>
      <c r="G53" s="155">
        <f>K26</f>
        <v>1055.6433999999999</v>
      </c>
      <c r="H53" s="57" t="s">
        <v>103</v>
      </c>
      <c r="I53" s="57"/>
      <c r="J53" s="156">
        <v>197823.77</v>
      </c>
      <c r="K53" s="156"/>
      <c r="L53" s="156"/>
      <c r="N53" s="3"/>
      <c r="O53" s="1"/>
      <c r="V53" s="657" t="s">
        <v>102</v>
      </c>
      <c r="W53" s="657"/>
      <c r="X53" s="157">
        <f>AB26</f>
        <v>0</v>
      </c>
      <c r="Y53" s="658" t="s">
        <v>103</v>
      </c>
      <c r="Z53" s="658"/>
      <c r="AA53" s="659">
        <f>+J53</f>
        <v>197823.77</v>
      </c>
      <c r="AB53" s="659"/>
      <c r="AC53" s="659"/>
      <c r="AD53" s="9"/>
    </row>
    <row r="54" spans="2:30" x14ac:dyDescent="0.25">
      <c r="B54" s="13" t="s">
        <v>104</v>
      </c>
      <c r="C54" s="13"/>
      <c r="D54" s="13"/>
      <c r="E54" s="13"/>
      <c r="F54" s="13"/>
      <c r="G54" s="13"/>
      <c r="H54" s="13"/>
      <c r="I54" s="13"/>
      <c r="J54" s="13"/>
      <c r="K54" s="158">
        <f>ROUND(G53/J53,6)</f>
        <v>5.3359999999999996E-3</v>
      </c>
      <c r="L54" s="158"/>
      <c r="N54" s="101"/>
      <c r="O54" s="1"/>
      <c r="V54" s="657" t="s">
        <v>104</v>
      </c>
      <c r="W54" s="657"/>
      <c r="X54" s="657"/>
      <c r="Y54" s="657"/>
      <c r="Z54" s="657"/>
      <c r="AA54" s="657"/>
      <c r="AB54" s="660">
        <f>ROUND(X53/AA53,6)</f>
        <v>0</v>
      </c>
      <c r="AC54" s="660"/>
      <c r="AD54" s="9"/>
    </row>
    <row r="55" spans="2:30" ht="24" customHeight="1" x14ac:dyDescent="0.25">
      <c r="B55" s="13" t="s">
        <v>105</v>
      </c>
      <c r="C55" s="13"/>
      <c r="D55" s="13"/>
      <c r="E55" s="13"/>
      <c r="F55" s="13"/>
      <c r="G55" s="13"/>
      <c r="H55" s="13"/>
      <c r="I55" s="13"/>
      <c r="J55" s="13"/>
      <c r="K55" s="13"/>
      <c r="L55" s="13"/>
      <c r="O55" s="1"/>
      <c r="V55" s="651" t="s">
        <v>105</v>
      </c>
      <c r="W55" s="651"/>
      <c r="X55" s="651"/>
      <c r="Y55" s="651"/>
      <c r="Z55" s="651"/>
      <c r="AA55" s="651"/>
      <c r="AB55" s="651"/>
      <c r="AC55" s="651"/>
      <c r="AD55" s="9"/>
    </row>
    <row r="56" spans="2:30" x14ac:dyDescent="0.25">
      <c r="B56" s="13" t="s">
        <v>106</v>
      </c>
      <c r="C56" s="13"/>
      <c r="D56" s="13"/>
      <c r="E56" s="13"/>
      <c r="F56" s="13"/>
      <c r="G56" s="159">
        <f>G26</f>
        <v>1000.69</v>
      </c>
      <c r="H56" s="57" t="s">
        <v>107</v>
      </c>
      <c r="I56" s="57"/>
      <c r="J56" s="156">
        <f>+G40</f>
        <v>180284.81</v>
      </c>
      <c r="K56" s="156"/>
      <c r="L56" s="156"/>
      <c r="O56" s="1"/>
      <c r="V56" s="657" t="s">
        <v>106</v>
      </c>
      <c r="W56" s="657"/>
      <c r="X56" s="160">
        <f>X26</f>
        <v>0</v>
      </c>
      <c r="Y56" s="658" t="s">
        <v>107</v>
      </c>
      <c r="Z56" s="658"/>
      <c r="AA56" s="659">
        <f>+J56</f>
        <v>180284.81</v>
      </c>
      <c r="AB56" s="659"/>
      <c r="AC56" s="659"/>
      <c r="AD56" s="9"/>
    </row>
    <row r="57" spans="2:30" x14ac:dyDescent="0.25">
      <c r="B57" s="13" t="s">
        <v>108</v>
      </c>
      <c r="C57" s="13"/>
      <c r="D57" s="13"/>
      <c r="E57" s="13"/>
      <c r="F57" s="13"/>
      <c r="G57" s="13"/>
      <c r="H57" s="13"/>
      <c r="I57" s="13"/>
      <c r="J57" s="13"/>
      <c r="K57" s="158">
        <f>ROUND(G56/J56,6)</f>
        <v>5.5510000000000004E-3</v>
      </c>
      <c r="L57" s="158"/>
      <c r="O57" s="1"/>
      <c r="V57" s="657" t="s">
        <v>108</v>
      </c>
      <c r="W57" s="657"/>
      <c r="X57" s="657"/>
      <c r="Y57" s="657"/>
      <c r="Z57" s="657"/>
      <c r="AA57" s="657"/>
      <c r="AB57" s="660">
        <f>ROUND(X56/AA56,6)</f>
        <v>0</v>
      </c>
      <c r="AC57" s="660"/>
      <c r="AD57" s="9"/>
    </row>
    <row r="58" spans="2:30" ht="20.25" customHeight="1" x14ac:dyDescent="0.25">
      <c r="B58" s="161" t="s">
        <v>109</v>
      </c>
      <c r="C58" s="161"/>
      <c r="D58" s="161"/>
      <c r="E58" s="161"/>
      <c r="F58" s="161"/>
      <c r="G58" s="161"/>
      <c r="H58" s="161"/>
      <c r="I58" s="161"/>
      <c r="J58" s="161"/>
      <c r="K58" s="161"/>
      <c r="L58" s="161"/>
      <c r="N58" s="18"/>
      <c r="O58" s="18"/>
      <c r="V58" s="629" t="s">
        <v>110</v>
      </c>
      <c r="W58" s="629"/>
      <c r="X58" s="629"/>
      <c r="Y58" s="661">
        <f>X65+X64+X62+X61+X60</f>
        <v>4123852</v>
      </c>
      <c r="Z58" s="661"/>
      <c r="AA58" s="332" t="s">
        <v>111</v>
      </c>
      <c r="AB58" s="163">
        <f>AB54</f>
        <v>0</v>
      </c>
      <c r="AC58" s="56">
        <f>ROUND(Y58*AB58,0)</f>
        <v>0</v>
      </c>
      <c r="AD58" s="9"/>
    </row>
    <row r="59" spans="2:30" x14ac:dyDescent="0.25">
      <c r="B59" s="62" t="s">
        <v>110</v>
      </c>
      <c r="C59" s="62"/>
      <c r="D59" s="62"/>
      <c r="E59" s="62"/>
      <c r="F59" s="62"/>
      <c r="G59" s="62"/>
      <c r="H59" s="164" t="s">
        <v>22</v>
      </c>
      <c r="I59" s="129">
        <v>4123852</v>
      </c>
      <c r="J59" s="165" t="s">
        <v>111</v>
      </c>
      <c r="K59" s="166">
        <f>K54</f>
        <v>5.3359999999999996E-3</v>
      </c>
      <c r="L59" s="50">
        <f>ROUND(I59*K59,0)</f>
        <v>22005</v>
      </c>
      <c r="O59" s="1"/>
      <c r="P59" s="165"/>
      <c r="Q59" s="165"/>
      <c r="V59" s="662" t="s">
        <v>112</v>
      </c>
      <c r="W59" s="662"/>
      <c r="X59" s="662"/>
      <c r="Y59" s="662"/>
      <c r="Z59" s="662"/>
      <c r="AA59" s="662"/>
      <c r="AB59" s="662"/>
      <c r="AC59" s="662"/>
      <c r="AD59" s="9"/>
    </row>
    <row r="60" spans="2:30" x14ac:dyDescent="0.25">
      <c r="B60" s="62" t="s">
        <v>112</v>
      </c>
      <c r="C60" s="62"/>
      <c r="D60" s="62"/>
      <c r="E60" s="62"/>
      <c r="F60" s="62"/>
      <c r="G60" s="62"/>
      <c r="H60" s="62"/>
      <c r="I60" s="62"/>
      <c r="J60" s="62"/>
      <c r="K60" s="62"/>
      <c r="L60" s="62"/>
      <c r="O60" s="1"/>
      <c r="P60" s="165"/>
      <c r="Q60" s="165"/>
      <c r="V60" s="663" t="s">
        <v>113</v>
      </c>
      <c r="W60" s="663"/>
      <c r="X60" s="664">
        <f>+G61</f>
        <v>0</v>
      </c>
      <c r="Y60" s="664"/>
      <c r="Z60" s="664"/>
      <c r="AA60" s="664"/>
      <c r="AB60" s="664"/>
      <c r="AC60" s="664"/>
      <c r="AD60" s="9"/>
    </row>
    <row r="61" spans="2:30" ht="15" customHeight="1" x14ac:dyDescent="0.25">
      <c r="B61" s="167" t="s">
        <v>113</v>
      </c>
      <c r="C61" s="62"/>
      <c r="D61" s="62"/>
      <c r="E61" s="62"/>
      <c r="F61" s="62"/>
      <c r="G61" s="168">
        <v>0</v>
      </c>
      <c r="H61" s="168"/>
      <c r="I61" s="168"/>
      <c r="J61" s="168"/>
      <c r="K61" s="168"/>
      <c r="L61" s="168"/>
      <c r="O61" s="1"/>
      <c r="P61" s="165"/>
      <c r="Q61" s="165"/>
      <c r="V61" s="663" t="s">
        <v>114</v>
      </c>
      <c r="W61" s="663"/>
      <c r="X61" s="664">
        <f>+G62</f>
        <v>0</v>
      </c>
      <c r="Y61" s="664"/>
      <c r="Z61" s="664"/>
      <c r="AA61" s="664"/>
      <c r="AB61" s="664"/>
      <c r="AC61" s="664"/>
      <c r="AD61" s="9"/>
    </row>
    <row r="62" spans="2:30" ht="13.5" customHeight="1" x14ac:dyDescent="0.25">
      <c r="B62" s="167" t="s">
        <v>114</v>
      </c>
      <c r="C62" s="62"/>
      <c r="D62" s="62"/>
      <c r="E62" s="62"/>
      <c r="F62" s="62"/>
      <c r="G62" s="168">
        <v>0</v>
      </c>
      <c r="H62" s="168"/>
      <c r="I62" s="168"/>
      <c r="J62" s="168"/>
      <c r="K62" s="168"/>
      <c r="L62" s="168"/>
      <c r="N62" s="165"/>
      <c r="O62" s="165"/>
      <c r="P62" s="165"/>
      <c r="Q62" s="165"/>
      <c r="V62" s="663" t="s">
        <v>115</v>
      </c>
      <c r="W62" s="663"/>
      <c r="X62" s="664">
        <v>0</v>
      </c>
      <c r="Y62" s="664"/>
      <c r="Z62" s="664"/>
      <c r="AA62" s="664"/>
      <c r="AB62" s="664"/>
      <c r="AC62" s="664"/>
      <c r="AD62" s="9"/>
    </row>
    <row r="63" spans="2:30" ht="13.5" hidden="1" customHeight="1" x14ac:dyDescent="0.25">
      <c r="B63" s="62" t="s">
        <v>115</v>
      </c>
      <c r="C63" s="62"/>
      <c r="D63" s="62"/>
      <c r="E63" s="62"/>
      <c r="F63" s="62"/>
      <c r="G63" s="168">
        <v>0</v>
      </c>
      <c r="H63" s="168"/>
      <c r="I63" s="168"/>
      <c r="J63" s="168"/>
      <c r="K63" s="168"/>
      <c r="L63" s="168"/>
      <c r="O63" s="1"/>
      <c r="P63" s="165"/>
      <c r="Q63" s="165"/>
      <c r="V63" s="662" t="s">
        <v>116</v>
      </c>
      <c r="W63" s="662"/>
      <c r="X63" s="662"/>
      <c r="Y63" s="662"/>
      <c r="Z63" s="662"/>
      <c r="AA63" s="662"/>
      <c r="AB63" s="662"/>
      <c r="AC63" s="662"/>
      <c r="AD63" s="333"/>
    </row>
    <row r="64" spans="2:30" ht="13.5" customHeight="1" x14ac:dyDescent="0.25">
      <c r="B64" s="62" t="s">
        <v>116</v>
      </c>
      <c r="C64" s="62"/>
      <c r="D64" s="62"/>
      <c r="E64" s="62"/>
      <c r="F64" s="62"/>
      <c r="G64" s="62"/>
      <c r="H64" s="62"/>
      <c r="I64" s="62"/>
      <c r="J64" s="62"/>
      <c r="K64" s="62"/>
      <c r="L64" s="62"/>
      <c r="M64" s="116"/>
      <c r="N64" s="18"/>
      <c r="O64" s="1"/>
      <c r="V64" s="663" t="s">
        <v>117</v>
      </c>
      <c r="W64" s="663"/>
      <c r="X64" s="664">
        <f>+G65</f>
        <v>4123852</v>
      </c>
      <c r="Y64" s="664"/>
      <c r="Z64" s="664"/>
      <c r="AA64" s="664"/>
      <c r="AB64" s="664"/>
      <c r="AC64" s="664"/>
      <c r="AD64" s="9"/>
    </row>
    <row r="65" spans="1:30" ht="12.75" customHeight="1" x14ac:dyDescent="0.25">
      <c r="B65" s="167" t="s">
        <v>117</v>
      </c>
      <c r="C65" s="62"/>
      <c r="D65" s="62"/>
      <c r="E65" s="62"/>
      <c r="F65" s="62"/>
      <c r="G65" s="168">
        <f>+I59</f>
        <v>4123852</v>
      </c>
      <c r="H65" s="168"/>
      <c r="I65" s="168"/>
      <c r="J65" s="168"/>
      <c r="K65" s="168"/>
      <c r="L65" s="168"/>
      <c r="O65" s="1"/>
      <c r="V65" s="663" t="s">
        <v>118</v>
      </c>
      <c r="W65" s="663"/>
      <c r="X65" s="664">
        <f>+G66</f>
        <v>0</v>
      </c>
      <c r="Y65" s="664"/>
      <c r="Z65" s="664"/>
      <c r="AA65" s="664"/>
      <c r="AB65" s="664"/>
      <c r="AC65" s="664"/>
      <c r="AD65" s="20"/>
    </row>
    <row r="66" spans="1:30" ht="15" customHeight="1" x14ac:dyDescent="0.25">
      <c r="B66" s="167" t="s">
        <v>118</v>
      </c>
      <c r="C66" s="62"/>
      <c r="D66" s="62"/>
      <c r="E66" s="62"/>
      <c r="F66" s="62"/>
      <c r="G66" s="168">
        <v>0</v>
      </c>
      <c r="H66" s="168"/>
      <c r="I66" s="168"/>
      <c r="J66" s="168"/>
      <c r="K66" s="168"/>
      <c r="L66" s="168"/>
      <c r="M66" s="18"/>
      <c r="N66" s="3"/>
      <c r="O66" s="169"/>
      <c r="P66" s="169"/>
      <c r="Q66" s="169"/>
      <c r="V66" s="651" t="s">
        <v>119</v>
      </c>
      <c r="W66" s="651"/>
      <c r="X66" s="651"/>
      <c r="Y66" s="661">
        <f>+I67</f>
        <v>96774526</v>
      </c>
      <c r="Z66" s="661"/>
      <c r="AA66" s="332" t="s">
        <v>111</v>
      </c>
      <c r="AB66" s="163">
        <f>AB54</f>
        <v>0</v>
      </c>
      <c r="AC66" s="56">
        <f>ROUND(Y66*AB66,0)</f>
        <v>0</v>
      </c>
      <c r="AD66" s="9"/>
    </row>
    <row r="67" spans="1:30" ht="20.25" customHeight="1" x14ac:dyDescent="0.25">
      <c r="B67" s="13" t="s">
        <v>119</v>
      </c>
      <c r="C67" s="13"/>
      <c r="D67" s="13"/>
      <c r="E67" s="13"/>
      <c r="F67" s="13"/>
      <c r="H67" s="164" t="s">
        <v>25</v>
      </c>
      <c r="I67" s="129">
        <v>96774526</v>
      </c>
      <c r="J67" s="165" t="s">
        <v>111</v>
      </c>
      <c r="K67" s="166">
        <f>K54</f>
        <v>5.3359999999999996E-3</v>
      </c>
      <c r="L67" s="50">
        <f>ROUND(I67*K67,0)</f>
        <v>516389</v>
      </c>
      <c r="O67" s="1"/>
      <c r="V67" s="651" t="s">
        <v>120</v>
      </c>
      <c r="W67" s="651"/>
      <c r="X67" s="651"/>
      <c r="Y67" s="651"/>
      <c r="Z67" s="651"/>
      <c r="AA67" s="651"/>
      <c r="AB67" s="651"/>
      <c r="AC67" s="651"/>
      <c r="AD67" s="9"/>
    </row>
    <row r="68" spans="1:30" ht="20.25" customHeight="1" x14ac:dyDescent="0.25">
      <c r="B68" s="13" t="s">
        <v>120</v>
      </c>
      <c r="C68" s="13"/>
      <c r="D68" s="13"/>
      <c r="E68" s="13"/>
      <c r="F68" s="13"/>
      <c r="H68" s="13"/>
      <c r="I68" s="13"/>
      <c r="J68" s="82"/>
      <c r="K68" s="13"/>
      <c r="L68" s="13"/>
      <c r="O68" s="1"/>
      <c r="V68" s="667" t="s">
        <v>121</v>
      </c>
      <c r="W68" s="667"/>
      <c r="X68" s="667"/>
      <c r="Y68" s="661">
        <f>+I69</f>
        <v>0</v>
      </c>
      <c r="Z68" s="661"/>
      <c r="AA68" s="332" t="s">
        <v>111</v>
      </c>
      <c r="AB68" s="163">
        <f>AB57</f>
        <v>0</v>
      </c>
      <c r="AC68" s="56">
        <f>ROUND(Y68*AB68,0)</f>
        <v>0</v>
      </c>
      <c r="AD68" s="9"/>
    </row>
    <row r="69" spans="1:30" ht="15" customHeight="1" x14ac:dyDescent="0.25">
      <c r="B69" s="170" t="s">
        <v>121</v>
      </c>
      <c r="C69" s="13"/>
      <c r="D69" s="13"/>
      <c r="E69" s="13"/>
      <c r="F69" s="13"/>
      <c r="H69" s="164" t="s">
        <v>23</v>
      </c>
      <c r="I69" s="129">
        <v>0</v>
      </c>
      <c r="J69" s="165" t="s">
        <v>111</v>
      </c>
      <c r="K69" s="166">
        <f>K57</f>
        <v>5.5510000000000004E-3</v>
      </c>
      <c r="L69" s="50">
        <f>ROUND(I69*K69,0)</f>
        <v>0</v>
      </c>
      <c r="O69" s="1"/>
      <c r="V69" s="651" t="s">
        <v>122</v>
      </c>
      <c r="W69" s="651"/>
      <c r="X69" s="651"/>
      <c r="Y69" s="668">
        <f>+I70</f>
        <v>-3460775</v>
      </c>
      <c r="Z69" s="668"/>
      <c r="AA69" s="332" t="s">
        <v>111</v>
      </c>
      <c r="AB69" s="163">
        <f>AB54</f>
        <v>0</v>
      </c>
      <c r="AC69" s="56">
        <f>ROUND(Y69*AB69,0)</f>
        <v>0</v>
      </c>
      <c r="AD69" s="9"/>
    </row>
    <row r="70" spans="1:30" ht="20.25" customHeight="1" x14ac:dyDescent="0.25">
      <c r="B70" s="13" t="s">
        <v>122</v>
      </c>
      <c r="C70" s="13"/>
      <c r="D70" s="13"/>
      <c r="E70" s="13"/>
      <c r="F70" s="13"/>
      <c r="H70" s="164" t="s">
        <v>22</v>
      </c>
      <c r="I70" s="129">
        <v>-3460775</v>
      </c>
      <c r="J70" s="165" t="s">
        <v>111</v>
      </c>
      <c r="K70" s="166">
        <f>K54</f>
        <v>5.3359999999999996E-3</v>
      </c>
      <c r="L70" s="50">
        <f>ROUND(I70*K70,0)</f>
        <v>-18467</v>
      </c>
      <c r="O70" s="1"/>
      <c r="V70" s="651" t="s">
        <v>123</v>
      </c>
      <c r="W70" s="651"/>
      <c r="X70" s="651"/>
      <c r="Y70" s="665">
        <f>+I71</f>
        <v>1874788</v>
      </c>
      <c r="Z70" s="665"/>
      <c r="AA70" s="332" t="s">
        <v>111</v>
      </c>
      <c r="AB70" s="163">
        <f>AB54</f>
        <v>0</v>
      </c>
      <c r="AC70" s="56">
        <f>ROUND(Y70*AB70,0)</f>
        <v>0</v>
      </c>
      <c r="AD70" s="9"/>
    </row>
    <row r="71" spans="1:30" ht="20.25" customHeight="1" x14ac:dyDescent="0.25">
      <c r="B71" s="13" t="s">
        <v>123</v>
      </c>
      <c r="C71" s="13"/>
      <c r="D71" s="13"/>
      <c r="E71" s="13"/>
      <c r="F71" s="13"/>
      <c r="H71" s="164" t="s">
        <v>22</v>
      </c>
      <c r="I71" s="129">
        <v>1874788</v>
      </c>
      <c r="J71" s="165" t="s">
        <v>111</v>
      </c>
      <c r="K71" s="166">
        <f>K54</f>
        <v>5.3359999999999996E-3</v>
      </c>
      <c r="L71" s="50">
        <f>ROUND(I71*K71,0)</f>
        <v>10004</v>
      </c>
      <c r="O71" s="1"/>
      <c r="V71" s="651" t="s">
        <v>124</v>
      </c>
      <c r="W71" s="651"/>
      <c r="X71" s="651"/>
      <c r="Y71" s="665">
        <f>+I72</f>
        <v>14223298</v>
      </c>
      <c r="Z71" s="665"/>
      <c r="AA71" s="332" t="s">
        <v>111</v>
      </c>
      <c r="AB71" s="163">
        <f>AB57</f>
        <v>0</v>
      </c>
      <c r="AC71" s="56">
        <f>ROUND(Y71*AB71,0)</f>
        <v>0</v>
      </c>
      <c r="AD71" s="9"/>
    </row>
    <row r="72" spans="1:30" ht="21" customHeight="1" x14ac:dyDescent="0.25">
      <c r="B72" s="13" t="s">
        <v>124</v>
      </c>
      <c r="C72" s="13"/>
      <c r="D72" s="13"/>
      <c r="E72" s="13"/>
      <c r="F72" s="13"/>
      <c r="H72" s="164" t="s">
        <v>23</v>
      </c>
      <c r="I72" s="171">
        <v>14223298</v>
      </c>
      <c r="J72" s="165" t="s">
        <v>111</v>
      </c>
      <c r="K72" s="166">
        <f>K57</f>
        <v>5.5510000000000004E-3</v>
      </c>
      <c r="L72" s="50">
        <f>ROUND(I72*K72,0)</f>
        <v>78954</v>
      </c>
      <c r="O72" s="1"/>
      <c r="V72" s="623" t="s">
        <v>125</v>
      </c>
      <c r="W72" s="623"/>
      <c r="X72" s="623"/>
      <c r="Y72" s="623"/>
      <c r="Z72" s="623"/>
      <c r="AA72" s="623"/>
      <c r="AB72" s="623"/>
      <c r="AC72" s="60"/>
      <c r="AD72" s="9"/>
    </row>
    <row r="73" spans="1:30" ht="17.25" customHeight="1" x14ac:dyDescent="0.25">
      <c r="B73" s="13" t="s">
        <v>125</v>
      </c>
      <c r="C73" s="13"/>
      <c r="D73" s="13"/>
      <c r="E73" s="13"/>
      <c r="F73" s="13"/>
      <c r="H73" s="13"/>
      <c r="I73" s="13"/>
      <c r="J73" s="82"/>
      <c r="K73" s="13"/>
      <c r="L73" s="59"/>
      <c r="O73" s="1"/>
      <c r="V73" s="651" t="s">
        <v>126</v>
      </c>
      <c r="W73" s="651"/>
      <c r="X73" s="651"/>
      <c r="Y73" s="651"/>
      <c r="Z73" s="651"/>
      <c r="AA73" s="651"/>
      <c r="AB73" s="651"/>
      <c r="AC73" s="651"/>
      <c r="AD73" s="9"/>
    </row>
    <row r="74" spans="1:30" ht="31.5" x14ac:dyDescent="0.25">
      <c r="B74" s="13" t="s">
        <v>126</v>
      </c>
      <c r="C74" s="13"/>
      <c r="D74" s="27" t="s">
        <v>13</v>
      </c>
      <c r="E74" s="27" t="s">
        <v>14</v>
      </c>
      <c r="F74" s="27"/>
      <c r="H74" s="164" t="s">
        <v>26</v>
      </c>
      <c r="I74" s="172"/>
      <c r="J74" s="164"/>
      <c r="K74" s="172"/>
      <c r="L74" s="112"/>
      <c r="O74" s="1"/>
      <c r="V74" s="666" t="s">
        <v>127</v>
      </c>
      <c r="W74" s="666"/>
      <c r="X74" s="173" t="s">
        <v>128</v>
      </c>
      <c r="Y74" s="174"/>
      <c r="Z74" s="175">
        <f>+I75</f>
        <v>0</v>
      </c>
      <c r="AA74" s="331" t="s">
        <v>129</v>
      </c>
      <c r="AB74" s="177">
        <f>+K75</f>
        <v>361</v>
      </c>
      <c r="AC74" s="56">
        <f>ROUND(AB74*Z74,0)</f>
        <v>0</v>
      </c>
      <c r="AD74" s="9"/>
    </row>
    <row r="75" spans="1:30" ht="19.5" customHeight="1" x14ac:dyDescent="0.25">
      <c r="A75" s="1" t="s">
        <v>130</v>
      </c>
      <c r="B75" s="178" t="s">
        <v>127</v>
      </c>
      <c r="C75" s="179" t="s">
        <v>128</v>
      </c>
      <c r="D75" s="178">
        <v>0</v>
      </c>
      <c r="E75" s="178">
        <v>0</v>
      </c>
      <c r="F75" s="178">
        <v>0</v>
      </c>
      <c r="G75" s="180">
        <f>IF(E75=0,D75,E75)</f>
        <v>0</v>
      </c>
      <c r="H75" s="181"/>
      <c r="I75" s="182">
        <f>AVERAGE(G75,D75)</f>
        <v>0</v>
      </c>
      <c r="J75" s="183" t="s">
        <v>129</v>
      </c>
      <c r="K75" s="184">
        <v>361</v>
      </c>
      <c r="L75" s="50">
        <f>ROUND(K75*I75,0)</f>
        <v>0</v>
      </c>
      <c r="N75" s="1">
        <v>7802</v>
      </c>
      <c r="O75" s="1">
        <v>0</v>
      </c>
      <c r="V75" s="666" t="s">
        <v>127</v>
      </c>
      <c r="W75" s="666"/>
      <c r="X75" s="173" t="s">
        <v>131</v>
      </c>
      <c r="Y75" s="185"/>
      <c r="Z75" s="186">
        <f>+I76</f>
        <v>0</v>
      </c>
      <c r="AA75" s="331" t="s">
        <v>129</v>
      </c>
      <c r="AB75" s="187">
        <f>+K76</f>
        <v>1358</v>
      </c>
      <c r="AC75" s="56">
        <f>ROUND(AB75*Z75,0)</f>
        <v>0</v>
      </c>
      <c r="AD75" s="9"/>
    </row>
    <row r="76" spans="1:30" ht="19.5" customHeight="1" x14ac:dyDescent="0.25">
      <c r="A76" s="1" t="s">
        <v>132</v>
      </c>
      <c r="B76" s="178" t="s">
        <v>127</v>
      </c>
      <c r="C76" s="179" t="s">
        <v>131</v>
      </c>
      <c r="D76" s="178">
        <v>0</v>
      </c>
      <c r="E76" s="178">
        <v>0</v>
      </c>
      <c r="F76" s="178">
        <v>0</v>
      </c>
      <c r="G76" s="180">
        <f>IF(E76=0,D76,E76)</f>
        <v>0</v>
      </c>
      <c r="H76" s="181"/>
      <c r="I76" s="182">
        <f>AVERAGE(G76,D76)</f>
        <v>0</v>
      </c>
      <c r="J76" s="183" t="s">
        <v>129</v>
      </c>
      <c r="K76" s="188">
        <v>1358</v>
      </c>
      <c r="L76" s="50">
        <f>ROUND(K76*I76,0)</f>
        <v>0</v>
      </c>
      <c r="N76" s="1">
        <v>7802</v>
      </c>
      <c r="O76" s="1">
        <v>110</v>
      </c>
      <c r="V76" s="651" t="s">
        <v>133</v>
      </c>
      <c r="W76" s="651"/>
      <c r="X76" s="651"/>
      <c r="Y76" s="661">
        <f>+I77</f>
        <v>33305823</v>
      </c>
      <c r="Z76" s="661"/>
      <c r="AA76" s="331" t="s">
        <v>129</v>
      </c>
      <c r="AB76" s="163">
        <f>AB54</f>
        <v>0</v>
      </c>
      <c r="AC76" s="56">
        <f>ROUND(Y76*AB76,0)</f>
        <v>0</v>
      </c>
      <c r="AD76" s="9"/>
    </row>
    <row r="77" spans="1:30" ht="26.25" customHeight="1" x14ac:dyDescent="0.25">
      <c r="B77" s="13" t="s">
        <v>133</v>
      </c>
      <c r="C77" s="13"/>
      <c r="D77" s="13"/>
      <c r="E77" s="13"/>
      <c r="F77" s="13"/>
      <c r="H77" s="164" t="s">
        <v>134</v>
      </c>
      <c r="I77" s="189">
        <v>33305823</v>
      </c>
      <c r="J77" s="165" t="s">
        <v>111</v>
      </c>
      <c r="K77" s="166">
        <f>K54</f>
        <v>5.3359999999999996E-3</v>
      </c>
      <c r="L77" s="50">
        <f>ROUND(I77*K77,0)</f>
        <v>177720</v>
      </c>
      <c r="O77" s="1"/>
      <c r="V77" s="651" t="str">
        <f>+B78</f>
        <v>15.  Additional Allocation (WFTE share)</v>
      </c>
      <c r="W77" s="651"/>
      <c r="X77" s="651"/>
      <c r="Y77" s="661">
        <f>+I78</f>
        <v>680688</v>
      </c>
      <c r="Z77" s="661"/>
      <c r="AA77" s="331" t="s">
        <v>129</v>
      </c>
      <c r="AB77" s="163">
        <f>AB54</f>
        <v>0</v>
      </c>
      <c r="AC77" s="56">
        <f>ROUND(Y77*AB77,0)</f>
        <v>0</v>
      </c>
      <c r="AD77" s="9"/>
    </row>
    <row r="78" spans="1:30" ht="26.25" customHeight="1" x14ac:dyDescent="0.25">
      <c r="B78" s="669" t="s">
        <v>135</v>
      </c>
      <c r="C78" s="669"/>
      <c r="D78" s="669"/>
      <c r="E78" s="13"/>
      <c r="F78" s="13"/>
      <c r="H78" s="164" t="s">
        <v>136</v>
      </c>
      <c r="I78" s="190">
        <v>680688</v>
      </c>
      <c r="J78" s="165" t="s">
        <v>111</v>
      </c>
      <c r="K78" s="166">
        <f>K54</f>
        <v>5.3359999999999996E-3</v>
      </c>
      <c r="L78" s="50">
        <f>ROUND(I78*K78,0)</f>
        <v>3632</v>
      </c>
      <c r="O78" s="1"/>
      <c r="V78" s="651" t="str">
        <f>+B79</f>
        <v>16.  Florida Teachers Lead Program Stipend</v>
      </c>
      <c r="W78" s="651"/>
      <c r="X78" s="651"/>
      <c r="Y78" s="191"/>
      <c r="Z78" s="191"/>
      <c r="AA78" s="191"/>
      <c r="AB78" s="191"/>
      <c r="AC78" s="134"/>
      <c r="AD78" s="9"/>
    </row>
    <row r="79" spans="1:30" ht="21" customHeight="1" x14ac:dyDescent="0.25">
      <c r="B79" s="669" t="s">
        <v>137</v>
      </c>
      <c r="C79" s="669"/>
      <c r="D79" s="669"/>
      <c r="E79" s="13"/>
      <c r="F79" s="13"/>
      <c r="H79" s="164"/>
      <c r="I79" s="172"/>
      <c r="J79" s="172"/>
      <c r="K79" s="172"/>
      <c r="L79" s="129"/>
      <c r="N79" s="192"/>
      <c r="O79" s="1"/>
      <c r="Q79" s="164"/>
      <c r="V79" s="651" t="str">
        <f>+B80</f>
        <v>17.  Food Service Allocation</v>
      </c>
      <c r="W79" s="651"/>
      <c r="X79" s="651"/>
      <c r="Y79" s="191"/>
      <c r="Z79" s="191"/>
      <c r="AA79" s="191"/>
      <c r="AB79" s="191"/>
      <c r="AC79" s="193"/>
      <c r="AD79" s="9"/>
    </row>
    <row r="80" spans="1:30" ht="21" customHeight="1" x14ac:dyDescent="0.25">
      <c r="B80" s="669" t="s">
        <v>138</v>
      </c>
      <c r="C80" s="669"/>
      <c r="D80" s="669"/>
      <c r="E80" s="13"/>
      <c r="F80" s="13"/>
      <c r="H80" s="194" t="s">
        <v>139</v>
      </c>
      <c r="I80" s="195"/>
      <c r="J80" s="195"/>
      <c r="K80" s="195"/>
      <c r="L80" s="196"/>
      <c r="N80" s="197"/>
      <c r="O80" s="1"/>
      <c r="Q80" s="164"/>
      <c r="V80" s="191"/>
      <c r="W80" s="191"/>
      <c r="X80" s="191"/>
      <c r="Y80" s="191"/>
      <c r="Z80" s="191"/>
      <c r="AA80" s="191"/>
      <c r="AB80" s="191"/>
      <c r="AC80" s="193"/>
      <c r="AD80" s="9"/>
    </row>
    <row r="81" spans="1:30" ht="21" customHeight="1" thickBot="1" x14ac:dyDescent="0.3">
      <c r="B81" s="13"/>
      <c r="C81" s="13"/>
      <c r="D81" s="13"/>
      <c r="E81" s="13"/>
      <c r="F81" s="13"/>
      <c r="G81" s="13"/>
      <c r="H81" s="13"/>
      <c r="I81" s="13"/>
      <c r="J81" s="13"/>
      <c r="K81" s="13"/>
      <c r="L81" s="196"/>
      <c r="M81" s="198"/>
      <c r="N81" s="197"/>
      <c r="O81" s="1"/>
      <c r="Q81" s="164"/>
      <c r="V81" s="191" t="s">
        <v>140</v>
      </c>
      <c r="W81" s="191"/>
      <c r="X81" s="191"/>
      <c r="Y81" s="191"/>
      <c r="Z81" s="191"/>
      <c r="AA81" s="191"/>
      <c r="AB81" s="191"/>
      <c r="AC81" s="199">
        <f>SUM(AC44:AC80)</f>
        <v>0</v>
      </c>
      <c r="AD81" s="200"/>
    </row>
    <row r="82" spans="1:30" ht="22.5" customHeight="1" thickTop="1" thickBot="1" x14ac:dyDescent="0.3">
      <c r="B82" s="13" t="s">
        <v>141</v>
      </c>
      <c r="C82" s="13"/>
      <c r="D82" s="13"/>
      <c r="E82" s="13"/>
      <c r="F82" s="13"/>
      <c r="G82" s="13"/>
      <c r="H82" s="13"/>
      <c r="I82" s="13"/>
      <c r="J82" s="13"/>
      <c r="K82" s="13"/>
      <c r="L82" s="201">
        <f>SUM(L44:L81)</f>
        <v>6461884</v>
      </c>
      <c r="M82" s="202"/>
      <c r="N82" s="203"/>
      <c r="O82" s="1"/>
      <c r="Q82" s="164"/>
      <c r="V82" s="191"/>
      <c r="W82" s="191"/>
      <c r="X82" s="191"/>
      <c r="Y82" s="191"/>
      <c r="Z82" s="191"/>
      <c r="AA82" s="191"/>
      <c r="AB82" s="191"/>
      <c r="AC82" s="204"/>
      <c r="AD82" s="200"/>
    </row>
    <row r="83" spans="1:30" ht="27.75" customHeight="1" thickTop="1" x14ac:dyDescent="0.25">
      <c r="B83" s="13" t="s">
        <v>142</v>
      </c>
      <c r="C83" s="13"/>
      <c r="D83" s="13"/>
      <c r="E83" s="13"/>
      <c r="F83" s="13"/>
      <c r="G83" s="13"/>
      <c r="H83" s="13"/>
      <c r="I83" s="13"/>
      <c r="J83" s="13"/>
      <c r="K83" s="82" t="s">
        <v>143</v>
      </c>
      <c r="L83" s="205" t="s">
        <v>144</v>
      </c>
      <c r="M83" s="202"/>
      <c r="N83" s="203"/>
      <c r="O83" s="1"/>
      <c r="Q83" s="164"/>
      <c r="V83" s="9" t="s">
        <v>145</v>
      </c>
      <c r="W83" s="9"/>
      <c r="X83" s="9"/>
      <c r="Y83" s="9"/>
      <c r="Z83" s="9"/>
      <c r="AA83" s="9"/>
      <c r="AB83" s="9"/>
      <c r="AC83" s="9"/>
      <c r="AD83" s="206"/>
    </row>
    <row r="84" spans="1:30" ht="18.75" customHeight="1" thickBot="1" x14ac:dyDescent="0.3">
      <c r="B84" s="13" t="s">
        <v>146</v>
      </c>
      <c r="C84" s="13"/>
      <c r="D84" s="13"/>
      <c r="E84" s="13"/>
      <c r="F84" s="13"/>
      <c r="G84" s="13"/>
      <c r="H84" s="13"/>
      <c r="I84" s="13"/>
      <c r="J84" s="13"/>
      <c r="K84" s="207" t="str">
        <f>IF(G26=0,"",IF((G11+G13+SUM(G15:G21))/G26&gt;0.75,1,""))</f>
        <v/>
      </c>
      <c r="L84" s="201">
        <f>'3381 June Final'!AC81</f>
        <v>0</v>
      </c>
      <c r="M84" s="202"/>
      <c r="N84" s="203"/>
      <c r="O84" s="1"/>
      <c r="Q84" s="164"/>
      <c r="V84" s="208" t="s">
        <v>147</v>
      </c>
      <c r="W84" s="208"/>
      <c r="X84" s="208"/>
      <c r="Y84" s="208"/>
      <c r="Z84" s="208"/>
      <c r="AA84" s="208"/>
      <c r="AB84" s="208"/>
      <c r="AC84" s="208"/>
      <c r="AD84" s="9"/>
    </row>
    <row r="85" spans="1:30" ht="18.75" customHeight="1" thickTop="1" x14ac:dyDescent="0.25">
      <c r="B85" s="13"/>
      <c r="C85" s="13"/>
      <c r="D85" s="13"/>
      <c r="E85" s="13"/>
      <c r="F85" s="13"/>
      <c r="G85" s="13"/>
      <c r="H85" s="13"/>
      <c r="I85" s="13"/>
      <c r="J85" s="13"/>
      <c r="M85" s="202"/>
      <c r="N85" s="203"/>
      <c r="O85" s="1"/>
      <c r="Q85" s="164"/>
      <c r="V85" s="208" t="s">
        <v>148</v>
      </c>
      <c r="W85" s="208"/>
      <c r="X85" s="208"/>
      <c r="Y85" s="208"/>
      <c r="Z85" s="208"/>
      <c r="AA85" s="208"/>
      <c r="AB85" s="208"/>
      <c r="AC85" s="208"/>
      <c r="AD85" s="206"/>
    </row>
    <row r="86" spans="1:30" ht="18.75" customHeight="1" x14ac:dyDescent="0.25">
      <c r="B86" s="2" t="s">
        <v>149</v>
      </c>
      <c r="C86" s="13"/>
      <c r="D86" s="13"/>
      <c r="E86" s="13"/>
      <c r="F86" s="13"/>
      <c r="G86" s="13"/>
      <c r="H86" s="13"/>
      <c r="I86" s="13"/>
      <c r="J86" s="209" t="s">
        <v>150</v>
      </c>
      <c r="K86" s="210">
        <f>IF(K84=1,L84,L82)</f>
        <v>6461884</v>
      </c>
      <c r="L86" s="211">
        <f>IF(G26=0,0,IF(G26&gt;250,-(((250/G26)*K86)*IF(M86="H",0.02,0.05)),IF(M86="H",-0.02*K86,-0.05*K86)))</f>
        <v>-80717.854680270611</v>
      </c>
      <c r="M86" s="212" t="str">
        <f>IF(B123="2801","H",IF(B123="2911","H",IF(B123="3382","H"," ")))</f>
        <v xml:space="preserve"> </v>
      </c>
      <c r="N86" s="203"/>
      <c r="O86" s="1"/>
      <c r="Q86" s="164"/>
      <c r="V86" s="208" t="s">
        <v>151</v>
      </c>
      <c r="W86" s="208"/>
      <c r="X86" s="208"/>
      <c r="Y86" s="208"/>
      <c r="Z86" s="208"/>
      <c r="AA86" s="208"/>
      <c r="AB86" s="208"/>
      <c r="AC86" s="208"/>
      <c r="AD86" s="206"/>
    </row>
    <row r="87" spans="1:30" ht="18.75" customHeight="1" x14ac:dyDescent="0.25">
      <c r="B87" s="2" t="s">
        <v>152</v>
      </c>
      <c r="C87" s="13"/>
      <c r="D87" s="13"/>
      <c r="E87" s="13"/>
      <c r="F87" s="13"/>
      <c r="G87" s="13"/>
      <c r="H87" s="13"/>
      <c r="I87" s="13"/>
      <c r="J87" s="13"/>
      <c r="K87" s="213"/>
      <c r="L87" s="205">
        <f>L82+L86</f>
        <v>6381166.1453197291</v>
      </c>
      <c r="M87" s="202"/>
      <c r="N87" s="203"/>
      <c r="O87" s="1"/>
      <c r="Q87" s="164"/>
      <c r="V87" s="198"/>
      <c r="W87" s="198"/>
      <c r="X87" s="198"/>
      <c r="Y87" s="198"/>
      <c r="Z87" s="198"/>
      <c r="AA87" s="198"/>
      <c r="AB87" s="198"/>
      <c r="AC87" s="198"/>
      <c r="AD87" s="214"/>
    </row>
    <row r="88" spans="1:30" x14ac:dyDescent="0.25">
      <c r="V88" s="198"/>
      <c r="W88" s="198"/>
      <c r="X88" s="198"/>
      <c r="Y88" s="198"/>
      <c r="Z88" s="198"/>
      <c r="AA88" s="198"/>
      <c r="AB88" s="198"/>
      <c r="AC88" s="198"/>
      <c r="AD88" s="215"/>
    </row>
    <row r="89" spans="1:30" ht="18.75" customHeight="1" x14ac:dyDescent="0.25">
      <c r="A89" s="1" t="s">
        <v>153</v>
      </c>
      <c r="B89" s="13" t="s">
        <v>154</v>
      </c>
      <c r="C89" s="13"/>
      <c r="D89" s="13">
        <v>3187506</v>
      </c>
      <c r="E89" s="13">
        <v>538070</v>
      </c>
      <c r="F89" s="13">
        <v>5339784</v>
      </c>
      <c r="G89" s="13"/>
      <c r="H89" s="13"/>
      <c r="I89" s="13"/>
      <c r="J89" s="13"/>
      <c r="K89" s="213"/>
      <c r="L89" s="84">
        <v>-6383889.6940910798</v>
      </c>
      <c r="M89" s="202"/>
      <c r="N89" s="203"/>
      <c r="O89" s="1"/>
      <c r="Q89" s="164"/>
      <c r="V89" s="198">
        <v>2801</v>
      </c>
      <c r="W89" s="198"/>
      <c r="X89" s="198"/>
      <c r="Y89" s="198"/>
      <c r="Z89" s="198"/>
      <c r="AA89" s="198"/>
      <c r="AB89" s="198"/>
      <c r="AC89" s="198"/>
      <c r="AD89" s="214"/>
    </row>
    <row r="90" spans="1:30" ht="18.75" customHeight="1" x14ac:dyDescent="0.25">
      <c r="B90" s="13" t="s">
        <v>155</v>
      </c>
      <c r="C90" s="13"/>
      <c r="D90" s="13"/>
      <c r="E90" s="13"/>
      <c r="F90" s="13"/>
      <c r="G90" s="13"/>
      <c r="H90" s="13"/>
      <c r="I90" s="13"/>
      <c r="J90" s="13"/>
      <c r="K90" s="213"/>
      <c r="L90" s="205">
        <f>L87+L89</f>
        <v>-2723.5487713506445</v>
      </c>
      <c r="M90" s="202"/>
      <c r="N90" s="203"/>
      <c r="O90" s="1"/>
      <c r="Q90" s="164"/>
      <c r="V90" s="198">
        <v>2911</v>
      </c>
      <c r="W90" s="216"/>
      <c r="X90" s="216"/>
      <c r="Y90" s="216"/>
      <c r="Z90" s="216"/>
      <c r="AA90" s="216"/>
      <c r="AB90" s="216"/>
      <c r="AC90" s="216"/>
      <c r="AD90" s="214"/>
    </row>
    <row r="91" spans="1:30" ht="18.75" customHeight="1" x14ac:dyDescent="0.25">
      <c r="B91" s="13" t="s">
        <v>156</v>
      </c>
      <c r="C91" s="13"/>
      <c r="D91" s="13"/>
      <c r="E91" s="13"/>
      <c r="F91" s="13"/>
      <c r="G91" s="13"/>
      <c r="H91" s="13"/>
      <c r="I91" s="13"/>
      <c r="J91" s="13"/>
      <c r="K91" s="213"/>
      <c r="L91" s="205">
        <v>1</v>
      </c>
      <c r="M91" s="202"/>
      <c r="N91" s="203"/>
      <c r="O91" s="1"/>
      <c r="Q91" s="164"/>
      <c r="V91" s="198">
        <v>3382</v>
      </c>
      <c r="W91" s="216"/>
      <c r="X91" s="216"/>
      <c r="Y91" s="216"/>
      <c r="Z91" s="216"/>
      <c r="AA91" s="216"/>
      <c r="AB91" s="216"/>
      <c r="AC91" s="216"/>
      <c r="AD91" s="214"/>
    </row>
    <row r="92" spans="1:30" ht="18.75" customHeight="1" thickBot="1" x14ac:dyDescent="0.3">
      <c r="B92" s="13" t="s">
        <v>434</v>
      </c>
      <c r="C92" s="13"/>
      <c r="D92" s="13"/>
      <c r="E92" s="13"/>
      <c r="F92" s="13"/>
      <c r="G92" s="13"/>
      <c r="H92" s="13"/>
      <c r="I92" s="13"/>
      <c r="J92" s="13"/>
      <c r="K92" s="213"/>
      <c r="L92" s="217">
        <f>L90/L91</f>
        <v>-2723.5487713506445</v>
      </c>
      <c r="M92" s="202"/>
      <c r="N92" s="203"/>
      <c r="O92" s="1"/>
      <c r="Q92" s="164"/>
      <c r="V92" s="218"/>
      <c r="W92" s="218"/>
      <c r="X92" s="218"/>
      <c r="Y92" s="218"/>
      <c r="Z92" s="218"/>
      <c r="AA92" s="218"/>
      <c r="AB92" s="218"/>
      <c r="AC92" s="218"/>
      <c r="AD92" s="219"/>
    </row>
    <row r="93" spans="1:30" ht="18.75" customHeight="1" thickTop="1" x14ac:dyDescent="0.25">
      <c r="N93" s="219"/>
      <c r="O93" s="220"/>
      <c r="P93" s="219"/>
      <c r="Q93" s="219"/>
      <c r="V93" s="218"/>
      <c r="W93" s="218"/>
      <c r="X93" s="218"/>
      <c r="Y93" s="218"/>
      <c r="Z93" s="218"/>
      <c r="AA93" s="218"/>
      <c r="AB93" s="218"/>
      <c r="AC93" s="218"/>
      <c r="AD93" s="214"/>
    </row>
    <row r="94" spans="1:30" ht="18.75" customHeight="1" thickBot="1" x14ac:dyDescent="0.3">
      <c r="B94" s="221" t="s">
        <v>158</v>
      </c>
      <c r="C94" s="13"/>
      <c r="D94" s="13"/>
      <c r="E94" s="13"/>
      <c r="G94" s="13"/>
      <c r="H94" s="13"/>
      <c r="I94" s="13"/>
      <c r="J94" s="13"/>
      <c r="L94" s="222">
        <v>0</v>
      </c>
      <c r="M94" s="202"/>
      <c r="V94" s="223"/>
      <c r="W94" s="223"/>
      <c r="X94" s="223"/>
      <c r="Y94" s="223"/>
      <c r="Z94" s="223"/>
      <c r="AA94" s="223"/>
      <c r="AB94" s="223"/>
      <c r="AC94" s="223"/>
      <c r="AD94" s="214"/>
    </row>
    <row r="95" spans="1:30" ht="21.75" customHeight="1" thickTop="1" x14ac:dyDescent="0.25">
      <c r="B95" s="224" t="s">
        <v>159</v>
      </c>
      <c r="C95" s="224"/>
      <c r="D95" s="224"/>
      <c r="E95" s="224"/>
      <c r="F95" s="224"/>
      <c r="G95" s="224"/>
      <c r="H95" s="224"/>
      <c r="I95" s="224"/>
      <c r="J95" s="224"/>
      <c r="K95" s="224"/>
      <c r="L95" s="224"/>
      <c r="M95" s="219"/>
      <c r="V95" s="223"/>
      <c r="W95" s="223"/>
      <c r="X95" s="223"/>
      <c r="Y95" s="223"/>
      <c r="Z95" s="223"/>
      <c r="AA95" s="223"/>
      <c r="AB95" s="223"/>
      <c r="AC95" s="223"/>
      <c r="AD95" s="214"/>
    </row>
    <row r="96" spans="1:30" x14ac:dyDescent="0.25">
      <c r="B96" s="225"/>
      <c r="V96" s="223"/>
      <c r="W96" s="223"/>
      <c r="X96" s="223"/>
      <c r="Y96" s="223"/>
      <c r="Z96" s="223"/>
      <c r="AA96" s="223"/>
      <c r="AB96" s="223"/>
      <c r="AC96" s="223"/>
      <c r="AD96" s="219"/>
    </row>
    <row r="97" spans="2:30" x14ac:dyDescent="0.25">
      <c r="B97" s="225"/>
      <c r="V97" s="223"/>
      <c r="W97" s="223"/>
      <c r="X97" s="223"/>
      <c r="Y97" s="223"/>
      <c r="Z97" s="223"/>
      <c r="AA97" s="223"/>
      <c r="AB97" s="223"/>
      <c r="AC97" s="223"/>
      <c r="AD97" s="219"/>
    </row>
    <row r="98" spans="2:30" hidden="1" x14ac:dyDescent="0.25">
      <c r="B98" s="226" t="s">
        <v>160</v>
      </c>
      <c r="C98" s="227"/>
      <c r="V98" s="228"/>
      <c r="W98" s="228"/>
      <c r="X98" s="228"/>
      <c r="Y98" s="228"/>
      <c r="Z98" s="228"/>
      <c r="AA98" s="228"/>
      <c r="AB98" s="228"/>
      <c r="AC98" s="228"/>
    </row>
    <row r="99" spans="2:30" hidden="1" x14ac:dyDescent="0.25">
      <c r="B99" s="229"/>
      <c r="C99" s="227"/>
      <c r="V99" s="225"/>
      <c r="W99" s="13"/>
      <c r="X99" s="13"/>
      <c r="Y99" s="13"/>
      <c r="Z99" s="13"/>
      <c r="AA99" s="13"/>
      <c r="AB99" s="13"/>
      <c r="AC99" s="13"/>
    </row>
    <row r="100" spans="2:30" hidden="1" x14ac:dyDescent="0.25">
      <c r="B100" s="230" t="s">
        <v>161</v>
      </c>
      <c r="C100" s="226" t="s">
        <v>162</v>
      </c>
      <c r="V100" s="225"/>
    </row>
    <row r="101" spans="2:30" hidden="1" x14ac:dyDescent="0.25">
      <c r="B101" s="230" t="s">
        <v>163</v>
      </c>
      <c r="C101" s="226" t="s">
        <v>164</v>
      </c>
      <c r="V101" s="225"/>
    </row>
    <row r="102" spans="2:30" hidden="1" x14ac:dyDescent="0.25">
      <c r="B102" s="230" t="s">
        <v>165</v>
      </c>
      <c r="C102" s="226" t="s">
        <v>166</v>
      </c>
      <c r="V102" s="225"/>
      <c r="W102" s="231"/>
      <c r="X102" s="231"/>
      <c r="Y102" s="231"/>
      <c r="Z102" s="231"/>
      <c r="AA102" s="231"/>
      <c r="AB102" s="231"/>
      <c r="AC102" s="231"/>
      <c r="AD102" s="231"/>
    </row>
    <row r="103" spans="2:30" hidden="1" x14ac:dyDescent="0.25">
      <c r="B103" s="230" t="s">
        <v>167</v>
      </c>
      <c r="C103" s="226" t="s">
        <v>168</v>
      </c>
      <c r="V103" s="225"/>
    </row>
    <row r="104" spans="2:30" hidden="1" x14ac:dyDescent="0.25">
      <c r="B104" s="232"/>
      <c r="C104" s="226" t="s">
        <v>169</v>
      </c>
      <c r="V104" s="225"/>
    </row>
    <row r="105" spans="2:30" hidden="1" x14ac:dyDescent="0.25">
      <c r="B105" s="230" t="s">
        <v>170</v>
      </c>
      <c r="C105" s="226" t="s">
        <v>171</v>
      </c>
      <c r="V105" s="225"/>
    </row>
    <row r="106" spans="2:30" hidden="1" x14ac:dyDescent="0.25">
      <c r="B106" s="230" t="s">
        <v>172</v>
      </c>
      <c r="C106" s="226" t="s">
        <v>173</v>
      </c>
      <c r="V106" s="225"/>
    </row>
    <row r="107" spans="2:30" hidden="1" x14ac:dyDescent="0.25">
      <c r="B107" s="230" t="s">
        <v>259</v>
      </c>
      <c r="C107" s="226" t="s">
        <v>175</v>
      </c>
      <c r="V107" s="225"/>
    </row>
    <row r="108" spans="2:30" hidden="1" x14ac:dyDescent="0.25">
      <c r="B108" s="230" t="s">
        <v>176</v>
      </c>
      <c r="C108" s="226" t="s">
        <v>177</v>
      </c>
      <c r="V108" s="225"/>
    </row>
    <row r="109" spans="2:30" hidden="1" x14ac:dyDescent="0.25">
      <c r="B109" s="230" t="s">
        <v>178</v>
      </c>
      <c r="C109" s="226" t="s">
        <v>179</v>
      </c>
      <c r="V109" s="225"/>
    </row>
    <row r="110" spans="2:30" hidden="1" x14ac:dyDescent="0.25">
      <c r="B110" s="232"/>
      <c r="C110" s="226"/>
      <c r="V110" s="225"/>
    </row>
    <row r="111" spans="2:30" hidden="1" x14ac:dyDescent="0.25">
      <c r="B111" s="230" t="s">
        <v>180</v>
      </c>
      <c r="C111" s="226" t="s">
        <v>181</v>
      </c>
      <c r="V111" s="225"/>
    </row>
    <row r="112" spans="2:30" hidden="1" x14ac:dyDescent="0.25">
      <c r="B112" s="230" t="s">
        <v>180</v>
      </c>
      <c r="C112" s="226" t="s">
        <v>182</v>
      </c>
    </row>
    <row r="113" spans="2:3" hidden="1" x14ac:dyDescent="0.25">
      <c r="B113" s="230" t="s">
        <v>183</v>
      </c>
      <c r="C113" s="226" t="s">
        <v>184</v>
      </c>
    </row>
    <row r="114" spans="2:3" hidden="1" x14ac:dyDescent="0.25">
      <c r="B114" s="230" t="s">
        <v>185</v>
      </c>
      <c r="C114" s="226" t="s">
        <v>186</v>
      </c>
    </row>
    <row r="115" spans="2:3" hidden="1" x14ac:dyDescent="0.25">
      <c r="B115" s="230" t="s">
        <v>183</v>
      </c>
      <c r="C115" s="226" t="s">
        <v>187</v>
      </c>
    </row>
    <row r="116" spans="2:3" hidden="1" x14ac:dyDescent="0.25">
      <c r="B116" s="230" t="s">
        <v>188</v>
      </c>
      <c r="C116" s="226" t="s">
        <v>189</v>
      </c>
    </row>
    <row r="117" spans="2:3" hidden="1" x14ac:dyDescent="0.25">
      <c r="B117" s="230" t="s">
        <v>190</v>
      </c>
      <c r="C117" s="226" t="s">
        <v>191</v>
      </c>
    </row>
    <row r="118" spans="2:3" hidden="1" x14ac:dyDescent="0.25">
      <c r="B118" s="232" t="s">
        <v>192</v>
      </c>
      <c r="C118" s="226" t="s">
        <v>193</v>
      </c>
    </row>
    <row r="119" spans="2:3" hidden="1" x14ac:dyDescent="0.25">
      <c r="B119" s="232"/>
      <c r="C119" s="226"/>
    </row>
    <row r="120" spans="2:3" hidden="1" x14ac:dyDescent="0.25">
      <c r="B120" s="230" t="s">
        <v>161</v>
      </c>
      <c r="C120" s="226" t="s">
        <v>194</v>
      </c>
    </row>
    <row r="121" spans="2:3" hidden="1" x14ac:dyDescent="0.25">
      <c r="B121" s="230" t="s">
        <v>195</v>
      </c>
      <c r="C121" s="226" t="s">
        <v>196</v>
      </c>
    </row>
    <row r="122" spans="2:3" hidden="1" x14ac:dyDescent="0.25">
      <c r="B122" s="230" t="s">
        <v>197</v>
      </c>
      <c r="C122" s="226" t="s">
        <v>198</v>
      </c>
    </row>
    <row r="123" spans="2:3" hidden="1" x14ac:dyDescent="0.25">
      <c r="B123" s="230" t="s">
        <v>260</v>
      </c>
      <c r="C123" s="226" t="s">
        <v>200</v>
      </c>
    </row>
    <row r="124" spans="2:3" hidden="1" x14ac:dyDescent="0.25">
      <c r="B124" s="230" t="s">
        <v>261</v>
      </c>
      <c r="C124" s="226" t="s">
        <v>202</v>
      </c>
    </row>
    <row r="125" spans="2:3" hidden="1" x14ac:dyDescent="0.25">
      <c r="B125" s="230" t="s">
        <v>203</v>
      </c>
      <c r="C125" s="226" t="s">
        <v>204</v>
      </c>
    </row>
    <row r="126" spans="2:3" hidden="1" x14ac:dyDescent="0.25">
      <c r="B126" s="230" t="s">
        <v>203</v>
      </c>
      <c r="C126" s="226" t="s">
        <v>205</v>
      </c>
    </row>
    <row r="127" spans="2:3" hidden="1" x14ac:dyDescent="0.25">
      <c r="B127" s="230" t="s">
        <v>203</v>
      </c>
      <c r="C127" s="226" t="s">
        <v>206</v>
      </c>
    </row>
    <row r="128" spans="2:3" hidden="1" x14ac:dyDescent="0.25">
      <c r="B128" s="230" t="s">
        <v>203</v>
      </c>
      <c r="C128" s="226" t="s">
        <v>207</v>
      </c>
    </row>
    <row r="129" spans="2:3" hidden="1" x14ac:dyDescent="0.25">
      <c r="B129" s="230" t="s">
        <v>167</v>
      </c>
      <c r="C129" s="226" t="s">
        <v>208</v>
      </c>
    </row>
    <row r="130" spans="2:3" hidden="1" x14ac:dyDescent="0.25">
      <c r="B130" s="230" t="s">
        <v>209</v>
      </c>
      <c r="C130" s="226" t="s">
        <v>210</v>
      </c>
    </row>
    <row r="131" spans="2:3" hidden="1" x14ac:dyDescent="0.25">
      <c r="B131" s="230" t="s">
        <v>203</v>
      </c>
      <c r="C131" s="226" t="s">
        <v>211</v>
      </c>
    </row>
    <row r="132" spans="2:3" hidden="1" x14ac:dyDescent="0.25">
      <c r="B132" s="226"/>
      <c r="C132" s="226"/>
    </row>
    <row r="133" spans="2:3" hidden="1" x14ac:dyDescent="0.25">
      <c r="B133" s="226"/>
      <c r="C133" s="226"/>
    </row>
    <row r="134" spans="2:3" hidden="1" x14ac:dyDescent="0.25">
      <c r="B134" s="232"/>
      <c r="C134" s="232"/>
    </row>
    <row r="135" spans="2:3" hidden="1" x14ac:dyDescent="0.25">
      <c r="B135" s="232">
        <f>NvsElapsedTime</f>
        <v>1.15740767796524E-5</v>
      </c>
      <c r="C135" s="232"/>
    </row>
    <row r="136" spans="2:3" hidden="1" x14ac:dyDescent="0.25">
      <c r="B136" s="233">
        <f>NvsEndTime</f>
        <v>41754.487858796303</v>
      </c>
      <c r="C136" s="233" t="s">
        <v>212</v>
      </c>
    </row>
    <row r="137" spans="2:3" x14ac:dyDescent="0.25">
      <c r="B137" s="226"/>
      <c r="C137" s="234"/>
    </row>
    <row r="138" spans="2:3" x14ac:dyDescent="0.25">
      <c r="B138" s="226"/>
      <c r="C138" s="226"/>
    </row>
    <row r="139" spans="2:3" x14ac:dyDescent="0.25">
      <c r="B139" s="226"/>
      <c r="C139" s="226"/>
    </row>
    <row r="140" spans="2:3" x14ac:dyDescent="0.25">
      <c r="B140" s="226"/>
      <c r="C140" s="226"/>
    </row>
    <row r="141" spans="2:3" x14ac:dyDescent="0.25">
      <c r="B141" s="226"/>
      <c r="C141" s="226"/>
    </row>
    <row r="142" spans="2:3" x14ac:dyDescent="0.25">
      <c r="B142" s="226"/>
      <c r="C142" s="226"/>
    </row>
    <row r="143" spans="2:3" x14ac:dyDescent="0.25">
      <c r="B143" s="226"/>
      <c r="C143" s="226"/>
    </row>
    <row r="144" spans="2:3" x14ac:dyDescent="0.25">
      <c r="B144" s="226"/>
      <c r="C144" s="226"/>
    </row>
    <row r="145" spans="2:3" x14ac:dyDescent="0.25">
      <c r="B145" s="226"/>
      <c r="C145" s="226"/>
    </row>
    <row r="146" spans="2:3" x14ac:dyDescent="0.25">
      <c r="B146" s="226"/>
      <c r="C146" s="226"/>
    </row>
    <row r="147" spans="2:3" x14ac:dyDescent="0.25">
      <c r="B147" s="226"/>
      <c r="C147" s="226"/>
    </row>
    <row r="148" spans="2:3" x14ac:dyDescent="0.25">
      <c r="B148" s="226"/>
      <c r="C148" s="226"/>
    </row>
    <row r="149" spans="2:3" x14ac:dyDescent="0.25">
      <c r="B149" s="226"/>
      <c r="C149" s="226"/>
    </row>
    <row r="150" spans="2:3" x14ac:dyDescent="0.25">
      <c r="B150" s="226"/>
      <c r="C150" s="226"/>
    </row>
    <row r="151" spans="2:3" x14ac:dyDescent="0.25">
      <c r="B151" s="226"/>
      <c r="C151" s="226"/>
    </row>
  </sheetData>
  <mergeCells count="151">
    <mergeCell ref="B80:D80"/>
    <mergeCell ref="V76:X76"/>
    <mergeCell ref="Y76:Z76"/>
    <mergeCell ref="V77:X77"/>
    <mergeCell ref="Y77:Z77"/>
    <mergeCell ref="B78:D78"/>
    <mergeCell ref="V78:X78"/>
    <mergeCell ref="V70:X70"/>
    <mergeCell ref="Y70:Z70"/>
    <mergeCell ref="V71:X71"/>
    <mergeCell ref="Y71:Z71"/>
    <mergeCell ref="V72:AB72"/>
    <mergeCell ref="V73:AC73"/>
    <mergeCell ref="V74:W74"/>
    <mergeCell ref="V75:W75"/>
    <mergeCell ref="B79:D79"/>
    <mergeCell ref="V79:X79"/>
    <mergeCell ref="V65:W65"/>
    <mergeCell ref="X65:AC65"/>
    <mergeCell ref="V66:X66"/>
    <mergeCell ref="Y66:Z66"/>
    <mergeCell ref="V67:AC67"/>
    <mergeCell ref="V68:X68"/>
    <mergeCell ref="Y68:Z68"/>
    <mergeCell ref="V69:X69"/>
    <mergeCell ref="Y69:Z69"/>
    <mergeCell ref="V60:W60"/>
    <mergeCell ref="X60:AC60"/>
    <mergeCell ref="V61:W61"/>
    <mergeCell ref="X61:AC61"/>
    <mergeCell ref="V62:W62"/>
    <mergeCell ref="X62:AC62"/>
    <mergeCell ref="V63:AC63"/>
    <mergeCell ref="V64:W64"/>
    <mergeCell ref="X64:AC64"/>
    <mergeCell ref="V55:AC55"/>
    <mergeCell ref="V56:W56"/>
    <mergeCell ref="Y56:Z56"/>
    <mergeCell ref="AA56:AC56"/>
    <mergeCell ref="V57:AA57"/>
    <mergeCell ref="AB57:AC57"/>
    <mergeCell ref="V58:X58"/>
    <mergeCell ref="Y58:Z58"/>
    <mergeCell ref="V59:AC59"/>
    <mergeCell ref="X49:Y49"/>
    <mergeCell ref="X50:AB50"/>
    <mergeCell ref="V51:AC51"/>
    <mergeCell ref="V52:AC52"/>
    <mergeCell ref="V53:W53"/>
    <mergeCell ref="Y53:Z53"/>
    <mergeCell ref="AA53:AC53"/>
    <mergeCell ref="V54:AA54"/>
    <mergeCell ref="AB54:AC54"/>
    <mergeCell ref="V41:AC41"/>
    <mergeCell ref="V42:AC42"/>
    <mergeCell ref="V43:AC43"/>
    <mergeCell ref="V44:AB44"/>
    <mergeCell ref="V45:AC45"/>
    <mergeCell ref="X46:Y46"/>
    <mergeCell ref="Z46:AC46"/>
    <mergeCell ref="X47:Y47"/>
    <mergeCell ref="X48:Y48"/>
    <mergeCell ref="V37:W37"/>
    <mergeCell ref="X37:Y37"/>
    <mergeCell ref="Z37:AB37"/>
    <mergeCell ref="V38:AC38"/>
    <mergeCell ref="V39:W39"/>
    <mergeCell ref="X39:Y39"/>
    <mergeCell ref="Z39:AC39"/>
    <mergeCell ref="V40:W40"/>
    <mergeCell ref="X40:AA40"/>
    <mergeCell ref="V26:W26"/>
    <mergeCell ref="X26:Y26"/>
    <mergeCell ref="Z26:AA26"/>
    <mergeCell ref="V27:W27"/>
    <mergeCell ref="X27:Y27"/>
    <mergeCell ref="B28:C36"/>
    <mergeCell ref="V28:W36"/>
    <mergeCell ref="X28:Y28"/>
    <mergeCell ref="X29:Y29"/>
    <mergeCell ref="X30:Y30"/>
    <mergeCell ref="X31:Y31"/>
    <mergeCell ref="X32:Y32"/>
    <mergeCell ref="X33:Y33"/>
    <mergeCell ref="X34:Y34"/>
    <mergeCell ref="X35:Y35"/>
    <mergeCell ref="X36:Y36"/>
    <mergeCell ref="V23:W23"/>
    <mergeCell ref="X23:Y23"/>
    <mergeCell ref="Z23:AA23"/>
    <mergeCell ref="V24:W24"/>
    <mergeCell ref="X24:Y24"/>
    <mergeCell ref="Z24:AA24"/>
    <mergeCell ref="V25:W25"/>
    <mergeCell ref="X25:Y25"/>
    <mergeCell ref="Z25:AA25"/>
    <mergeCell ref="V20:W20"/>
    <mergeCell ref="X20:Y20"/>
    <mergeCell ref="Z20:AA20"/>
    <mergeCell ref="V21:W21"/>
    <mergeCell ref="X21:Y21"/>
    <mergeCell ref="Z21:AA21"/>
    <mergeCell ref="V22:W22"/>
    <mergeCell ref="X22:Y22"/>
    <mergeCell ref="Z22:AA22"/>
    <mergeCell ref="V17:W17"/>
    <mergeCell ref="X17:Y17"/>
    <mergeCell ref="Z17:AA17"/>
    <mergeCell ref="V18:W18"/>
    <mergeCell ref="X18:Y18"/>
    <mergeCell ref="Z18:AA18"/>
    <mergeCell ref="V19:W19"/>
    <mergeCell ref="X19:Y19"/>
    <mergeCell ref="Z19:AA19"/>
    <mergeCell ref="V14:W14"/>
    <mergeCell ref="X14:Y14"/>
    <mergeCell ref="Z14:AA14"/>
    <mergeCell ref="V15:W15"/>
    <mergeCell ref="X15:Y15"/>
    <mergeCell ref="Z15:AA15"/>
    <mergeCell ref="V16:W16"/>
    <mergeCell ref="X16:Y16"/>
    <mergeCell ref="Z16:AA16"/>
    <mergeCell ref="V11:W11"/>
    <mergeCell ref="X11:Y11"/>
    <mergeCell ref="Z11:AA11"/>
    <mergeCell ref="V12:W12"/>
    <mergeCell ref="X12:Y12"/>
    <mergeCell ref="Z12:AA12"/>
    <mergeCell ref="V13:W13"/>
    <mergeCell ref="X13:Y13"/>
    <mergeCell ref="Z13:AA13"/>
    <mergeCell ref="V8:W8"/>
    <mergeCell ref="X8:Y8"/>
    <mergeCell ref="Z8:AA8"/>
    <mergeCell ref="V9:W9"/>
    <mergeCell ref="X9:Y9"/>
    <mergeCell ref="Z9:AA9"/>
    <mergeCell ref="V10:W10"/>
    <mergeCell ref="X10:Y10"/>
    <mergeCell ref="Z10:AA10"/>
    <mergeCell ref="W2:AC2"/>
    <mergeCell ref="V3:AC3"/>
    <mergeCell ref="V4:AC4"/>
    <mergeCell ref="V5:W5"/>
    <mergeCell ref="X5:Y5"/>
    <mergeCell ref="V6:AC6"/>
    <mergeCell ref="V7:W7"/>
    <mergeCell ref="X7:Y7"/>
    <mergeCell ref="Z7:AA7"/>
    <mergeCell ref="AB7:AC7"/>
  </mergeCells>
  <printOptions horizontalCentered="1"/>
  <pageMargins left="0" right="0" top="0.67" bottom="0.2" header="0.25" footer="0.196850393700787"/>
  <pageSetup scale="63" fitToWidth="2" fitToHeight="2" orientation="portrait" horizontalDpi="4294967295" verticalDpi="4294967295" r:id="rId1"/>
  <headerFooter alignWithMargins="0">
    <oddHeader>&amp;L&amp;8&amp;F
&amp;D &amp;T</oddHeader>
    <oddFooter>&amp;C&amp;P</oddFooter>
  </headerFooter>
  <rowBreaks count="1" manualBreakCount="1">
    <brk id="51" max="16383"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pageSetUpPr fitToPage="1"/>
  </sheetPr>
  <dimension ref="A1:AD151"/>
  <sheetViews>
    <sheetView topLeftCell="B26" zoomScale="70" zoomScaleNormal="70" workbookViewId="0">
      <selection activeCell="L13" sqref="L13"/>
    </sheetView>
  </sheetViews>
  <sheetFormatPr defaultColWidth="8.85546875" defaultRowHeight="15.75" x14ac:dyDescent="0.25"/>
  <cols>
    <col min="1" max="1" width="11.28515625" style="1" hidden="1" customWidth="1"/>
    <col min="2" max="2" width="10.28515625" style="2" customWidth="1"/>
    <col min="3" max="3" width="29" style="1" customWidth="1"/>
    <col min="4" max="5" width="12.28515625" style="1" customWidth="1"/>
    <col min="6" max="6" width="12.28515625" style="1" hidden="1" customWidth="1"/>
    <col min="7" max="7" width="17.140625" style="1" customWidth="1"/>
    <col min="8" max="8" width="6.7109375" style="1" customWidth="1"/>
    <col min="9" max="9" width="14.140625" style="1" customWidth="1"/>
    <col min="10" max="10" width="12.85546875" style="1" customWidth="1"/>
    <col min="11" max="11" width="15.5703125" style="1" bestFit="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28515625" style="1" customWidth="1"/>
    <col min="18" max="18" width="8.85546875" style="1"/>
    <col min="19" max="21" width="0" style="1" hidden="1" customWidth="1"/>
    <col min="22" max="23" width="8.85546875" style="1"/>
    <col min="24" max="24" width="12.7109375" style="1" customWidth="1"/>
    <col min="25" max="27" width="8.85546875" style="1"/>
    <col min="28" max="28" width="13.140625" style="1" bestFit="1" customWidth="1"/>
    <col min="29" max="16384" width="8.85546875" style="1"/>
  </cols>
  <sheetData>
    <row r="1" spans="1:30" ht="15.6"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7"/>
      <c r="N2" s="3"/>
      <c r="O2" s="1"/>
      <c r="V2" s="8">
        <f>'3382'!B2</f>
        <v>50</v>
      </c>
      <c r="W2" s="606" t="s">
        <v>4</v>
      </c>
      <c r="X2" s="607"/>
      <c r="Y2" s="608"/>
      <c r="Z2" s="608"/>
      <c r="AA2" s="608"/>
      <c r="AB2" s="608"/>
      <c r="AC2" s="608"/>
      <c r="AD2" s="9"/>
    </row>
    <row r="3" spans="1:30" ht="20.25" x14ac:dyDescent="0.3">
      <c r="B3" s="10" t="str">
        <f>"Revenue Estimate Worksheet for "&amp;B124</f>
        <v>Revenue Estimate Worksheet for Glades Acad Elem School, Inc</v>
      </c>
      <c r="C3" s="11"/>
      <c r="D3" s="11"/>
      <c r="E3" s="11"/>
      <c r="F3" s="11"/>
      <c r="G3" s="11"/>
      <c r="H3" s="11"/>
      <c r="I3" s="11"/>
      <c r="J3" s="11"/>
      <c r="K3" s="11"/>
      <c r="L3" s="11"/>
      <c r="M3" s="10"/>
      <c r="N3" s="10"/>
      <c r="O3" s="10"/>
      <c r="P3" s="10"/>
      <c r="Q3" s="10"/>
      <c r="V3" s="609" t="s">
        <v>5</v>
      </c>
      <c r="W3" s="609"/>
      <c r="X3" s="609"/>
      <c r="Y3" s="609"/>
      <c r="Z3" s="609"/>
      <c r="AA3" s="609"/>
      <c r="AB3" s="609"/>
      <c r="AC3" s="609"/>
      <c r="AD3" s="12"/>
    </row>
    <row r="4" spans="1:30" ht="18.75" x14ac:dyDescent="0.3">
      <c r="B4" s="2" t="s">
        <v>6</v>
      </c>
      <c r="C4" s="13"/>
      <c r="D4" s="13"/>
      <c r="E4" s="13"/>
      <c r="F4" s="13"/>
      <c r="G4" s="13"/>
      <c r="H4" s="13"/>
      <c r="I4" s="13"/>
      <c r="J4" s="13"/>
      <c r="K4" s="13"/>
      <c r="L4" s="13"/>
      <c r="M4" s="14"/>
      <c r="N4" s="14"/>
      <c r="O4" s="14"/>
      <c r="P4" s="14"/>
      <c r="Q4" s="14"/>
      <c r="V4" s="610" t="str">
        <f>+Based_on_the_Second_Calculation_of_the_FEFP_2010_11</f>
        <v>Based on the Fourth Calculation of the FEFP 2013-14</v>
      </c>
      <c r="W4" s="610"/>
      <c r="X4" s="610"/>
      <c r="Y4" s="610"/>
      <c r="Z4" s="610"/>
      <c r="AA4" s="610"/>
      <c r="AB4" s="610"/>
      <c r="AC4" s="610"/>
      <c r="AD4" s="15"/>
    </row>
    <row r="5" spans="1:30" ht="18.75" customHeight="1" x14ac:dyDescent="0.25">
      <c r="B5" s="16" t="s">
        <v>7</v>
      </c>
      <c r="C5" s="16"/>
      <c r="D5" s="16"/>
      <c r="E5" s="16"/>
      <c r="F5" s="16"/>
      <c r="G5" s="17" t="s">
        <v>8</v>
      </c>
      <c r="H5" s="17"/>
      <c r="I5" s="17"/>
      <c r="J5" s="17"/>
      <c r="K5" s="17"/>
      <c r="L5" s="17"/>
      <c r="M5" s="18"/>
      <c r="N5" s="18"/>
      <c r="O5" s="18"/>
      <c r="P5" s="18"/>
      <c r="Q5" s="18"/>
      <c r="V5" s="611" t="s">
        <v>7</v>
      </c>
      <c r="W5" s="611"/>
      <c r="X5" s="612" t="s">
        <v>8</v>
      </c>
      <c r="Y5" s="612"/>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613" t="s">
        <v>9</v>
      </c>
      <c r="W6" s="613"/>
      <c r="X6" s="613"/>
      <c r="Y6" s="613"/>
      <c r="Z6" s="613"/>
      <c r="AA6" s="613"/>
      <c r="AB6" s="613"/>
      <c r="AC6" s="613"/>
      <c r="AD6" s="22"/>
    </row>
    <row r="7" spans="1:30" ht="18" customHeight="1" x14ac:dyDescent="0.25">
      <c r="B7" s="23" t="s">
        <v>10</v>
      </c>
      <c r="C7" s="23"/>
      <c r="D7" s="23"/>
      <c r="E7" s="23"/>
      <c r="F7" s="23"/>
      <c r="G7" s="24">
        <v>3752.3</v>
      </c>
      <c r="H7" s="24"/>
      <c r="I7" s="23" t="s">
        <v>11</v>
      </c>
      <c r="J7" s="23"/>
      <c r="K7" s="25">
        <v>1.0326</v>
      </c>
      <c r="L7" s="25"/>
      <c r="O7" s="1"/>
      <c r="V7" s="620" t="s">
        <v>10</v>
      </c>
      <c r="W7" s="620"/>
      <c r="X7" s="621">
        <f>'3382'!G7</f>
        <v>3752.3</v>
      </c>
      <c r="Y7" s="621"/>
      <c r="Z7" s="622" t="s">
        <v>11</v>
      </c>
      <c r="AA7" s="622"/>
      <c r="AB7" s="602">
        <f>+K7</f>
        <v>1.0326</v>
      </c>
      <c r="AC7" s="602"/>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603" t="s">
        <v>12</v>
      </c>
      <c r="W8" s="603"/>
      <c r="X8" s="604" t="s">
        <v>15</v>
      </c>
      <c r="Y8" s="604"/>
      <c r="Z8" s="605" t="s">
        <v>16</v>
      </c>
      <c r="AA8" s="605"/>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614" t="s">
        <v>22</v>
      </c>
      <c r="W9" s="614"/>
      <c r="X9" s="615" t="s">
        <v>23</v>
      </c>
      <c r="Y9" s="615"/>
      <c r="Z9" s="616" t="s">
        <v>24</v>
      </c>
      <c r="AA9" s="616"/>
      <c r="AB9" s="43" t="s">
        <v>25</v>
      </c>
      <c r="AC9" s="44" t="s">
        <v>26</v>
      </c>
      <c r="AD9" s="9"/>
    </row>
    <row r="10" spans="1:30" x14ac:dyDescent="0.25">
      <c r="A10" s="1" t="s">
        <v>27</v>
      </c>
      <c r="B10" s="45" t="s">
        <v>28</v>
      </c>
      <c r="C10" s="45"/>
      <c r="D10" s="45">
        <v>31.1</v>
      </c>
      <c r="E10" s="45">
        <v>29.57</v>
      </c>
      <c r="F10" s="45">
        <v>34.25</v>
      </c>
      <c r="G10" s="46">
        <f>D10+E10</f>
        <v>60.67</v>
      </c>
      <c r="H10" s="47"/>
      <c r="I10" s="48">
        <v>1.125</v>
      </c>
      <c r="J10" s="48"/>
      <c r="K10" s="49">
        <f>ROUND(G10*I10,4)</f>
        <v>68.253799999999998</v>
      </c>
      <c r="L10" s="50">
        <f>ROUND(ROUND(K10*$G$7,4)*($K$7),0)</f>
        <v>264458</v>
      </c>
      <c r="N10" s="51">
        <v>5101</v>
      </c>
      <c r="O10" s="52">
        <v>101</v>
      </c>
      <c r="P10" s="53"/>
      <c r="Q10" s="54"/>
      <c r="V10" s="617" t="s">
        <v>28</v>
      </c>
      <c r="W10" s="617"/>
      <c r="X10" s="618">
        <f>IF('3382'!K$84=1,'3382'!G10,0)</f>
        <v>0</v>
      </c>
      <c r="Y10" s="618"/>
      <c r="Z10" s="619">
        <v>1</v>
      </c>
      <c r="AA10" s="619"/>
      <c r="AB10" s="55">
        <f t="shared" ref="AB10:AB25" si="0">ROUND(X10*Z10,4)</f>
        <v>0</v>
      </c>
      <c r="AC10" s="56">
        <f t="shared" ref="AC10:AC25" si="1">ROUND(ROUND(AB10*$X$7,4)*($AB$7),0)</f>
        <v>0</v>
      </c>
      <c r="AD10" s="9">
        <v>1</v>
      </c>
    </row>
    <row r="11" spans="1:30" x14ac:dyDescent="0.25">
      <c r="A11" s="1" t="s">
        <v>29</v>
      </c>
      <c r="B11" s="13" t="s">
        <v>30</v>
      </c>
      <c r="C11" s="13"/>
      <c r="D11" s="13">
        <v>4.99</v>
      </c>
      <c r="E11" s="13">
        <v>4.49</v>
      </c>
      <c r="F11" s="13">
        <v>5.83</v>
      </c>
      <c r="G11" s="46">
        <f t="shared" ref="G11:G25" si="2">D11+E11</f>
        <v>9.48</v>
      </c>
      <c r="H11" s="47"/>
      <c r="I11" s="57">
        <f>I10</f>
        <v>1.125</v>
      </c>
      <c r="J11" s="57"/>
      <c r="K11" s="49">
        <f t="shared" ref="K11:K25" si="3">ROUND(G11*I11,4)</f>
        <v>10.664999999999999</v>
      </c>
      <c r="L11" s="50">
        <f t="shared" ref="L11:L25" si="4">ROUND(ROUND(K11*$G$7,4)*($K$7),0)</f>
        <v>41323</v>
      </c>
      <c r="M11" s="1" t="str">
        <f>IF(ROUND(G11,2)=ROUND(SUM(G28:G30),2)," ","CHECK 2. PK-3 Lines Below")</f>
        <v xml:space="preserve"> </v>
      </c>
      <c r="N11" s="51">
        <v>5101</v>
      </c>
      <c r="O11" s="58" t="s">
        <v>31</v>
      </c>
      <c r="P11" s="53"/>
      <c r="Q11" s="54"/>
      <c r="V11" s="623" t="s">
        <v>30</v>
      </c>
      <c r="W11" s="623"/>
      <c r="X11" s="618">
        <f>IF('3382'!K$84=1,'3382'!G11,0)</f>
        <v>0</v>
      </c>
      <c r="Y11" s="618"/>
      <c r="Z11" s="624">
        <v>1</v>
      </c>
      <c r="AA11" s="624"/>
      <c r="AB11" s="55">
        <f t="shared" si="0"/>
        <v>0</v>
      </c>
      <c r="AC11" s="56">
        <f t="shared" si="1"/>
        <v>0</v>
      </c>
      <c r="AD11" s="9"/>
    </row>
    <row r="12" spans="1:30" x14ac:dyDescent="0.25">
      <c r="A12" s="1" t="s">
        <v>32</v>
      </c>
      <c r="B12" s="13" t="s">
        <v>33</v>
      </c>
      <c r="C12" s="13"/>
      <c r="D12" s="13">
        <v>16.57</v>
      </c>
      <c r="E12" s="13">
        <v>15.57</v>
      </c>
      <c r="F12" s="13">
        <v>18.25</v>
      </c>
      <c r="G12" s="46">
        <f t="shared" si="2"/>
        <v>32.14</v>
      </c>
      <c r="H12" s="47"/>
      <c r="I12" s="57">
        <v>1</v>
      </c>
      <c r="J12" s="57"/>
      <c r="K12" s="49">
        <f t="shared" si="3"/>
        <v>32.14</v>
      </c>
      <c r="L12" s="50">
        <f t="shared" si="4"/>
        <v>124530</v>
      </c>
      <c r="N12" s="51">
        <v>5102</v>
      </c>
      <c r="O12" s="52">
        <v>102</v>
      </c>
      <c r="P12" s="53"/>
      <c r="Q12" s="54"/>
      <c r="V12" s="623" t="s">
        <v>33</v>
      </c>
      <c r="W12" s="623"/>
      <c r="X12" s="618">
        <f>IF('3382'!K$84=1,'3382'!G12,0)</f>
        <v>0</v>
      </c>
      <c r="Y12" s="618"/>
      <c r="Z12" s="624">
        <v>1</v>
      </c>
      <c r="AA12" s="624"/>
      <c r="AB12" s="55">
        <f t="shared" si="0"/>
        <v>0</v>
      </c>
      <c r="AC12" s="56">
        <f t="shared" si="1"/>
        <v>0</v>
      </c>
      <c r="AD12" s="9"/>
    </row>
    <row r="13" spans="1:30" x14ac:dyDescent="0.25">
      <c r="A13" s="1" t="s">
        <v>34</v>
      </c>
      <c r="B13" s="13" t="s">
        <v>35</v>
      </c>
      <c r="C13" s="13"/>
      <c r="D13" s="13">
        <v>6</v>
      </c>
      <c r="E13" s="13">
        <v>5.5</v>
      </c>
      <c r="F13" s="13">
        <v>7.05</v>
      </c>
      <c r="G13" s="46">
        <f t="shared" si="2"/>
        <v>11.5</v>
      </c>
      <c r="H13" s="47"/>
      <c r="I13" s="57">
        <f>I12</f>
        <v>1</v>
      </c>
      <c r="J13" s="57"/>
      <c r="K13" s="49">
        <f t="shared" si="3"/>
        <v>11.5</v>
      </c>
      <c r="L13" s="50">
        <f t="shared" si="4"/>
        <v>44558</v>
      </c>
      <c r="M13" s="1" t="str">
        <f>IF(ROUND(G13,2)=ROUND(SUM(G31:G33),2)," ","CHECK 2. PK-3 Lines Below")</f>
        <v xml:space="preserve"> </v>
      </c>
      <c r="N13" s="51">
        <v>5102</v>
      </c>
      <c r="O13" s="58" t="s">
        <v>36</v>
      </c>
      <c r="P13" s="53"/>
      <c r="Q13" s="54"/>
      <c r="V13" s="623" t="s">
        <v>35</v>
      </c>
      <c r="W13" s="623"/>
      <c r="X13" s="618">
        <f>IF('3382'!K$84=1,'3382'!G13,0)</f>
        <v>0</v>
      </c>
      <c r="Y13" s="618"/>
      <c r="Z13" s="624">
        <v>1</v>
      </c>
      <c r="AA13" s="624"/>
      <c r="AB13" s="55">
        <f t="shared" si="0"/>
        <v>0</v>
      </c>
      <c r="AC13" s="56">
        <f t="shared" si="1"/>
        <v>0</v>
      </c>
      <c r="AD13" s="9"/>
    </row>
    <row r="14" spans="1:30" x14ac:dyDescent="0.25">
      <c r="A14" s="1" t="s">
        <v>37</v>
      </c>
      <c r="B14" s="13" t="s">
        <v>38</v>
      </c>
      <c r="C14" s="13"/>
      <c r="D14" s="13">
        <v>0</v>
      </c>
      <c r="E14" s="13">
        <v>0</v>
      </c>
      <c r="F14" s="13">
        <v>0</v>
      </c>
      <c r="G14" s="46">
        <f t="shared" si="2"/>
        <v>0</v>
      </c>
      <c r="H14" s="47"/>
      <c r="I14" s="57">
        <v>1.0109999999999999</v>
      </c>
      <c r="J14" s="57"/>
      <c r="K14" s="49">
        <f t="shared" si="3"/>
        <v>0</v>
      </c>
      <c r="L14" s="50">
        <f t="shared" si="4"/>
        <v>0</v>
      </c>
      <c r="N14" s="51">
        <v>5103</v>
      </c>
      <c r="O14" s="52">
        <v>103</v>
      </c>
      <c r="P14" s="53"/>
      <c r="Q14" s="54"/>
      <c r="V14" s="623" t="s">
        <v>38</v>
      </c>
      <c r="W14" s="623"/>
      <c r="X14" s="618">
        <f>IF('3382'!K$84=1,'3382'!G14,0)</f>
        <v>0</v>
      </c>
      <c r="Y14" s="618"/>
      <c r="Z14" s="624">
        <v>1</v>
      </c>
      <c r="AA14" s="624"/>
      <c r="AB14" s="55">
        <f t="shared" si="0"/>
        <v>0</v>
      </c>
      <c r="AC14" s="56">
        <f t="shared" si="1"/>
        <v>0</v>
      </c>
      <c r="AD14" s="9"/>
    </row>
    <row r="15" spans="1:30" x14ac:dyDescent="0.25">
      <c r="A15" s="1" t="s">
        <v>39</v>
      </c>
      <c r="B15" s="13" t="s">
        <v>40</v>
      </c>
      <c r="C15" s="13"/>
      <c r="D15" s="13">
        <v>0</v>
      </c>
      <c r="E15" s="13">
        <v>0</v>
      </c>
      <c r="F15" s="13">
        <v>0</v>
      </c>
      <c r="G15" s="46">
        <f t="shared" si="2"/>
        <v>0</v>
      </c>
      <c r="H15" s="47"/>
      <c r="I15" s="57">
        <f>I14</f>
        <v>1.0109999999999999</v>
      </c>
      <c r="J15" s="57"/>
      <c r="K15" s="49">
        <f t="shared" si="3"/>
        <v>0</v>
      </c>
      <c r="L15" s="59">
        <f t="shared" si="4"/>
        <v>0</v>
      </c>
      <c r="M15" s="1" t="str">
        <f>IF(ROUND(G15,2)=ROUND(SUM(G34:G36),2)," ","CHECK 2. PK-3 Lines Below")</f>
        <v xml:space="preserve"> </v>
      </c>
      <c r="N15" s="51">
        <v>5103</v>
      </c>
      <c r="O15" s="58" t="s">
        <v>41</v>
      </c>
      <c r="P15" s="53"/>
      <c r="Q15" s="54"/>
      <c r="V15" s="623" t="s">
        <v>40</v>
      </c>
      <c r="W15" s="623"/>
      <c r="X15" s="618">
        <f>IF('3382'!K$84=1,'3382'!G15,0)</f>
        <v>0</v>
      </c>
      <c r="Y15" s="618"/>
      <c r="Z15" s="624">
        <v>1</v>
      </c>
      <c r="AA15" s="624"/>
      <c r="AB15" s="55">
        <f t="shared" si="0"/>
        <v>0</v>
      </c>
      <c r="AC15" s="60">
        <f t="shared" si="1"/>
        <v>0</v>
      </c>
      <c r="AD15" s="9"/>
    </row>
    <row r="16" spans="1:30" x14ac:dyDescent="0.25">
      <c r="A16" s="1" t="s">
        <v>42</v>
      </c>
      <c r="B16" s="13" t="s">
        <v>43</v>
      </c>
      <c r="C16" s="13"/>
      <c r="D16" s="13">
        <v>0</v>
      </c>
      <c r="E16" s="13">
        <v>0</v>
      </c>
      <c r="F16" s="13">
        <v>0</v>
      </c>
      <c r="G16" s="46">
        <f t="shared" si="2"/>
        <v>0</v>
      </c>
      <c r="H16" s="47"/>
      <c r="I16" s="57">
        <v>3.5579999999999998</v>
      </c>
      <c r="J16" s="57"/>
      <c r="K16" s="49">
        <f t="shared" si="3"/>
        <v>0</v>
      </c>
      <c r="L16" s="50">
        <f t="shared" si="4"/>
        <v>0</v>
      </c>
      <c r="N16" s="51">
        <v>5101</v>
      </c>
      <c r="O16" s="53">
        <v>254</v>
      </c>
      <c r="P16" s="53"/>
      <c r="Q16" s="54"/>
      <c r="V16" s="623" t="s">
        <v>43</v>
      </c>
      <c r="W16" s="623"/>
      <c r="X16" s="618">
        <f>IF('3382'!K$84=1,'3382'!G16,0)</f>
        <v>0</v>
      </c>
      <c r="Y16" s="618"/>
      <c r="Z16" s="624">
        <v>1</v>
      </c>
      <c r="AA16" s="624"/>
      <c r="AB16" s="55">
        <f t="shared" si="0"/>
        <v>0</v>
      </c>
      <c r="AC16" s="56">
        <f t="shared" si="1"/>
        <v>0</v>
      </c>
      <c r="AD16" s="9"/>
    </row>
    <row r="17" spans="1:30" x14ac:dyDescent="0.25">
      <c r="A17" s="1" t="s">
        <v>44</v>
      </c>
      <c r="B17" s="13" t="s">
        <v>45</v>
      </c>
      <c r="C17" s="13"/>
      <c r="D17" s="13">
        <v>0</v>
      </c>
      <c r="E17" s="13">
        <v>0</v>
      </c>
      <c r="F17" s="13">
        <v>0</v>
      </c>
      <c r="G17" s="46">
        <f t="shared" si="2"/>
        <v>0</v>
      </c>
      <c r="H17" s="47"/>
      <c r="I17" s="57">
        <f>I16</f>
        <v>3.5579999999999998</v>
      </c>
      <c r="J17" s="57"/>
      <c r="K17" s="49">
        <f t="shared" si="3"/>
        <v>0</v>
      </c>
      <c r="L17" s="50">
        <f t="shared" si="4"/>
        <v>0</v>
      </c>
      <c r="N17" s="51">
        <v>5102</v>
      </c>
      <c r="O17" s="54">
        <v>254</v>
      </c>
      <c r="P17" s="53"/>
      <c r="Q17" s="54"/>
      <c r="V17" s="623" t="s">
        <v>45</v>
      </c>
      <c r="W17" s="623"/>
      <c r="X17" s="618">
        <f>IF('3382'!K$84=1,'3382'!G17,0)</f>
        <v>0</v>
      </c>
      <c r="Y17" s="618"/>
      <c r="Z17" s="624">
        <v>1</v>
      </c>
      <c r="AA17" s="624"/>
      <c r="AB17" s="55">
        <f t="shared" si="0"/>
        <v>0</v>
      </c>
      <c r="AC17" s="56">
        <f t="shared" si="1"/>
        <v>0</v>
      </c>
      <c r="AD17" s="9"/>
    </row>
    <row r="18" spans="1:30" x14ac:dyDescent="0.25">
      <c r="A18" s="1" t="s">
        <v>46</v>
      </c>
      <c r="B18" s="13" t="s">
        <v>47</v>
      </c>
      <c r="C18" s="13"/>
      <c r="D18" s="13">
        <v>0</v>
      </c>
      <c r="E18" s="13">
        <v>0</v>
      </c>
      <c r="F18" s="13">
        <v>0</v>
      </c>
      <c r="G18" s="46">
        <f t="shared" si="2"/>
        <v>0</v>
      </c>
      <c r="H18" s="47"/>
      <c r="I18" s="57">
        <f>I17</f>
        <v>3.5579999999999998</v>
      </c>
      <c r="J18" s="57"/>
      <c r="K18" s="49">
        <f t="shared" si="3"/>
        <v>0</v>
      </c>
      <c r="L18" s="50">
        <f t="shared" si="4"/>
        <v>0</v>
      </c>
      <c r="N18" s="51">
        <v>5103</v>
      </c>
      <c r="O18" s="54">
        <v>254</v>
      </c>
      <c r="P18" s="53"/>
      <c r="Q18" s="54"/>
      <c r="V18" s="623" t="s">
        <v>47</v>
      </c>
      <c r="W18" s="623"/>
      <c r="X18" s="618">
        <f>IF('3382'!K$84=1,'3382'!G18,0)</f>
        <v>0</v>
      </c>
      <c r="Y18" s="618"/>
      <c r="Z18" s="624">
        <v>1</v>
      </c>
      <c r="AA18" s="624"/>
      <c r="AB18" s="55">
        <f t="shared" si="0"/>
        <v>0</v>
      </c>
      <c r="AC18" s="56">
        <f t="shared" si="1"/>
        <v>0</v>
      </c>
      <c r="AD18" s="9"/>
    </row>
    <row r="19" spans="1:30" ht="15" customHeight="1" x14ac:dyDescent="0.25">
      <c r="A19" s="1" t="s">
        <v>48</v>
      </c>
      <c r="B19" s="13" t="s">
        <v>49</v>
      </c>
      <c r="C19" s="13"/>
      <c r="D19" s="13">
        <v>0</v>
      </c>
      <c r="E19" s="13">
        <v>0</v>
      </c>
      <c r="F19" s="13">
        <v>0</v>
      </c>
      <c r="G19" s="46">
        <f t="shared" si="2"/>
        <v>0</v>
      </c>
      <c r="H19" s="47"/>
      <c r="I19" s="57">
        <v>5.0890000000000004</v>
      </c>
      <c r="J19" s="57"/>
      <c r="K19" s="49">
        <f t="shared" si="3"/>
        <v>0</v>
      </c>
      <c r="L19" s="50">
        <f t="shared" si="4"/>
        <v>0</v>
      </c>
      <c r="N19" s="51">
        <v>5101</v>
      </c>
      <c r="O19" s="53">
        <v>255</v>
      </c>
      <c r="P19" s="53"/>
      <c r="Q19" s="54"/>
      <c r="V19" s="623" t="s">
        <v>49</v>
      </c>
      <c r="W19" s="623"/>
      <c r="X19" s="618">
        <f>IF('3382'!K$84=1,'3382'!G19,0)</f>
        <v>0</v>
      </c>
      <c r="Y19" s="618"/>
      <c r="Z19" s="624">
        <v>1</v>
      </c>
      <c r="AA19" s="624"/>
      <c r="AB19" s="55">
        <f t="shared" si="0"/>
        <v>0</v>
      </c>
      <c r="AC19" s="56">
        <f t="shared" si="1"/>
        <v>0</v>
      </c>
      <c r="AD19" s="9"/>
    </row>
    <row r="20" spans="1:30" ht="15" customHeight="1" x14ac:dyDescent="0.25">
      <c r="A20" s="1" t="s">
        <v>50</v>
      </c>
      <c r="B20" s="13" t="s">
        <v>51</v>
      </c>
      <c r="C20" s="13"/>
      <c r="D20" s="13">
        <v>0</v>
      </c>
      <c r="E20" s="13">
        <v>0</v>
      </c>
      <c r="F20" s="13">
        <v>0</v>
      </c>
      <c r="G20" s="46">
        <f t="shared" si="2"/>
        <v>0</v>
      </c>
      <c r="H20" s="47"/>
      <c r="I20" s="57">
        <f>I19</f>
        <v>5.0890000000000004</v>
      </c>
      <c r="J20" s="57"/>
      <c r="K20" s="49">
        <f t="shared" si="3"/>
        <v>0</v>
      </c>
      <c r="L20" s="50">
        <f t="shared" si="4"/>
        <v>0</v>
      </c>
      <c r="N20" s="51">
        <v>5102</v>
      </c>
      <c r="O20" s="54">
        <v>255</v>
      </c>
      <c r="P20" s="53"/>
      <c r="Q20" s="54"/>
      <c r="V20" s="623" t="s">
        <v>51</v>
      </c>
      <c r="W20" s="623"/>
      <c r="X20" s="618">
        <f>IF('3382'!K$84=1,'3382'!G20,0)</f>
        <v>0</v>
      </c>
      <c r="Y20" s="618"/>
      <c r="Z20" s="624">
        <v>1</v>
      </c>
      <c r="AA20" s="624"/>
      <c r="AB20" s="55">
        <f t="shared" si="0"/>
        <v>0</v>
      </c>
      <c r="AC20" s="56">
        <f t="shared" si="1"/>
        <v>0</v>
      </c>
      <c r="AD20" s="9"/>
    </row>
    <row r="21" spans="1:30" ht="15" customHeight="1" x14ac:dyDescent="0.25">
      <c r="A21" s="1" t="s">
        <v>52</v>
      </c>
      <c r="B21" s="13" t="s">
        <v>53</v>
      </c>
      <c r="C21" s="13"/>
      <c r="D21" s="13">
        <v>0</v>
      </c>
      <c r="E21" s="13">
        <v>0</v>
      </c>
      <c r="F21" s="13">
        <v>0</v>
      </c>
      <c r="G21" s="46">
        <f t="shared" si="2"/>
        <v>0</v>
      </c>
      <c r="H21" s="47"/>
      <c r="I21" s="57">
        <f>I20</f>
        <v>5.0890000000000004</v>
      </c>
      <c r="J21" s="57"/>
      <c r="K21" s="49">
        <f t="shared" si="3"/>
        <v>0</v>
      </c>
      <c r="L21" s="50">
        <f t="shared" si="4"/>
        <v>0</v>
      </c>
      <c r="N21" s="51">
        <v>5103</v>
      </c>
      <c r="O21" s="54">
        <v>255</v>
      </c>
      <c r="P21" s="53"/>
      <c r="Q21" s="54"/>
      <c r="V21" s="623" t="s">
        <v>53</v>
      </c>
      <c r="W21" s="623"/>
      <c r="X21" s="618">
        <f>IF('3382'!K$84=1,'3382'!G21,0)</f>
        <v>0</v>
      </c>
      <c r="Y21" s="618"/>
      <c r="Z21" s="624">
        <v>1</v>
      </c>
      <c r="AA21" s="624"/>
      <c r="AB21" s="55">
        <f t="shared" si="0"/>
        <v>0</v>
      </c>
      <c r="AC21" s="56">
        <f t="shared" si="1"/>
        <v>0</v>
      </c>
      <c r="AD21" s="9"/>
    </row>
    <row r="22" spans="1:30" x14ac:dyDescent="0.25">
      <c r="A22" s="1" t="s">
        <v>54</v>
      </c>
      <c r="B22" s="13" t="s">
        <v>55</v>
      </c>
      <c r="C22" s="13"/>
      <c r="D22" s="13">
        <v>2.27</v>
      </c>
      <c r="E22" s="13">
        <v>2.27</v>
      </c>
      <c r="F22" s="13">
        <v>2.5</v>
      </c>
      <c r="G22" s="46">
        <f t="shared" si="2"/>
        <v>4.54</v>
      </c>
      <c r="H22" s="47"/>
      <c r="I22" s="57">
        <v>1.145</v>
      </c>
      <c r="J22" s="57"/>
      <c r="K22" s="49">
        <f t="shared" si="3"/>
        <v>5.1982999999999997</v>
      </c>
      <c r="L22" s="50">
        <f t="shared" si="4"/>
        <v>20141</v>
      </c>
      <c r="N22" s="51">
        <v>5101</v>
      </c>
      <c r="O22" s="52">
        <v>130</v>
      </c>
      <c r="P22" s="53"/>
      <c r="Q22" s="54"/>
      <c r="V22" s="623" t="s">
        <v>55</v>
      </c>
      <c r="W22" s="623"/>
      <c r="X22" s="618">
        <f>IF('3382'!K$84=1,'3382'!G22,0)</f>
        <v>0</v>
      </c>
      <c r="Y22" s="618"/>
      <c r="Z22" s="624">
        <v>1</v>
      </c>
      <c r="AA22" s="624"/>
      <c r="AB22" s="55">
        <f t="shared" si="0"/>
        <v>0</v>
      </c>
      <c r="AC22" s="56">
        <f t="shared" si="1"/>
        <v>0</v>
      </c>
      <c r="AD22" s="9"/>
    </row>
    <row r="23" spans="1:30" x14ac:dyDescent="0.25">
      <c r="A23" s="1" t="s">
        <v>56</v>
      </c>
      <c r="B23" s="13" t="s">
        <v>57</v>
      </c>
      <c r="C23" s="13"/>
      <c r="D23" s="13">
        <v>0</v>
      </c>
      <c r="E23" s="13">
        <v>0</v>
      </c>
      <c r="F23" s="13">
        <v>0</v>
      </c>
      <c r="G23" s="46">
        <f t="shared" si="2"/>
        <v>0</v>
      </c>
      <c r="H23" s="47"/>
      <c r="I23" s="57">
        <f>I22</f>
        <v>1.145</v>
      </c>
      <c r="J23" s="57"/>
      <c r="K23" s="49">
        <f t="shared" si="3"/>
        <v>0</v>
      </c>
      <c r="L23" s="50">
        <f t="shared" si="4"/>
        <v>0</v>
      </c>
      <c r="N23" s="51">
        <v>5102</v>
      </c>
      <c r="O23" s="52">
        <v>130</v>
      </c>
      <c r="P23" s="53"/>
      <c r="Q23" s="54"/>
      <c r="V23" s="623" t="s">
        <v>57</v>
      </c>
      <c r="W23" s="623"/>
      <c r="X23" s="618">
        <f>IF('3382'!K$84=1,'3382'!G23,0)</f>
        <v>0</v>
      </c>
      <c r="Y23" s="618"/>
      <c r="Z23" s="624">
        <v>1</v>
      </c>
      <c r="AA23" s="624"/>
      <c r="AB23" s="55">
        <f t="shared" si="0"/>
        <v>0</v>
      </c>
      <c r="AC23" s="56">
        <f t="shared" si="1"/>
        <v>0</v>
      </c>
      <c r="AD23" s="9"/>
    </row>
    <row r="24" spans="1:30" x14ac:dyDescent="0.25">
      <c r="A24" s="1" t="s">
        <v>58</v>
      </c>
      <c r="B24" s="13" t="s">
        <v>59</v>
      </c>
      <c r="C24" s="13"/>
      <c r="D24" s="13">
        <v>0</v>
      </c>
      <c r="E24" s="13">
        <v>0</v>
      </c>
      <c r="F24" s="13">
        <v>0</v>
      </c>
      <c r="G24" s="46">
        <f t="shared" si="2"/>
        <v>0</v>
      </c>
      <c r="H24" s="47"/>
      <c r="I24" s="57">
        <f>I23</f>
        <v>1.145</v>
      </c>
      <c r="J24" s="57"/>
      <c r="K24" s="49">
        <f t="shared" si="3"/>
        <v>0</v>
      </c>
      <c r="L24" s="50">
        <f t="shared" si="4"/>
        <v>0</v>
      </c>
      <c r="N24" s="51">
        <v>5103</v>
      </c>
      <c r="O24" s="52">
        <v>130</v>
      </c>
      <c r="P24" s="53"/>
      <c r="Q24" s="54"/>
      <c r="V24" s="623" t="s">
        <v>59</v>
      </c>
      <c r="W24" s="623"/>
      <c r="X24" s="618">
        <f>IF('3382'!K$84=1,'3382'!G24,0)</f>
        <v>0</v>
      </c>
      <c r="Y24" s="618"/>
      <c r="Z24" s="624">
        <v>1</v>
      </c>
      <c r="AA24" s="624"/>
      <c r="AB24" s="55">
        <f t="shared" si="0"/>
        <v>0</v>
      </c>
      <c r="AC24" s="56">
        <f t="shared" si="1"/>
        <v>0</v>
      </c>
      <c r="AD24" s="9"/>
    </row>
    <row r="25" spans="1:30" ht="16.5" thickBot="1" x14ac:dyDescent="0.3">
      <c r="A25" s="1" t="s">
        <v>60</v>
      </c>
      <c r="B25" s="13" t="s">
        <v>61</v>
      </c>
      <c r="C25" s="13"/>
      <c r="D25" s="13">
        <v>0</v>
      </c>
      <c r="E25" s="13">
        <v>0</v>
      </c>
      <c r="F25" s="13">
        <v>0</v>
      </c>
      <c r="G25" s="46">
        <f t="shared" si="2"/>
        <v>0</v>
      </c>
      <c r="H25" s="47"/>
      <c r="I25" s="57">
        <v>1.0109999999999999</v>
      </c>
      <c r="J25" s="57"/>
      <c r="K25" s="49">
        <f t="shared" si="3"/>
        <v>0</v>
      </c>
      <c r="L25" s="50">
        <f t="shared" si="4"/>
        <v>0</v>
      </c>
      <c r="N25" s="51">
        <v>5310</v>
      </c>
      <c r="O25" s="52">
        <v>300</v>
      </c>
      <c r="P25" s="53"/>
      <c r="Q25" s="54"/>
      <c r="V25" s="623" t="s">
        <v>61</v>
      </c>
      <c r="W25" s="623"/>
      <c r="X25" s="618">
        <f>IF('3382'!K$84=1,'3382'!G25,0)</f>
        <v>0</v>
      </c>
      <c r="Y25" s="618"/>
      <c r="Z25" s="624">
        <v>1</v>
      </c>
      <c r="AA25" s="624"/>
      <c r="AB25" s="55">
        <f t="shared" si="0"/>
        <v>0</v>
      </c>
      <c r="AC25" s="56">
        <f t="shared" si="1"/>
        <v>0</v>
      </c>
      <c r="AD25" s="9"/>
    </row>
    <row r="26" spans="1:30" ht="20.25" customHeight="1" thickBot="1" x14ac:dyDescent="0.3">
      <c r="B26" s="62" t="s">
        <v>62</v>
      </c>
      <c r="C26" s="62"/>
      <c r="D26" s="63">
        <f t="shared" ref="D26:E26" si="5">SUM(D10:D25)</f>
        <v>60.930000000000007</v>
      </c>
      <c r="E26" s="63">
        <f t="shared" si="5"/>
        <v>57.400000000000006</v>
      </c>
      <c r="F26" s="63"/>
      <c r="G26" s="63">
        <f>SUM(G10:G25)</f>
        <v>118.33000000000001</v>
      </c>
      <c r="H26" s="64"/>
      <c r="I26" s="64"/>
      <c r="J26" s="65"/>
      <c r="K26" s="66">
        <f>SUM(K10:K25)</f>
        <v>127.75710000000001</v>
      </c>
      <c r="L26" s="67">
        <f>SUM(L10:L25)</f>
        <v>495010</v>
      </c>
      <c r="N26" s="54"/>
      <c r="O26" s="68"/>
      <c r="P26" s="54"/>
      <c r="Q26" s="54"/>
      <c r="V26" s="625" t="s">
        <v>62</v>
      </c>
      <c r="W26" s="625"/>
      <c r="X26" s="626">
        <f>SUM(X10:X25)</f>
        <v>0</v>
      </c>
      <c r="Y26" s="626"/>
      <c r="Z26" s="627"/>
      <c r="AA26" s="628"/>
      <c r="AB26" s="69">
        <f>SUM(AB10:AB25)</f>
        <v>0</v>
      </c>
      <c r="AC26" s="70">
        <f>SUM(AC10:AC25)</f>
        <v>0</v>
      </c>
      <c r="AD26" s="9"/>
    </row>
    <row r="27" spans="1:30" ht="51.75" customHeight="1" x14ac:dyDescent="0.25">
      <c r="B27" s="62" t="s">
        <v>63</v>
      </c>
      <c r="C27" s="62"/>
      <c r="D27" s="71" t="s">
        <v>13</v>
      </c>
      <c r="E27" s="71" t="s">
        <v>14</v>
      </c>
      <c r="F27" s="27"/>
      <c r="G27" s="72" t="s">
        <v>64</v>
      </c>
      <c r="H27" s="73"/>
      <c r="I27" s="74" t="s">
        <v>65</v>
      </c>
      <c r="J27" s="74" t="s">
        <v>66</v>
      </c>
      <c r="K27" s="75" t="s">
        <v>67</v>
      </c>
      <c r="N27" s="54"/>
      <c r="O27" s="68"/>
      <c r="P27" s="54"/>
      <c r="Q27" s="54"/>
      <c r="V27" s="629" t="s">
        <v>63</v>
      </c>
      <c r="W27" s="629"/>
      <c r="X27" s="630" t="s">
        <v>64</v>
      </c>
      <c r="Y27" s="630"/>
      <c r="Z27" s="76" t="s">
        <v>65</v>
      </c>
      <c r="AA27" s="77" t="s">
        <v>66</v>
      </c>
      <c r="AB27" s="78" t="s">
        <v>67</v>
      </c>
      <c r="AC27" s="9"/>
      <c r="AD27" s="9"/>
    </row>
    <row r="28" spans="1:30" ht="15.75" customHeight="1" x14ac:dyDescent="0.25">
      <c r="A28" s="1" t="s">
        <v>68</v>
      </c>
      <c r="B28" s="631" t="s">
        <v>69</v>
      </c>
      <c r="C28" s="632"/>
      <c r="D28" s="13">
        <v>4.49</v>
      </c>
      <c r="E28" s="13">
        <v>4.4800000000000004</v>
      </c>
      <c r="F28" s="79">
        <v>6.5</v>
      </c>
      <c r="G28" s="46">
        <f t="shared" ref="G28:G36" si="6">D28+E28</f>
        <v>8.9700000000000006</v>
      </c>
      <c r="H28" s="80"/>
      <c r="I28" s="81" t="s">
        <v>70</v>
      </c>
      <c r="J28" s="82">
        <v>251</v>
      </c>
      <c r="K28" s="83">
        <v>1047</v>
      </c>
      <c r="L28" s="84">
        <f>ROUND(G28*K28,0)</f>
        <v>9392</v>
      </c>
      <c r="N28" s="85">
        <v>5101</v>
      </c>
      <c r="O28" s="54">
        <v>251</v>
      </c>
      <c r="P28" s="86"/>
      <c r="Q28" s="87"/>
      <c r="V28" s="637" t="s">
        <v>69</v>
      </c>
      <c r="W28" s="637"/>
      <c r="X28" s="638"/>
      <c r="Y28" s="638"/>
      <c r="Z28" s="88" t="s">
        <v>70</v>
      </c>
      <c r="AA28" s="89">
        <v>251</v>
      </c>
      <c r="AB28" s="90">
        <f>+K28</f>
        <v>1047</v>
      </c>
      <c r="AC28" s="91">
        <f t="shared" ref="AC28:AC36" si="7">ROUND(X28*AB28,0)</f>
        <v>0</v>
      </c>
      <c r="AD28" s="9"/>
    </row>
    <row r="29" spans="1:30" x14ac:dyDescent="0.25">
      <c r="A29" s="1" t="s">
        <v>71</v>
      </c>
      <c r="B29" s="633"/>
      <c r="C29" s="634"/>
      <c r="D29" s="13">
        <v>0.5</v>
      </c>
      <c r="E29" s="13">
        <v>0.01</v>
      </c>
      <c r="F29" s="92">
        <v>0.5</v>
      </c>
      <c r="G29" s="46">
        <f t="shared" si="6"/>
        <v>0.51</v>
      </c>
      <c r="H29" s="80"/>
      <c r="I29" s="82" t="s">
        <v>70</v>
      </c>
      <c r="J29" s="82">
        <v>252</v>
      </c>
      <c r="K29" s="83">
        <v>3380</v>
      </c>
      <c r="L29" s="84">
        <f t="shared" ref="L29:L36" si="8">ROUND(G29*K29,0)</f>
        <v>1724</v>
      </c>
      <c r="N29" s="85">
        <v>5101</v>
      </c>
      <c r="O29" s="54">
        <v>252</v>
      </c>
      <c r="P29" s="86"/>
      <c r="Q29" s="87"/>
      <c r="V29" s="637"/>
      <c r="W29" s="637"/>
      <c r="X29" s="638"/>
      <c r="Y29" s="638"/>
      <c r="Z29" s="89" t="s">
        <v>70</v>
      </c>
      <c r="AA29" s="89">
        <v>252</v>
      </c>
      <c r="AB29" s="90">
        <f t="shared" ref="AB29:AB36" si="9">+K29</f>
        <v>3380</v>
      </c>
      <c r="AC29" s="91">
        <f t="shared" si="7"/>
        <v>0</v>
      </c>
      <c r="AD29" s="9"/>
    </row>
    <row r="30" spans="1:30" x14ac:dyDescent="0.25">
      <c r="A30" s="1" t="s">
        <v>72</v>
      </c>
      <c r="B30" s="633"/>
      <c r="C30" s="634"/>
      <c r="D30" s="13">
        <v>0</v>
      </c>
      <c r="E30" s="13">
        <v>0</v>
      </c>
      <c r="F30" s="92">
        <v>0</v>
      </c>
      <c r="G30" s="46">
        <f t="shared" si="6"/>
        <v>0</v>
      </c>
      <c r="H30" s="80"/>
      <c r="I30" s="82" t="s">
        <v>70</v>
      </c>
      <c r="J30" s="82">
        <v>253</v>
      </c>
      <c r="K30" s="83">
        <v>6896</v>
      </c>
      <c r="L30" s="84">
        <f t="shared" si="8"/>
        <v>0</v>
      </c>
      <c r="N30" s="85">
        <v>5101</v>
      </c>
      <c r="O30" s="54">
        <v>253</v>
      </c>
      <c r="P30" s="86"/>
      <c r="Q30" s="68"/>
      <c r="V30" s="637"/>
      <c r="W30" s="637"/>
      <c r="X30" s="638"/>
      <c r="Y30" s="638"/>
      <c r="Z30" s="89" t="s">
        <v>70</v>
      </c>
      <c r="AA30" s="89">
        <v>253</v>
      </c>
      <c r="AB30" s="90">
        <f t="shared" si="9"/>
        <v>6896</v>
      </c>
      <c r="AC30" s="91">
        <f t="shared" si="7"/>
        <v>0</v>
      </c>
      <c r="AD30" s="9"/>
    </row>
    <row r="31" spans="1:30" x14ac:dyDescent="0.25">
      <c r="A31" s="1" t="s">
        <v>73</v>
      </c>
      <c r="B31" s="633"/>
      <c r="C31" s="634"/>
      <c r="D31" s="13">
        <v>5.5</v>
      </c>
      <c r="E31" s="13">
        <v>5</v>
      </c>
      <c r="F31" s="92">
        <v>2</v>
      </c>
      <c r="G31" s="46">
        <f t="shared" si="6"/>
        <v>10.5</v>
      </c>
      <c r="H31" s="80"/>
      <c r="I31" s="93" t="s">
        <v>74</v>
      </c>
      <c r="J31" s="82">
        <v>251</v>
      </c>
      <c r="K31" s="83">
        <v>1173</v>
      </c>
      <c r="L31" s="84">
        <f t="shared" si="8"/>
        <v>12317</v>
      </c>
      <c r="N31" s="85">
        <v>5102</v>
      </c>
      <c r="O31" s="54">
        <v>251</v>
      </c>
      <c r="P31" s="86"/>
      <c r="Q31" s="68"/>
      <c r="V31" s="637"/>
      <c r="W31" s="637"/>
      <c r="X31" s="638"/>
      <c r="Y31" s="638"/>
      <c r="Z31" s="94" t="s">
        <v>74</v>
      </c>
      <c r="AA31" s="89">
        <v>251</v>
      </c>
      <c r="AB31" s="90">
        <f t="shared" si="9"/>
        <v>1173</v>
      </c>
      <c r="AC31" s="91">
        <f t="shared" si="7"/>
        <v>0</v>
      </c>
      <c r="AD31" s="9"/>
    </row>
    <row r="32" spans="1:30" x14ac:dyDescent="0.25">
      <c r="A32" s="1" t="s">
        <v>75</v>
      </c>
      <c r="B32" s="633"/>
      <c r="C32" s="634"/>
      <c r="D32" s="13">
        <v>0.5</v>
      </c>
      <c r="E32" s="13">
        <v>0.5</v>
      </c>
      <c r="F32" s="92">
        <v>0</v>
      </c>
      <c r="G32" s="46">
        <f t="shared" si="6"/>
        <v>1</v>
      </c>
      <c r="H32" s="80"/>
      <c r="I32" s="93" t="s">
        <v>74</v>
      </c>
      <c r="J32" s="82">
        <v>252</v>
      </c>
      <c r="K32" s="83">
        <v>3506</v>
      </c>
      <c r="L32" s="84">
        <f t="shared" si="8"/>
        <v>3506</v>
      </c>
      <c r="N32" s="85">
        <v>5102</v>
      </c>
      <c r="O32" s="54">
        <v>252</v>
      </c>
      <c r="P32" s="86"/>
      <c r="Q32" s="54"/>
      <c r="V32" s="637"/>
      <c r="W32" s="637"/>
      <c r="X32" s="638"/>
      <c r="Y32" s="638"/>
      <c r="Z32" s="94" t="s">
        <v>74</v>
      </c>
      <c r="AA32" s="89">
        <v>252</v>
      </c>
      <c r="AB32" s="90">
        <f t="shared" si="9"/>
        <v>3506</v>
      </c>
      <c r="AC32" s="91">
        <f t="shared" si="7"/>
        <v>0</v>
      </c>
      <c r="AD32" s="9"/>
    </row>
    <row r="33" spans="1:30" x14ac:dyDescent="0.25">
      <c r="A33" s="1" t="s">
        <v>76</v>
      </c>
      <c r="B33" s="633"/>
      <c r="C33" s="634"/>
      <c r="D33" s="13">
        <v>0</v>
      </c>
      <c r="E33" s="13">
        <v>0</v>
      </c>
      <c r="F33" s="92">
        <v>0</v>
      </c>
      <c r="G33" s="46">
        <f t="shared" si="6"/>
        <v>0</v>
      </c>
      <c r="H33" s="80"/>
      <c r="I33" s="93" t="s">
        <v>74</v>
      </c>
      <c r="J33" s="82">
        <v>253</v>
      </c>
      <c r="K33" s="83">
        <v>7023</v>
      </c>
      <c r="L33" s="84">
        <f t="shared" si="8"/>
        <v>0</v>
      </c>
      <c r="N33" s="85">
        <v>5102</v>
      </c>
      <c r="O33" s="54">
        <v>253</v>
      </c>
      <c r="P33" s="86"/>
      <c r="Q33" s="87"/>
      <c r="V33" s="637"/>
      <c r="W33" s="637"/>
      <c r="X33" s="638"/>
      <c r="Y33" s="638"/>
      <c r="Z33" s="94" t="s">
        <v>74</v>
      </c>
      <c r="AA33" s="89">
        <v>253</v>
      </c>
      <c r="AB33" s="90">
        <f t="shared" si="9"/>
        <v>7023</v>
      </c>
      <c r="AC33" s="91">
        <f t="shared" si="7"/>
        <v>0</v>
      </c>
      <c r="AD33" s="9"/>
    </row>
    <row r="34" spans="1:30" x14ac:dyDescent="0.25">
      <c r="A34" s="1" t="s">
        <v>77</v>
      </c>
      <c r="B34" s="633"/>
      <c r="C34" s="634"/>
      <c r="D34" s="13">
        <v>0</v>
      </c>
      <c r="E34" s="13">
        <v>0</v>
      </c>
      <c r="F34" s="92">
        <v>0</v>
      </c>
      <c r="G34" s="46">
        <f t="shared" si="6"/>
        <v>0</v>
      </c>
      <c r="H34" s="80"/>
      <c r="I34" s="93" t="s">
        <v>78</v>
      </c>
      <c r="J34" s="82">
        <v>251</v>
      </c>
      <c r="K34" s="83">
        <v>835</v>
      </c>
      <c r="L34" s="84">
        <f t="shared" si="8"/>
        <v>0</v>
      </c>
      <c r="N34" s="85">
        <v>5103</v>
      </c>
      <c r="O34" s="54">
        <v>251</v>
      </c>
      <c r="P34" s="86"/>
      <c r="Q34" s="87"/>
      <c r="V34" s="637"/>
      <c r="W34" s="637"/>
      <c r="X34" s="638"/>
      <c r="Y34" s="638"/>
      <c r="Z34" s="94" t="s">
        <v>78</v>
      </c>
      <c r="AA34" s="89">
        <v>251</v>
      </c>
      <c r="AB34" s="90">
        <f t="shared" si="9"/>
        <v>835</v>
      </c>
      <c r="AC34" s="91">
        <f t="shared" si="7"/>
        <v>0</v>
      </c>
      <c r="AD34" s="9"/>
    </row>
    <row r="35" spans="1:30" x14ac:dyDescent="0.25">
      <c r="A35" s="1" t="s">
        <v>79</v>
      </c>
      <c r="B35" s="633"/>
      <c r="C35" s="634"/>
      <c r="D35" s="13">
        <v>0</v>
      </c>
      <c r="E35" s="13">
        <v>0</v>
      </c>
      <c r="F35" s="92">
        <v>0</v>
      </c>
      <c r="G35" s="46">
        <f t="shared" si="6"/>
        <v>0</v>
      </c>
      <c r="H35" s="80"/>
      <c r="I35" s="93" t="s">
        <v>78</v>
      </c>
      <c r="J35" s="82">
        <v>252</v>
      </c>
      <c r="K35" s="83">
        <v>3168</v>
      </c>
      <c r="L35" s="84">
        <f t="shared" si="8"/>
        <v>0</v>
      </c>
      <c r="N35" s="85">
        <v>5103</v>
      </c>
      <c r="O35" s="54">
        <v>252</v>
      </c>
      <c r="P35" s="86"/>
      <c r="Q35" s="95"/>
      <c r="V35" s="637"/>
      <c r="W35" s="637"/>
      <c r="X35" s="638"/>
      <c r="Y35" s="638"/>
      <c r="Z35" s="94" t="s">
        <v>78</v>
      </c>
      <c r="AA35" s="89">
        <v>252</v>
      </c>
      <c r="AB35" s="90">
        <f t="shared" si="9"/>
        <v>3168</v>
      </c>
      <c r="AC35" s="91">
        <f t="shared" si="7"/>
        <v>0</v>
      </c>
      <c r="AD35" s="9"/>
    </row>
    <row r="36" spans="1:30" ht="16.5" thickBot="1" x14ac:dyDescent="0.3">
      <c r="A36" s="1" t="s">
        <v>80</v>
      </c>
      <c r="B36" s="635"/>
      <c r="C36" s="636"/>
      <c r="D36" s="13">
        <v>0</v>
      </c>
      <c r="E36" s="13">
        <v>0</v>
      </c>
      <c r="F36" s="92">
        <v>0</v>
      </c>
      <c r="G36" s="46">
        <f t="shared" si="6"/>
        <v>0</v>
      </c>
      <c r="H36" s="80"/>
      <c r="I36" s="93" t="s">
        <v>78</v>
      </c>
      <c r="J36" s="82">
        <v>253</v>
      </c>
      <c r="K36" s="83">
        <v>6685</v>
      </c>
      <c r="L36" s="96">
        <f t="shared" si="8"/>
        <v>0</v>
      </c>
      <c r="N36" s="85">
        <v>5103</v>
      </c>
      <c r="O36" s="54">
        <v>253</v>
      </c>
      <c r="P36" s="86"/>
      <c r="Q36" s="97"/>
      <c r="V36" s="637"/>
      <c r="W36" s="637"/>
      <c r="X36" s="645"/>
      <c r="Y36" s="645"/>
      <c r="Z36" s="94" t="s">
        <v>78</v>
      </c>
      <c r="AA36" s="89">
        <v>253</v>
      </c>
      <c r="AB36" s="90">
        <f t="shared" si="9"/>
        <v>6685</v>
      </c>
      <c r="AC36" s="98">
        <f t="shared" si="7"/>
        <v>0</v>
      </c>
      <c r="AD36" s="9"/>
    </row>
    <row r="37" spans="1:30" ht="18.75" customHeight="1" x14ac:dyDescent="0.25">
      <c r="B37" s="13" t="s">
        <v>81</v>
      </c>
      <c r="C37" s="13"/>
      <c r="D37" s="63">
        <f t="shared" ref="D37:E37" si="10">SUM(D28:D36)</f>
        <v>10.99</v>
      </c>
      <c r="E37" s="63">
        <f t="shared" si="10"/>
        <v>9.99</v>
      </c>
      <c r="F37" s="63"/>
      <c r="G37" s="63">
        <f>SUM(G28:G36)</f>
        <v>20.98</v>
      </c>
      <c r="H37" s="64"/>
      <c r="I37" s="13" t="s">
        <v>82</v>
      </c>
      <c r="J37" s="13"/>
      <c r="K37" s="13"/>
      <c r="L37" s="50">
        <f>SUM(L28:L36)</f>
        <v>26939</v>
      </c>
      <c r="N37" s="54"/>
      <c r="O37" s="68"/>
      <c r="P37" s="54"/>
      <c r="Q37" s="54"/>
      <c r="V37" s="646" t="s">
        <v>81</v>
      </c>
      <c r="W37" s="646"/>
      <c r="X37" s="626">
        <f>SUM(X28:X36)</f>
        <v>0</v>
      </c>
      <c r="Y37" s="626"/>
      <c r="Z37" s="646" t="s">
        <v>82</v>
      </c>
      <c r="AA37" s="646"/>
      <c r="AB37" s="646"/>
      <c r="AC37" s="56">
        <f>SUM(AC28:AC36)</f>
        <v>0</v>
      </c>
      <c r="AD37" s="9"/>
    </row>
    <row r="38" spans="1:30" ht="30.75" customHeight="1" x14ac:dyDescent="0.25">
      <c r="B38" s="99" t="s">
        <v>83</v>
      </c>
      <c r="C38" s="99"/>
      <c r="D38" s="99"/>
      <c r="E38" s="99"/>
      <c r="F38" s="99"/>
      <c r="G38" s="99"/>
      <c r="H38" s="100"/>
      <c r="I38" s="99"/>
      <c r="J38" s="99"/>
      <c r="K38" s="99"/>
      <c r="L38" s="99"/>
      <c r="M38" s="101"/>
      <c r="N38" s="54"/>
      <c r="O38" s="68"/>
      <c r="P38" s="54"/>
      <c r="Q38" s="54"/>
      <c r="V38" s="639" t="s">
        <v>83</v>
      </c>
      <c r="W38" s="639"/>
      <c r="X38" s="639"/>
      <c r="Y38" s="639"/>
      <c r="Z38" s="639"/>
      <c r="AA38" s="639"/>
      <c r="AB38" s="639"/>
      <c r="AC38" s="639"/>
      <c r="AD38" s="102"/>
    </row>
    <row r="39" spans="1:30" ht="15.75" customHeight="1" x14ac:dyDescent="0.25">
      <c r="B39" s="103" t="s">
        <v>84</v>
      </c>
      <c r="C39" s="103"/>
      <c r="D39" s="103"/>
      <c r="E39" s="103"/>
      <c r="F39" s="103"/>
      <c r="G39" s="104">
        <v>34389540</v>
      </c>
      <c r="H39" s="104"/>
      <c r="I39" s="13" t="s">
        <v>85</v>
      </c>
      <c r="J39" s="13"/>
      <c r="K39" s="13"/>
      <c r="L39" s="13"/>
      <c r="O39" s="1"/>
      <c r="V39" s="640" t="s">
        <v>84</v>
      </c>
      <c r="W39" s="640"/>
      <c r="X39" s="641">
        <f>+G39</f>
        <v>34389540</v>
      </c>
      <c r="Y39" s="641"/>
      <c r="Z39" s="642" t="s">
        <v>85</v>
      </c>
      <c r="AA39" s="642"/>
      <c r="AB39" s="642"/>
      <c r="AC39" s="642"/>
      <c r="AD39" s="9"/>
    </row>
    <row r="40" spans="1:30" ht="15.75" customHeight="1" x14ac:dyDescent="0.25">
      <c r="B40" s="105" t="s">
        <v>86</v>
      </c>
      <c r="C40" s="105"/>
      <c r="D40" s="105"/>
      <c r="E40" s="105"/>
      <c r="F40" s="105"/>
      <c r="G40" s="106">
        <v>180284.81</v>
      </c>
      <c r="H40" s="106"/>
      <c r="I40" s="106"/>
      <c r="J40" s="106"/>
      <c r="K40" s="50">
        <f>ROUND(G39/G40,0)</f>
        <v>191</v>
      </c>
      <c r="L40" s="50">
        <f>ROUND(K40*$G$26,0)</f>
        <v>22601</v>
      </c>
      <c r="N40" s="107"/>
      <c r="O40" s="107"/>
      <c r="P40" s="107"/>
      <c r="Q40" s="107"/>
      <c r="V40" s="643" t="s">
        <v>86</v>
      </c>
      <c r="W40" s="643"/>
      <c r="X40" s="644">
        <f>+G40</f>
        <v>180284.81</v>
      </c>
      <c r="Y40" s="644"/>
      <c r="Z40" s="644"/>
      <c r="AA40" s="644"/>
      <c r="AB40" s="56">
        <f>ROUND(X39/X40,0)</f>
        <v>191</v>
      </c>
      <c r="AC40" s="56">
        <f>ROUND(AB40*$X$26,0)</f>
        <v>0</v>
      </c>
      <c r="AD40" s="9"/>
    </row>
    <row r="41" spans="1:30" ht="15.75" customHeight="1" x14ac:dyDescent="0.25">
      <c r="B41" s="108" t="s">
        <v>87</v>
      </c>
      <c r="C41" s="108"/>
      <c r="D41" s="108"/>
      <c r="E41" s="108"/>
      <c r="F41" s="108"/>
      <c r="G41" s="108"/>
      <c r="H41" s="108"/>
      <c r="I41" s="108"/>
      <c r="J41" s="108"/>
      <c r="K41" s="108"/>
      <c r="L41" s="108"/>
      <c r="N41" s="101"/>
      <c r="O41" s="109"/>
      <c r="P41" s="101"/>
      <c r="Q41" s="101"/>
      <c r="V41" s="652" t="s">
        <v>87</v>
      </c>
      <c r="W41" s="652"/>
      <c r="X41" s="652"/>
      <c r="Y41" s="652"/>
      <c r="Z41" s="652"/>
      <c r="AA41" s="652"/>
      <c r="AB41" s="652"/>
      <c r="AC41" s="652"/>
      <c r="AD41" s="9"/>
    </row>
    <row r="42" spans="1:30" ht="28.5" customHeight="1" x14ac:dyDescent="0.25">
      <c r="B42" s="99" t="s">
        <v>88</v>
      </c>
      <c r="C42" s="99"/>
      <c r="D42" s="99"/>
      <c r="E42" s="99"/>
      <c r="F42" s="99"/>
      <c r="G42" s="99"/>
      <c r="H42" s="99"/>
      <c r="I42" s="99"/>
      <c r="J42" s="99"/>
      <c r="K42" s="99"/>
      <c r="L42" s="99"/>
      <c r="M42" s="107"/>
      <c r="O42" s="1"/>
      <c r="V42" s="639" t="s">
        <v>88</v>
      </c>
      <c r="W42" s="639"/>
      <c r="X42" s="639"/>
      <c r="Y42" s="639"/>
      <c r="Z42" s="639"/>
      <c r="AA42" s="639"/>
      <c r="AB42" s="639"/>
      <c r="AC42" s="639"/>
      <c r="AD42" s="110"/>
    </row>
    <row r="43" spans="1:30" x14ac:dyDescent="0.25">
      <c r="B43" s="111" t="s">
        <v>89</v>
      </c>
      <c r="C43" s="111"/>
      <c r="D43" s="111"/>
      <c r="E43" s="111"/>
      <c r="F43" s="111"/>
      <c r="G43" s="111"/>
      <c r="H43" s="111"/>
      <c r="I43" s="111"/>
      <c r="J43" s="111"/>
      <c r="K43" s="111"/>
      <c r="L43" s="111"/>
      <c r="M43" s="112"/>
      <c r="N43" s="101"/>
      <c r="O43" s="101"/>
      <c r="P43" s="101"/>
      <c r="Q43" s="101"/>
      <c r="V43" s="653" t="s">
        <v>89</v>
      </c>
      <c r="W43" s="653"/>
      <c r="X43" s="653"/>
      <c r="Y43" s="653"/>
      <c r="Z43" s="653"/>
      <c r="AA43" s="653"/>
      <c r="AB43" s="653"/>
      <c r="AC43" s="653"/>
      <c r="AD43" s="113"/>
    </row>
    <row r="44" spans="1:30" ht="24" customHeight="1" x14ac:dyDescent="0.25">
      <c r="B44" s="62" t="s">
        <v>90</v>
      </c>
      <c r="C44" s="62"/>
      <c r="D44" s="62"/>
      <c r="E44" s="62"/>
      <c r="F44" s="62"/>
      <c r="G44" s="62"/>
      <c r="H44" s="62"/>
      <c r="I44" s="62"/>
      <c r="J44" s="62"/>
      <c r="K44" s="62"/>
      <c r="L44" s="114">
        <f>SUM(L26,L37,L40)</f>
        <v>544550</v>
      </c>
      <c r="O44" s="1"/>
      <c r="V44" s="654" t="s">
        <v>90</v>
      </c>
      <c r="W44" s="654"/>
      <c r="X44" s="654"/>
      <c r="Y44" s="654"/>
      <c r="Z44" s="654"/>
      <c r="AA44" s="654"/>
      <c r="AB44" s="654"/>
      <c r="AC44" s="115">
        <f>SUM(AC26,AC37,AC40)</f>
        <v>0</v>
      </c>
      <c r="AD44" s="9"/>
    </row>
    <row r="45" spans="1:30" ht="30.75" customHeight="1" x14ac:dyDescent="0.25">
      <c r="B45" s="99" t="s">
        <v>91</v>
      </c>
      <c r="C45" s="99"/>
      <c r="D45" s="99"/>
      <c r="E45" s="99"/>
      <c r="F45" s="99"/>
      <c r="G45" s="99"/>
      <c r="H45" s="99"/>
      <c r="I45" s="99"/>
      <c r="J45" s="99"/>
      <c r="K45" s="99"/>
      <c r="L45" s="99"/>
      <c r="M45" s="116"/>
      <c r="O45" s="1"/>
      <c r="V45" s="639" t="s">
        <v>91</v>
      </c>
      <c r="W45" s="639"/>
      <c r="X45" s="639"/>
      <c r="Y45" s="639"/>
      <c r="Z45" s="639"/>
      <c r="AA45" s="639"/>
      <c r="AB45" s="639"/>
      <c r="AC45" s="639"/>
      <c r="AD45" s="117"/>
    </row>
    <row r="46" spans="1:30" ht="18.75" customHeight="1" x14ac:dyDescent="0.25">
      <c r="B46" s="1"/>
      <c r="C46" s="118" t="s">
        <v>92</v>
      </c>
      <c r="D46" s="118"/>
      <c r="E46" s="118"/>
      <c r="F46" s="118"/>
      <c r="G46" s="118" t="s">
        <v>93</v>
      </c>
      <c r="H46" s="119"/>
      <c r="I46" s="120" t="s">
        <v>94</v>
      </c>
      <c r="J46" s="121"/>
      <c r="K46" s="121"/>
      <c r="L46" s="121"/>
      <c r="M46" s="122"/>
      <c r="O46" s="1"/>
      <c r="V46" s="9"/>
      <c r="W46" s="123" t="s">
        <v>92</v>
      </c>
      <c r="X46" s="655" t="s">
        <v>95</v>
      </c>
      <c r="Y46" s="655"/>
      <c r="Z46" s="656" t="s">
        <v>94</v>
      </c>
      <c r="AA46" s="656"/>
      <c r="AB46" s="656"/>
      <c r="AC46" s="656"/>
      <c r="AD46" s="124"/>
    </row>
    <row r="47" spans="1:30" ht="18.75" customHeight="1" x14ac:dyDescent="0.25">
      <c r="B47" s="107" t="s">
        <v>96</v>
      </c>
      <c r="C47" s="125">
        <f>K10+K11+K16+K19+K22</f>
        <v>84.117100000000008</v>
      </c>
      <c r="D47" s="125"/>
      <c r="E47" s="125"/>
      <c r="F47" s="125"/>
      <c r="G47" s="126">
        <f>K7</f>
        <v>1.0326</v>
      </c>
      <c r="H47" s="126"/>
      <c r="I47" s="127">
        <v>1316.85</v>
      </c>
      <c r="J47" s="128" t="s">
        <v>97</v>
      </c>
      <c r="K47" s="129">
        <f>ROUND(C47*G47*I47,0)</f>
        <v>114381</v>
      </c>
      <c r="L47" s="130"/>
      <c r="O47" s="1"/>
      <c r="V47" s="110" t="s">
        <v>96</v>
      </c>
      <c r="W47" s="131">
        <f>AB10+AB11+AB16+AB19+AB22</f>
        <v>0</v>
      </c>
      <c r="X47" s="647">
        <f>AB7</f>
        <v>1.0326</v>
      </c>
      <c r="Y47" s="647"/>
      <c r="Z47" s="132">
        <f>+I47</f>
        <v>1316.85</v>
      </c>
      <c r="AA47" s="133" t="s">
        <v>97</v>
      </c>
      <c r="AB47" s="134">
        <f>ROUND(W47*X47*Z47,0)</f>
        <v>0</v>
      </c>
      <c r="AC47" s="135"/>
      <c r="AD47" s="9"/>
    </row>
    <row r="48" spans="1:30" ht="18" customHeight="1" x14ac:dyDescent="0.25">
      <c r="B48" s="136" t="s">
        <v>74</v>
      </c>
      <c r="C48" s="125">
        <f>K12+K13+K17+K20+K23</f>
        <v>43.64</v>
      </c>
      <c r="D48" s="125"/>
      <c r="E48" s="125"/>
      <c r="F48" s="125"/>
      <c r="G48" s="126">
        <f>K7</f>
        <v>1.0326</v>
      </c>
      <c r="H48" s="126"/>
      <c r="I48" s="127">
        <v>898.23</v>
      </c>
      <c r="J48" s="128" t="s">
        <v>97</v>
      </c>
      <c r="K48" s="129">
        <f>ROUND(C48*G48*I48,0)</f>
        <v>40477</v>
      </c>
      <c r="L48" s="62"/>
      <c r="O48" s="1"/>
      <c r="V48" s="137" t="s">
        <v>74</v>
      </c>
      <c r="W48" s="131">
        <f>AB12+AB13+AB17+AB20+AB23</f>
        <v>0</v>
      </c>
      <c r="X48" s="647">
        <f>AB7</f>
        <v>1.0326</v>
      </c>
      <c r="Y48" s="647"/>
      <c r="Z48" s="132">
        <f>+I48</f>
        <v>898.23</v>
      </c>
      <c r="AA48" s="133" t="s">
        <v>97</v>
      </c>
      <c r="AB48" s="134">
        <f>ROUND(W48*X48*Z48,0)</f>
        <v>0</v>
      </c>
      <c r="AC48" s="138"/>
      <c r="AD48" s="9"/>
    </row>
    <row r="49" spans="2:30" ht="19.5" customHeight="1" thickBot="1" x14ac:dyDescent="0.3">
      <c r="B49" s="139" t="s">
        <v>78</v>
      </c>
      <c r="C49" s="140">
        <f>K14+K15+K18+K21+K24+K25</f>
        <v>0</v>
      </c>
      <c r="D49" s="125"/>
      <c r="E49" s="125"/>
      <c r="F49" s="125"/>
      <c r="G49" s="126">
        <f>K7</f>
        <v>1.0326</v>
      </c>
      <c r="H49" s="126"/>
      <c r="I49" s="127">
        <v>900.39</v>
      </c>
      <c r="J49" s="128" t="s">
        <v>97</v>
      </c>
      <c r="K49" s="129">
        <f>ROUND(C49*G49*I49,0)</f>
        <v>0</v>
      </c>
      <c r="L49" s="62"/>
      <c r="M49" s="112"/>
      <c r="N49" s="141"/>
      <c r="O49" s="142"/>
      <c r="P49" s="101"/>
      <c r="Q49" s="143"/>
      <c r="V49" s="144" t="s">
        <v>78</v>
      </c>
      <c r="W49" s="145">
        <f>AB14+AB15+AB18+AB21+AB24+AB25</f>
        <v>0</v>
      </c>
      <c r="X49" s="647">
        <f>AB7</f>
        <v>1.0326</v>
      </c>
      <c r="Y49" s="647"/>
      <c r="Z49" s="132">
        <f>+I49</f>
        <v>900.39</v>
      </c>
      <c r="AA49" s="133" t="s">
        <v>97</v>
      </c>
      <c r="AB49" s="134">
        <f>ROUND(W49*X49*Z49,0)</f>
        <v>0</v>
      </c>
      <c r="AC49" s="138"/>
      <c r="AD49" s="113"/>
    </row>
    <row r="50" spans="2:30" ht="24" customHeight="1" thickBot="1" x14ac:dyDescent="0.3">
      <c r="B50" s="146" t="s">
        <v>98</v>
      </c>
      <c r="C50" s="147">
        <f>SUM(C47:C49)</f>
        <v>127.75710000000001</v>
      </c>
      <c r="D50" s="148"/>
      <c r="E50" s="149"/>
      <c r="F50" s="149"/>
      <c r="G50" s="150" t="s">
        <v>99</v>
      </c>
      <c r="H50" s="150"/>
      <c r="I50" s="150"/>
      <c r="J50" s="150"/>
      <c r="K50" s="150"/>
      <c r="L50" s="50">
        <f>IF(B2=75,0,K49+K48+K47)</f>
        <v>154858</v>
      </c>
      <c r="N50" s="3"/>
      <c r="O50" s="1"/>
      <c r="V50" s="151" t="s">
        <v>98</v>
      </c>
      <c r="W50" s="152">
        <f>SUM(W47:W49)</f>
        <v>0</v>
      </c>
      <c r="X50" s="648" t="s">
        <v>99</v>
      </c>
      <c r="Y50" s="649"/>
      <c r="Z50" s="649"/>
      <c r="AA50" s="649"/>
      <c r="AB50" s="649"/>
      <c r="AC50" s="56">
        <f>IF(V2=75,0,AB49+AB48+AB47)</f>
        <v>0</v>
      </c>
      <c r="AD50" s="9"/>
    </row>
    <row r="51" spans="2:30" ht="19.5" customHeight="1" x14ac:dyDescent="0.25">
      <c r="B51" s="153" t="s">
        <v>100</v>
      </c>
      <c r="C51" s="153"/>
      <c r="D51" s="153"/>
      <c r="E51" s="153"/>
      <c r="F51" s="153"/>
      <c r="G51" s="153"/>
      <c r="H51" s="153"/>
      <c r="I51" s="153"/>
      <c r="J51" s="153"/>
      <c r="K51" s="153"/>
      <c r="L51" s="153"/>
      <c r="M51" s="141"/>
      <c r="N51" s="101"/>
      <c r="O51" s="1"/>
      <c r="V51" s="650" t="s">
        <v>100</v>
      </c>
      <c r="W51" s="650"/>
      <c r="X51" s="650"/>
      <c r="Y51" s="650"/>
      <c r="Z51" s="650"/>
      <c r="AA51" s="650"/>
      <c r="AB51" s="650"/>
      <c r="AC51" s="650"/>
      <c r="AD51" s="154"/>
    </row>
    <row r="52" spans="2:30" ht="27.75" customHeight="1" x14ac:dyDescent="0.25">
      <c r="B52" s="13" t="s">
        <v>101</v>
      </c>
      <c r="C52" s="13"/>
      <c r="D52" s="13"/>
      <c r="E52" s="13"/>
      <c r="F52" s="13"/>
      <c r="G52" s="13"/>
      <c r="H52" s="13"/>
      <c r="I52" s="13"/>
      <c r="J52" s="13"/>
      <c r="K52" s="13"/>
      <c r="L52" s="13"/>
      <c r="O52" s="1"/>
      <c r="V52" s="651" t="s">
        <v>101</v>
      </c>
      <c r="W52" s="651"/>
      <c r="X52" s="651"/>
      <c r="Y52" s="651"/>
      <c r="Z52" s="651"/>
      <c r="AA52" s="651"/>
      <c r="AB52" s="651"/>
      <c r="AC52" s="651"/>
      <c r="AD52" s="9"/>
    </row>
    <row r="53" spans="2:30" x14ac:dyDescent="0.25">
      <c r="B53" s="13" t="s">
        <v>102</v>
      </c>
      <c r="C53" s="13"/>
      <c r="D53" s="13"/>
      <c r="E53" s="13"/>
      <c r="F53" s="13"/>
      <c r="G53" s="155">
        <f>K26</f>
        <v>127.75710000000001</v>
      </c>
      <c r="H53" s="57" t="s">
        <v>103</v>
      </c>
      <c r="I53" s="57"/>
      <c r="J53" s="156">
        <v>197823.77</v>
      </c>
      <c r="K53" s="156"/>
      <c r="L53" s="156"/>
      <c r="N53" s="3"/>
      <c r="O53" s="1"/>
      <c r="V53" s="657" t="s">
        <v>102</v>
      </c>
      <c r="W53" s="657"/>
      <c r="X53" s="157">
        <f>AB26</f>
        <v>0</v>
      </c>
      <c r="Y53" s="658" t="s">
        <v>103</v>
      </c>
      <c r="Z53" s="658"/>
      <c r="AA53" s="659">
        <f>+J53</f>
        <v>197823.77</v>
      </c>
      <c r="AB53" s="659"/>
      <c r="AC53" s="659"/>
      <c r="AD53" s="9"/>
    </row>
    <row r="54" spans="2:30" x14ac:dyDescent="0.25">
      <c r="B54" s="13" t="s">
        <v>104</v>
      </c>
      <c r="C54" s="13"/>
      <c r="D54" s="13"/>
      <c r="E54" s="13"/>
      <c r="F54" s="13"/>
      <c r="G54" s="13"/>
      <c r="H54" s="13"/>
      <c r="I54" s="13"/>
      <c r="J54" s="13"/>
      <c r="K54" s="158">
        <f>ROUND(G53/J53,6)</f>
        <v>6.4599999999999998E-4</v>
      </c>
      <c r="L54" s="158"/>
      <c r="N54" s="101"/>
      <c r="O54" s="1"/>
      <c r="V54" s="657" t="s">
        <v>104</v>
      </c>
      <c r="W54" s="657"/>
      <c r="X54" s="657"/>
      <c r="Y54" s="657"/>
      <c r="Z54" s="657"/>
      <c r="AA54" s="657"/>
      <c r="AB54" s="660">
        <f>ROUND(X53/AA53,6)</f>
        <v>0</v>
      </c>
      <c r="AC54" s="660"/>
      <c r="AD54" s="9"/>
    </row>
    <row r="55" spans="2:30" ht="24" customHeight="1" x14ac:dyDescent="0.25">
      <c r="B55" s="13" t="s">
        <v>105</v>
      </c>
      <c r="C55" s="13"/>
      <c r="D55" s="13"/>
      <c r="E55" s="13"/>
      <c r="F55" s="13"/>
      <c r="G55" s="13"/>
      <c r="H55" s="13"/>
      <c r="I55" s="13"/>
      <c r="J55" s="13"/>
      <c r="K55" s="13"/>
      <c r="L55" s="13"/>
      <c r="O55" s="1"/>
      <c r="V55" s="651" t="s">
        <v>105</v>
      </c>
      <c r="W55" s="651"/>
      <c r="X55" s="651"/>
      <c r="Y55" s="651"/>
      <c r="Z55" s="651"/>
      <c r="AA55" s="651"/>
      <c r="AB55" s="651"/>
      <c r="AC55" s="651"/>
      <c r="AD55" s="9"/>
    </row>
    <row r="56" spans="2:30" x14ac:dyDescent="0.25">
      <c r="B56" s="13" t="s">
        <v>106</v>
      </c>
      <c r="C56" s="13"/>
      <c r="D56" s="13"/>
      <c r="E56" s="13"/>
      <c r="F56" s="13"/>
      <c r="G56" s="159">
        <f>G26</f>
        <v>118.33000000000001</v>
      </c>
      <c r="H56" s="57" t="s">
        <v>107</v>
      </c>
      <c r="I56" s="57"/>
      <c r="J56" s="156">
        <f>+G40</f>
        <v>180284.81</v>
      </c>
      <c r="K56" s="156"/>
      <c r="L56" s="156"/>
      <c r="O56" s="1"/>
      <c r="V56" s="657" t="s">
        <v>106</v>
      </c>
      <c r="W56" s="657"/>
      <c r="X56" s="160">
        <f>X26</f>
        <v>0</v>
      </c>
      <c r="Y56" s="658" t="s">
        <v>107</v>
      </c>
      <c r="Z56" s="658"/>
      <c r="AA56" s="659">
        <f>+J56</f>
        <v>180284.81</v>
      </c>
      <c r="AB56" s="659"/>
      <c r="AC56" s="659"/>
      <c r="AD56" s="9"/>
    </row>
    <row r="57" spans="2:30" x14ac:dyDescent="0.25">
      <c r="B57" s="13" t="s">
        <v>108</v>
      </c>
      <c r="C57" s="13"/>
      <c r="D57" s="13"/>
      <c r="E57" s="13"/>
      <c r="F57" s="13"/>
      <c r="G57" s="13"/>
      <c r="H57" s="13"/>
      <c r="I57" s="13"/>
      <c r="J57" s="13"/>
      <c r="K57" s="158">
        <f>ROUND(G56/J56,6)</f>
        <v>6.5600000000000001E-4</v>
      </c>
      <c r="L57" s="158"/>
      <c r="O57" s="1"/>
      <c r="V57" s="657" t="s">
        <v>108</v>
      </c>
      <c r="W57" s="657"/>
      <c r="X57" s="657"/>
      <c r="Y57" s="657"/>
      <c r="Z57" s="657"/>
      <c r="AA57" s="657"/>
      <c r="AB57" s="660">
        <f>ROUND(X56/AA56,6)</f>
        <v>0</v>
      </c>
      <c r="AC57" s="660"/>
      <c r="AD57" s="9"/>
    </row>
    <row r="58" spans="2:30" ht="20.25" customHeight="1" x14ac:dyDescent="0.25">
      <c r="B58" s="161" t="s">
        <v>109</v>
      </c>
      <c r="C58" s="161"/>
      <c r="D58" s="161"/>
      <c r="E58" s="161"/>
      <c r="F58" s="161"/>
      <c r="G58" s="161"/>
      <c r="H58" s="161"/>
      <c r="I58" s="161"/>
      <c r="J58" s="161"/>
      <c r="K58" s="161"/>
      <c r="L58" s="161"/>
      <c r="N58" s="18"/>
      <c r="O58" s="18"/>
      <c r="V58" s="629" t="s">
        <v>110</v>
      </c>
      <c r="W58" s="629"/>
      <c r="X58" s="629"/>
      <c r="Y58" s="661">
        <f>X65+X64+X62+X61+X60</f>
        <v>4123852</v>
      </c>
      <c r="Z58" s="661"/>
      <c r="AA58" s="162" t="s">
        <v>111</v>
      </c>
      <c r="AB58" s="163">
        <f>AB54</f>
        <v>0</v>
      </c>
      <c r="AC58" s="56">
        <f>ROUND(Y58*AB58,0)</f>
        <v>0</v>
      </c>
      <c r="AD58" s="9"/>
    </row>
    <row r="59" spans="2:30" x14ac:dyDescent="0.25">
      <c r="B59" s="62" t="s">
        <v>110</v>
      </c>
      <c r="C59" s="62"/>
      <c r="D59" s="62"/>
      <c r="E59" s="62"/>
      <c r="F59" s="62"/>
      <c r="G59" s="62"/>
      <c r="H59" s="164" t="s">
        <v>22</v>
      </c>
      <c r="I59" s="129">
        <v>4123852</v>
      </c>
      <c r="J59" s="165" t="s">
        <v>111</v>
      </c>
      <c r="K59" s="166">
        <f>K54</f>
        <v>6.4599999999999998E-4</v>
      </c>
      <c r="L59" s="50">
        <f>ROUND(I59*K59,0)</f>
        <v>2664</v>
      </c>
      <c r="O59" s="1"/>
      <c r="P59" s="165"/>
      <c r="Q59" s="165"/>
      <c r="V59" s="662" t="s">
        <v>112</v>
      </c>
      <c r="W59" s="662"/>
      <c r="X59" s="662"/>
      <c r="Y59" s="662"/>
      <c r="Z59" s="662"/>
      <c r="AA59" s="662"/>
      <c r="AB59" s="662"/>
      <c r="AC59" s="662"/>
      <c r="AD59" s="9"/>
    </row>
    <row r="60" spans="2:30" x14ac:dyDescent="0.25">
      <c r="B60" s="62" t="s">
        <v>112</v>
      </c>
      <c r="C60" s="62"/>
      <c r="D60" s="62"/>
      <c r="E60" s="62"/>
      <c r="F60" s="62"/>
      <c r="G60" s="62"/>
      <c r="H60" s="62"/>
      <c r="I60" s="62"/>
      <c r="J60" s="62"/>
      <c r="K60" s="62"/>
      <c r="L60" s="62"/>
      <c r="O60" s="1"/>
      <c r="P60" s="165"/>
      <c r="Q60" s="165"/>
      <c r="V60" s="663" t="s">
        <v>113</v>
      </c>
      <c r="W60" s="663"/>
      <c r="X60" s="664">
        <f>+G61</f>
        <v>0</v>
      </c>
      <c r="Y60" s="664"/>
      <c r="Z60" s="664"/>
      <c r="AA60" s="664"/>
      <c r="AB60" s="664"/>
      <c r="AC60" s="664"/>
      <c r="AD60" s="9"/>
    </row>
    <row r="61" spans="2:30" ht="15" customHeight="1" x14ac:dyDescent="0.25">
      <c r="B61" s="167" t="s">
        <v>113</v>
      </c>
      <c r="C61" s="62"/>
      <c r="D61" s="62"/>
      <c r="E61" s="62"/>
      <c r="F61" s="62"/>
      <c r="G61" s="168">
        <v>0</v>
      </c>
      <c r="H61" s="168"/>
      <c r="I61" s="168"/>
      <c r="J61" s="168"/>
      <c r="K61" s="168"/>
      <c r="L61" s="168"/>
      <c r="O61" s="1"/>
      <c r="P61" s="165"/>
      <c r="Q61" s="165"/>
      <c r="V61" s="663" t="s">
        <v>114</v>
      </c>
      <c r="W61" s="663"/>
      <c r="X61" s="664">
        <f>+G62</f>
        <v>0</v>
      </c>
      <c r="Y61" s="664"/>
      <c r="Z61" s="664"/>
      <c r="AA61" s="664"/>
      <c r="AB61" s="664"/>
      <c r="AC61" s="664"/>
      <c r="AD61" s="9"/>
    </row>
    <row r="62" spans="2:30" ht="13.5" customHeight="1" x14ac:dyDescent="0.25">
      <c r="B62" s="167" t="s">
        <v>114</v>
      </c>
      <c r="C62" s="62"/>
      <c r="D62" s="62"/>
      <c r="E62" s="62"/>
      <c r="F62" s="62"/>
      <c r="G62" s="168">
        <v>0</v>
      </c>
      <c r="H62" s="168"/>
      <c r="I62" s="168"/>
      <c r="J62" s="168"/>
      <c r="K62" s="168"/>
      <c r="L62" s="168"/>
      <c r="N62" s="165"/>
      <c r="O62" s="165"/>
      <c r="P62" s="165"/>
      <c r="Q62" s="165"/>
      <c r="V62" s="663" t="s">
        <v>115</v>
      </c>
      <c r="W62" s="663"/>
      <c r="X62" s="664">
        <v>0</v>
      </c>
      <c r="Y62" s="664"/>
      <c r="Z62" s="664"/>
      <c r="AA62" s="664"/>
      <c r="AB62" s="664"/>
      <c r="AC62" s="664"/>
      <c r="AD62" s="9"/>
    </row>
    <row r="63" spans="2:30" ht="13.5" hidden="1" customHeight="1" x14ac:dyDescent="0.25">
      <c r="B63" s="62" t="s">
        <v>115</v>
      </c>
      <c r="C63" s="62"/>
      <c r="D63" s="62"/>
      <c r="E63" s="62"/>
      <c r="F63" s="62"/>
      <c r="G63" s="168">
        <v>0</v>
      </c>
      <c r="H63" s="168"/>
      <c r="I63" s="168"/>
      <c r="J63" s="168"/>
      <c r="K63" s="168"/>
      <c r="L63" s="168"/>
      <c r="O63" s="1"/>
      <c r="P63" s="165"/>
      <c r="Q63" s="165"/>
      <c r="V63" s="662" t="s">
        <v>116</v>
      </c>
      <c r="W63" s="662"/>
      <c r="X63" s="662"/>
      <c r="Y63" s="662"/>
      <c r="Z63" s="662"/>
      <c r="AA63" s="662"/>
      <c r="AB63" s="662"/>
      <c r="AC63" s="662"/>
      <c r="AD63" s="117"/>
    </row>
    <row r="64" spans="2:30" ht="13.5" customHeight="1" x14ac:dyDescent="0.25">
      <c r="B64" s="62" t="s">
        <v>116</v>
      </c>
      <c r="C64" s="62"/>
      <c r="D64" s="62"/>
      <c r="E64" s="62"/>
      <c r="F64" s="62"/>
      <c r="G64" s="62"/>
      <c r="H64" s="62"/>
      <c r="I64" s="62"/>
      <c r="J64" s="62"/>
      <c r="K64" s="62"/>
      <c r="L64" s="62"/>
      <c r="M64" s="116"/>
      <c r="N64" s="18"/>
      <c r="O64" s="1"/>
      <c r="V64" s="663" t="s">
        <v>117</v>
      </c>
      <c r="W64" s="663"/>
      <c r="X64" s="664">
        <f>+G65</f>
        <v>4123852</v>
      </c>
      <c r="Y64" s="664"/>
      <c r="Z64" s="664"/>
      <c r="AA64" s="664"/>
      <c r="AB64" s="664"/>
      <c r="AC64" s="664"/>
      <c r="AD64" s="9"/>
    </row>
    <row r="65" spans="1:30" ht="12.75" customHeight="1" x14ac:dyDescent="0.25">
      <c r="B65" s="167" t="s">
        <v>117</v>
      </c>
      <c r="C65" s="62"/>
      <c r="D65" s="62"/>
      <c r="E65" s="62"/>
      <c r="F65" s="62"/>
      <c r="G65" s="168">
        <f>+I59</f>
        <v>4123852</v>
      </c>
      <c r="H65" s="168"/>
      <c r="I65" s="168"/>
      <c r="J65" s="168"/>
      <c r="K65" s="168"/>
      <c r="L65" s="168"/>
      <c r="O65" s="1"/>
      <c r="V65" s="663" t="s">
        <v>118</v>
      </c>
      <c r="W65" s="663"/>
      <c r="X65" s="664">
        <f>+G66</f>
        <v>0</v>
      </c>
      <c r="Y65" s="664"/>
      <c r="Z65" s="664"/>
      <c r="AA65" s="664"/>
      <c r="AB65" s="664"/>
      <c r="AC65" s="664"/>
      <c r="AD65" s="20"/>
    </row>
    <row r="66" spans="1:30" ht="15" customHeight="1" x14ac:dyDescent="0.25">
      <c r="B66" s="167" t="s">
        <v>118</v>
      </c>
      <c r="C66" s="62"/>
      <c r="D66" s="62"/>
      <c r="E66" s="62"/>
      <c r="F66" s="62"/>
      <c r="G66" s="168">
        <v>0</v>
      </c>
      <c r="H66" s="168"/>
      <c r="I66" s="168"/>
      <c r="J66" s="168"/>
      <c r="K66" s="168"/>
      <c r="L66" s="168"/>
      <c r="M66" s="18"/>
      <c r="N66" s="3"/>
      <c r="O66" s="169"/>
      <c r="P66" s="169"/>
      <c r="Q66" s="169"/>
      <c r="V66" s="651" t="s">
        <v>119</v>
      </c>
      <c r="W66" s="651"/>
      <c r="X66" s="651"/>
      <c r="Y66" s="661">
        <f>+I67</f>
        <v>96774526</v>
      </c>
      <c r="Z66" s="661"/>
      <c r="AA66" s="162" t="s">
        <v>111</v>
      </c>
      <c r="AB66" s="163">
        <f>AB54</f>
        <v>0</v>
      </c>
      <c r="AC66" s="56">
        <f>ROUND(Y66*AB66,0)</f>
        <v>0</v>
      </c>
      <c r="AD66" s="9"/>
    </row>
    <row r="67" spans="1:30" ht="20.25" customHeight="1" x14ac:dyDescent="0.25">
      <c r="B67" s="13" t="s">
        <v>119</v>
      </c>
      <c r="C67" s="13"/>
      <c r="D67" s="13"/>
      <c r="E67" s="13"/>
      <c r="F67" s="13"/>
      <c r="H67" s="164" t="s">
        <v>25</v>
      </c>
      <c r="I67" s="129">
        <v>96774526</v>
      </c>
      <c r="J67" s="165" t="s">
        <v>111</v>
      </c>
      <c r="K67" s="166">
        <f>K54</f>
        <v>6.4599999999999998E-4</v>
      </c>
      <c r="L67" s="50">
        <f>ROUND(I67*K67,0)</f>
        <v>62516</v>
      </c>
      <c r="O67" s="1"/>
      <c r="V67" s="651" t="s">
        <v>120</v>
      </c>
      <c r="W67" s="651"/>
      <c r="X67" s="651"/>
      <c r="Y67" s="651"/>
      <c r="Z67" s="651"/>
      <c r="AA67" s="651"/>
      <c r="AB67" s="651"/>
      <c r="AC67" s="651"/>
      <c r="AD67" s="9"/>
    </row>
    <row r="68" spans="1:30" ht="20.25" customHeight="1" x14ac:dyDescent="0.25">
      <c r="B68" s="13" t="s">
        <v>120</v>
      </c>
      <c r="C68" s="13"/>
      <c r="D68" s="13"/>
      <c r="E68" s="13"/>
      <c r="F68" s="13"/>
      <c r="H68" s="13"/>
      <c r="I68" s="13"/>
      <c r="J68" s="82"/>
      <c r="K68" s="13"/>
      <c r="L68" s="13"/>
      <c r="O68" s="1"/>
      <c r="V68" s="667" t="s">
        <v>121</v>
      </c>
      <c r="W68" s="667"/>
      <c r="X68" s="667"/>
      <c r="Y68" s="661">
        <f>+I69</f>
        <v>0</v>
      </c>
      <c r="Z68" s="661"/>
      <c r="AA68" s="162" t="s">
        <v>111</v>
      </c>
      <c r="AB68" s="163">
        <f>AB57</f>
        <v>0</v>
      </c>
      <c r="AC68" s="56">
        <f>ROUND(Y68*AB68,0)</f>
        <v>0</v>
      </c>
      <c r="AD68" s="9"/>
    </row>
    <row r="69" spans="1:30" ht="15" customHeight="1" x14ac:dyDescent="0.25">
      <c r="B69" s="170" t="s">
        <v>121</v>
      </c>
      <c r="C69" s="13"/>
      <c r="D69" s="13"/>
      <c r="E69" s="13"/>
      <c r="F69" s="13"/>
      <c r="H69" s="164" t="s">
        <v>23</v>
      </c>
      <c r="I69" s="129">
        <v>0</v>
      </c>
      <c r="J69" s="165" t="s">
        <v>111</v>
      </c>
      <c r="K69" s="166">
        <f>K57</f>
        <v>6.5600000000000001E-4</v>
      </c>
      <c r="L69" s="50">
        <f>ROUND(I69*K69,0)</f>
        <v>0</v>
      </c>
      <c r="O69" s="1"/>
      <c r="V69" s="651" t="s">
        <v>122</v>
      </c>
      <c r="W69" s="651"/>
      <c r="X69" s="651"/>
      <c r="Y69" s="668">
        <f>+I70</f>
        <v>-3460775</v>
      </c>
      <c r="Z69" s="668"/>
      <c r="AA69" s="162" t="s">
        <v>111</v>
      </c>
      <c r="AB69" s="163">
        <f>AB54</f>
        <v>0</v>
      </c>
      <c r="AC69" s="56">
        <f>ROUND(Y69*AB69,0)</f>
        <v>0</v>
      </c>
      <c r="AD69" s="9"/>
    </row>
    <row r="70" spans="1:30" ht="20.25" customHeight="1" x14ac:dyDescent="0.25">
      <c r="B70" s="13" t="s">
        <v>122</v>
      </c>
      <c r="C70" s="13"/>
      <c r="D70" s="13"/>
      <c r="E70" s="13"/>
      <c r="F70" s="13"/>
      <c r="H70" s="164" t="s">
        <v>22</v>
      </c>
      <c r="I70" s="129">
        <v>-3460775</v>
      </c>
      <c r="J70" s="165" t="s">
        <v>111</v>
      </c>
      <c r="K70" s="166">
        <f>K54</f>
        <v>6.4599999999999998E-4</v>
      </c>
      <c r="L70" s="50">
        <f>ROUND(I70*K70,0)</f>
        <v>-2236</v>
      </c>
      <c r="O70" s="1"/>
      <c r="V70" s="651" t="s">
        <v>123</v>
      </c>
      <c r="W70" s="651"/>
      <c r="X70" s="651"/>
      <c r="Y70" s="665">
        <f>+I71</f>
        <v>1874788</v>
      </c>
      <c r="Z70" s="665"/>
      <c r="AA70" s="162" t="s">
        <v>111</v>
      </c>
      <c r="AB70" s="163">
        <f>AB54</f>
        <v>0</v>
      </c>
      <c r="AC70" s="56">
        <f>ROUND(Y70*AB70,0)</f>
        <v>0</v>
      </c>
      <c r="AD70" s="9"/>
    </row>
    <row r="71" spans="1:30" ht="20.25" customHeight="1" x14ac:dyDescent="0.25">
      <c r="B71" s="13" t="s">
        <v>123</v>
      </c>
      <c r="C71" s="13"/>
      <c r="D71" s="13"/>
      <c r="E71" s="13"/>
      <c r="F71" s="13"/>
      <c r="H71" s="164" t="s">
        <v>22</v>
      </c>
      <c r="I71" s="129">
        <v>1874788</v>
      </c>
      <c r="J71" s="165" t="s">
        <v>111</v>
      </c>
      <c r="K71" s="166">
        <f>K54</f>
        <v>6.4599999999999998E-4</v>
      </c>
      <c r="L71" s="50">
        <f>ROUND(I71*K71,0)</f>
        <v>1211</v>
      </c>
      <c r="O71" s="1"/>
      <c r="V71" s="651" t="s">
        <v>124</v>
      </c>
      <c r="W71" s="651"/>
      <c r="X71" s="651"/>
      <c r="Y71" s="665">
        <f>+I72</f>
        <v>14223298</v>
      </c>
      <c r="Z71" s="665"/>
      <c r="AA71" s="162" t="s">
        <v>111</v>
      </c>
      <c r="AB71" s="163">
        <f>AB57</f>
        <v>0</v>
      </c>
      <c r="AC71" s="56">
        <f>ROUND(Y71*AB71,0)</f>
        <v>0</v>
      </c>
      <c r="AD71" s="9"/>
    </row>
    <row r="72" spans="1:30" ht="21" customHeight="1" x14ac:dyDescent="0.25">
      <c r="B72" s="13" t="s">
        <v>124</v>
      </c>
      <c r="C72" s="13"/>
      <c r="D72" s="13"/>
      <c r="E72" s="13"/>
      <c r="F72" s="13"/>
      <c r="H72" s="164" t="s">
        <v>23</v>
      </c>
      <c r="I72" s="171">
        <v>14223298</v>
      </c>
      <c r="J72" s="165" t="s">
        <v>111</v>
      </c>
      <c r="K72" s="166">
        <f>K57</f>
        <v>6.5600000000000001E-4</v>
      </c>
      <c r="L72" s="50">
        <f>ROUND(I72*K72,0)</f>
        <v>9330</v>
      </c>
      <c r="O72" s="1"/>
      <c r="V72" s="623" t="s">
        <v>125</v>
      </c>
      <c r="W72" s="623"/>
      <c r="X72" s="623"/>
      <c r="Y72" s="623"/>
      <c r="Z72" s="623"/>
      <c r="AA72" s="623"/>
      <c r="AB72" s="623"/>
      <c r="AC72" s="60"/>
      <c r="AD72" s="9"/>
    </row>
    <row r="73" spans="1:30" ht="17.25" customHeight="1" x14ac:dyDescent="0.25">
      <c r="B73" s="13" t="s">
        <v>125</v>
      </c>
      <c r="C73" s="13"/>
      <c r="D73" s="13"/>
      <c r="E73" s="13"/>
      <c r="F73" s="13"/>
      <c r="H73" s="13"/>
      <c r="I73" s="13"/>
      <c r="J73" s="82"/>
      <c r="K73" s="13"/>
      <c r="L73" s="59"/>
      <c r="O73" s="1"/>
      <c r="V73" s="651" t="s">
        <v>126</v>
      </c>
      <c r="W73" s="651"/>
      <c r="X73" s="651"/>
      <c r="Y73" s="651"/>
      <c r="Z73" s="651"/>
      <c r="AA73" s="651"/>
      <c r="AB73" s="651"/>
      <c r="AC73" s="651"/>
      <c r="AD73" s="9"/>
    </row>
    <row r="74" spans="1:30" ht="31.5" x14ac:dyDescent="0.25">
      <c r="B74" s="13" t="s">
        <v>126</v>
      </c>
      <c r="C74" s="13"/>
      <c r="D74" s="27" t="s">
        <v>13</v>
      </c>
      <c r="E74" s="27" t="s">
        <v>14</v>
      </c>
      <c r="F74" s="27"/>
      <c r="H74" s="164" t="s">
        <v>26</v>
      </c>
      <c r="I74" s="172"/>
      <c r="J74" s="164"/>
      <c r="K74" s="172"/>
      <c r="L74" s="112"/>
      <c r="O74" s="1"/>
      <c r="V74" s="666" t="s">
        <v>127</v>
      </c>
      <c r="W74" s="666"/>
      <c r="X74" s="173" t="s">
        <v>128</v>
      </c>
      <c r="Y74" s="174"/>
      <c r="Z74" s="175">
        <f>+I75</f>
        <v>0</v>
      </c>
      <c r="AA74" s="176" t="s">
        <v>129</v>
      </c>
      <c r="AB74" s="177">
        <f>+K75</f>
        <v>361</v>
      </c>
      <c r="AC74" s="56">
        <f>ROUND(AB74*Z74,0)</f>
        <v>0</v>
      </c>
      <c r="AD74" s="9"/>
    </row>
    <row r="75" spans="1:30" ht="19.5" customHeight="1" x14ac:dyDescent="0.25">
      <c r="A75" s="1" t="s">
        <v>130</v>
      </c>
      <c r="B75" s="178" t="s">
        <v>127</v>
      </c>
      <c r="C75" s="179" t="s">
        <v>128</v>
      </c>
      <c r="D75" s="178">
        <v>0</v>
      </c>
      <c r="E75" s="178">
        <v>0</v>
      </c>
      <c r="F75" s="178">
        <v>0</v>
      </c>
      <c r="G75" s="180">
        <f>IF(E75=0,D75,E75)</f>
        <v>0</v>
      </c>
      <c r="H75" s="181"/>
      <c r="I75" s="182">
        <f>AVERAGE(G75,D75)</f>
        <v>0</v>
      </c>
      <c r="J75" s="183" t="s">
        <v>129</v>
      </c>
      <c r="K75" s="184">
        <v>361</v>
      </c>
      <c r="L75" s="50">
        <f>ROUND(K75*I75,0)</f>
        <v>0</v>
      </c>
      <c r="N75" s="1">
        <v>7802</v>
      </c>
      <c r="O75" s="1">
        <v>0</v>
      </c>
      <c r="V75" s="666" t="s">
        <v>127</v>
      </c>
      <c r="W75" s="666"/>
      <c r="X75" s="173" t="s">
        <v>131</v>
      </c>
      <c r="Y75" s="185"/>
      <c r="Z75" s="186">
        <f>+I76</f>
        <v>0</v>
      </c>
      <c r="AA75" s="176" t="s">
        <v>129</v>
      </c>
      <c r="AB75" s="187">
        <f>+K76</f>
        <v>1358</v>
      </c>
      <c r="AC75" s="56">
        <f>ROUND(AB75*Z75,0)</f>
        <v>0</v>
      </c>
      <c r="AD75" s="9"/>
    </row>
    <row r="76" spans="1:30" ht="19.5" customHeight="1" x14ac:dyDescent="0.25">
      <c r="A76" s="1" t="s">
        <v>132</v>
      </c>
      <c r="B76" s="178" t="s">
        <v>127</v>
      </c>
      <c r="C76" s="179" t="s">
        <v>131</v>
      </c>
      <c r="D76" s="178">
        <v>0</v>
      </c>
      <c r="E76" s="178">
        <v>0</v>
      </c>
      <c r="F76" s="178">
        <v>0</v>
      </c>
      <c r="G76" s="180">
        <f>IF(E76=0,D76,E76)</f>
        <v>0</v>
      </c>
      <c r="H76" s="181"/>
      <c r="I76" s="182">
        <f>AVERAGE(G76,D76)</f>
        <v>0</v>
      </c>
      <c r="J76" s="183" t="s">
        <v>129</v>
      </c>
      <c r="K76" s="188">
        <v>1358</v>
      </c>
      <c r="L76" s="50">
        <f>ROUND(K76*I76,0)</f>
        <v>0</v>
      </c>
      <c r="N76" s="1">
        <v>7802</v>
      </c>
      <c r="O76" s="1">
        <v>110</v>
      </c>
      <c r="V76" s="651" t="s">
        <v>133</v>
      </c>
      <c r="W76" s="651"/>
      <c r="X76" s="651"/>
      <c r="Y76" s="661">
        <f>+I77</f>
        <v>33305823</v>
      </c>
      <c r="Z76" s="661"/>
      <c r="AA76" s="176" t="s">
        <v>129</v>
      </c>
      <c r="AB76" s="163">
        <f>AB54</f>
        <v>0</v>
      </c>
      <c r="AC76" s="56">
        <f>ROUND(Y76*AB76,0)</f>
        <v>0</v>
      </c>
      <c r="AD76" s="9"/>
    </row>
    <row r="77" spans="1:30" ht="26.25" customHeight="1" x14ac:dyDescent="0.25">
      <c r="B77" s="13" t="s">
        <v>133</v>
      </c>
      <c r="C77" s="13"/>
      <c r="D77" s="13"/>
      <c r="E77" s="13"/>
      <c r="F77" s="13"/>
      <c r="H77" s="164" t="s">
        <v>134</v>
      </c>
      <c r="I77" s="189">
        <v>33305823</v>
      </c>
      <c r="J77" s="165" t="s">
        <v>111</v>
      </c>
      <c r="K77" s="166">
        <f>K54</f>
        <v>6.4599999999999998E-4</v>
      </c>
      <c r="L77" s="50">
        <f>ROUND(I77*K77,0)</f>
        <v>21516</v>
      </c>
      <c r="O77" s="1"/>
      <c r="V77" s="651" t="str">
        <f>+B78</f>
        <v>15.  Additional Allocation (WFTE share)</v>
      </c>
      <c r="W77" s="651"/>
      <c r="X77" s="651"/>
      <c r="Y77" s="661">
        <f>+I78</f>
        <v>680688</v>
      </c>
      <c r="Z77" s="661"/>
      <c r="AA77" s="176" t="s">
        <v>129</v>
      </c>
      <c r="AB77" s="163">
        <f>AB54</f>
        <v>0</v>
      </c>
      <c r="AC77" s="56">
        <f>ROUND(Y77*AB77,0)</f>
        <v>0</v>
      </c>
      <c r="AD77" s="9"/>
    </row>
    <row r="78" spans="1:30" ht="26.25" customHeight="1" x14ac:dyDescent="0.25">
      <c r="B78" s="669" t="s">
        <v>135</v>
      </c>
      <c r="C78" s="669"/>
      <c r="D78" s="669"/>
      <c r="E78" s="13"/>
      <c r="F78" s="13"/>
      <c r="H78" s="164" t="s">
        <v>136</v>
      </c>
      <c r="I78" s="190">
        <v>680688</v>
      </c>
      <c r="J78" s="165" t="s">
        <v>111</v>
      </c>
      <c r="K78" s="166">
        <f>K54</f>
        <v>6.4599999999999998E-4</v>
      </c>
      <c r="L78" s="50">
        <f>ROUND(I78*K78,0)</f>
        <v>440</v>
      </c>
      <c r="O78" s="1"/>
      <c r="V78" s="651" t="str">
        <f t="shared" ref="V78:V79" si="11">+B79</f>
        <v>16.  Florida Teachers Lead Program Stipend</v>
      </c>
      <c r="W78" s="651"/>
      <c r="X78" s="651"/>
      <c r="Y78" s="191"/>
      <c r="Z78" s="191"/>
      <c r="AA78" s="191"/>
      <c r="AB78" s="191"/>
      <c r="AC78" s="134"/>
      <c r="AD78" s="9"/>
    </row>
    <row r="79" spans="1:30" ht="21" customHeight="1" x14ac:dyDescent="0.25">
      <c r="B79" s="669" t="s">
        <v>137</v>
      </c>
      <c r="C79" s="669"/>
      <c r="D79" s="669"/>
      <c r="E79" s="13"/>
      <c r="F79" s="13"/>
      <c r="H79" s="164"/>
      <c r="I79" s="172"/>
      <c r="J79" s="172"/>
      <c r="K79" s="172"/>
      <c r="L79" s="129"/>
      <c r="N79" s="192"/>
      <c r="O79" s="1"/>
      <c r="Q79" s="164"/>
      <c r="V79" s="651" t="str">
        <f t="shared" si="11"/>
        <v>17.  Food Service Allocation</v>
      </c>
      <c r="W79" s="651"/>
      <c r="X79" s="651"/>
      <c r="Y79" s="191"/>
      <c r="Z79" s="191"/>
      <c r="AA79" s="191"/>
      <c r="AB79" s="191"/>
      <c r="AC79" s="193"/>
      <c r="AD79" s="9"/>
    </row>
    <row r="80" spans="1:30" ht="21" customHeight="1" x14ac:dyDescent="0.25">
      <c r="B80" s="669" t="s">
        <v>138</v>
      </c>
      <c r="C80" s="669"/>
      <c r="D80" s="669"/>
      <c r="E80" s="13"/>
      <c r="F80" s="13"/>
      <c r="H80" s="194" t="s">
        <v>139</v>
      </c>
      <c r="I80" s="195"/>
      <c r="J80" s="195"/>
      <c r="K80" s="195"/>
      <c r="L80" s="196"/>
      <c r="N80" s="197"/>
      <c r="O80" s="1"/>
      <c r="Q80" s="164"/>
      <c r="V80" s="191"/>
      <c r="W80" s="191"/>
      <c r="X80" s="191"/>
      <c r="Y80" s="191"/>
      <c r="Z80" s="191"/>
      <c r="AA80" s="191"/>
      <c r="AB80" s="191"/>
      <c r="AC80" s="193"/>
      <c r="AD80" s="9"/>
    </row>
    <row r="81" spans="1:30" ht="21" customHeight="1" thickBot="1" x14ac:dyDescent="0.3">
      <c r="B81" s="13"/>
      <c r="C81" s="13"/>
      <c r="D81" s="13"/>
      <c r="E81" s="13"/>
      <c r="F81" s="13"/>
      <c r="G81" s="13"/>
      <c r="H81" s="13"/>
      <c r="I81" s="13"/>
      <c r="J81" s="13"/>
      <c r="K81" s="13"/>
      <c r="L81" s="196"/>
      <c r="M81" s="198"/>
      <c r="N81" s="197"/>
      <c r="O81" s="1"/>
      <c r="Q81" s="164"/>
      <c r="V81" s="191" t="s">
        <v>140</v>
      </c>
      <c r="W81" s="191"/>
      <c r="X81" s="191"/>
      <c r="Y81" s="191"/>
      <c r="Z81" s="191"/>
      <c r="AA81" s="191"/>
      <c r="AB81" s="191"/>
      <c r="AC81" s="199">
        <f>SUM(AC44:AC80)</f>
        <v>0</v>
      </c>
      <c r="AD81" s="200"/>
    </row>
    <row r="82" spans="1:30" ht="22.5" customHeight="1" thickTop="1" thickBot="1" x14ac:dyDescent="0.3">
      <c r="B82" s="13" t="s">
        <v>141</v>
      </c>
      <c r="C82" s="13"/>
      <c r="D82" s="13"/>
      <c r="E82" s="13"/>
      <c r="F82" s="13"/>
      <c r="G82" s="13"/>
      <c r="H82" s="13"/>
      <c r="I82" s="13"/>
      <c r="J82" s="13"/>
      <c r="K82" s="13"/>
      <c r="L82" s="201">
        <f>SUM(L44:L81)</f>
        <v>794849</v>
      </c>
      <c r="M82" s="202"/>
      <c r="N82" s="203"/>
      <c r="O82" s="1"/>
      <c r="Q82" s="164"/>
      <c r="V82" s="191"/>
      <c r="W82" s="191"/>
      <c r="X82" s="191"/>
      <c r="Y82" s="191"/>
      <c r="Z82" s="191"/>
      <c r="AA82" s="191"/>
      <c r="AB82" s="191"/>
      <c r="AC82" s="204"/>
      <c r="AD82" s="200"/>
    </row>
    <row r="83" spans="1:30" ht="27.75" customHeight="1" thickTop="1" x14ac:dyDescent="0.25">
      <c r="B83" s="13" t="s">
        <v>142</v>
      </c>
      <c r="C83" s="13"/>
      <c r="D83" s="13"/>
      <c r="E83" s="13"/>
      <c r="F83" s="13"/>
      <c r="G83" s="13"/>
      <c r="H83" s="13"/>
      <c r="I83" s="13"/>
      <c r="J83" s="13"/>
      <c r="K83" s="82" t="s">
        <v>143</v>
      </c>
      <c r="L83" s="205" t="s">
        <v>144</v>
      </c>
      <c r="M83" s="202"/>
      <c r="N83" s="203"/>
      <c r="O83" s="1"/>
      <c r="Q83" s="164"/>
      <c r="V83" s="9" t="s">
        <v>145</v>
      </c>
      <c r="W83" s="9"/>
      <c r="X83" s="9"/>
      <c r="Y83" s="9"/>
      <c r="Z83" s="9"/>
      <c r="AA83" s="9"/>
      <c r="AB83" s="9"/>
      <c r="AC83" s="9"/>
      <c r="AD83" s="206"/>
    </row>
    <row r="84" spans="1:30" ht="18.75" customHeight="1" thickBot="1" x14ac:dyDescent="0.3">
      <c r="B84" s="13" t="s">
        <v>146</v>
      </c>
      <c r="C84" s="13"/>
      <c r="D84" s="13"/>
      <c r="E84" s="13"/>
      <c r="F84" s="13"/>
      <c r="G84" s="13"/>
      <c r="H84" s="13"/>
      <c r="I84" s="13"/>
      <c r="J84" s="13"/>
      <c r="K84" s="207" t="str">
        <f>IF(G26=0,"",IF((G11+G13+SUM(G15:G21))/G26&gt;0.75,1,""))</f>
        <v/>
      </c>
      <c r="L84" s="201">
        <f>'3382'!AC81</f>
        <v>0</v>
      </c>
      <c r="M84" s="202"/>
      <c r="N84" s="203"/>
      <c r="O84" s="1"/>
      <c r="Q84" s="164"/>
      <c r="V84" s="208" t="s">
        <v>147</v>
      </c>
      <c r="W84" s="208"/>
      <c r="X84" s="208"/>
      <c r="Y84" s="208"/>
      <c r="Z84" s="208"/>
      <c r="AA84" s="208"/>
      <c r="AB84" s="208"/>
      <c r="AC84" s="208"/>
      <c r="AD84" s="9"/>
    </row>
    <row r="85" spans="1:30" ht="18.75" customHeight="1" thickTop="1" x14ac:dyDescent="0.25">
      <c r="B85" s="13"/>
      <c r="C85" s="13"/>
      <c r="D85" s="13"/>
      <c r="E85" s="13"/>
      <c r="F85" s="13"/>
      <c r="G85" s="13"/>
      <c r="H85" s="13"/>
      <c r="I85" s="13"/>
      <c r="J85" s="13"/>
      <c r="M85" s="202"/>
      <c r="N85" s="203"/>
      <c r="O85" s="1"/>
      <c r="Q85" s="164"/>
      <c r="V85" s="208" t="s">
        <v>148</v>
      </c>
      <c r="W85" s="208"/>
      <c r="X85" s="208"/>
      <c r="Y85" s="208"/>
      <c r="Z85" s="208"/>
      <c r="AA85" s="208"/>
      <c r="AB85" s="208"/>
      <c r="AC85" s="208"/>
      <c r="AD85" s="206"/>
    </row>
    <row r="86" spans="1:30" ht="18.75" customHeight="1" x14ac:dyDescent="0.25">
      <c r="B86" s="2" t="s">
        <v>421</v>
      </c>
      <c r="C86" s="13"/>
      <c r="D86" s="13"/>
      <c r="E86" s="13"/>
      <c r="F86" s="13"/>
      <c r="G86" s="13"/>
      <c r="H86" s="13"/>
      <c r="I86" s="13"/>
      <c r="J86" s="209" t="s">
        <v>150</v>
      </c>
      <c r="K86" s="210">
        <f>IF(K84=1,L84,L82)</f>
        <v>794849</v>
      </c>
      <c r="L86" s="211">
        <f>IF(G26=0,0,IF(G26&gt;250,-(((250/G26)*K86)*IF(M86="H",0.02,0.05)),IF(M86="H",-0.02*K86,-0.05*K86)))</f>
        <v>-15896.98</v>
      </c>
      <c r="M86" s="212" t="str">
        <f>IF(B123="2801","H",IF(B123="2911","H",IF(B123="3382","H"," ")))</f>
        <v>H</v>
      </c>
      <c r="N86" s="203"/>
      <c r="O86" s="1"/>
      <c r="Q86" s="164"/>
      <c r="V86" s="208" t="s">
        <v>151</v>
      </c>
      <c r="W86" s="208"/>
      <c r="X86" s="208"/>
      <c r="Y86" s="208"/>
      <c r="Z86" s="208"/>
      <c r="AA86" s="208"/>
      <c r="AB86" s="208"/>
      <c r="AC86" s="208"/>
      <c r="AD86" s="206"/>
    </row>
    <row r="87" spans="1:30" ht="18.75" customHeight="1" x14ac:dyDescent="0.25">
      <c r="B87" s="2" t="s">
        <v>152</v>
      </c>
      <c r="C87" s="13"/>
      <c r="D87" s="13"/>
      <c r="E87" s="13"/>
      <c r="F87" s="13"/>
      <c r="G87" s="13"/>
      <c r="H87" s="13"/>
      <c r="I87" s="13"/>
      <c r="J87" s="13"/>
      <c r="K87" s="213"/>
      <c r="L87" s="205">
        <f>L82+L86</f>
        <v>778952.02</v>
      </c>
      <c r="M87" s="202"/>
      <c r="N87" s="203"/>
      <c r="O87" s="1"/>
      <c r="Q87" s="164"/>
      <c r="V87" s="198"/>
      <c r="W87" s="198"/>
      <c r="X87" s="198"/>
      <c r="Y87" s="198"/>
      <c r="Z87" s="198"/>
      <c r="AA87" s="198"/>
      <c r="AB87" s="198"/>
      <c r="AC87" s="198"/>
      <c r="AD87" s="214"/>
    </row>
    <row r="88" spans="1:30" x14ac:dyDescent="0.25">
      <c r="V88" s="198"/>
      <c r="W88" s="198"/>
      <c r="X88" s="198"/>
      <c r="Y88" s="198"/>
      <c r="Z88" s="198"/>
      <c r="AA88" s="198"/>
      <c r="AB88" s="198"/>
      <c r="AC88" s="198"/>
      <c r="AD88" s="215"/>
    </row>
    <row r="89" spans="1:30" ht="18.75" customHeight="1" x14ac:dyDescent="0.25">
      <c r="A89" s="1" t="s">
        <v>153</v>
      </c>
      <c r="B89" s="13" t="s">
        <v>154</v>
      </c>
      <c r="C89" s="13"/>
      <c r="D89" s="13">
        <v>374625</v>
      </c>
      <c r="E89" s="13">
        <v>71133</v>
      </c>
      <c r="F89" s="13">
        <v>659160</v>
      </c>
      <c r="G89" s="13"/>
      <c r="H89" s="13"/>
      <c r="I89" s="13"/>
      <c r="J89" s="13"/>
      <c r="K89" s="213"/>
      <c r="L89" s="84">
        <f>-F89-59896</f>
        <v>-719056</v>
      </c>
      <c r="M89" s="202"/>
      <c r="N89" s="203"/>
      <c r="O89" s="1"/>
      <c r="Q89" s="164"/>
      <c r="V89" s="198">
        <v>2801</v>
      </c>
      <c r="W89" s="198"/>
      <c r="X89" s="198"/>
      <c r="Y89" s="198"/>
      <c r="Z89" s="198"/>
      <c r="AA89" s="198"/>
      <c r="AB89" s="198"/>
      <c r="AC89" s="198"/>
      <c r="AD89" s="214"/>
    </row>
    <row r="90" spans="1:30" ht="18.75" customHeight="1" x14ac:dyDescent="0.25">
      <c r="B90" s="13" t="s">
        <v>155</v>
      </c>
      <c r="C90" s="13"/>
      <c r="D90" s="13"/>
      <c r="E90" s="13"/>
      <c r="F90" s="13"/>
      <c r="G90" s="13"/>
      <c r="H90" s="13"/>
      <c r="I90" s="13"/>
      <c r="J90" s="13"/>
      <c r="K90" s="213"/>
      <c r="L90" s="205">
        <f>L87+L89</f>
        <v>59896.020000000019</v>
      </c>
      <c r="M90" s="202"/>
      <c r="N90" s="203"/>
      <c r="O90" s="1"/>
      <c r="Q90" s="164"/>
      <c r="V90" s="198">
        <v>2911</v>
      </c>
      <c r="W90" s="216"/>
      <c r="X90" s="216"/>
      <c r="Y90" s="216"/>
      <c r="Z90" s="216"/>
      <c r="AA90" s="216"/>
      <c r="AB90" s="216"/>
      <c r="AC90" s="216"/>
      <c r="AD90" s="214"/>
    </row>
    <row r="91" spans="1:30" ht="18.75" customHeight="1" x14ac:dyDescent="0.25">
      <c r="B91" s="13" t="s">
        <v>156</v>
      </c>
      <c r="C91" s="13"/>
      <c r="D91" s="13"/>
      <c r="E91" s="13"/>
      <c r="F91" s="13"/>
      <c r="G91" s="13"/>
      <c r="H91" s="13"/>
      <c r="I91" s="13"/>
      <c r="J91" s="13"/>
      <c r="K91" s="213"/>
      <c r="L91" s="205">
        <v>1</v>
      </c>
      <c r="M91" s="202"/>
      <c r="N91" s="203"/>
      <c r="O91" s="1"/>
      <c r="Q91" s="164"/>
      <c r="V91" s="198">
        <v>3382</v>
      </c>
      <c r="W91" s="216"/>
      <c r="X91" s="216"/>
      <c r="Y91" s="216"/>
      <c r="Z91" s="216"/>
      <c r="AA91" s="216"/>
      <c r="AB91" s="216"/>
      <c r="AC91" s="216"/>
      <c r="AD91" s="214"/>
    </row>
    <row r="92" spans="1:30" ht="18.75" customHeight="1" thickBot="1" x14ac:dyDescent="0.3">
      <c r="B92" s="13" t="s">
        <v>157</v>
      </c>
      <c r="C92" s="13"/>
      <c r="D92" s="13"/>
      <c r="E92" s="13"/>
      <c r="F92" s="13"/>
      <c r="G92" s="13"/>
      <c r="H92" s="13"/>
      <c r="I92" s="13"/>
      <c r="J92" s="13"/>
      <c r="K92" s="213"/>
      <c r="L92" s="217">
        <f>L90/L91</f>
        <v>59896.020000000019</v>
      </c>
      <c r="M92" s="202"/>
      <c r="N92" s="203"/>
      <c r="O92" s="1"/>
      <c r="Q92" s="164"/>
      <c r="V92" s="218"/>
      <c r="W92" s="218"/>
      <c r="X92" s="218"/>
      <c r="Y92" s="218"/>
      <c r="Z92" s="218"/>
      <c r="AA92" s="218"/>
      <c r="AB92" s="218"/>
      <c r="AC92" s="218"/>
      <c r="AD92" s="219"/>
    </row>
    <row r="93" spans="1:30" ht="18.75" customHeight="1" thickTop="1" x14ac:dyDescent="0.25">
      <c r="N93" s="219"/>
      <c r="O93" s="220"/>
      <c r="P93" s="219"/>
      <c r="Q93" s="219"/>
      <c r="V93" s="218"/>
      <c r="W93" s="218"/>
      <c r="X93" s="218"/>
      <c r="Y93" s="218"/>
      <c r="Z93" s="218"/>
      <c r="AA93" s="218"/>
      <c r="AB93" s="218"/>
      <c r="AC93" s="218"/>
      <c r="AD93" s="214"/>
    </row>
    <row r="94" spans="1:30" ht="18.75" customHeight="1" thickBot="1" x14ac:dyDescent="0.3">
      <c r="B94" s="221" t="s">
        <v>158</v>
      </c>
      <c r="C94" s="13"/>
      <c r="D94" s="13"/>
      <c r="E94" s="13"/>
      <c r="G94" s="13"/>
      <c r="H94" s="13"/>
      <c r="I94" s="13"/>
      <c r="J94" s="13"/>
      <c r="L94" s="222">
        <f>IF(M86="H",(K86*0.02)+L86,(K86*0.05)+L86)</f>
        <v>0</v>
      </c>
      <c r="M94" s="202"/>
      <c r="V94" s="223"/>
      <c r="W94" s="223"/>
      <c r="X94" s="223"/>
      <c r="Y94" s="223"/>
      <c r="Z94" s="223"/>
      <c r="AA94" s="223"/>
      <c r="AB94" s="223"/>
      <c r="AC94" s="223"/>
      <c r="AD94" s="214"/>
    </row>
    <row r="95" spans="1:30" ht="21.75" customHeight="1" thickTop="1" x14ac:dyDescent="0.25">
      <c r="B95" s="224" t="s">
        <v>159</v>
      </c>
      <c r="C95" s="224"/>
      <c r="D95" s="224"/>
      <c r="E95" s="224"/>
      <c r="F95" s="224"/>
      <c r="G95" s="224"/>
      <c r="H95" s="224"/>
      <c r="I95" s="224"/>
      <c r="J95" s="224"/>
      <c r="K95" s="224"/>
      <c r="L95" s="224"/>
      <c r="M95" s="219"/>
      <c r="V95" s="223"/>
      <c r="W95" s="223"/>
      <c r="X95" s="223"/>
      <c r="Y95" s="223"/>
      <c r="Z95" s="223"/>
      <c r="AA95" s="223"/>
      <c r="AB95" s="223"/>
      <c r="AC95" s="223"/>
      <c r="AD95" s="214"/>
    </row>
    <row r="96" spans="1:30" x14ac:dyDescent="0.25">
      <c r="B96" s="225"/>
      <c r="V96" s="223"/>
      <c r="W96" s="223"/>
      <c r="X96" s="223"/>
      <c r="Y96" s="223"/>
      <c r="Z96" s="223"/>
      <c r="AA96" s="223"/>
      <c r="AB96" s="223"/>
      <c r="AC96" s="223"/>
      <c r="AD96" s="219"/>
    </row>
    <row r="97" spans="2:30" x14ac:dyDescent="0.25">
      <c r="B97" s="225"/>
      <c r="V97" s="223"/>
      <c r="W97" s="223"/>
      <c r="X97" s="223"/>
      <c r="Y97" s="223"/>
      <c r="Z97" s="223"/>
      <c r="AA97" s="223"/>
      <c r="AB97" s="223"/>
      <c r="AC97" s="223"/>
      <c r="AD97" s="219"/>
    </row>
    <row r="98" spans="2:30" hidden="1" x14ac:dyDescent="0.25">
      <c r="B98" s="226" t="s">
        <v>160</v>
      </c>
      <c r="C98" s="227"/>
      <c r="V98" s="228"/>
      <c r="W98" s="228"/>
      <c r="X98" s="228"/>
      <c r="Y98" s="228"/>
      <c r="Z98" s="228"/>
      <c r="AA98" s="228"/>
      <c r="AB98" s="228"/>
      <c r="AC98" s="228"/>
    </row>
    <row r="99" spans="2:30" hidden="1" x14ac:dyDescent="0.25">
      <c r="B99" s="229"/>
      <c r="C99" s="227"/>
      <c r="V99" s="225"/>
      <c r="W99" s="13"/>
      <c r="X99" s="13"/>
      <c r="Y99" s="13"/>
      <c r="Z99" s="13"/>
      <c r="AA99" s="13"/>
      <c r="AB99" s="13"/>
      <c r="AC99" s="13"/>
    </row>
    <row r="100" spans="2:30" hidden="1" x14ac:dyDescent="0.25">
      <c r="B100" s="230" t="s">
        <v>161</v>
      </c>
      <c r="C100" s="226" t="s">
        <v>162</v>
      </c>
      <c r="V100" s="225"/>
    </row>
    <row r="101" spans="2:30" hidden="1" x14ac:dyDescent="0.25">
      <c r="B101" s="230" t="s">
        <v>163</v>
      </c>
      <c r="C101" s="226" t="s">
        <v>164</v>
      </c>
      <c r="V101" s="225"/>
    </row>
    <row r="102" spans="2:30" hidden="1" x14ac:dyDescent="0.25">
      <c r="B102" s="230" t="s">
        <v>165</v>
      </c>
      <c r="C102" s="226" t="s">
        <v>166</v>
      </c>
      <c r="V102" s="225"/>
      <c r="W102" s="231"/>
      <c r="X102" s="231"/>
      <c r="Y102" s="231"/>
      <c r="Z102" s="231"/>
      <c r="AA102" s="231"/>
      <c r="AB102" s="231"/>
      <c r="AC102" s="231"/>
      <c r="AD102" s="231"/>
    </row>
    <row r="103" spans="2:30" hidden="1" x14ac:dyDescent="0.25">
      <c r="B103" s="230" t="s">
        <v>167</v>
      </c>
      <c r="C103" s="226" t="s">
        <v>168</v>
      </c>
      <c r="V103" s="225"/>
    </row>
    <row r="104" spans="2:30" hidden="1" x14ac:dyDescent="0.25">
      <c r="B104" s="232"/>
      <c r="C104" s="226" t="s">
        <v>169</v>
      </c>
      <c r="V104" s="225"/>
    </row>
    <row r="105" spans="2:30" hidden="1" x14ac:dyDescent="0.25">
      <c r="B105" s="230" t="s">
        <v>170</v>
      </c>
      <c r="C105" s="226" t="s">
        <v>171</v>
      </c>
      <c r="V105" s="225"/>
    </row>
    <row r="106" spans="2:30" hidden="1" x14ac:dyDescent="0.25">
      <c r="B106" s="230" t="s">
        <v>172</v>
      </c>
      <c r="C106" s="226" t="s">
        <v>173</v>
      </c>
      <c r="V106" s="225"/>
    </row>
    <row r="107" spans="2:30" hidden="1" x14ac:dyDescent="0.25">
      <c r="B107" s="230" t="s">
        <v>262</v>
      </c>
      <c r="C107" s="226" t="s">
        <v>175</v>
      </c>
      <c r="V107" s="225"/>
    </row>
    <row r="108" spans="2:30" hidden="1" x14ac:dyDescent="0.25">
      <c r="B108" s="230" t="s">
        <v>176</v>
      </c>
      <c r="C108" s="226" t="s">
        <v>177</v>
      </c>
      <c r="V108" s="225"/>
    </row>
    <row r="109" spans="2:30" hidden="1" x14ac:dyDescent="0.25">
      <c r="B109" s="230" t="s">
        <v>178</v>
      </c>
      <c r="C109" s="226" t="s">
        <v>179</v>
      </c>
      <c r="V109" s="225"/>
    </row>
    <row r="110" spans="2:30" hidden="1" x14ac:dyDescent="0.25">
      <c r="B110" s="232"/>
      <c r="C110" s="226"/>
      <c r="V110" s="225"/>
    </row>
    <row r="111" spans="2:30" hidden="1" x14ac:dyDescent="0.25">
      <c r="B111" s="230" t="s">
        <v>180</v>
      </c>
      <c r="C111" s="226" t="s">
        <v>181</v>
      </c>
      <c r="V111" s="225"/>
    </row>
    <row r="112" spans="2:30" hidden="1" x14ac:dyDescent="0.25">
      <c r="B112" s="230" t="s">
        <v>180</v>
      </c>
      <c r="C112" s="226" t="s">
        <v>182</v>
      </c>
    </row>
    <row r="113" spans="2:3" hidden="1" x14ac:dyDescent="0.25">
      <c r="B113" s="230" t="s">
        <v>183</v>
      </c>
      <c r="C113" s="226" t="s">
        <v>184</v>
      </c>
    </row>
    <row r="114" spans="2:3" hidden="1" x14ac:dyDescent="0.25">
      <c r="B114" s="230" t="s">
        <v>185</v>
      </c>
      <c r="C114" s="226" t="s">
        <v>186</v>
      </c>
    </row>
    <row r="115" spans="2:3" hidden="1" x14ac:dyDescent="0.25">
      <c r="B115" s="230" t="s">
        <v>183</v>
      </c>
      <c r="C115" s="226" t="s">
        <v>187</v>
      </c>
    </row>
    <row r="116" spans="2:3" hidden="1" x14ac:dyDescent="0.25">
      <c r="B116" s="230" t="s">
        <v>188</v>
      </c>
      <c r="C116" s="226" t="s">
        <v>189</v>
      </c>
    </row>
    <row r="117" spans="2:3" hidden="1" x14ac:dyDescent="0.25">
      <c r="B117" s="230" t="s">
        <v>190</v>
      </c>
      <c r="C117" s="226" t="s">
        <v>191</v>
      </c>
    </row>
    <row r="118" spans="2:3" hidden="1" x14ac:dyDescent="0.25">
      <c r="B118" s="232" t="s">
        <v>192</v>
      </c>
      <c r="C118" s="226" t="s">
        <v>193</v>
      </c>
    </row>
    <row r="119" spans="2:3" hidden="1" x14ac:dyDescent="0.25">
      <c r="B119" s="232"/>
      <c r="C119" s="226"/>
    </row>
    <row r="120" spans="2:3" hidden="1" x14ac:dyDescent="0.25">
      <c r="B120" s="230" t="s">
        <v>161</v>
      </c>
      <c r="C120" s="226" t="s">
        <v>194</v>
      </c>
    </row>
    <row r="121" spans="2:3" hidden="1" x14ac:dyDescent="0.25">
      <c r="B121" s="230" t="s">
        <v>195</v>
      </c>
      <c r="C121" s="226" t="s">
        <v>196</v>
      </c>
    </row>
    <row r="122" spans="2:3" hidden="1" x14ac:dyDescent="0.25">
      <c r="B122" s="230" t="s">
        <v>197</v>
      </c>
      <c r="C122" s="226" t="s">
        <v>198</v>
      </c>
    </row>
    <row r="123" spans="2:3" hidden="1" x14ac:dyDescent="0.25">
      <c r="B123" s="230" t="s">
        <v>263</v>
      </c>
      <c r="C123" s="226" t="s">
        <v>200</v>
      </c>
    </row>
    <row r="124" spans="2:3" hidden="1" x14ac:dyDescent="0.25">
      <c r="B124" s="230" t="s">
        <v>264</v>
      </c>
      <c r="C124" s="226" t="s">
        <v>202</v>
      </c>
    </row>
    <row r="125" spans="2:3" hidden="1" x14ac:dyDescent="0.25">
      <c r="B125" s="230" t="s">
        <v>203</v>
      </c>
      <c r="C125" s="226" t="s">
        <v>204</v>
      </c>
    </row>
    <row r="126" spans="2:3" hidden="1" x14ac:dyDescent="0.25">
      <c r="B126" s="230" t="s">
        <v>203</v>
      </c>
      <c r="C126" s="226" t="s">
        <v>205</v>
      </c>
    </row>
    <row r="127" spans="2:3" hidden="1" x14ac:dyDescent="0.25">
      <c r="B127" s="230" t="s">
        <v>203</v>
      </c>
      <c r="C127" s="226" t="s">
        <v>206</v>
      </c>
    </row>
    <row r="128" spans="2:3" hidden="1" x14ac:dyDescent="0.25">
      <c r="B128" s="230" t="s">
        <v>203</v>
      </c>
      <c r="C128" s="226" t="s">
        <v>207</v>
      </c>
    </row>
    <row r="129" spans="2:3" hidden="1" x14ac:dyDescent="0.25">
      <c r="B129" s="230" t="s">
        <v>167</v>
      </c>
      <c r="C129" s="226" t="s">
        <v>208</v>
      </c>
    </row>
    <row r="130" spans="2:3" hidden="1" x14ac:dyDescent="0.25">
      <c r="B130" s="230" t="s">
        <v>209</v>
      </c>
      <c r="C130" s="226" t="s">
        <v>210</v>
      </c>
    </row>
    <row r="131" spans="2:3" hidden="1" x14ac:dyDescent="0.25">
      <c r="B131" s="230" t="s">
        <v>203</v>
      </c>
      <c r="C131" s="226" t="s">
        <v>211</v>
      </c>
    </row>
    <row r="132" spans="2:3" hidden="1" x14ac:dyDescent="0.25">
      <c r="B132" s="226"/>
      <c r="C132" s="226"/>
    </row>
    <row r="133" spans="2:3" hidden="1" x14ac:dyDescent="0.25">
      <c r="B133" s="226"/>
      <c r="C133" s="226"/>
    </row>
    <row r="134" spans="2:3" hidden="1" x14ac:dyDescent="0.25">
      <c r="B134" s="232"/>
      <c r="C134" s="232"/>
    </row>
    <row r="135" spans="2:3" hidden="1" x14ac:dyDescent="0.25">
      <c r="B135" s="232">
        <f>NvsElapsedTime</f>
        <v>1.15740767796524E-5</v>
      </c>
      <c r="C135" s="232"/>
    </row>
    <row r="136" spans="2:3" hidden="1" x14ac:dyDescent="0.25">
      <c r="B136" s="233">
        <f>NvsEndTime</f>
        <v>41754.487870370402</v>
      </c>
      <c r="C136" s="233" t="s">
        <v>212</v>
      </c>
    </row>
    <row r="137" spans="2:3" x14ac:dyDescent="0.25">
      <c r="B137" s="226"/>
      <c r="C137" s="234"/>
    </row>
    <row r="138" spans="2:3" x14ac:dyDescent="0.25">
      <c r="B138" s="226"/>
      <c r="C138" s="226"/>
    </row>
    <row r="139" spans="2:3" x14ac:dyDescent="0.25">
      <c r="B139" s="226"/>
      <c r="C139" s="226"/>
    </row>
    <row r="140" spans="2:3" x14ac:dyDescent="0.25">
      <c r="B140" s="226"/>
      <c r="C140" s="226"/>
    </row>
    <row r="141" spans="2:3" x14ac:dyDescent="0.25">
      <c r="B141" s="226"/>
      <c r="C141" s="226"/>
    </row>
    <row r="142" spans="2:3" x14ac:dyDescent="0.25">
      <c r="B142" s="226"/>
      <c r="C142" s="226"/>
    </row>
    <row r="143" spans="2:3" x14ac:dyDescent="0.25">
      <c r="B143" s="226"/>
      <c r="C143" s="226"/>
    </row>
    <row r="144" spans="2:3" x14ac:dyDescent="0.25">
      <c r="B144" s="226"/>
      <c r="C144" s="226"/>
    </row>
    <row r="145" spans="2:3" x14ac:dyDescent="0.25">
      <c r="B145" s="226"/>
      <c r="C145" s="226"/>
    </row>
    <row r="146" spans="2:3" x14ac:dyDescent="0.25">
      <c r="B146" s="226"/>
      <c r="C146" s="226"/>
    </row>
    <row r="147" spans="2:3" x14ac:dyDescent="0.25">
      <c r="B147" s="226"/>
      <c r="C147" s="226"/>
    </row>
    <row r="148" spans="2:3" x14ac:dyDescent="0.25">
      <c r="B148" s="226"/>
      <c r="C148" s="226"/>
    </row>
    <row r="149" spans="2:3" x14ac:dyDescent="0.25">
      <c r="B149" s="226"/>
      <c r="C149" s="226"/>
    </row>
    <row r="150" spans="2:3" x14ac:dyDescent="0.25">
      <c r="B150" s="226"/>
      <c r="C150" s="226"/>
    </row>
    <row r="151" spans="2:3" x14ac:dyDescent="0.25">
      <c r="B151" s="226"/>
      <c r="C151" s="226"/>
    </row>
  </sheetData>
  <mergeCells count="151">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9:W9"/>
    <mergeCell ref="X9:Y9"/>
    <mergeCell ref="Z9:AA9"/>
    <mergeCell ref="V10:W10"/>
    <mergeCell ref="X10:Y10"/>
    <mergeCell ref="Z10:AA10"/>
    <mergeCell ref="V7:W7"/>
    <mergeCell ref="X7:Y7"/>
    <mergeCell ref="Z7:AA7"/>
    <mergeCell ref="AB7:AC7"/>
    <mergeCell ref="V8:W8"/>
    <mergeCell ref="X8:Y8"/>
    <mergeCell ref="Z8:AA8"/>
    <mergeCell ref="W2:AC2"/>
    <mergeCell ref="V3:AC3"/>
    <mergeCell ref="V4:AC4"/>
    <mergeCell ref="V5:W5"/>
    <mergeCell ref="X5:Y5"/>
    <mergeCell ref="V6:AC6"/>
  </mergeCells>
  <printOptions horizontalCentered="1"/>
  <pageMargins left="0" right="0" top="0.67" bottom="0.2" header="0.25" footer="0.196850393700787"/>
  <pageSetup scale="63" fitToWidth="2" fitToHeight="2" orientation="portrait" horizontalDpi="4294967295" verticalDpi="4294967295" r:id="rId1"/>
  <headerFooter alignWithMargins="0">
    <oddHeader>&amp;L&amp;8&amp;F
&amp;D &amp;T</oddHeader>
    <oddFooter>&amp;C&amp;P</oddFooter>
  </headerFooter>
  <rowBreaks count="1" manualBreakCount="1">
    <brk id="51" max="16383"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D151"/>
  <sheetViews>
    <sheetView topLeftCell="B2" zoomScale="70" zoomScaleNormal="70" workbookViewId="0">
      <selection activeCell="B2" sqref="B2"/>
    </sheetView>
  </sheetViews>
  <sheetFormatPr defaultColWidth="8.85546875" defaultRowHeight="15.75" x14ac:dyDescent="0.25"/>
  <cols>
    <col min="1" max="1" width="11.28515625" style="1" hidden="1" customWidth="1"/>
    <col min="2" max="2" width="10.28515625" style="2" customWidth="1"/>
    <col min="3" max="3" width="29" style="1" customWidth="1"/>
    <col min="4" max="5" width="12.28515625" style="1" customWidth="1"/>
    <col min="6" max="6" width="12.28515625" style="1" hidden="1" customWidth="1"/>
    <col min="7" max="7" width="17.7109375" style="1" customWidth="1"/>
    <col min="8" max="8" width="6.7109375" style="1" customWidth="1"/>
    <col min="9" max="9" width="13.85546875" style="1" customWidth="1"/>
    <col min="10" max="10" width="12.85546875" style="1" customWidth="1"/>
    <col min="11" max="11" width="15.5703125" style="1" bestFit="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28515625" style="1" customWidth="1"/>
    <col min="18" max="18" width="8.85546875" style="1"/>
    <col min="19" max="21" width="0" style="1" hidden="1" customWidth="1"/>
    <col min="22" max="23" width="8.85546875" style="1"/>
    <col min="24" max="24" width="12.7109375" style="1" customWidth="1"/>
    <col min="25" max="27" width="8.85546875" style="1"/>
    <col min="28" max="28" width="13.140625" style="1" bestFit="1" customWidth="1"/>
    <col min="29" max="16384" width="8.85546875" style="1"/>
  </cols>
  <sheetData>
    <row r="1" spans="1:30" ht="15.6"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7"/>
      <c r="N2" s="3"/>
      <c r="O2" s="1"/>
      <c r="V2" s="8">
        <f>'3382 June Final'!B2</f>
        <v>50</v>
      </c>
      <c r="W2" s="606" t="s">
        <v>4</v>
      </c>
      <c r="X2" s="607"/>
      <c r="Y2" s="608"/>
      <c r="Z2" s="608"/>
      <c r="AA2" s="608"/>
      <c r="AB2" s="608"/>
      <c r="AC2" s="608"/>
      <c r="AD2" s="9"/>
    </row>
    <row r="3" spans="1:30" ht="20.25" x14ac:dyDescent="0.3">
      <c r="B3" s="10" t="str">
        <f>"Revenue Estimate Worksheet for "&amp;B124</f>
        <v>Revenue Estimate Worksheet for Glades Acad Elem School, Inc</v>
      </c>
      <c r="C3" s="11"/>
      <c r="D3" s="11"/>
      <c r="E3" s="11"/>
      <c r="F3" s="11"/>
      <c r="G3" s="11"/>
      <c r="H3" s="11"/>
      <c r="I3" s="11"/>
      <c r="J3" s="11"/>
      <c r="K3" s="11"/>
      <c r="L3" s="11"/>
      <c r="M3" s="10"/>
      <c r="N3" s="10"/>
      <c r="O3" s="10"/>
      <c r="P3" s="10"/>
      <c r="Q3" s="10"/>
      <c r="V3" s="609" t="s">
        <v>5</v>
      </c>
      <c r="W3" s="609"/>
      <c r="X3" s="609"/>
      <c r="Y3" s="609"/>
      <c r="Z3" s="609"/>
      <c r="AA3" s="609"/>
      <c r="AB3" s="609"/>
      <c r="AC3" s="609"/>
      <c r="AD3" s="12"/>
    </row>
    <row r="4" spans="1:30" ht="18.75" x14ac:dyDescent="0.3">
      <c r="B4" s="2" t="s">
        <v>6</v>
      </c>
      <c r="C4" s="13"/>
      <c r="D4" s="13"/>
      <c r="E4" s="13"/>
      <c r="F4" s="13"/>
      <c r="G4" s="13"/>
      <c r="H4" s="13"/>
      <c r="I4" s="13"/>
      <c r="J4" s="13"/>
      <c r="K4" s="13"/>
      <c r="L4" s="13"/>
      <c r="M4" s="14"/>
      <c r="N4" s="14"/>
      <c r="O4" s="14"/>
      <c r="P4" s="14"/>
      <c r="Q4" s="14"/>
      <c r="V4" s="610" t="str">
        <f>+Based_on_the_Second_Calculation_of_the_FEFP_2010_11</f>
        <v>Based on the Fourth Calculation of the FEFP 2013-14</v>
      </c>
      <c r="W4" s="610"/>
      <c r="X4" s="610"/>
      <c r="Y4" s="610"/>
      <c r="Z4" s="610"/>
      <c r="AA4" s="610"/>
      <c r="AB4" s="610"/>
      <c r="AC4" s="610"/>
      <c r="AD4" s="15"/>
    </row>
    <row r="5" spans="1:30" ht="18.75" customHeight="1" x14ac:dyDescent="0.25">
      <c r="B5" s="16" t="s">
        <v>7</v>
      </c>
      <c r="C5" s="16"/>
      <c r="D5" s="16"/>
      <c r="E5" s="16"/>
      <c r="F5" s="16"/>
      <c r="G5" s="17" t="s">
        <v>8</v>
      </c>
      <c r="H5" s="17"/>
      <c r="I5" s="17"/>
      <c r="J5" s="17"/>
      <c r="K5" s="17"/>
      <c r="L5" s="17"/>
      <c r="M5" s="18"/>
      <c r="N5" s="18"/>
      <c r="O5" s="18"/>
      <c r="P5" s="18"/>
      <c r="Q5" s="18"/>
      <c r="V5" s="611" t="s">
        <v>7</v>
      </c>
      <c r="W5" s="611"/>
      <c r="X5" s="612" t="s">
        <v>8</v>
      </c>
      <c r="Y5" s="612"/>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613" t="s">
        <v>9</v>
      </c>
      <c r="W6" s="613"/>
      <c r="X6" s="613"/>
      <c r="Y6" s="613"/>
      <c r="Z6" s="613"/>
      <c r="AA6" s="613"/>
      <c r="AB6" s="613"/>
      <c r="AC6" s="613"/>
      <c r="AD6" s="22"/>
    </row>
    <row r="7" spans="1:30" ht="18" customHeight="1" x14ac:dyDescent="0.25">
      <c r="B7" s="23" t="s">
        <v>10</v>
      </c>
      <c r="C7" s="23"/>
      <c r="D7" s="23"/>
      <c r="E7" s="23"/>
      <c r="F7" s="23"/>
      <c r="G7" s="24">
        <v>3752.3</v>
      </c>
      <c r="H7" s="24"/>
      <c r="I7" s="23" t="s">
        <v>11</v>
      </c>
      <c r="J7" s="23"/>
      <c r="K7" s="25">
        <v>1.0326</v>
      </c>
      <c r="L7" s="25"/>
      <c r="O7" s="1"/>
      <c r="V7" s="620" t="s">
        <v>10</v>
      </c>
      <c r="W7" s="620"/>
      <c r="X7" s="621">
        <f>'3382 June Final'!G7</f>
        <v>3752.3</v>
      </c>
      <c r="Y7" s="621"/>
      <c r="Z7" s="622" t="s">
        <v>11</v>
      </c>
      <c r="AA7" s="622"/>
      <c r="AB7" s="602">
        <f>+K7</f>
        <v>1.0326</v>
      </c>
      <c r="AC7" s="602"/>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603" t="s">
        <v>12</v>
      </c>
      <c r="W8" s="603"/>
      <c r="X8" s="604" t="s">
        <v>15</v>
      </c>
      <c r="Y8" s="604"/>
      <c r="Z8" s="605" t="s">
        <v>16</v>
      </c>
      <c r="AA8" s="605"/>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614" t="s">
        <v>22</v>
      </c>
      <c r="W9" s="614"/>
      <c r="X9" s="615" t="s">
        <v>23</v>
      </c>
      <c r="Y9" s="615"/>
      <c r="Z9" s="616" t="s">
        <v>24</v>
      </c>
      <c r="AA9" s="616"/>
      <c r="AB9" s="43" t="s">
        <v>25</v>
      </c>
      <c r="AC9" s="44" t="s">
        <v>26</v>
      </c>
      <c r="AD9" s="9"/>
    </row>
    <row r="10" spans="1:30" x14ac:dyDescent="0.25">
      <c r="A10" s="1" t="s">
        <v>27</v>
      </c>
      <c r="B10" s="45" t="s">
        <v>28</v>
      </c>
      <c r="C10" s="45"/>
      <c r="D10" s="45">
        <v>31.1</v>
      </c>
      <c r="E10" s="45">
        <v>29.57</v>
      </c>
      <c r="F10" s="45">
        <v>34.25</v>
      </c>
      <c r="G10" s="46">
        <f t="shared" ref="G10:G25" si="0">D10+E10</f>
        <v>60.67</v>
      </c>
      <c r="H10" s="47"/>
      <c r="I10" s="48">
        <v>1.125</v>
      </c>
      <c r="J10" s="48"/>
      <c r="K10" s="49">
        <f t="shared" ref="K10:K25" si="1">ROUND(G10*I10,4)</f>
        <v>68.253799999999998</v>
      </c>
      <c r="L10" s="50">
        <f t="shared" ref="L10:L25" si="2">ROUND(ROUND(K10*$G$7,4)*($K$7),0)</f>
        <v>264458</v>
      </c>
      <c r="N10" s="51">
        <v>5101</v>
      </c>
      <c r="O10" s="52">
        <v>101</v>
      </c>
      <c r="P10" s="53"/>
      <c r="Q10" s="54"/>
      <c r="V10" s="617" t="s">
        <v>28</v>
      </c>
      <c r="W10" s="617"/>
      <c r="X10" s="618">
        <f>IF('3382 June Final'!K$84=1,'3382 June Final'!G10,0)</f>
        <v>0</v>
      </c>
      <c r="Y10" s="618"/>
      <c r="Z10" s="619">
        <v>1</v>
      </c>
      <c r="AA10" s="619"/>
      <c r="AB10" s="55">
        <f t="shared" ref="AB10:AB25" si="3">ROUND(X10*Z10,4)</f>
        <v>0</v>
      </c>
      <c r="AC10" s="56">
        <f t="shared" ref="AC10:AC25" si="4">ROUND(ROUND(AB10*$X$7,4)*($AB$7),0)</f>
        <v>0</v>
      </c>
      <c r="AD10" s="9">
        <v>1</v>
      </c>
    </row>
    <row r="11" spans="1:30" x14ac:dyDescent="0.25">
      <c r="A11" s="1" t="s">
        <v>29</v>
      </c>
      <c r="B11" s="13" t="s">
        <v>30</v>
      </c>
      <c r="C11" s="13"/>
      <c r="D11" s="13">
        <v>4.99</v>
      </c>
      <c r="E11" s="13">
        <v>4.49</v>
      </c>
      <c r="F11" s="13">
        <v>5.83</v>
      </c>
      <c r="G11" s="46">
        <f t="shared" si="0"/>
        <v>9.48</v>
      </c>
      <c r="H11" s="47"/>
      <c r="I11" s="57">
        <f>I10</f>
        <v>1.125</v>
      </c>
      <c r="J11" s="57"/>
      <c r="K11" s="49">
        <f t="shared" si="1"/>
        <v>10.664999999999999</v>
      </c>
      <c r="L11" s="50">
        <f t="shared" si="2"/>
        <v>41323</v>
      </c>
      <c r="M11" s="1" t="str">
        <f>IF(ROUND(G11,2)=ROUND(SUM(G28:G30),2)," ","CHECK 2. PK-3 Lines Below")</f>
        <v xml:space="preserve"> </v>
      </c>
      <c r="N11" s="51">
        <v>5101</v>
      </c>
      <c r="O11" s="58" t="s">
        <v>31</v>
      </c>
      <c r="P11" s="53"/>
      <c r="Q11" s="54"/>
      <c r="V11" s="623" t="s">
        <v>30</v>
      </c>
      <c r="W11" s="623"/>
      <c r="X11" s="618">
        <f>IF('3382 June Final'!K$84=1,'3382 June Final'!G11,0)</f>
        <v>0</v>
      </c>
      <c r="Y11" s="618"/>
      <c r="Z11" s="624">
        <v>1</v>
      </c>
      <c r="AA11" s="624"/>
      <c r="AB11" s="55">
        <f t="shared" si="3"/>
        <v>0</v>
      </c>
      <c r="AC11" s="56">
        <f t="shared" si="4"/>
        <v>0</v>
      </c>
      <c r="AD11" s="9"/>
    </row>
    <row r="12" spans="1:30" x14ac:dyDescent="0.25">
      <c r="A12" s="1" t="s">
        <v>32</v>
      </c>
      <c r="B12" s="13" t="s">
        <v>33</v>
      </c>
      <c r="C12" s="13"/>
      <c r="D12" s="13">
        <v>16.559999999999999</v>
      </c>
      <c r="E12" s="13">
        <v>15.57</v>
      </c>
      <c r="F12" s="13">
        <v>18.25</v>
      </c>
      <c r="G12" s="46">
        <f t="shared" si="0"/>
        <v>32.129999999999995</v>
      </c>
      <c r="H12" s="47"/>
      <c r="I12" s="57">
        <v>1</v>
      </c>
      <c r="J12" s="57"/>
      <c r="K12" s="49">
        <f t="shared" si="1"/>
        <v>32.130000000000003</v>
      </c>
      <c r="L12" s="50">
        <f t="shared" si="2"/>
        <v>124492</v>
      </c>
      <c r="N12" s="51">
        <v>5102</v>
      </c>
      <c r="O12" s="52">
        <v>102</v>
      </c>
      <c r="P12" s="53"/>
      <c r="Q12" s="54"/>
      <c r="V12" s="623" t="s">
        <v>33</v>
      </c>
      <c r="W12" s="623"/>
      <c r="X12" s="618">
        <f>IF('3382 June Final'!K$84=1,'3382 June Final'!G12,0)</f>
        <v>0</v>
      </c>
      <c r="Y12" s="618"/>
      <c r="Z12" s="624">
        <v>1</v>
      </c>
      <c r="AA12" s="624"/>
      <c r="AB12" s="55">
        <f t="shared" si="3"/>
        <v>0</v>
      </c>
      <c r="AC12" s="56">
        <f t="shared" si="4"/>
        <v>0</v>
      </c>
      <c r="AD12" s="9"/>
    </row>
    <row r="13" spans="1:30" x14ac:dyDescent="0.25">
      <c r="A13" s="1" t="s">
        <v>34</v>
      </c>
      <c r="B13" s="13" t="s">
        <v>35</v>
      </c>
      <c r="C13" s="13"/>
      <c r="D13" s="13">
        <v>6</v>
      </c>
      <c r="E13" s="13">
        <v>5.5</v>
      </c>
      <c r="F13" s="13">
        <v>7.05</v>
      </c>
      <c r="G13" s="46">
        <f t="shared" si="0"/>
        <v>11.5</v>
      </c>
      <c r="H13" s="47"/>
      <c r="I13" s="57">
        <f>I12</f>
        <v>1</v>
      </c>
      <c r="J13" s="57"/>
      <c r="K13" s="49">
        <f t="shared" si="1"/>
        <v>11.5</v>
      </c>
      <c r="L13" s="50">
        <f t="shared" si="2"/>
        <v>44558</v>
      </c>
      <c r="M13" s="1" t="str">
        <f>IF(ROUND(G13,2)=ROUND(SUM(G31:G33),2)," ","CHECK 2. PK-3 Lines Below")</f>
        <v xml:space="preserve"> </v>
      </c>
      <c r="N13" s="51">
        <v>5102</v>
      </c>
      <c r="O13" s="58" t="s">
        <v>36</v>
      </c>
      <c r="P13" s="53"/>
      <c r="Q13" s="54"/>
      <c r="V13" s="623" t="s">
        <v>35</v>
      </c>
      <c r="W13" s="623"/>
      <c r="X13" s="618">
        <f>IF('3382 June Final'!K$84=1,'3382 June Final'!G13,0)</f>
        <v>0</v>
      </c>
      <c r="Y13" s="618"/>
      <c r="Z13" s="624">
        <v>1</v>
      </c>
      <c r="AA13" s="624"/>
      <c r="AB13" s="55">
        <f t="shared" si="3"/>
        <v>0</v>
      </c>
      <c r="AC13" s="56">
        <f t="shared" si="4"/>
        <v>0</v>
      </c>
      <c r="AD13" s="9"/>
    </row>
    <row r="14" spans="1:30" x14ac:dyDescent="0.25">
      <c r="A14" s="1" t="s">
        <v>37</v>
      </c>
      <c r="B14" s="13" t="s">
        <v>38</v>
      </c>
      <c r="C14" s="13"/>
      <c r="D14" s="13">
        <v>0</v>
      </c>
      <c r="E14" s="13">
        <v>0</v>
      </c>
      <c r="F14" s="13">
        <v>0</v>
      </c>
      <c r="G14" s="46">
        <f t="shared" si="0"/>
        <v>0</v>
      </c>
      <c r="H14" s="47"/>
      <c r="I14" s="57">
        <v>1.0109999999999999</v>
      </c>
      <c r="J14" s="57"/>
      <c r="K14" s="49">
        <f t="shared" si="1"/>
        <v>0</v>
      </c>
      <c r="L14" s="50">
        <f t="shared" si="2"/>
        <v>0</v>
      </c>
      <c r="N14" s="51">
        <v>5103</v>
      </c>
      <c r="O14" s="52">
        <v>103</v>
      </c>
      <c r="P14" s="53"/>
      <c r="Q14" s="54"/>
      <c r="V14" s="623" t="s">
        <v>38</v>
      </c>
      <c r="W14" s="623"/>
      <c r="X14" s="618">
        <f>IF('3382 June Final'!K$84=1,'3382 June Final'!G14,0)</f>
        <v>0</v>
      </c>
      <c r="Y14" s="618"/>
      <c r="Z14" s="624">
        <v>1</v>
      </c>
      <c r="AA14" s="624"/>
      <c r="AB14" s="55">
        <f t="shared" si="3"/>
        <v>0</v>
      </c>
      <c r="AC14" s="56">
        <f t="shared" si="4"/>
        <v>0</v>
      </c>
      <c r="AD14" s="9"/>
    </row>
    <row r="15" spans="1:30" x14ac:dyDescent="0.25">
      <c r="A15" s="1" t="s">
        <v>39</v>
      </c>
      <c r="B15" s="13" t="s">
        <v>40</v>
      </c>
      <c r="C15" s="13"/>
      <c r="D15" s="13">
        <v>0</v>
      </c>
      <c r="E15" s="13">
        <v>0</v>
      </c>
      <c r="F15" s="13">
        <v>0</v>
      </c>
      <c r="G15" s="46">
        <f t="shared" si="0"/>
        <v>0</v>
      </c>
      <c r="H15" s="47"/>
      <c r="I15" s="57">
        <f>I14</f>
        <v>1.0109999999999999</v>
      </c>
      <c r="J15" s="57"/>
      <c r="K15" s="49">
        <f t="shared" si="1"/>
        <v>0</v>
      </c>
      <c r="L15" s="59">
        <f t="shared" si="2"/>
        <v>0</v>
      </c>
      <c r="M15" s="1" t="str">
        <f>IF(ROUND(G15,2)=ROUND(SUM(G34:G36),2)," ","CHECK 2. PK-3 Lines Below")</f>
        <v xml:space="preserve"> </v>
      </c>
      <c r="N15" s="51">
        <v>5103</v>
      </c>
      <c r="O15" s="58" t="s">
        <v>41</v>
      </c>
      <c r="P15" s="53"/>
      <c r="Q15" s="54"/>
      <c r="V15" s="623" t="s">
        <v>40</v>
      </c>
      <c r="W15" s="623"/>
      <c r="X15" s="618">
        <f>IF('3382 June Final'!K$84=1,'3382 June Final'!G15,0)</f>
        <v>0</v>
      </c>
      <c r="Y15" s="618"/>
      <c r="Z15" s="624">
        <v>1</v>
      </c>
      <c r="AA15" s="624"/>
      <c r="AB15" s="55">
        <f t="shared" si="3"/>
        <v>0</v>
      </c>
      <c r="AC15" s="60">
        <f t="shared" si="4"/>
        <v>0</v>
      </c>
      <c r="AD15" s="9"/>
    </row>
    <row r="16" spans="1:30" x14ac:dyDescent="0.25">
      <c r="A16" s="1" t="s">
        <v>42</v>
      </c>
      <c r="B16" s="13" t="s">
        <v>43</v>
      </c>
      <c r="C16" s="13"/>
      <c r="D16" s="13">
        <v>0</v>
      </c>
      <c r="E16" s="13">
        <v>0</v>
      </c>
      <c r="F16" s="13">
        <v>0</v>
      </c>
      <c r="G16" s="46">
        <f t="shared" si="0"/>
        <v>0</v>
      </c>
      <c r="H16" s="47"/>
      <c r="I16" s="57">
        <v>3.5579999999999998</v>
      </c>
      <c r="J16" s="57"/>
      <c r="K16" s="49">
        <f t="shared" si="1"/>
        <v>0</v>
      </c>
      <c r="L16" s="50">
        <f t="shared" si="2"/>
        <v>0</v>
      </c>
      <c r="N16" s="51">
        <v>5101</v>
      </c>
      <c r="O16" s="53">
        <v>254</v>
      </c>
      <c r="P16" s="53"/>
      <c r="Q16" s="54"/>
      <c r="V16" s="623" t="s">
        <v>43</v>
      </c>
      <c r="W16" s="623"/>
      <c r="X16" s="618">
        <f>IF('3382 June Final'!K$84=1,'3382 June Final'!G16,0)</f>
        <v>0</v>
      </c>
      <c r="Y16" s="618"/>
      <c r="Z16" s="624">
        <v>1</v>
      </c>
      <c r="AA16" s="624"/>
      <c r="AB16" s="55">
        <f t="shared" si="3"/>
        <v>0</v>
      </c>
      <c r="AC16" s="56">
        <f t="shared" si="4"/>
        <v>0</v>
      </c>
      <c r="AD16" s="9"/>
    </row>
    <row r="17" spans="1:30" x14ac:dyDescent="0.25">
      <c r="A17" s="1" t="s">
        <v>44</v>
      </c>
      <c r="B17" s="13" t="s">
        <v>45</v>
      </c>
      <c r="C17" s="13"/>
      <c r="D17" s="13">
        <v>0</v>
      </c>
      <c r="E17" s="13">
        <v>0</v>
      </c>
      <c r="F17" s="13">
        <v>0</v>
      </c>
      <c r="G17" s="46">
        <f t="shared" si="0"/>
        <v>0</v>
      </c>
      <c r="H17" s="47"/>
      <c r="I17" s="57">
        <f>I16</f>
        <v>3.5579999999999998</v>
      </c>
      <c r="J17" s="57"/>
      <c r="K17" s="49">
        <f t="shared" si="1"/>
        <v>0</v>
      </c>
      <c r="L17" s="50">
        <f t="shared" si="2"/>
        <v>0</v>
      </c>
      <c r="N17" s="51">
        <v>5102</v>
      </c>
      <c r="O17" s="54">
        <v>254</v>
      </c>
      <c r="P17" s="53"/>
      <c r="Q17" s="54"/>
      <c r="V17" s="623" t="s">
        <v>45</v>
      </c>
      <c r="W17" s="623"/>
      <c r="X17" s="618">
        <f>IF('3382 June Final'!K$84=1,'3382 June Final'!G17,0)</f>
        <v>0</v>
      </c>
      <c r="Y17" s="618"/>
      <c r="Z17" s="624">
        <v>1</v>
      </c>
      <c r="AA17" s="624"/>
      <c r="AB17" s="55">
        <f t="shared" si="3"/>
        <v>0</v>
      </c>
      <c r="AC17" s="56">
        <f t="shared" si="4"/>
        <v>0</v>
      </c>
      <c r="AD17" s="9"/>
    </row>
    <row r="18" spans="1:30" x14ac:dyDescent="0.25">
      <c r="A18" s="1" t="s">
        <v>46</v>
      </c>
      <c r="B18" s="13" t="s">
        <v>47</v>
      </c>
      <c r="C18" s="13"/>
      <c r="D18" s="13">
        <v>0</v>
      </c>
      <c r="E18" s="13">
        <v>0</v>
      </c>
      <c r="F18" s="13">
        <v>0</v>
      </c>
      <c r="G18" s="46">
        <f t="shared" si="0"/>
        <v>0</v>
      </c>
      <c r="H18" s="47"/>
      <c r="I18" s="57">
        <f>I17</f>
        <v>3.5579999999999998</v>
      </c>
      <c r="J18" s="57"/>
      <c r="K18" s="49">
        <f t="shared" si="1"/>
        <v>0</v>
      </c>
      <c r="L18" s="50">
        <f t="shared" si="2"/>
        <v>0</v>
      </c>
      <c r="N18" s="51">
        <v>5103</v>
      </c>
      <c r="O18" s="54">
        <v>254</v>
      </c>
      <c r="P18" s="53"/>
      <c r="Q18" s="54"/>
      <c r="V18" s="623" t="s">
        <v>47</v>
      </c>
      <c r="W18" s="623"/>
      <c r="X18" s="618">
        <f>IF('3382 June Final'!K$84=1,'3382 June Final'!G18,0)</f>
        <v>0</v>
      </c>
      <c r="Y18" s="618"/>
      <c r="Z18" s="624">
        <v>1</v>
      </c>
      <c r="AA18" s="624"/>
      <c r="AB18" s="55">
        <f t="shared" si="3"/>
        <v>0</v>
      </c>
      <c r="AC18" s="56">
        <f t="shared" si="4"/>
        <v>0</v>
      </c>
      <c r="AD18" s="9"/>
    </row>
    <row r="19" spans="1:30" ht="15" customHeight="1" x14ac:dyDescent="0.25">
      <c r="A19" s="1" t="s">
        <v>48</v>
      </c>
      <c r="B19" s="13" t="s">
        <v>49</v>
      </c>
      <c r="C19" s="13"/>
      <c r="D19" s="13">
        <v>0</v>
      </c>
      <c r="E19" s="13">
        <v>0</v>
      </c>
      <c r="F19" s="13">
        <v>0</v>
      </c>
      <c r="G19" s="46">
        <f t="shared" si="0"/>
        <v>0</v>
      </c>
      <c r="H19" s="47"/>
      <c r="I19" s="57">
        <v>5.0890000000000004</v>
      </c>
      <c r="J19" s="57"/>
      <c r="K19" s="49">
        <f t="shared" si="1"/>
        <v>0</v>
      </c>
      <c r="L19" s="50">
        <f t="shared" si="2"/>
        <v>0</v>
      </c>
      <c r="N19" s="51">
        <v>5101</v>
      </c>
      <c r="O19" s="53">
        <v>255</v>
      </c>
      <c r="P19" s="53"/>
      <c r="Q19" s="54"/>
      <c r="V19" s="623" t="s">
        <v>49</v>
      </c>
      <c r="W19" s="623"/>
      <c r="X19" s="618">
        <f>IF('3382 June Final'!K$84=1,'3382 June Final'!G19,0)</f>
        <v>0</v>
      </c>
      <c r="Y19" s="618"/>
      <c r="Z19" s="624">
        <v>1</v>
      </c>
      <c r="AA19" s="624"/>
      <c r="AB19" s="55">
        <f t="shared" si="3"/>
        <v>0</v>
      </c>
      <c r="AC19" s="56">
        <f t="shared" si="4"/>
        <v>0</v>
      </c>
      <c r="AD19" s="9"/>
    </row>
    <row r="20" spans="1:30" ht="15" customHeight="1" x14ac:dyDescent="0.25">
      <c r="A20" s="1" t="s">
        <v>50</v>
      </c>
      <c r="B20" s="13" t="s">
        <v>51</v>
      </c>
      <c r="C20" s="13"/>
      <c r="D20" s="13">
        <v>0</v>
      </c>
      <c r="E20" s="13">
        <v>0</v>
      </c>
      <c r="F20" s="13">
        <v>0</v>
      </c>
      <c r="G20" s="46">
        <f t="shared" si="0"/>
        <v>0</v>
      </c>
      <c r="H20" s="47"/>
      <c r="I20" s="57">
        <f>I19</f>
        <v>5.0890000000000004</v>
      </c>
      <c r="J20" s="57"/>
      <c r="K20" s="49">
        <f t="shared" si="1"/>
        <v>0</v>
      </c>
      <c r="L20" s="50">
        <f t="shared" si="2"/>
        <v>0</v>
      </c>
      <c r="N20" s="51">
        <v>5102</v>
      </c>
      <c r="O20" s="54">
        <v>255</v>
      </c>
      <c r="P20" s="53"/>
      <c r="Q20" s="54"/>
      <c r="V20" s="623" t="s">
        <v>51</v>
      </c>
      <c r="W20" s="623"/>
      <c r="X20" s="618">
        <f>IF('3382 June Final'!K$84=1,'3382 June Final'!G20,0)</f>
        <v>0</v>
      </c>
      <c r="Y20" s="618"/>
      <c r="Z20" s="624">
        <v>1</v>
      </c>
      <c r="AA20" s="624"/>
      <c r="AB20" s="55">
        <f t="shared" si="3"/>
        <v>0</v>
      </c>
      <c r="AC20" s="56">
        <f t="shared" si="4"/>
        <v>0</v>
      </c>
      <c r="AD20" s="9"/>
    </row>
    <row r="21" spans="1:30" ht="15" customHeight="1" x14ac:dyDescent="0.25">
      <c r="A21" s="1" t="s">
        <v>52</v>
      </c>
      <c r="B21" s="13" t="s">
        <v>53</v>
      </c>
      <c r="C21" s="13"/>
      <c r="D21" s="13">
        <v>0</v>
      </c>
      <c r="E21" s="13">
        <v>0</v>
      </c>
      <c r="F21" s="13">
        <v>0</v>
      </c>
      <c r="G21" s="46">
        <f t="shared" si="0"/>
        <v>0</v>
      </c>
      <c r="H21" s="47"/>
      <c r="I21" s="57">
        <f>I20</f>
        <v>5.0890000000000004</v>
      </c>
      <c r="J21" s="57"/>
      <c r="K21" s="49">
        <f t="shared" si="1"/>
        <v>0</v>
      </c>
      <c r="L21" s="50">
        <f t="shared" si="2"/>
        <v>0</v>
      </c>
      <c r="N21" s="51">
        <v>5103</v>
      </c>
      <c r="O21" s="54">
        <v>255</v>
      </c>
      <c r="P21" s="53"/>
      <c r="Q21" s="54"/>
      <c r="V21" s="623" t="s">
        <v>53</v>
      </c>
      <c r="W21" s="623"/>
      <c r="X21" s="618">
        <f>IF('3382 June Final'!K$84=1,'3382 June Final'!G21,0)</f>
        <v>0</v>
      </c>
      <c r="Y21" s="618"/>
      <c r="Z21" s="624">
        <v>1</v>
      </c>
      <c r="AA21" s="624"/>
      <c r="AB21" s="55">
        <f t="shared" si="3"/>
        <v>0</v>
      </c>
      <c r="AC21" s="56">
        <f t="shared" si="4"/>
        <v>0</v>
      </c>
      <c r="AD21" s="9"/>
    </row>
    <row r="22" spans="1:30" x14ac:dyDescent="0.25">
      <c r="A22" s="1" t="s">
        <v>54</v>
      </c>
      <c r="B22" s="13" t="s">
        <v>55</v>
      </c>
      <c r="C22" s="13"/>
      <c r="D22" s="13">
        <v>1.36</v>
      </c>
      <c r="E22" s="13">
        <v>1.36</v>
      </c>
      <c r="F22" s="13">
        <v>2.5</v>
      </c>
      <c r="G22" s="46">
        <f t="shared" si="0"/>
        <v>2.72</v>
      </c>
      <c r="H22" s="47"/>
      <c r="I22" s="57">
        <v>1.145</v>
      </c>
      <c r="J22" s="57"/>
      <c r="K22" s="49">
        <f t="shared" si="1"/>
        <v>3.1143999999999998</v>
      </c>
      <c r="L22" s="50">
        <f t="shared" si="2"/>
        <v>12067</v>
      </c>
      <c r="N22" s="51">
        <v>5101</v>
      </c>
      <c r="O22" s="52">
        <v>130</v>
      </c>
      <c r="P22" s="53"/>
      <c r="Q22" s="54"/>
      <c r="V22" s="623" t="s">
        <v>55</v>
      </c>
      <c r="W22" s="623"/>
      <c r="X22" s="618">
        <f>IF('3382 June Final'!K$84=1,'3382 June Final'!G22,0)</f>
        <v>0</v>
      </c>
      <c r="Y22" s="618"/>
      <c r="Z22" s="624">
        <v>1</v>
      </c>
      <c r="AA22" s="624"/>
      <c r="AB22" s="55">
        <f t="shared" si="3"/>
        <v>0</v>
      </c>
      <c r="AC22" s="56">
        <f t="shared" si="4"/>
        <v>0</v>
      </c>
      <c r="AD22" s="9"/>
    </row>
    <row r="23" spans="1:30" x14ac:dyDescent="0.25">
      <c r="A23" s="1" t="s">
        <v>56</v>
      </c>
      <c r="B23" s="13" t="s">
        <v>57</v>
      </c>
      <c r="C23" s="13"/>
      <c r="D23" s="13">
        <v>0.9</v>
      </c>
      <c r="E23" s="13">
        <v>0.9</v>
      </c>
      <c r="F23" s="13">
        <v>0</v>
      </c>
      <c r="G23" s="46">
        <f t="shared" si="0"/>
        <v>1.8</v>
      </c>
      <c r="H23" s="47"/>
      <c r="I23" s="57">
        <f>I22</f>
        <v>1.145</v>
      </c>
      <c r="J23" s="57"/>
      <c r="K23" s="49">
        <f t="shared" si="1"/>
        <v>2.0609999999999999</v>
      </c>
      <c r="L23" s="50">
        <f t="shared" si="2"/>
        <v>7986</v>
      </c>
      <c r="N23" s="51">
        <v>5102</v>
      </c>
      <c r="O23" s="52">
        <v>130</v>
      </c>
      <c r="P23" s="53"/>
      <c r="Q23" s="54"/>
      <c r="V23" s="623" t="s">
        <v>57</v>
      </c>
      <c r="W23" s="623"/>
      <c r="X23" s="618">
        <f>IF('3382 June Final'!K$84=1,'3382 June Final'!G23,0)</f>
        <v>0</v>
      </c>
      <c r="Y23" s="618"/>
      <c r="Z23" s="624">
        <v>1</v>
      </c>
      <c r="AA23" s="624"/>
      <c r="AB23" s="55">
        <f t="shared" si="3"/>
        <v>0</v>
      </c>
      <c r="AC23" s="56">
        <f t="shared" si="4"/>
        <v>0</v>
      </c>
      <c r="AD23" s="9"/>
    </row>
    <row r="24" spans="1:30" x14ac:dyDescent="0.25">
      <c r="A24" s="1" t="s">
        <v>58</v>
      </c>
      <c r="B24" s="13" t="s">
        <v>59</v>
      </c>
      <c r="C24" s="13"/>
      <c r="D24" s="13">
        <v>0</v>
      </c>
      <c r="E24" s="13">
        <v>0</v>
      </c>
      <c r="F24" s="13">
        <v>0</v>
      </c>
      <c r="G24" s="46">
        <f t="shared" si="0"/>
        <v>0</v>
      </c>
      <c r="H24" s="47"/>
      <c r="I24" s="57">
        <f>I23</f>
        <v>1.145</v>
      </c>
      <c r="J24" s="57"/>
      <c r="K24" s="49">
        <f t="shared" si="1"/>
        <v>0</v>
      </c>
      <c r="L24" s="50">
        <f t="shared" si="2"/>
        <v>0</v>
      </c>
      <c r="N24" s="51">
        <v>5103</v>
      </c>
      <c r="O24" s="52">
        <v>130</v>
      </c>
      <c r="P24" s="53"/>
      <c r="Q24" s="54"/>
      <c r="V24" s="623" t="s">
        <v>59</v>
      </c>
      <c r="W24" s="623"/>
      <c r="X24" s="618">
        <f>IF('3382 June Final'!K$84=1,'3382 June Final'!G24,0)</f>
        <v>0</v>
      </c>
      <c r="Y24" s="618"/>
      <c r="Z24" s="624">
        <v>1</v>
      </c>
      <c r="AA24" s="624"/>
      <c r="AB24" s="55">
        <f t="shared" si="3"/>
        <v>0</v>
      </c>
      <c r="AC24" s="56">
        <f t="shared" si="4"/>
        <v>0</v>
      </c>
      <c r="AD24" s="9"/>
    </row>
    <row r="25" spans="1:30" ht="16.5" thickBot="1" x14ac:dyDescent="0.3">
      <c r="A25" s="1" t="s">
        <v>60</v>
      </c>
      <c r="B25" s="13" t="s">
        <v>61</v>
      </c>
      <c r="C25" s="13"/>
      <c r="D25" s="13">
        <v>0</v>
      </c>
      <c r="E25" s="13">
        <v>0</v>
      </c>
      <c r="F25" s="13">
        <v>0</v>
      </c>
      <c r="G25" s="46">
        <f t="shared" si="0"/>
        <v>0</v>
      </c>
      <c r="H25" s="47"/>
      <c r="I25" s="57">
        <v>1.0109999999999999</v>
      </c>
      <c r="J25" s="57"/>
      <c r="K25" s="49">
        <f t="shared" si="1"/>
        <v>0</v>
      </c>
      <c r="L25" s="50">
        <f t="shared" si="2"/>
        <v>0</v>
      </c>
      <c r="N25" s="51">
        <v>5310</v>
      </c>
      <c r="O25" s="52">
        <v>300</v>
      </c>
      <c r="P25" s="53"/>
      <c r="Q25" s="54"/>
      <c r="V25" s="623" t="s">
        <v>61</v>
      </c>
      <c r="W25" s="623"/>
      <c r="X25" s="618">
        <f>IF('3382 June Final'!K$84=1,'3382 June Final'!G25,0)</f>
        <v>0</v>
      </c>
      <c r="Y25" s="618"/>
      <c r="Z25" s="624">
        <v>1</v>
      </c>
      <c r="AA25" s="624"/>
      <c r="AB25" s="55">
        <f t="shared" si="3"/>
        <v>0</v>
      </c>
      <c r="AC25" s="56">
        <f t="shared" si="4"/>
        <v>0</v>
      </c>
      <c r="AD25" s="9"/>
    </row>
    <row r="26" spans="1:30" ht="20.25" customHeight="1" thickBot="1" x14ac:dyDescent="0.3">
      <c r="B26" s="62" t="s">
        <v>62</v>
      </c>
      <c r="C26" s="62"/>
      <c r="D26" s="63">
        <f>SUM(D10:D25)</f>
        <v>60.910000000000004</v>
      </c>
      <c r="E26" s="63">
        <f>SUM(E10:E25)</f>
        <v>57.39</v>
      </c>
      <c r="F26" s="63"/>
      <c r="G26" s="63">
        <f>SUM(G10:G25)</f>
        <v>118.3</v>
      </c>
      <c r="H26" s="64"/>
      <c r="I26" s="64"/>
      <c r="J26" s="65"/>
      <c r="K26" s="66">
        <f>SUM(K10:K25)</f>
        <v>127.7242</v>
      </c>
      <c r="L26" s="67">
        <f>SUM(L10:L25)</f>
        <v>494884</v>
      </c>
      <c r="N26" s="54"/>
      <c r="O26" s="68"/>
      <c r="P26" s="54"/>
      <c r="Q26" s="54"/>
      <c r="V26" s="625" t="s">
        <v>62</v>
      </c>
      <c r="W26" s="625"/>
      <c r="X26" s="626">
        <f>SUM(X10:X25)</f>
        <v>0</v>
      </c>
      <c r="Y26" s="626"/>
      <c r="Z26" s="627"/>
      <c r="AA26" s="628"/>
      <c r="AB26" s="69">
        <f>SUM(AB10:AB25)</f>
        <v>0</v>
      </c>
      <c r="AC26" s="70">
        <f>SUM(AC10:AC25)</f>
        <v>0</v>
      </c>
      <c r="AD26" s="9"/>
    </row>
    <row r="27" spans="1:30" ht="51.75" customHeight="1" x14ac:dyDescent="0.25">
      <c r="B27" s="62" t="s">
        <v>63</v>
      </c>
      <c r="C27" s="62"/>
      <c r="D27" s="71" t="s">
        <v>13</v>
      </c>
      <c r="E27" s="71" t="s">
        <v>14</v>
      </c>
      <c r="F27" s="27"/>
      <c r="G27" s="72" t="s">
        <v>64</v>
      </c>
      <c r="H27" s="73"/>
      <c r="I27" s="74" t="s">
        <v>65</v>
      </c>
      <c r="J27" s="74" t="s">
        <v>66</v>
      </c>
      <c r="K27" s="75" t="s">
        <v>67</v>
      </c>
      <c r="N27" s="54"/>
      <c r="O27" s="68"/>
      <c r="P27" s="54"/>
      <c r="Q27" s="54"/>
      <c r="V27" s="629" t="s">
        <v>63</v>
      </c>
      <c r="W27" s="629"/>
      <c r="X27" s="630" t="s">
        <v>64</v>
      </c>
      <c r="Y27" s="630"/>
      <c r="Z27" s="76" t="s">
        <v>65</v>
      </c>
      <c r="AA27" s="77" t="s">
        <v>66</v>
      </c>
      <c r="AB27" s="78" t="s">
        <v>67</v>
      </c>
      <c r="AC27" s="9"/>
      <c r="AD27" s="9"/>
    </row>
    <row r="28" spans="1:30" ht="15.75" customHeight="1" x14ac:dyDescent="0.25">
      <c r="A28" s="1" t="s">
        <v>68</v>
      </c>
      <c r="B28" s="631" t="s">
        <v>69</v>
      </c>
      <c r="C28" s="632"/>
      <c r="D28" s="13">
        <v>4.49</v>
      </c>
      <c r="E28" s="13">
        <v>4.4800000000000004</v>
      </c>
      <c r="F28" s="79">
        <v>6.5</v>
      </c>
      <c r="G28" s="46">
        <f t="shared" ref="G28:G36" si="5">D28+E28</f>
        <v>8.9700000000000006</v>
      </c>
      <c r="H28" s="80"/>
      <c r="I28" s="81" t="s">
        <v>70</v>
      </c>
      <c r="J28" s="82">
        <v>251</v>
      </c>
      <c r="K28" s="83">
        <v>1047</v>
      </c>
      <c r="L28" s="84">
        <f t="shared" ref="L28:L36" si="6">ROUND(G28*K28,0)</f>
        <v>9392</v>
      </c>
      <c r="N28" s="337">
        <v>5101</v>
      </c>
      <c r="O28" s="54">
        <v>251</v>
      </c>
      <c r="P28" s="86"/>
      <c r="Q28" s="87"/>
      <c r="V28" s="637" t="s">
        <v>69</v>
      </c>
      <c r="W28" s="637"/>
      <c r="X28" s="638"/>
      <c r="Y28" s="638"/>
      <c r="Z28" s="88" t="s">
        <v>70</v>
      </c>
      <c r="AA28" s="330">
        <v>251</v>
      </c>
      <c r="AB28" s="90">
        <f t="shared" ref="AB28:AB36" si="7">+K28</f>
        <v>1047</v>
      </c>
      <c r="AC28" s="91">
        <f t="shared" ref="AC28:AC36" si="8">ROUND(X28*AB28,0)</f>
        <v>0</v>
      </c>
      <c r="AD28" s="9"/>
    </row>
    <row r="29" spans="1:30" x14ac:dyDescent="0.25">
      <c r="A29" s="1" t="s">
        <v>71</v>
      </c>
      <c r="B29" s="633"/>
      <c r="C29" s="634"/>
      <c r="D29" s="13">
        <v>0.5</v>
      </c>
      <c r="E29" s="13">
        <v>0.01</v>
      </c>
      <c r="F29" s="92">
        <v>0.5</v>
      </c>
      <c r="G29" s="46">
        <f t="shared" si="5"/>
        <v>0.51</v>
      </c>
      <c r="H29" s="80"/>
      <c r="I29" s="82" t="s">
        <v>70</v>
      </c>
      <c r="J29" s="82">
        <v>252</v>
      </c>
      <c r="K29" s="83">
        <v>3380</v>
      </c>
      <c r="L29" s="84">
        <f t="shared" si="6"/>
        <v>1724</v>
      </c>
      <c r="N29" s="337">
        <v>5101</v>
      </c>
      <c r="O29" s="54">
        <v>252</v>
      </c>
      <c r="P29" s="86"/>
      <c r="Q29" s="87"/>
      <c r="V29" s="637"/>
      <c r="W29" s="637"/>
      <c r="X29" s="638"/>
      <c r="Y29" s="638"/>
      <c r="Z29" s="330" t="s">
        <v>70</v>
      </c>
      <c r="AA29" s="330">
        <v>252</v>
      </c>
      <c r="AB29" s="90">
        <f t="shared" si="7"/>
        <v>3380</v>
      </c>
      <c r="AC29" s="91">
        <f t="shared" si="8"/>
        <v>0</v>
      </c>
      <c r="AD29" s="9"/>
    </row>
    <row r="30" spans="1:30" x14ac:dyDescent="0.25">
      <c r="A30" s="1" t="s">
        <v>72</v>
      </c>
      <c r="B30" s="633"/>
      <c r="C30" s="634"/>
      <c r="D30" s="13">
        <v>0</v>
      </c>
      <c r="E30" s="13">
        <v>0</v>
      </c>
      <c r="F30" s="92">
        <v>0</v>
      </c>
      <c r="G30" s="46">
        <f t="shared" si="5"/>
        <v>0</v>
      </c>
      <c r="H30" s="80"/>
      <c r="I30" s="82" t="s">
        <v>70</v>
      </c>
      <c r="J30" s="82">
        <v>253</v>
      </c>
      <c r="K30" s="83">
        <v>6896</v>
      </c>
      <c r="L30" s="84">
        <f t="shared" si="6"/>
        <v>0</v>
      </c>
      <c r="N30" s="337">
        <v>5101</v>
      </c>
      <c r="O30" s="54">
        <v>253</v>
      </c>
      <c r="P30" s="86"/>
      <c r="Q30" s="68"/>
      <c r="V30" s="637"/>
      <c r="W30" s="637"/>
      <c r="X30" s="638"/>
      <c r="Y30" s="638"/>
      <c r="Z30" s="330" t="s">
        <v>70</v>
      </c>
      <c r="AA30" s="330">
        <v>253</v>
      </c>
      <c r="AB30" s="90">
        <f t="shared" si="7"/>
        <v>6896</v>
      </c>
      <c r="AC30" s="91">
        <f t="shared" si="8"/>
        <v>0</v>
      </c>
      <c r="AD30" s="9"/>
    </row>
    <row r="31" spans="1:30" x14ac:dyDescent="0.25">
      <c r="A31" s="1" t="s">
        <v>73</v>
      </c>
      <c r="B31" s="633"/>
      <c r="C31" s="634"/>
      <c r="D31" s="13">
        <v>5.5</v>
      </c>
      <c r="E31" s="13">
        <v>5</v>
      </c>
      <c r="F31" s="92">
        <v>2</v>
      </c>
      <c r="G31" s="46">
        <f t="shared" si="5"/>
        <v>10.5</v>
      </c>
      <c r="H31" s="80"/>
      <c r="I31" s="93" t="s">
        <v>74</v>
      </c>
      <c r="J31" s="82">
        <v>251</v>
      </c>
      <c r="K31" s="83">
        <v>1173</v>
      </c>
      <c r="L31" s="84">
        <f t="shared" si="6"/>
        <v>12317</v>
      </c>
      <c r="N31" s="337">
        <v>5102</v>
      </c>
      <c r="O31" s="54">
        <v>251</v>
      </c>
      <c r="P31" s="86"/>
      <c r="Q31" s="68"/>
      <c r="V31" s="637"/>
      <c r="W31" s="637"/>
      <c r="X31" s="638"/>
      <c r="Y31" s="638"/>
      <c r="Z31" s="94" t="s">
        <v>74</v>
      </c>
      <c r="AA31" s="330">
        <v>251</v>
      </c>
      <c r="AB31" s="90">
        <f t="shared" si="7"/>
        <v>1173</v>
      </c>
      <c r="AC31" s="91">
        <f t="shared" si="8"/>
        <v>0</v>
      </c>
      <c r="AD31" s="9"/>
    </row>
    <row r="32" spans="1:30" x14ac:dyDescent="0.25">
      <c r="A32" s="1" t="s">
        <v>75</v>
      </c>
      <c r="B32" s="633"/>
      <c r="C32" s="634"/>
      <c r="D32" s="13">
        <v>0.5</v>
      </c>
      <c r="E32" s="13">
        <v>0.5</v>
      </c>
      <c r="F32" s="92">
        <v>0</v>
      </c>
      <c r="G32" s="46">
        <f t="shared" si="5"/>
        <v>1</v>
      </c>
      <c r="H32" s="80"/>
      <c r="I32" s="93" t="s">
        <v>74</v>
      </c>
      <c r="J32" s="82">
        <v>252</v>
      </c>
      <c r="K32" s="83">
        <v>3506</v>
      </c>
      <c r="L32" s="84">
        <f t="shared" si="6"/>
        <v>3506</v>
      </c>
      <c r="N32" s="337">
        <v>5102</v>
      </c>
      <c r="O32" s="54">
        <v>252</v>
      </c>
      <c r="P32" s="86"/>
      <c r="Q32" s="54"/>
      <c r="V32" s="637"/>
      <c r="W32" s="637"/>
      <c r="X32" s="638"/>
      <c r="Y32" s="638"/>
      <c r="Z32" s="94" t="s">
        <v>74</v>
      </c>
      <c r="AA32" s="330">
        <v>252</v>
      </c>
      <c r="AB32" s="90">
        <f t="shared" si="7"/>
        <v>3506</v>
      </c>
      <c r="AC32" s="91">
        <f t="shared" si="8"/>
        <v>0</v>
      </c>
      <c r="AD32" s="9"/>
    </row>
    <row r="33" spans="1:30" x14ac:dyDescent="0.25">
      <c r="A33" s="1" t="s">
        <v>76</v>
      </c>
      <c r="B33" s="633"/>
      <c r="C33" s="634"/>
      <c r="D33" s="13">
        <v>0</v>
      </c>
      <c r="E33" s="13">
        <v>0</v>
      </c>
      <c r="F33" s="92">
        <v>0</v>
      </c>
      <c r="G33" s="46">
        <f t="shared" si="5"/>
        <v>0</v>
      </c>
      <c r="H33" s="80"/>
      <c r="I33" s="93" t="s">
        <v>74</v>
      </c>
      <c r="J33" s="82">
        <v>253</v>
      </c>
      <c r="K33" s="83">
        <v>7023</v>
      </c>
      <c r="L33" s="84">
        <f t="shared" si="6"/>
        <v>0</v>
      </c>
      <c r="N33" s="337">
        <v>5102</v>
      </c>
      <c r="O33" s="54">
        <v>253</v>
      </c>
      <c r="P33" s="86"/>
      <c r="Q33" s="87"/>
      <c r="V33" s="637"/>
      <c r="W33" s="637"/>
      <c r="X33" s="638"/>
      <c r="Y33" s="638"/>
      <c r="Z33" s="94" t="s">
        <v>74</v>
      </c>
      <c r="AA33" s="330">
        <v>253</v>
      </c>
      <c r="AB33" s="90">
        <f t="shared" si="7"/>
        <v>7023</v>
      </c>
      <c r="AC33" s="91">
        <f t="shared" si="8"/>
        <v>0</v>
      </c>
      <c r="AD33" s="9"/>
    </row>
    <row r="34" spans="1:30" x14ac:dyDescent="0.25">
      <c r="A34" s="1" t="s">
        <v>77</v>
      </c>
      <c r="B34" s="633"/>
      <c r="C34" s="634"/>
      <c r="D34" s="13">
        <v>0</v>
      </c>
      <c r="E34" s="13">
        <v>0</v>
      </c>
      <c r="F34" s="92">
        <v>0</v>
      </c>
      <c r="G34" s="46">
        <f t="shared" si="5"/>
        <v>0</v>
      </c>
      <c r="H34" s="80"/>
      <c r="I34" s="93" t="s">
        <v>78</v>
      </c>
      <c r="J34" s="82">
        <v>251</v>
      </c>
      <c r="K34" s="83">
        <v>835</v>
      </c>
      <c r="L34" s="84">
        <f t="shared" si="6"/>
        <v>0</v>
      </c>
      <c r="N34" s="337">
        <v>5103</v>
      </c>
      <c r="O34" s="54">
        <v>251</v>
      </c>
      <c r="P34" s="86"/>
      <c r="Q34" s="87"/>
      <c r="V34" s="637"/>
      <c r="W34" s="637"/>
      <c r="X34" s="638"/>
      <c r="Y34" s="638"/>
      <c r="Z34" s="94" t="s">
        <v>78</v>
      </c>
      <c r="AA34" s="330">
        <v>251</v>
      </c>
      <c r="AB34" s="90">
        <f t="shared" si="7"/>
        <v>835</v>
      </c>
      <c r="AC34" s="91">
        <f t="shared" si="8"/>
        <v>0</v>
      </c>
      <c r="AD34" s="9"/>
    </row>
    <row r="35" spans="1:30" x14ac:dyDescent="0.25">
      <c r="A35" s="1" t="s">
        <v>79</v>
      </c>
      <c r="B35" s="633"/>
      <c r="C35" s="634"/>
      <c r="D35" s="13">
        <v>0</v>
      </c>
      <c r="E35" s="13">
        <v>0</v>
      </c>
      <c r="F35" s="92">
        <v>0</v>
      </c>
      <c r="G35" s="46">
        <f t="shared" si="5"/>
        <v>0</v>
      </c>
      <c r="H35" s="80"/>
      <c r="I35" s="93" t="s">
        <v>78</v>
      </c>
      <c r="J35" s="82">
        <v>252</v>
      </c>
      <c r="K35" s="83">
        <v>3168</v>
      </c>
      <c r="L35" s="84">
        <f t="shared" si="6"/>
        <v>0</v>
      </c>
      <c r="N35" s="337">
        <v>5103</v>
      </c>
      <c r="O35" s="54">
        <v>252</v>
      </c>
      <c r="P35" s="86"/>
      <c r="Q35" s="95"/>
      <c r="V35" s="637"/>
      <c r="W35" s="637"/>
      <c r="X35" s="638"/>
      <c r="Y35" s="638"/>
      <c r="Z35" s="94" t="s">
        <v>78</v>
      </c>
      <c r="AA35" s="330">
        <v>252</v>
      </c>
      <c r="AB35" s="90">
        <f t="shared" si="7"/>
        <v>3168</v>
      </c>
      <c r="AC35" s="91">
        <f t="shared" si="8"/>
        <v>0</v>
      </c>
      <c r="AD35" s="9"/>
    </row>
    <row r="36" spans="1:30" ht="16.5" thickBot="1" x14ac:dyDescent="0.3">
      <c r="A36" s="1" t="s">
        <v>80</v>
      </c>
      <c r="B36" s="635"/>
      <c r="C36" s="636"/>
      <c r="D36" s="13">
        <v>0</v>
      </c>
      <c r="E36" s="13">
        <v>0</v>
      </c>
      <c r="F36" s="92">
        <v>0</v>
      </c>
      <c r="G36" s="46">
        <f t="shared" si="5"/>
        <v>0</v>
      </c>
      <c r="H36" s="80"/>
      <c r="I36" s="93" t="s">
        <v>78</v>
      </c>
      <c r="J36" s="82">
        <v>253</v>
      </c>
      <c r="K36" s="83">
        <v>6685</v>
      </c>
      <c r="L36" s="96">
        <f t="shared" si="6"/>
        <v>0</v>
      </c>
      <c r="N36" s="337">
        <v>5103</v>
      </c>
      <c r="O36" s="54">
        <v>253</v>
      </c>
      <c r="P36" s="86"/>
      <c r="Q36" s="97"/>
      <c r="V36" s="637"/>
      <c r="W36" s="637"/>
      <c r="X36" s="645"/>
      <c r="Y36" s="645"/>
      <c r="Z36" s="94" t="s">
        <v>78</v>
      </c>
      <c r="AA36" s="330">
        <v>253</v>
      </c>
      <c r="AB36" s="90">
        <f t="shared" si="7"/>
        <v>6685</v>
      </c>
      <c r="AC36" s="98">
        <f t="shared" si="8"/>
        <v>0</v>
      </c>
      <c r="AD36" s="9"/>
    </row>
    <row r="37" spans="1:30" ht="18.75" customHeight="1" x14ac:dyDescent="0.25">
      <c r="B37" s="13" t="s">
        <v>81</v>
      </c>
      <c r="C37" s="13"/>
      <c r="D37" s="63">
        <f>SUM(D28:D36)</f>
        <v>10.99</v>
      </c>
      <c r="E37" s="63">
        <f>SUM(E28:E36)</f>
        <v>9.99</v>
      </c>
      <c r="F37" s="63"/>
      <c r="G37" s="63">
        <f>SUM(G28:G36)</f>
        <v>20.98</v>
      </c>
      <c r="H37" s="64"/>
      <c r="I37" s="13" t="s">
        <v>82</v>
      </c>
      <c r="J37" s="13"/>
      <c r="K37" s="13"/>
      <c r="L37" s="50">
        <f>SUM(L28:L36)</f>
        <v>26939</v>
      </c>
      <c r="N37" s="54"/>
      <c r="O37" s="68"/>
      <c r="P37" s="54"/>
      <c r="Q37" s="54"/>
      <c r="V37" s="646" t="s">
        <v>81</v>
      </c>
      <c r="W37" s="646"/>
      <c r="X37" s="626">
        <f>SUM(X28:X36)</f>
        <v>0</v>
      </c>
      <c r="Y37" s="626"/>
      <c r="Z37" s="646" t="s">
        <v>82</v>
      </c>
      <c r="AA37" s="646"/>
      <c r="AB37" s="646"/>
      <c r="AC37" s="56">
        <f>SUM(AC28:AC36)</f>
        <v>0</v>
      </c>
      <c r="AD37" s="9"/>
    </row>
    <row r="38" spans="1:30" ht="30.75" customHeight="1" x14ac:dyDescent="0.25">
      <c r="B38" s="99" t="s">
        <v>83</v>
      </c>
      <c r="C38" s="99"/>
      <c r="D38" s="99"/>
      <c r="E38" s="99"/>
      <c r="F38" s="99"/>
      <c r="G38" s="99"/>
      <c r="H38" s="100"/>
      <c r="I38" s="99"/>
      <c r="J38" s="99"/>
      <c r="K38" s="99"/>
      <c r="L38" s="99"/>
      <c r="M38" s="101"/>
      <c r="N38" s="54"/>
      <c r="O38" s="68"/>
      <c r="P38" s="54"/>
      <c r="Q38" s="54"/>
      <c r="V38" s="639" t="s">
        <v>83</v>
      </c>
      <c r="W38" s="639"/>
      <c r="X38" s="639"/>
      <c r="Y38" s="639"/>
      <c r="Z38" s="639"/>
      <c r="AA38" s="639"/>
      <c r="AB38" s="639"/>
      <c r="AC38" s="639"/>
      <c r="AD38" s="102"/>
    </row>
    <row r="39" spans="1:30" ht="15.75" customHeight="1" x14ac:dyDescent="0.25">
      <c r="B39" s="103" t="s">
        <v>84</v>
      </c>
      <c r="C39" s="103"/>
      <c r="D39" s="103"/>
      <c r="E39" s="103"/>
      <c r="F39" s="103"/>
      <c r="G39" s="104">
        <v>34389540</v>
      </c>
      <c r="H39" s="104"/>
      <c r="I39" s="13" t="s">
        <v>85</v>
      </c>
      <c r="J39" s="13"/>
      <c r="K39" s="13"/>
      <c r="L39" s="13"/>
      <c r="O39" s="1"/>
      <c r="V39" s="640" t="s">
        <v>84</v>
      </c>
      <c r="W39" s="640"/>
      <c r="X39" s="641">
        <f>+G39</f>
        <v>34389540</v>
      </c>
      <c r="Y39" s="641"/>
      <c r="Z39" s="642" t="s">
        <v>85</v>
      </c>
      <c r="AA39" s="642"/>
      <c r="AB39" s="642"/>
      <c r="AC39" s="642"/>
      <c r="AD39" s="9"/>
    </row>
    <row r="40" spans="1:30" ht="15.75" customHeight="1" x14ac:dyDescent="0.25">
      <c r="B40" s="105" t="s">
        <v>86</v>
      </c>
      <c r="C40" s="105"/>
      <c r="D40" s="105"/>
      <c r="E40" s="105"/>
      <c r="F40" s="105"/>
      <c r="G40" s="106">
        <v>180284.81</v>
      </c>
      <c r="H40" s="106"/>
      <c r="I40" s="106"/>
      <c r="J40" s="106"/>
      <c r="K40" s="50">
        <f>ROUND(G39/G40,0)</f>
        <v>191</v>
      </c>
      <c r="L40" s="50">
        <f>ROUND(K40*$G$26,0)</f>
        <v>22595</v>
      </c>
      <c r="N40" s="107"/>
      <c r="O40" s="107"/>
      <c r="P40" s="107"/>
      <c r="Q40" s="107"/>
      <c r="V40" s="643" t="s">
        <v>86</v>
      </c>
      <c r="W40" s="643"/>
      <c r="X40" s="644">
        <f>+G40</f>
        <v>180284.81</v>
      </c>
      <c r="Y40" s="644"/>
      <c r="Z40" s="644"/>
      <c r="AA40" s="644"/>
      <c r="AB40" s="56">
        <f>ROUND(X39/X40,0)</f>
        <v>191</v>
      </c>
      <c r="AC40" s="56">
        <f>ROUND(AB40*$X$26,0)</f>
        <v>0</v>
      </c>
      <c r="AD40" s="9"/>
    </row>
    <row r="41" spans="1:30" ht="15.75" customHeight="1" x14ac:dyDescent="0.25">
      <c r="B41" s="108" t="s">
        <v>87</v>
      </c>
      <c r="C41" s="108"/>
      <c r="D41" s="108"/>
      <c r="E41" s="108"/>
      <c r="F41" s="108"/>
      <c r="G41" s="108"/>
      <c r="H41" s="108"/>
      <c r="I41" s="108"/>
      <c r="J41" s="108"/>
      <c r="K41" s="108"/>
      <c r="L41" s="108"/>
      <c r="N41" s="101"/>
      <c r="O41" s="109"/>
      <c r="P41" s="101"/>
      <c r="Q41" s="101"/>
      <c r="V41" s="652" t="s">
        <v>87</v>
      </c>
      <c r="W41" s="652"/>
      <c r="X41" s="652"/>
      <c r="Y41" s="652"/>
      <c r="Z41" s="652"/>
      <c r="AA41" s="652"/>
      <c r="AB41" s="652"/>
      <c r="AC41" s="652"/>
      <c r="AD41" s="9"/>
    </row>
    <row r="42" spans="1:30" ht="28.5" customHeight="1" x14ac:dyDescent="0.25">
      <c r="B42" s="99" t="s">
        <v>88</v>
      </c>
      <c r="C42" s="99"/>
      <c r="D42" s="99"/>
      <c r="E42" s="99"/>
      <c r="F42" s="99"/>
      <c r="G42" s="99"/>
      <c r="H42" s="99"/>
      <c r="I42" s="99"/>
      <c r="J42" s="99"/>
      <c r="K42" s="99"/>
      <c r="L42" s="99"/>
      <c r="M42" s="107"/>
      <c r="O42" s="1"/>
      <c r="V42" s="639" t="s">
        <v>88</v>
      </c>
      <c r="W42" s="639"/>
      <c r="X42" s="639"/>
      <c r="Y42" s="639"/>
      <c r="Z42" s="639"/>
      <c r="AA42" s="639"/>
      <c r="AB42" s="639"/>
      <c r="AC42" s="639"/>
      <c r="AD42" s="334"/>
    </row>
    <row r="43" spans="1:30" x14ac:dyDescent="0.25">
      <c r="B43" s="111" t="s">
        <v>89</v>
      </c>
      <c r="C43" s="111"/>
      <c r="D43" s="111"/>
      <c r="E43" s="111"/>
      <c r="F43" s="111"/>
      <c r="G43" s="111"/>
      <c r="H43" s="111"/>
      <c r="I43" s="111"/>
      <c r="J43" s="111"/>
      <c r="K43" s="111"/>
      <c r="L43" s="111"/>
      <c r="M43" s="112"/>
      <c r="N43" s="101"/>
      <c r="O43" s="101"/>
      <c r="P43" s="101"/>
      <c r="Q43" s="101"/>
      <c r="V43" s="653" t="s">
        <v>89</v>
      </c>
      <c r="W43" s="653"/>
      <c r="X43" s="653"/>
      <c r="Y43" s="653"/>
      <c r="Z43" s="653"/>
      <c r="AA43" s="653"/>
      <c r="AB43" s="653"/>
      <c r="AC43" s="653"/>
      <c r="AD43" s="113"/>
    </row>
    <row r="44" spans="1:30" ht="24" customHeight="1" x14ac:dyDescent="0.25">
      <c r="B44" s="62" t="s">
        <v>90</v>
      </c>
      <c r="C44" s="62"/>
      <c r="D44" s="62"/>
      <c r="E44" s="62"/>
      <c r="F44" s="62"/>
      <c r="G44" s="62"/>
      <c r="H44" s="62"/>
      <c r="I44" s="62"/>
      <c r="J44" s="62"/>
      <c r="K44" s="62"/>
      <c r="L44" s="114">
        <f>SUM(L26,L37,L40)</f>
        <v>544418</v>
      </c>
      <c r="O44" s="1"/>
      <c r="V44" s="654" t="s">
        <v>90</v>
      </c>
      <c r="W44" s="654"/>
      <c r="X44" s="654"/>
      <c r="Y44" s="654"/>
      <c r="Z44" s="654"/>
      <c r="AA44" s="654"/>
      <c r="AB44" s="654"/>
      <c r="AC44" s="115">
        <f>SUM(AC26,AC37,AC40)</f>
        <v>0</v>
      </c>
      <c r="AD44" s="9"/>
    </row>
    <row r="45" spans="1:30" ht="30.75" customHeight="1" x14ac:dyDescent="0.25">
      <c r="B45" s="99" t="s">
        <v>91</v>
      </c>
      <c r="C45" s="99"/>
      <c r="D45" s="99"/>
      <c r="E45" s="99"/>
      <c r="F45" s="99"/>
      <c r="G45" s="99"/>
      <c r="H45" s="99"/>
      <c r="I45" s="99"/>
      <c r="J45" s="99"/>
      <c r="K45" s="99"/>
      <c r="L45" s="99"/>
      <c r="M45" s="116"/>
      <c r="O45" s="1"/>
      <c r="V45" s="639" t="s">
        <v>91</v>
      </c>
      <c r="W45" s="639"/>
      <c r="X45" s="639"/>
      <c r="Y45" s="639"/>
      <c r="Z45" s="639"/>
      <c r="AA45" s="639"/>
      <c r="AB45" s="639"/>
      <c r="AC45" s="639"/>
      <c r="AD45" s="333"/>
    </row>
    <row r="46" spans="1:30" ht="18.75" customHeight="1" x14ac:dyDescent="0.25">
      <c r="B46" s="1"/>
      <c r="C46" s="118" t="s">
        <v>92</v>
      </c>
      <c r="D46" s="118"/>
      <c r="E46" s="118"/>
      <c r="F46" s="118"/>
      <c r="G46" s="118" t="s">
        <v>93</v>
      </c>
      <c r="H46" s="119"/>
      <c r="I46" s="120" t="s">
        <v>94</v>
      </c>
      <c r="J46" s="121"/>
      <c r="K46" s="121"/>
      <c r="L46" s="121"/>
      <c r="M46" s="122"/>
      <c r="O46" s="1"/>
      <c r="V46" s="9"/>
      <c r="W46" s="336" t="s">
        <v>92</v>
      </c>
      <c r="X46" s="655" t="s">
        <v>95</v>
      </c>
      <c r="Y46" s="655"/>
      <c r="Z46" s="656" t="s">
        <v>94</v>
      </c>
      <c r="AA46" s="656"/>
      <c r="AB46" s="656"/>
      <c r="AC46" s="656"/>
      <c r="AD46" s="124"/>
    </row>
    <row r="47" spans="1:30" ht="18.75" customHeight="1" x14ac:dyDescent="0.25">
      <c r="B47" s="107" t="s">
        <v>96</v>
      </c>
      <c r="C47" s="125">
        <f>K10+K11+K16+K19+K22</f>
        <v>82.033200000000008</v>
      </c>
      <c r="D47" s="125"/>
      <c r="E47" s="125"/>
      <c r="F47" s="125"/>
      <c r="G47" s="126">
        <f>K7</f>
        <v>1.0326</v>
      </c>
      <c r="H47" s="126"/>
      <c r="I47" s="127">
        <v>1316.85</v>
      </c>
      <c r="J47" s="128" t="s">
        <v>97</v>
      </c>
      <c r="K47" s="129">
        <f>ROUND(C47*G47*I47,0)</f>
        <v>111547</v>
      </c>
      <c r="L47" s="130"/>
      <c r="O47" s="1"/>
      <c r="V47" s="334" t="s">
        <v>96</v>
      </c>
      <c r="W47" s="131">
        <f>AB10+AB11+AB16+AB19+AB22</f>
        <v>0</v>
      </c>
      <c r="X47" s="647">
        <f>AB7</f>
        <v>1.0326</v>
      </c>
      <c r="Y47" s="647"/>
      <c r="Z47" s="132">
        <f>+I47</f>
        <v>1316.85</v>
      </c>
      <c r="AA47" s="133" t="s">
        <v>97</v>
      </c>
      <c r="AB47" s="134">
        <f>ROUND(W47*X47*Z47,0)</f>
        <v>0</v>
      </c>
      <c r="AC47" s="135"/>
      <c r="AD47" s="9"/>
    </row>
    <row r="48" spans="1:30" ht="18" customHeight="1" x14ac:dyDescent="0.25">
      <c r="B48" s="136" t="s">
        <v>74</v>
      </c>
      <c r="C48" s="125">
        <f>K12+K13+K17+K20+K23</f>
        <v>45.691000000000003</v>
      </c>
      <c r="D48" s="125"/>
      <c r="E48" s="125"/>
      <c r="F48" s="125"/>
      <c r="G48" s="126">
        <f>K7</f>
        <v>1.0326</v>
      </c>
      <c r="H48" s="126"/>
      <c r="I48" s="127">
        <v>898.23</v>
      </c>
      <c r="J48" s="128" t="s">
        <v>97</v>
      </c>
      <c r="K48" s="129">
        <f>ROUND(C48*G48*I48,0)</f>
        <v>42379</v>
      </c>
      <c r="L48" s="62"/>
      <c r="O48" s="1"/>
      <c r="V48" s="137" t="s">
        <v>74</v>
      </c>
      <c r="W48" s="131">
        <f>AB12+AB13+AB17+AB20+AB23</f>
        <v>0</v>
      </c>
      <c r="X48" s="647">
        <f>AB7</f>
        <v>1.0326</v>
      </c>
      <c r="Y48" s="647"/>
      <c r="Z48" s="132">
        <f>+I48</f>
        <v>898.23</v>
      </c>
      <c r="AA48" s="133" t="s">
        <v>97</v>
      </c>
      <c r="AB48" s="134">
        <f>ROUND(W48*X48*Z48,0)</f>
        <v>0</v>
      </c>
      <c r="AC48" s="138"/>
      <c r="AD48" s="9"/>
    </row>
    <row r="49" spans="2:30" ht="19.5" customHeight="1" thickBot="1" x14ac:dyDescent="0.3">
      <c r="B49" s="139" t="s">
        <v>78</v>
      </c>
      <c r="C49" s="140">
        <f>K14+K15+K18+K21+K24+K25</f>
        <v>0</v>
      </c>
      <c r="D49" s="125"/>
      <c r="E49" s="125"/>
      <c r="F49" s="125"/>
      <c r="G49" s="126">
        <f>K7</f>
        <v>1.0326</v>
      </c>
      <c r="H49" s="126"/>
      <c r="I49" s="127">
        <v>900.39</v>
      </c>
      <c r="J49" s="128" t="s">
        <v>97</v>
      </c>
      <c r="K49" s="129">
        <f>ROUND(C49*G49*I49,0)</f>
        <v>0</v>
      </c>
      <c r="L49" s="62"/>
      <c r="M49" s="112"/>
      <c r="N49" s="141"/>
      <c r="O49" s="142"/>
      <c r="P49" s="101"/>
      <c r="Q49" s="143"/>
      <c r="V49" s="144" t="s">
        <v>78</v>
      </c>
      <c r="W49" s="145">
        <f>AB14+AB15+AB18+AB21+AB24+AB25</f>
        <v>0</v>
      </c>
      <c r="X49" s="647">
        <f>AB7</f>
        <v>1.0326</v>
      </c>
      <c r="Y49" s="647"/>
      <c r="Z49" s="132">
        <f>+I49</f>
        <v>900.39</v>
      </c>
      <c r="AA49" s="133" t="s">
        <v>97</v>
      </c>
      <c r="AB49" s="134">
        <f>ROUND(W49*X49*Z49,0)</f>
        <v>0</v>
      </c>
      <c r="AC49" s="138"/>
      <c r="AD49" s="113"/>
    </row>
    <row r="50" spans="2:30" ht="24" customHeight="1" thickBot="1" x14ac:dyDescent="0.3">
      <c r="B50" s="146" t="s">
        <v>98</v>
      </c>
      <c r="C50" s="147">
        <f>SUM(C47:C49)</f>
        <v>127.72420000000001</v>
      </c>
      <c r="D50" s="148"/>
      <c r="E50" s="149"/>
      <c r="F50" s="149"/>
      <c r="G50" s="150" t="s">
        <v>99</v>
      </c>
      <c r="H50" s="150"/>
      <c r="I50" s="150"/>
      <c r="J50" s="150"/>
      <c r="K50" s="150"/>
      <c r="L50" s="50">
        <f>IF(B2=75,0,K49+K48+K47)</f>
        <v>153926</v>
      </c>
      <c r="N50" s="3"/>
      <c r="O50" s="1"/>
      <c r="V50" s="335" t="s">
        <v>98</v>
      </c>
      <c r="W50" s="152">
        <f>SUM(W47:W49)</f>
        <v>0</v>
      </c>
      <c r="X50" s="648" t="s">
        <v>99</v>
      </c>
      <c r="Y50" s="649"/>
      <c r="Z50" s="649"/>
      <c r="AA50" s="649"/>
      <c r="AB50" s="649"/>
      <c r="AC50" s="56">
        <f>IF(V2=75,0,AB49+AB48+AB47)</f>
        <v>0</v>
      </c>
      <c r="AD50" s="9"/>
    </row>
    <row r="51" spans="2:30" ht="19.5" customHeight="1" x14ac:dyDescent="0.25">
      <c r="B51" s="153" t="s">
        <v>100</v>
      </c>
      <c r="C51" s="153"/>
      <c r="D51" s="153"/>
      <c r="E51" s="153"/>
      <c r="F51" s="153"/>
      <c r="G51" s="153"/>
      <c r="H51" s="153"/>
      <c r="I51" s="153"/>
      <c r="J51" s="153"/>
      <c r="K51" s="153"/>
      <c r="L51" s="153"/>
      <c r="M51" s="141"/>
      <c r="N51" s="101"/>
      <c r="O51" s="1"/>
      <c r="V51" s="650" t="s">
        <v>100</v>
      </c>
      <c r="W51" s="650"/>
      <c r="X51" s="650"/>
      <c r="Y51" s="650"/>
      <c r="Z51" s="650"/>
      <c r="AA51" s="650"/>
      <c r="AB51" s="650"/>
      <c r="AC51" s="650"/>
      <c r="AD51" s="154"/>
    </row>
    <row r="52" spans="2:30" ht="27.75" customHeight="1" x14ac:dyDescent="0.25">
      <c r="B52" s="13" t="s">
        <v>101</v>
      </c>
      <c r="C52" s="13"/>
      <c r="D52" s="13"/>
      <c r="E52" s="13"/>
      <c r="F52" s="13"/>
      <c r="G52" s="13"/>
      <c r="H52" s="13"/>
      <c r="I52" s="13"/>
      <c r="J52" s="13"/>
      <c r="K52" s="13"/>
      <c r="L52" s="13"/>
      <c r="O52" s="1"/>
      <c r="V52" s="651" t="s">
        <v>101</v>
      </c>
      <c r="W52" s="651"/>
      <c r="X52" s="651"/>
      <c r="Y52" s="651"/>
      <c r="Z52" s="651"/>
      <c r="AA52" s="651"/>
      <c r="AB52" s="651"/>
      <c r="AC52" s="651"/>
      <c r="AD52" s="9"/>
    </row>
    <row r="53" spans="2:30" x14ac:dyDescent="0.25">
      <c r="B53" s="13" t="s">
        <v>102</v>
      </c>
      <c r="C53" s="13"/>
      <c r="D53" s="13"/>
      <c r="E53" s="13"/>
      <c r="F53" s="13"/>
      <c r="G53" s="155">
        <f>K26</f>
        <v>127.7242</v>
      </c>
      <c r="H53" s="57" t="s">
        <v>103</v>
      </c>
      <c r="I53" s="57"/>
      <c r="J53" s="156">
        <v>197823.77</v>
      </c>
      <c r="K53" s="156"/>
      <c r="L53" s="156"/>
      <c r="N53" s="3"/>
      <c r="O53" s="1"/>
      <c r="V53" s="657" t="s">
        <v>102</v>
      </c>
      <c r="W53" s="657"/>
      <c r="X53" s="157">
        <f>AB26</f>
        <v>0</v>
      </c>
      <c r="Y53" s="658" t="s">
        <v>103</v>
      </c>
      <c r="Z53" s="658"/>
      <c r="AA53" s="659">
        <f>+J53</f>
        <v>197823.77</v>
      </c>
      <c r="AB53" s="659"/>
      <c r="AC53" s="659"/>
      <c r="AD53" s="9"/>
    </row>
    <row r="54" spans="2:30" x14ac:dyDescent="0.25">
      <c r="B54" s="13" t="s">
        <v>104</v>
      </c>
      <c r="C54" s="13"/>
      <c r="D54" s="13"/>
      <c r="E54" s="13"/>
      <c r="F54" s="13"/>
      <c r="G54" s="13"/>
      <c r="H54" s="13"/>
      <c r="I54" s="13"/>
      <c r="J54" s="13"/>
      <c r="K54" s="158">
        <f>ROUND(G53/J53,6)</f>
        <v>6.4599999999999998E-4</v>
      </c>
      <c r="L54" s="158"/>
      <c r="N54" s="101"/>
      <c r="O54" s="1"/>
      <c r="V54" s="657" t="s">
        <v>104</v>
      </c>
      <c r="W54" s="657"/>
      <c r="X54" s="657"/>
      <c r="Y54" s="657"/>
      <c r="Z54" s="657"/>
      <c r="AA54" s="657"/>
      <c r="AB54" s="660">
        <f>ROUND(X53/AA53,6)</f>
        <v>0</v>
      </c>
      <c r="AC54" s="660"/>
      <c r="AD54" s="9"/>
    </row>
    <row r="55" spans="2:30" ht="24" customHeight="1" x14ac:dyDescent="0.25">
      <c r="B55" s="13" t="s">
        <v>105</v>
      </c>
      <c r="C55" s="13"/>
      <c r="D55" s="13"/>
      <c r="E55" s="13"/>
      <c r="F55" s="13"/>
      <c r="G55" s="13"/>
      <c r="H55" s="13"/>
      <c r="I55" s="13"/>
      <c r="J55" s="13"/>
      <c r="K55" s="13"/>
      <c r="L55" s="13"/>
      <c r="O55" s="1"/>
      <c r="V55" s="651" t="s">
        <v>105</v>
      </c>
      <c r="W55" s="651"/>
      <c r="X55" s="651"/>
      <c r="Y55" s="651"/>
      <c r="Z55" s="651"/>
      <c r="AA55" s="651"/>
      <c r="AB55" s="651"/>
      <c r="AC55" s="651"/>
      <c r="AD55" s="9"/>
    </row>
    <row r="56" spans="2:30" x14ac:dyDescent="0.25">
      <c r="B56" s="13" t="s">
        <v>106</v>
      </c>
      <c r="C56" s="13"/>
      <c r="D56" s="13"/>
      <c r="E56" s="13"/>
      <c r="F56" s="13"/>
      <c r="G56" s="159">
        <f>G26</f>
        <v>118.3</v>
      </c>
      <c r="H56" s="57" t="s">
        <v>107</v>
      </c>
      <c r="I56" s="57"/>
      <c r="J56" s="156">
        <f>+G40</f>
        <v>180284.81</v>
      </c>
      <c r="K56" s="156"/>
      <c r="L56" s="156"/>
      <c r="O56" s="1"/>
      <c r="V56" s="657" t="s">
        <v>106</v>
      </c>
      <c r="W56" s="657"/>
      <c r="X56" s="160">
        <f>X26</f>
        <v>0</v>
      </c>
      <c r="Y56" s="658" t="s">
        <v>107</v>
      </c>
      <c r="Z56" s="658"/>
      <c r="AA56" s="659">
        <f>+J56</f>
        <v>180284.81</v>
      </c>
      <c r="AB56" s="659"/>
      <c r="AC56" s="659"/>
      <c r="AD56" s="9"/>
    </row>
    <row r="57" spans="2:30" x14ac:dyDescent="0.25">
      <c r="B57" s="13" t="s">
        <v>108</v>
      </c>
      <c r="C57" s="13"/>
      <c r="D57" s="13"/>
      <c r="E57" s="13"/>
      <c r="F57" s="13"/>
      <c r="G57" s="13"/>
      <c r="H57" s="13"/>
      <c r="I57" s="13"/>
      <c r="J57" s="13"/>
      <c r="K57" s="158">
        <f>ROUND(G56/J56,6)</f>
        <v>6.5600000000000001E-4</v>
      </c>
      <c r="L57" s="158"/>
      <c r="O57" s="1"/>
      <c r="V57" s="657" t="s">
        <v>108</v>
      </c>
      <c r="W57" s="657"/>
      <c r="X57" s="657"/>
      <c r="Y57" s="657"/>
      <c r="Z57" s="657"/>
      <c r="AA57" s="657"/>
      <c r="AB57" s="660">
        <f>ROUND(X56/AA56,6)</f>
        <v>0</v>
      </c>
      <c r="AC57" s="660"/>
      <c r="AD57" s="9"/>
    </row>
    <row r="58" spans="2:30" ht="20.25" customHeight="1" x14ac:dyDescent="0.25">
      <c r="B58" s="161" t="s">
        <v>109</v>
      </c>
      <c r="C58" s="161"/>
      <c r="D58" s="161"/>
      <c r="E58" s="161"/>
      <c r="F58" s="161"/>
      <c r="G58" s="161"/>
      <c r="H58" s="161"/>
      <c r="I58" s="161"/>
      <c r="J58" s="161"/>
      <c r="K58" s="161"/>
      <c r="L58" s="161"/>
      <c r="N58" s="18"/>
      <c r="O58" s="18"/>
      <c r="V58" s="629" t="s">
        <v>110</v>
      </c>
      <c r="W58" s="629"/>
      <c r="X58" s="629"/>
      <c r="Y58" s="661">
        <f>X65+X64+X62+X61+X60</f>
        <v>4123852</v>
      </c>
      <c r="Z58" s="661"/>
      <c r="AA58" s="332" t="s">
        <v>111</v>
      </c>
      <c r="AB58" s="163">
        <f>AB54</f>
        <v>0</v>
      </c>
      <c r="AC58" s="56">
        <f>ROUND(Y58*AB58,0)</f>
        <v>0</v>
      </c>
      <c r="AD58" s="9"/>
    </row>
    <row r="59" spans="2:30" x14ac:dyDescent="0.25">
      <c r="B59" s="62" t="s">
        <v>110</v>
      </c>
      <c r="C59" s="62"/>
      <c r="D59" s="62"/>
      <c r="E59" s="62"/>
      <c r="F59" s="62"/>
      <c r="G59" s="62"/>
      <c r="H59" s="164" t="s">
        <v>22</v>
      </c>
      <c r="I59" s="129">
        <v>4123852</v>
      </c>
      <c r="J59" s="165" t="s">
        <v>111</v>
      </c>
      <c r="K59" s="166">
        <f>K54</f>
        <v>6.4599999999999998E-4</v>
      </c>
      <c r="L59" s="50">
        <f>ROUND(I59*K59,0)</f>
        <v>2664</v>
      </c>
      <c r="O59" s="1"/>
      <c r="P59" s="165"/>
      <c r="Q59" s="165"/>
      <c r="V59" s="662" t="s">
        <v>112</v>
      </c>
      <c r="W59" s="662"/>
      <c r="X59" s="662"/>
      <c r="Y59" s="662"/>
      <c r="Z59" s="662"/>
      <c r="AA59" s="662"/>
      <c r="AB59" s="662"/>
      <c r="AC59" s="662"/>
      <c r="AD59" s="9"/>
    </row>
    <row r="60" spans="2:30" x14ac:dyDescent="0.25">
      <c r="B60" s="62" t="s">
        <v>112</v>
      </c>
      <c r="C60" s="62"/>
      <c r="D60" s="62"/>
      <c r="E60" s="62"/>
      <c r="F60" s="62"/>
      <c r="G60" s="62"/>
      <c r="H60" s="62"/>
      <c r="I60" s="62"/>
      <c r="J60" s="62"/>
      <c r="K60" s="62"/>
      <c r="L60" s="62"/>
      <c r="O60" s="1"/>
      <c r="P60" s="165"/>
      <c r="Q60" s="165"/>
      <c r="V60" s="663" t="s">
        <v>113</v>
      </c>
      <c r="W60" s="663"/>
      <c r="X60" s="664">
        <f>+G61</f>
        <v>0</v>
      </c>
      <c r="Y60" s="664"/>
      <c r="Z60" s="664"/>
      <c r="AA60" s="664"/>
      <c r="AB60" s="664"/>
      <c r="AC60" s="664"/>
      <c r="AD60" s="9"/>
    </row>
    <row r="61" spans="2:30" ht="15" customHeight="1" x14ac:dyDescent="0.25">
      <c r="B61" s="167" t="s">
        <v>113</v>
      </c>
      <c r="C61" s="62"/>
      <c r="D61" s="62"/>
      <c r="E61" s="62"/>
      <c r="F61" s="62"/>
      <c r="G61" s="168">
        <v>0</v>
      </c>
      <c r="H61" s="168"/>
      <c r="I61" s="168"/>
      <c r="J61" s="168"/>
      <c r="K61" s="168"/>
      <c r="L61" s="168"/>
      <c r="O61" s="1"/>
      <c r="P61" s="165"/>
      <c r="Q61" s="165"/>
      <c r="V61" s="663" t="s">
        <v>114</v>
      </c>
      <c r="W61" s="663"/>
      <c r="X61" s="664">
        <f>+G62</f>
        <v>0</v>
      </c>
      <c r="Y61" s="664"/>
      <c r="Z61" s="664"/>
      <c r="AA61" s="664"/>
      <c r="AB61" s="664"/>
      <c r="AC61" s="664"/>
      <c r="AD61" s="9"/>
    </row>
    <row r="62" spans="2:30" ht="13.5" customHeight="1" x14ac:dyDescent="0.25">
      <c r="B62" s="167" t="s">
        <v>114</v>
      </c>
      <c r="C62" s="62"/>
      <c r="D62" s="62"/>
      <c r="E62" s="62"/>
      <c r="F62" s="62"/>
      <c r="G62" s="168">
        <v>0</v>
      </c>
      <c r="H62" s="168"/>
      <c r="I62" s="168"/>
      <c r="J62" s="168"/>
      <c r="K62" s="168"/>
      <c r="L62" s="168"/>
      <c r="N62" s="165"/>
      <c r="O62" s="165"/>
      <c r="P62" s="165"/>
      <c r="Q62" s="165"/>
      <c r="V62" s="663" t="s">
        <v>115</v>
      </c>
      <c r="W62" s="663"/>
      <c r="X62" s="664">
        <v>0</v>
      </c>
      <c r="Y62" s="664"/>
      <c r="Z62" s="664"/>
      <c r="AA62" s="664"/>
      <c r="AB62" s="664"/>
      <c r="AC62" s="664"/>
      <c r="AD62" s="9"/>
    </row>
    <row r="63" spans="2:30" ht="13.5" hidden="1" customHeight="1" x14ac:dyDescent="0.25">
      <c r="B63" s="62" t="s">
        <v>115</v>
      </c>
      <c r="C63" s="62"/>
      <c r="D63" s="62"/>
      <c r="E63" s="62"/>
      <c r="F63" s="62"/>
      <c r="G63" s="168">
        <v>0</v>
      </c>
      <c r="H63" s="168"/>
      <c r="I63" s="168"/>
      <c r="J63" s="168"/>
      <c r="K63" s="168"/>
      <c r="L63" s="168"/>
      <c r="O63" s="1"/>
      <c r="P63" s="165"/>
      <c r="Q63" s="165"/>
      <c r="V63" s="662" t="s">
        <v>116</v>
      </c>
      <c r="W63" s="662"/>
      <c r="X63" s="662"/>
      <c r="Y63" s="662"/>
      <c r="Z63" s="662"/>
      <c r="AA63" s="662"/>
      <c r="AB63" s="662"/>
      <c r="AC63" s="662"/>
      <c r="AD63" s="333"/>
    </row>
    <row r="64" spans="2:30" ht="13.5" customHeight="1" x14ac:dyDescent="0.25">
      <c r="B64" s="62" t="s">
        <v>116</v>
      </c>
      <c r="C64" s="62"/>
      <c r="D64" s="62"/>
      <c r="E64" s="62"/>
      <c r="F64" s="62"/>
      <c r="G64" s="62"/>
      <c r="H64" s="62"/>
      <c r="I64" s="62"/>
      <c r="J64" s="62"/>
      <c r="K64" s="62"/>
      <c r="L64" s="62"/>
      <c r="M64" s="116"/>
      <c r="N64" s="18"/>
      <c r="O64" s="1"/>
      <c r="V64" s="663" t="s">
        <v>117</v>
      </c>
      <c r="W64" s="663"/>
      <c r="X64" s="664">
        <f>+G65</f>
        <v>4123852</v>
      </c>
      <c r="Y64" s="664"/>
      <c r="Z64" s="664"/>
      <c r="AA64" s="664"/>
      <c r="AB64" s="664"/>
      <c r="AC64" s="664"/>
      <c r="AD64" s="9"/>
    </row>
    <row r="65" spans="1:30" ht="12.75" customHeight="1" x14ac:dyDescent="0.25">
      <c r="B65" s="167" t="s">
        <v>117</v>
      </c>
      <c r="C65" s="62"/>
      <c r="D65" s="62"/>
      <c r="E65" s="62"/>
      <c r="F65" s="62"/>
      <c r="G65" s="168">
        <f>+I59</f>
        <v>4123852</v>
      </c>
      <c r="H65" s="168"/>
      <c r="I65" s="168"/>
      <c r="J65" s="168"/>
      <c r="K65" s="168"/>
      <c r="L65" s="168"/>
      <c r="O65" s="1"/>
      <c r="V65" s="663" t="s">
        <v>118</v>
      </c>
      <c r="W65" s="663"/>
      <c r="X65" s="664">
        <f>+G66</f>
        <v>0</v>
      </c>
      <c r="Y65" s="664"/>
      <c r="Z65" s="664"/>
      <c r="AA65" s="664"/>
      <c r="AB65" s="664"/>
      <c r="AC65" s="664"/>
      <c r="AD65" s="20"/>
    </row>
    <row r="66" spans="1:30" ht="15" customHeight="1" x14ac:dyDescent="0.25">
      <c r="B66" s="167" t="s">
        <v>118</v>
      </c>
      <c r="C66" s="62"/>
      <c r="D66" s="62"/>
      <c r="E66" s="62"/>
      <c r="F66" s="62"/>
      <c r="G66" s="168">
        <v>0</v>
      </c>
      <c r="H66" s="168"/>
      <c r="I66" s="168"/>
      <c r="J66" s="168"/>
      <c r="K66" s="168"/>
      <c r="L66" s="168"/>
      <c r="M66" s="18"/>
      <c r="N66" s="3"/>
      <c r="O66" s="169"/>
      <c r="P66" s="169"/>
      <c r="Q66" s="169"/>
      <c r="V66" s="651" t="s">
        <v>119</v>
      </c>
      <c r="W66" s="651"/>
      <c r="X66" s="651"/>
      <c r="Y66" s="661">
        <f>+I67</f>
        <v>96774526</v>
      </c>
      <c r="Z66" s="661"/>
      <c r="AA66" s="332" t="s">
        <v>111</v>
      </c>
      <c r="AB66" s="163">
        <f>AB54</f>
        <v>0</v>
      </c>
      <c r="AC66" s="56">
        <f>ROUND(Y66*AB66,0)</f>
        <v>0</v>
      </c>
      <c r="AD66" s="9"/>
    </row>
    <row r="67" spans="1:30" ht="20.25" customHeight="1" x14ac:dyDescent="0.25">
      <c r="B67" s="13" t="s">
        <v>119</v>
      </c>
      <c r="C67" s="13"/>
      <c r="D67" s="13"/>
      <c r="E67" s="13"/>
      <c r="F67" s="13"/>
      <c r="H67" s="164" t="s">
        <v>25</v>
      </c>
      <c r="I67" s="129">
        <v>96774526</v>
      </c>
      <c r="J67" s="165" t="s">
        <v>111</v>
      </c>
      <c r="K67" s="166">
        <f>K54</f>
        <v>6.4599999999999998E-4</v>
      </c>
      <c r="L67" s="50">
        <f>ROUND(I67*K67,0)</f>
        <v>62516</v>
      </c>
      <c r="O67" s="1"/>
      <c r="V67" s="651" t="s">
        <v>120</v>
      </c>
      <c r="W67" s="651"/>
      <c r="X67" s="651"/>
      <c r="Y67" s="651"/>
      <c r="Z67" s="651"/>
      <c r="AA67" s="651"/>
      <c r="AB67" s="651"/>
      <c r="AC67" s="651"/>
      <c r="AD67" s="9"/>
    </row>
    <row r="68" spans="1:30" ht="20.25" customHeight="1" x14ac:dyDescent="0.25">
      <c r="B68" s="13" t="s">
        <v>120</v>
      </c>
      <c r="C68" s="13"/>
      <c r="D68" s="13"/>
      <c r="E68" s="13"/>
      <c r="F68" s="13"/>
      <c r="H68" s="13"/>
      <c r="I68" s="13"/>
      <c r="J68" s="82"/>
      <c r="K68" s="13"/>
      <c r="L68" s="13"/>
      <c r="O68" s="1"/>
      <c r="V68" s="667" t="s">
        <v>121</v>
      </c>
      <c r="W68" s="667"/>
      <c r="X68" s="667"/>
      <c r="Y68" s="661">
        <f>+I69</f>
        <v>0</v>
      </c>
      <c r="Z68" s="661"/>
      <c r="AA68" s="332" t="s">
        <v>111</v>
      </c>
      <c r="AB68" s="163">
        <f>AB57</f>
        <v>0</v>
      </c>
      <c r="AC68" s="56">
        <f>ROUND(Y68*AB68,0)</f>
        <v>0</v>
      </c>
      <c r="AD68" s="9"/>
    </row>
    <row r="69" spans="1:30" ht="15" customHeight="1" x14ac:dyDescent="0.25">
      <c r="B69" s="170" t="s">
        <v>121</v>
      </c>
      <c r="C69" s="13"/>
      <c r="D69" s="13"/>
      <c r="E69" s="13"/>
      <c r="F69" s="13"/>
      <c r="H69" s="164" t="s">
        <v>23</v>
      </c>
      <c r="I69" s="129">
        <v>0</v>
      </c>
      <c r="J69" s="165" t="s">
        <v>111</v>
      </c>
      <c r="K69" s="166">
        <f>K57</f>
        <v>6.5600000000000001E-4</v>
      </c>
      <c r="L69" s="50">
        <f>ROUND(I69*K69,0)</f>
        <v>0</v>
      </c>
      <c r="O69" s="1"/>
      <c r="V69" s="651" t="s">
        <v>122</v>
      </c>
      <c r="W69" s="651"/>
      <c r="X69" s="651"/>
      <c r="Y69" s="668">
        <f>+I70</f>
        <v>-3460775</v>
      </c>
      <c r="Z69" s="668"/>
      <c r="AA69" s="332" t="s">
        <v>111</v>
      </c>
      <c r="AB69" s="163">
        <f>AB54</f>
        <v>0</v>
      </c>
      <c r="AC69" s="56">
        <f>ROUND(Y69*AB69,0)</f>
        <v>0</v>
      </c>
      <c r="AD69" s="9"/>
    </row>
    <row r="70" spans="1:30" ht="20.25" customHeight="1" x14ac:dyDescent="0.25">
      <c r="B70" s="13" t="s">
        <v>122</v>
      </c>
      <c r="C70" s="13"/>
      <c r="D70" s="13"/>
      <c r="E70" s="13"/>
      <c r="F70" s="13"/>
      <c r="H70" s="164" t="s">
        <v>22</v>
      </c>
      <c r="I70" s="129">
        <v>-3460775</v>
      </c>
      <c r="J70" s="165" t="s">
        <v>111</v>
      </c>
      <c r="K70" s="166">
        <f>K54</f>
        <v>6.4599999999999998E-4</v>
      </c>
      <c r="L70" s="50">
        <f>ROUND(I70*K70,0)</f>
        <v>-2236</v>
      </c>
      <c r="O70" s="1"/>
      <c r="V70" s="651" t="s">
        <v>123</v>
      </c>
      <c r="W70" s="651"/>
      <c r="X70" s="651"/>
      <c r="Y70" s="665">
        <f>+I71</f>
        <v>1874788</v>
      </c>
      <c r="Z70" s="665"/>
      <c r="AA70" s="332" t="s">
        <v>111</v>
      </c>
      <c r="AB70" s="163">
        <f>AB54</f>
        <v>0</v>
      </c>
      <c r="AC70" s="56">
        <f>ROUND(Y70*AB70,0)</f>
        <v>0</v>
      </c>
      <c r="AD70" s="9"/>
    </row>
    <row r="71" spans="1:30" ht="20.25" customHeight="1" x14ac:dyDescent="0.25">
      <c r="B71" s="13" t="s">
        <v>123</v>
      </c>
      <c r="C71" s="13"/>
      <c r="D71" s="13"/>
      <c r="E71" s="13"/>
      <c r="F71" s="13"/>
      <c r="H71" s="164" t="s">
        <v>22</v>
      </c>
      <c r="I71" s="129">
        <v>1874788</v>
      </c>
      <c r="J71" s="165" t="s">
        <v>111</v>
      </c>
      <c r="K71" s="166">
        <f>K54</f>
        <v>6.4599999999999998E-4</v>
      </c>
      <c r="L71" s="50">
        <f>ROUND(I71*K71,0)</f>
        <v>1211</v>
      </c>
      <c r="O71" s="1"/>
      <c r="V71" s="651" t="s">
        <v>124</v>
      </c>
      <c r="W71" s="651"/>
      <c r="X71" s="651"/>
      <c r="Y71" s="665">
        <f>+I72</f>
        <v>14223298</v>
      </c>
      <c r="Z71" s="665"/>
      <c r="AA71" s="332" t="s">
        <v>111</v>
      </c>
      <c r="AB71" s="163">
        <f>AB57</f>
        <v>0</v>
      </c>
      <c r="AC71" s="56">
        <f>ROUND(Y71*AB71,0)</f>
        <v>0</v>
      </c>
      <c r="AD71" s="9"/>
    </row>
    <row r="72" spans="1:30" ht="21" customHeight="1" x14ac:dyDescent="0.25">
      <c r="B72" s="13" t="s">
        <v>124</v>
      </c>
      <c r="C72" s="13"/>
      <c r="D72" s="13"/>
      <c r="E72" s="13"/>
      <c r="F72" s="13"/>
      <c r="H72" s="164" t="s">
        <v>23</v>
      </c>
      <c r="I72" s="171">
        <v>14223298</v>
      </c>
      <c r="J72" s="165" t="s">
        <v>111</v>
      </c>
      <c r="K72" s="166">
        <f>K57</f>
        <v>6.5600000000000001E-4</v>
      </c>
      <c r="L72" s="50">
        <f>ROUND(I72*K72,0)</f>
        <v>9330</v>
      </c>
      <c r="O72" s="1"/>
      <c r="V72" s="623" t="s">
        <v>125</v>
      </c>
      <c r="W72" s="623"/>
      <c r="X72" s="623"/>
      <c r="Y72" s="623"/>
      <c r="Z72" s="623"/>
      <c r="AA72" s="623"/>
      <c r="AB72" s="623"/>
      <c r="AC72" s="60"/>
      <c r="AD72" s="9"/>
    </row>
    <row r="73" spans="1:30" ht="17.25" customHeight="1" x14ac:dyDescent="0.25">
      <c r="B73" s="13" t="s">
        <v>125</v>
      </c>
      <c r="C73" s="13"/>
      <c r="D73" s="13"/>
      <c r="E73" s="13"/>
      <c r="F73" s="13"/>
      <c r="H73" s="13"/>
      <c r="I73" s="13"/>
      <c r="J73" s="82"/>
      <c r="K73" s="13"/>
      <c r="L73" s="59"/>
      <c r="O73" s="1"/>
      <c r="V73" s="651" t="s">
        <v>126</v>
      </c>
      <c r="W73" s="651"/>
      <c r="X73" s="651"/>
      <c r="Y73" s="651"/>
      <c r="Z73" s="651"/>
      <c r="AA73" s="651"/>
      <c r="AB73" s="651"/>
      <c r="AC73" s="651"/>
      <c r="AD73" s="9"/>
    </row>
    <row r="74" spans="1:30" ht="31.5" x14ac:dyDescent="0.25">
      <c r="B74" s="13" t="s">
        <v>126</v>
      </c>
      <c r="C74" s="13"/>
      <c r="D74" s="27" t="s">
        <v>13</v>
      </c>
      <c r="E74" s="27" t="s">
        <v>14</v>
      </c>
      <c r="F74" s="27"/>
      <c r="H74" s="164" t="s">
        <v>26</v>
      </c>
      <c r="I74" s="172"/>
      <c r="J74" s="164"/>
      <c r="K74" s="172"/>
      <c r="L74" s="112"/>
      <c r="O74" s="1"/>
      <c r="V74" s="666" t="s">
        <v>127</v>
      </c>
      <c r="W74" s="666"/>
      <c r="X74" s="173" t="s">
        <v>128</v>
      </c>
      <c r="Y74" s="174"/>
      <c r="Z74" s="175">
        <f>+I75</f>
        <v>0</v>
      </c>
      <c r="AA74" s="331" t="s">
        <v>129</v>
      </c>
      <c r="AB74" s="177">
        <f>+K75</f>
        <v>361</v>
      </c>
      <c r="AC74" s="56">
        <f>ROUND(AB74*Z74,0)</f>
        <v>0</v>
      </c>
      <c r="AD74" s="9"/>
    </row>
    <row r="75" spans="1:30" ht="19.5" customHeight="1" x14ac:dyDescent="0.25">
      <c r="A75" s="1" t="s">
        <v>130</v>
      </c>
      <c r="B75" s="178" t="s">
        <v>127</v>
      </c>
      <c r="C75" s="179" t="s">
        <v>128</v>
      </c>
      <c r="D75" s="178">
        <v>0</v>
      </c>
      <c r="E75" s="178">
        <v>0</v>
      </c>
      <c r="F75" s="178">
        <v>0</v>
      </c>
      <c r="G75" s="180">
        <f>IF(E75=0,D75,E75)</f>
        <v>0</v>
      </c>
      <c r="H75" s="181"/>
      <c r="I75" s="182">
        <f>AVERAGE(G75,D75)</f>
        <v>0</v>
      </c>
      <c r="J75" s="183" t="s">
        <v>129</v>
      </c>
      <c r="K75" s="184">
        <v>361</v>
      </c>
      <c r="L75" s="50">
        <f>ROUND(K75*I75,0)</f>
        <v>0</v>
      </c>
      <c r="N75" s="1">
        <v>7802</v>
      </c>
      <c r="O75" s="1">
        <v>0</v>
      </c>
      <c r="V75" s="666" t="s">
        <v>127</v>
      </c>
      <c r="W75" s="666"/>
      <c r="X75" s="173" t="s">
        <v>131</v>
      </c>
      <c r="Y75" s="185"/>
      <c r="Z75" s="186">
        <f>+I76</f>
        <v>0</v>
      </c>
      <c r="AA75" s="331" t="s">
        <v>129</v>
      </c>
      <c r="AB75" s="187">
        <f>+K76</f>
        <v>1358</v>
      </c>
      <c r="AC75" s="56">
        <f>ROUND(AB75*Z75,0)</f>
        <v>0</v>
      </c>
      <c r="AD75" s="9"/>
    </row>
    <row r="76" spans="1:30" ht="19.5" customHeight="1" x14ac:dyDescent="0.25">
      <c r="A76" s="1" t="s">
        <v>132</v>
      </c>
      <c r="B76" s="178" t="s">
        <v>127</v>
      </c>
      <c r="C76" s="179" t="s">
        <v>131</v>
      </c>
      <c r="D76" s="178">
        <v>0</v>
      </c>
      <c r="E76" s="178">
        <v>0</v>
      </c>
      <c r="F76" s="178">
        <v>0</v>
      </c>
      <c r="G76" s="180">
        <f>IF(E76=0,D76,E76)</f>
        <v>0</v>
      </c>
      <c r="H76" s="181"/>
      <c r="I76" s="182">
        <f>AVERAGE(G76,D76)</f>
        <v>0</v>
      </c>
      <c r="J76" s="183" t="s">
        <v>129</v>
      </c>
      <c r="K76" s="188">
        <v>1358</v>
      </c>
      <c r="L76" s="50">
        <f>ROUND(K76*I76,0)</f>
        <v>0</v>
      </c>
      <c r="N76" s="1">
        <v>7802</v>
      </c>
      <c r="O76" s="1">
        <v>110</v>
      </c>
      <c r="V76" s="651" t="s">
        <v>133</v>
      </c>
      <c r="W76" s="651"/>
      <c r="X76" s="651"/>
      <c r="Y76" s="661">
        <f>+I77</f>
        <v>33305823</v>
      </c>
      <c r="Z76" s="661"/>
      <c r="AA76" s="331" t="s">
        <v>129</v>
      </c>
      <c r="AB76" s="163">
        <f>AB54</f>
        <v>0</v>
      </c>
      <c r="AC76" s="56">
        <f>ROUND(Y76*AB76,0)</f>
        <v>0</v>
      </c>
      <c r="AD76" s="9"/>
    </row>
    <row r="77" spans="1:30" ht="26.25" customHeight="1" x14ac:dyDescent="0.25">
      <c r="B77" s="13" t="s">
        <v>133</v>
      </c>
      <c r="C77" s="13"/>
      <c r="D77" s="13"/>
      <c r="E77" s="13"/>
      <c r="F77" s="13"/>
      <c r="H77" s="164" t="s">
        <v>134</v>
      </c>
      <c r="I77" s="189">
        <v>33305823</v>
      </c>
      <c r="J77" s="165" t="s">
        <v>111</v>
      </c>
      <c r="K77" s="166">
        <f>K54</f>
        <v>6.4599999999999998E-4</v>
      </c>
      <c r="L77" s="50">
        <f>ROUND(I77*K77,0)</f>
        <v>21516</v>
      </c>
      <c r="O77" s="1"/>
      <c r="V77" s="651" t="str">
        <f>+B78</f>
        <v>15.  Additional Allocation (WFTE share)</v>
      </c>
      <c r="W77" s="651"/>
      <c r="X77" s="651"/>
      <c r="Y77" s="661">
        <f>+I78</f>
        <v>680688</v>
      </c>
      <c r="Z77" s="661"/>
      <c r="AA77" s="331" t="s">
        <v>129</v>
      </c>
      <c r="AB77" s="163">
        <f>AB54</f>
        <v>0</v>
      </c>
      <c r="AC77" s="56">
        <f>ROUND(Y77*AB77,0)</f>
        <v>0</v>
      </c>
      <c r="AD77" s="9"/>
    </row>
    <row r="78" spans="1:30" ht="26.25" customHeight="1" x14ac:dyDescent="0.25">
      <c r="B78" s="669" t="s">
        <v>135</v>
      </c>
      <c r="C78" s="669"/>
      <c r="D78" s="669"/>
      <c r="E78" s="13"/>
      <c r="F78" s="13"/>
      <c r="H78" s="164" t="s">
        <v>136</v>
      </c>
      <c r="I78" s="190">
        <v>680688</v>
      </c>
      <c r="J78" s="165" t="s">
        <v>111</v>
      </c>
      <c r="K78" s="166">
        <f>K54</f>
        <v>6.4599999999999998E-4</v>
      </c>
      <c r="L78" s="50">
        <f>ROUND(I78*K78,0)</f>
        <v>440</v>
      </c>
      <c r="O78" s="1"/>
      <c r="V78" s="651" t="str">
        <f>+B79</f>
        <v>16.  Florida Teachers Lead Program Stipend</v>
      </c>
      <c r="W78" s="651"/>
      <c r="X78" s="651"/>
      <c r="Y78" s="191"/>
      <c r="Z78" s="191"/>
      <c r="AA78" s="191"/>
      <c r="AB78" s="191"/>
      <c r="AC78" s="134"/>
      <c r="AD78" s="9"/>
    </row>
    <row r="79" spans="1:30" ht="21" customHeight="1" x14ac:dyDescent="0.25">
      <c r="B79" s="669" t="s">
        <v>137</v>
      </c>
      <c r="C79" s="669"/>
      <c r="D79" s="669"/>
      <c r="E79" s="13"/>
      <c r="F79" s="13"/>
      <c r="H79" s="164"/>
      <c r="I79" s="172"/>
      <c r="J79" s="172"/>
      <c r="K79" s="172"/>
      <c r="L79" s="129"/>
      <c r="N79" s="192"/>
      <c r="O79" s="1"/>
      <c r="Q79" s="164"/>
      <c r="V79" s="651" t="str">
        <f>+B80</f>
        <v>17.  Food Service Allocation</v>
      </c>
      <c r="W79" s="651"/>
      <c r="X79" s="651"/>
      <c r="Y79" s="191"/>
      <c r="Z79" s="191"/>
      <c r="AA79" s="191"/>
      <c r="AB79" s="191"/>
      <c r="AC79" s="193"/>
      <c r="AD79" s="9"/>
    </row>
    <row r="80" spans="1:30" ht="21" customHeight="1" x14ac:dyDescent="0.25">
      <c r="B80" s="669" t="s">
        <v>138</v>
      </c>
      <c r="C80" s="669"/>
      <c r="D80" s="669"/>
      <c r="E80" s="13"/>
      <c r="F80" s="13"/>
      <c r="H80" s="194" t="s">
        <v>139</v>
      </c>
      <c r="I80" s="195"/>
      <c r="J80" s="195"/>
      <c r="K80" s="195"/>
      <c r="L80" s="196"/>
      <c r="N80" s="197"/>
      <c r="O80" s="1"/>
      <c r="Q80" s="164"/>
      <c r="V80" s="191"/>
      <c r="W80" s="191"/>
      <c r="X80" s="191"/>
      <c r="Y80" s="191"/>
      <c r="Z80" s="191"/>
      <c r="AA80" s="191"/>
      <c r="AB80" s="191"/>
      <c r="AC80" s="193"/>
      <c r="AD80" s="9"/>
    </row>
    <row r="81" spans="1:30" ht="21" customHeight="1" thickBot="1" x14ac:dyDescent="0.3">
      <c r="B81" s="13"/>
      <c r="C81" s="13"/>
      <c r="D81" s="13"/>
      <c r="E81" s="13"/>
      <c r="F81" s="13"/>
      <c r="G81" s="13"/>
      <c r="H81" s="13"/>
      <c r="I81" s="13"/>
      <c r="J81" s="13"/>
      <c r="K81" s="13"/>
      <c r="L81" s="196"/>
      <c r="M81" s="198"/>
      <c r="N81" s="197"/>
      <c r="O81" s="1"/>
      <c r="Q81" s="164"/>
      <c r="V81" s="191" t="s">
        <v>140</v>
      </c>
      <c r="W81" s="191"/>
      <c r="X81" s="191"/>
      <c r="Y81" s="191"/>
      <c r="Z81" s="191"/>
      <c r="AA81" s="191"/>
      <c r="AB81" s="191"/>
      <c r="AC81" s="199">
        <f>SUM(AC44:AC80)</f>
        <v>0</v>
      </c>
      <c r="AD81" s="200"/>
    </row>
    <row r="82" spans="1:30" ht="22.5" customHeight="1" thickTop="1" thickBot="1" x14ac:dyDescent="0.3">
      <c r="B82" s="13" t="s">
        <v>141</v>
      </c>
      <c r="C82" s="13"/>
      <c r="D82" s="13"/>
      <c r="E82" s="13"/>
      <c r="F82" s="13"/>
      <c r="G82" s="13"/>
      <c r="H82" s="13"/>
      <c r="I82" s="13"/>
      <c r="J82" s="13"/>
      <c r="K82" s="13"/>
      <c r="L82" s="201">
        <f>SUM(L44:L81)</f>
        <v>793785</v>
      </c>
      <c r="M82" s="202"/>
      <c r="N82" s="203"/>
      <c r="O82" s="1"/>
      <c r="Q82" s="164"/>
      <c r="V82" s="191"/>
      <c r="W82" s="191"/>
      <c r="X82" s="191"/>
      <c r="Y82" s="191"/>
      <c r="Z82" s="191"/>
      <c r="AA82" s="191"/>
      <c r="AB82" s="191"/>
      <c r="AC82" s="204"/>
      <c r="AD82" s="200"/>
    </row>
    <row r="83" spans="1:30" ht="27.75" customHeight="1" thickTop="1" x14ac:dyDescent="0.25">
      <c r="B83" s="13" t="s">
        <v>142</v>
      </c>
      <c r="C83" s="13"/>
      <c r="D83" s="13"/>
      <c r="E83" s="13"/>
      <c r="F83" s="13"/>
      <c r="G83" s="13"/>
      <c r="H83" s="13"/>
      <c r="I83" s="13"/>
      <c r="J83" s="13"/>
      <c r="K83" s="82" t="s">
        <v>143</v>
      </c>
      <c r="L83" s="205" t="s">
        <v>144</v>
      </c>
      <c r="M83" s="202"/>
      <c r="N83" s="203"/>
      <c r="O83" s="1"/>
      <c r="Q83" s="164"/>
      <c r="V83" s="9" t="s">
        <v>145</v>
      </c>
      <c r="W83" s="9"/>
      <c r="X83" s="9"/>
      <c r="Y83" s="9"/>
      <c r="Z83" s="9"/>
      <c r="AA83" s="9"/>
      <c r="AB83" s="9"/>
      <c r="AC83" s="9"/>
      <c r="AD83" s="206"/>
    </row>
    <row r="84" spans="1:30" ht="18.75" customHeight="1" thickBot="1" x14ac:dyDescent="0.3">
      <c r="B84" s="13" t="s">
        <v>146</v>
      </c>
      <c r="C84" s="13"/>
      <c r="D84" s="13"/>
      <c r="E84" s="13"/>
      <c r="F84" s="13"/>
      <c r="G84" s="13"/>
      <c r="H84" s="13"/>
      <c r="I84" s="13"/>
      <c r="J84" s="13"/>
      <c r="K84" s="207" t="str">
        <f>IF(G26=0,"",IF((G11+G13+SUM(G15:G21))/G26&gt;0.75,1,""))</f>
        <v/>
      </c>
      <c r="L84" s="201">
        <f>'3382 June Final'!AC81</f>
        <v>0</v>
      </c>
      <c r="M84" s="202"/>
      <c r="N84" s="203"/>
      <c r="O84" s="1"/>
      <c r="Q84" s="164"/>
      <c r="V84" s="208" t="s">
        <v>147</v>
      </c>
      <c r="W84" s="208"/>
      <c r="X84" s="208"/>
      <c r="Y84" s="208"/>
      <c r="Z84" s="208"/>
      <c r="AA84" s="208"/>
      <c r="AB84" s="208"/>
      <c r="AC84" s="208"/>
      <c r="AD84" s="9"/>
    </row>
    <row r="85" spans="1:30" ht="18.75" customHeight="1" thickTop="1" x14ac:dyDescent="0.25">
      <c r="B85" s="13"/>
      <c r="C85" s="13"/>
      <c r="D85" s="13"/>
      <c r="E85" s="13"/>
      <c r="F85" s="13"/>
      <c r="G85" s="13"/>
      <c r="H85" s="13"/>
      <c r="I85" s="13"/>
      <c r="J85" s="13"/>
      <c r="M85" s="202"/>
      <c r="N85" s="203"/>
      <c r="O85" s="1"/>
      <c r="Q85" s="164"/>
      <c r="V85" s="208" t="s">
        <v>148</v>
      </c>
      <c r="W85" s="208"/>
      <c r="X85" s="208"/>
      <c r="Y85" s="208"/>
      <c r="Z85" s="208"/>
      <c r="AA85" s="208"/>
      <c r="AB85" s="208"/>
      <c r="AC85" s="208"/>
      <c r="AD85" s="206"/>
    </row>
    <row r="86" spans="1:30" ht="18.75" customHeight="1" x14ac:dyDescent="0.25">
      <c r="B86" s="2" t="s">
        <v>421</v>
      </c>
      <c r="C86" s="13"/>
      <c r="D86" s="13"/>
      <c r="E86" s="13"/>
      <c r="F86" s="13"/>
      <c r="G86" s="13"/>
      <c r="H86" s="13"/>
      <c r="I86" s="13"/>
      <c r="J86" s="209" t="s">
        <v>150</v>
      </c>
      <c r="K86" s="210">
        <f>IF(K84=1,L84,L82)</f>
        <v>793785</v>
      </c>
      <c r="L86" s="211">
        <f>IF(G26=0,0,IF(G26&gt;250,-(((250/G26)*K86)*IF(M86="H",0.02,0.05)),IF(M86="H",-0.02*K86,-0.05*K86)))</f>
        <v>-15875.7</v>
      </c>
      <c r="M86" s="212" t="str">
        <f>IF(B123="2801","H",IF(B123="2911","H",IF(B123="3382","H"," ")))</f>
        <v>H</v>
      </c>
      <c r="N86" s="203"/>
      <c r="O86" s="1"/>
      <c r="Q86" s="164"/>
      <c r="V86" s="208" t="s">
        <v>151</v>
      </c>
      <c r="W86" s="208"/>
      <c r="X86" s="208"/>
      <c r="Y86" s="208"/>
      <c r="Z86" s="208"/>
      <c r="AA86" s="208"/>
      <c r="AB86" s="208"/>
      <c r="AC86" s="208"/>
      <c r="AD86" s="206"/>
    </row>
    <row r="87" spans="1:30" ht="18.75" customHeight="1" x14ac:dyDescent="0.25">
      <c r="B87" s="2" t="s">
        <v>152</v>
      </c>
      <c r="C87" s="13"/>
      <c r="D87" s="13"/>
      <c r="E87" s="13"/>
      <c r="F87" s="13"/>
      <c r="G87" s="13"/>
      <c r="H87" s="13"/>
      <c r="I87" s="13"/>
      <c r="J87" s="13"/>
      <c r="K87" s="213"/>
      <c r="L87" s="205">
        <f>L82+L86</f>
        <v>777909.3</v>
      </c>
      <c r="M87" s="202"/>
      <c r="N87" s="203"/>
      <c r="O87" s="1"/>
      <c r="Q87" s="164"/>
      <c r="V87" s="198"/>
      <c r="W87" s="198"/>
      <c r="X87" s="198"/>
      <c r="Y87" s="198"/>
      <c r="Z87" s="198"/>
      <c r="AA87" s="198"/>
      <c r="AB87" s="198"/>
      <c r="AC87" s="198"/>
      <c r="AD87" s="214"/>
    </row>
    <row r="88" spans="1:30" x14ac:dyDescent="0.25">
      <c r="V88" s="198"/>
      <c r="W88" s="198"/>
      <c r="X88" s="198"/>
      <c r="Y88" s="198"/>
      <c r="Z88" s="198"/>
      <c r="AA88" s="198"/>
      <c r="AB88" s="198"/>
      <c r="AC88" s="198"/>
      <c r="AD88" s="215"/>
    </row>
    <row r="89" spans="1:30" ht="18.75" customHeight="1" x14ac:dyDescent="0.25">
      <c r="A89" s="1" t="s">
        <v>153</v>
      </c>
      <c r="B89" s="13" t="s">
        <v>154</v>
      </c>
      <c r="C89" s="13"/>
      <c r="D89" s="13">
        <v>374625</v>
      </c>
      <c r="E89" s="13">
        <v>71133</v>
      </c>
      <c r="F89" s="13">
        <v>659160</v>
      </c>
      <c r="G89" s="13"/>
      <c r="H89" s="13"/>
      <c r="I89" s="13"/>
      <c r="J89" s="13"/>
      <c r="K89" s="213"/>
      <c r="L89" s="84">
        <v>-778952.02</v>
      </c>
      <c r="M89" s="202"/>
      <c r="N89" s="203"/>
      <c r="O89" s="1"/>
      <c r="Q89" s="164"/>
      <c r="V89" s="198">
        <v>2801</v>
      </c>
      <c r="W89" s="198"/>
      <c r="X89" s="198"/>
      <c r="Y89" s="198"/>
      <c r="Z89" s="198"/>
      <c r="AA89" s="198"/>
      <c r="AB89" s="198"/>
      <c r="AC89" s="198"/>
      <c r="AD89" s="214"/>
    </row>
    <row r="90" spans="1:30" ht="18.75" customHeight="1" x14ac:dyDescent="0.25">
      <c r="B90" s="13" t="s">
        <v>155</v>
      </c>
      <c r="C90" s="13"/>
      <c r="D90" s="13"/>
      <c r="E90" s="13"/>
      <c r="F90" s="13"/>
      <c r="G90" s="13"/>
      <c r="H90" s="13"/>
      <c r="I90" s="13"/>
      <c r="J90" s="13"/>
      <c r="K90" s="213"/>
      <c r="L90" s="205">
        <f>L87+L89</f>
        <v>-1042.7199999999721</v>
      </c>
      <c r="M90" s="202"/>
      <c r="N90" s="203"/>
      <c r="O90" s="1"/>
      <c r="Q90" s="164"/>
      <c r="V90" s="198">
        <v>2911</v>
      </c>
      <c r="W90" s="216"/>
      <c r="X90" s="216"/>
      <c r="Y90" s="216"/>
      <c r="Z90" s="216"/>
      <c r="AA90" s="216"/>
      <c r="AB90" s="216"/>
      <c r="AC90" s="216"/>
      <c r="AD90" s="214"/>
    </row>
    <row r="91" spans="1:30" ht="18.75" customHeight="1" x14ac:dyDescent="0.25">
      <c r="B91" s="13" t="s">
        <v>156</v>
      </c>
      <c r="C91" s="13"/>
      <c r="D91" s="13"/>
      <c r="E91" s="13"/>
      <c r="F91" s="13"/>
      <c r="G91" s="13"/>
      <c r="H91" s="13"/>
      <c r="I91" s="13"/>
      <c r="J91" s="13"/>
      <c r="K91" s="213"/>
      <c r="L91" s="205">
        <v>1</v>
      </c>
      <c r="M91" s="202"/>
      <c r="N91" s="203"/>
      <c r="O91" s="1"/>
      <c r="Q91" s="164"/>
      <c r="V91" s="198">
        <v>3382</v>
      </c>
      <c r="W91" s="216"/>
      <c r="X91" s="216"/>
      <c r="Y91" s="216"/>
      <c r="Z91" s="216"/>
      <c r="AA91" s="216"/>
      <c r="AB91" s="216"/>
      <c r="AC91" s="216"/>
      <c r="AD91" s="214"/>
    </row>
    <row r="92" spans="1:30" ht="18.75" customHeight="1" thickBot="1" x14ac:dyDescent="0.3">
      <c r="B92" s="13" t="s">
        <v>434</v>
      </c>
      <c r="C92" s="13"/>
      <c r="D92" s="13"/>
      <c r="E92" s="13"/>
      <c r="F92" s="13"/>
      <c r="G92" s="13"/>
      <c r="H92" s="13"/>
      <c r="I92" s="13"/>
      <c r="J92" s="13"/>
      <c r="K92" s="213"/>
      <c r="L92" s="217">
        <f>L90/L91</f>
        <v>-1042.7199999999721</v>
      </c>
      <c r="M92" s="202"/>
      <c r="N92" s="203"/>
      <c r="O92" s="1"/>
      <c r="Q92" s="164"/>
      <c r="V92" s="218"/>
      <c r="W92" s="218"/>
      <c r="X92" s="218"/>
      <c r="Y92" s="218"/>
      <c r="Z92" s="218"/>
      <c r="AA92" s="218"/>
      <c r="AB92" s="218"/>
      <c r="AC92" s="218"/>
      <c r="AD92" s="219"/>
    </row>
    <row r="93" spans="1:30" ht="18.75" customHeight="1" thickTop="1" x14ac:dyDescent="0.25">
      <c r="N93" s="219"/>
      <c r="O93" s="220"/>
      <c r="P93" s="219"/>
      <c r="Q93" s="219"/>
      <c r="V93" s="218"/>
      <c r="W93" s="218"/>
      <c r="X93" s="218"/>
      <c r="Y93" s="218"/>
      <c r="Z93" s="218"/>
      <c r="AA93" s="218"/>
      <c r="AB93" s="218"/>
      <c r="AC93" s="218"/>
      <c r="AD93" s="214"/>
    </row>
    <row r="94" spans="1:30" ht="18.75" customHeight="1" thickBot="1" x14ac:dyDescent="0.3">
      <c r="B94" s="221" t="s">
        <v>158</v>
      </c>
      <c r="C94" s="13"/>
      <c r="D94" s="13"/>
      <c r="E94" s="13"/>
      <c r="G94" s="13"/>
      <c r="H94" s="13"/>
      <c r="I94" s="13"/>
      <c r="J94" s="13"/>
      <c r="L94" s="222">
        <f>IF(M86="H",(K86*0.02)+L86,(K86*0.05)+L86)</f>
        <v>0</v>
      </c>
      <c r="M94" s="202"/>
      <c r="V94" s="223"/>
      <c r="W94" s="223"/>
      <c r="X94" s="223"/>
      <c r="Y94" s="223"/>
      <c r="Z94" s="223"/>
      <c r="AA94" s="223"/>
      <c r="AB94" s="223"/>
      <c r="AC94" s="223"/>
      <c r="AD94" s="214"/>
    </row>
    <row r="95" spans="1:30" ht="21.75" customHeight="1" thickTop="1" x14ac:dyDescent="0.25">
      <c r="B95" s="224" t="s">
        <v>159</v>
      </c>
      <c r="C95" s="224"/>
      <c r="D95" s="224"/>
      <c r="E95" s="224"/>
      <c r="F95" s="224"/>
      <c r="G95" s="224"/>
      <c r="H95" s="224"/>
      <c r="I95" s="224"/>
      <c r="J95" s="224"/>
      <c r="K95" s="224"/>
      <c r="L95" s="224"/>
      <c r="M95" s="219"/>
      <c r="V95" s="223"/>
      <c r="W95" s="223"/>
      <c r="X95" s="223"/>
      <c r="Y95" s="223"/>
      <c r="Z95" s="223"/>
      <c r="AA95" s="223"/>
      <c r="AB95" s="223"/>
      <c r="AC95" s="223"/>
      <c r="AD95" s="214"/>
    </row>
    <row r="96" spans="1:30" x14ac:dyDescent="0.25">
      <c r="B96" s="225"/>
      <c r="V96" s="223"/>
      <c r="W96" s="223"/>
      <c r="X96" s="223"/>
      <c r="Y96" s="223"/>
      <c r="Z96" s="223"/>
      <c r="AA96" s="223"/>
      <c r="AB96" s="223"/>
      <c r="AC96" s="223"/>
      <c r="AD96" s="219"/>
    </row>
    <row r="97" spans="2:30" x14ac:dyDescent="0.25">
      <c r="B97" s="225"/>
      <c r="V97" s="223"/>
      <c r="W97" s="223"/>
      <c r="X97" s="223"/>
      <c r="Y97" s="223"/>
      <c r="Z97" s="223"/>
      <c r="AA97" s="223"/>
      <c r="AB97" s="223"/>
      <c r="AC97" s="223"/>
      <c r="AD97" s="219"/>
    </row>
    <row r="98" spans="2:30" hidden="1" x14ac:dyDescent="0.25">
      <c r="B98" s="226" t="s">
        <v>160</v>
      </c>
      <c r="C98" s="227"/>
      <c r="V98" s="228"/>
      <c r="W98" s="228"/>
      <c r="X98" s="228"/>
      <c r="Y98" s="228"/>
      <c r="Z98" s="228"/>
      <c r="AA98" s="228"/>
      <c r="AB98" s="228"/>
      <c r="AC98" s="228"/>
    </row>
    <row r="99" spans="2:30" hidden="1" x14ac:dyDescent="0.25">
      <c r="B99" s="229"/>
      <c r="C99" s="227"/>
      <c r="V99" s="225"/>
      <c r="W99" s="13"/>
      <c r="X99" s="13"/>
      <c r="Y99" s="13"/>
      <c r="Z99" s="13"/>
      <c r="AA99" s="13"/>
      <c r="AB99" s="13"/>
      <c r="AC99" s="13"/>
    </row>
    <row r="100" spans="2:30" hidden="1" x14ac:dyDescent="0.25">
      <c r="B100" s="230" t="s">
        <v>161</v>
      </c>
      <c r="C100" s="226" t="s">
        <v>162</v>
      </c>
      <c r="V100" s="225"/>
    </row>
    <row r="101" spans="2:30" hidden="1" x14ac:dyDescent="0.25">
      <c r="B101" s="230" t="s">
        <v>163</v>
      </c>
      <c r="C101" s="226" t="s">
        <v>164</v>
      </c>
      <c r="V101" s="225"/>
    </row>
    <row r="102" spans="2:30" hidden="1" x14ac:dyDescent="0.25">
      <c r="B102" s="230" t="s">
        <v>165</v>
      </c>
      <c r="C102" s="226" t="s">
        <v>166</v>
      </c>
      <c r="V102" s="225"/>
      <c r="W102" s="231"/>
      <c r="X102" s="231"/>
      <c r="Y102" s="231"/>
      <c r="Z102" s="231"/>
      <c r="AA102" s="231"/>
      <c r="AB102" s="231"/>
      <c r="AC102" s="231"/>
      <c r="AD102" s="231"/>
    </row>
    <row r="103" spans="2:30" hidden="1" x14ac:dyDescent="0.25">
      <c r="B103" s="230" t="s">
        <v>167</v>
      </c>
      <c r="C103" s="226" t="s">
        <v>168</v>
      </c>
      <c r="V103" s="225"/>
    </row>
    <row r="104" spans="2:30" hidden="1" x14ac:dyDescent="0.25">
      <c r="B104" s="232"/>
      <c r="C104" s="226" t="s">
        <v>169</v>
      </c>
      <c r="V104" s="225"/>
    </row>
    <row r="105" spans="2:30" hidden="1" x14ac:dyDescent="0.25">
      <c r="B105" s="230" t="s">
        <v>170</v>
      </c>
      <c r="C105" s="226" t="s">
        <v>171</v>
      </c>
      <c r="V105" s="225"/>
    </row>
    <row r="106" spans="2:30" hidden="1" x14ac:dyDescent="0.25">
      <c r="B106" s="230" t="s">
        <v>172</v>
      </c>
      <c r="C106" s="226" t="s">
        <v>173</v>
      </c>
      <c r="V106" s="225"/>
    </row>
    <row r="107" spans="2:30" hidden="1" x14ac:dyDescent="0.25">
      <c r="B107" s="230" t="s">
        <v>262</v>
      </c>
      <c r="C107" s="226" t="s">
        <v>175</v>
      </c>
      <c r="V107" s="225"/>
    </row>
    <row r="108" spans="2:30" hidden="1" x14ac:dyDescent="0.25">
      <c r="B108" s="230" t="s">
        <v>176</v>
      </c>
      <c r="C108" s="226" t="s">
        <v>177</v>
      </c>
      <c r="V108" s="225"/>
    </row>
    <row r="109" spans="2:30" hidden="1" x14ac:dyDescent="0.25">
      <c r="B109" s="230" t="s">
        <v>178</v>
      </c>
      <c r="C109" s="226" t="s">
        <v>179</v>
      </c>
      <c r="V109" s="225"/>
    </row>
    <row r="110" spans="2:30" hidden="1" x14ac:dyDescent="0.25">
      <c r="B110" s="232"/>
      <c r="C110" s="226"/>
      <c r="V110" s="225"/>
    </row>
    <row r="111" spans="2:30" hidden="1" x14ac:dyDescent="0.25">
      <c r="B111" s="230" t="s">
        <v>180</v>
      </c>
      <c r="C111" s="226" t="s">
        <v>181</v>
      </c>
      <c r="V111" s="225"/>
    </row>
    <row r="112" spans="2:30" hidden="1" x14ac:dyDescent="0.25">
      <c r="B112" s="230" t="s">
        <v>180</v>
      </c>
      <c r="C112" s="226" t="s">
        <v>182</v>
      </c>
    </row>
    <row r="113" spans="2:3" hidden="1" x14ac:dyDescent="0.25">
      <c r="B113" s="230" t="s">
        <v>183</v>
      </c>
      <c r="C113" s="226" t="s">
        <v>184</v>
      </c>
    </row>
    <row r="114" spans="2:3" hidden="1" x14ac:dyDescent="0.25">
      <c r="B114" s="230" t="s">
        <v>185</v>
      </c>
      <c r="C114" s="226" t="s">
        <v>186</v>
      </c>
    </row>
    <row r="115" spans="2:3" hidden="1" x14ac:dyDescent="0.25">
      <c r="B115" s="230" t="s">
        <v>183</v>
      </c>
      <c r="C115" s="226" t="s">
        <v>187</v>
      </c>
    </row>
    <row r="116" spans="2:3" hidden="1" x14ac:dyDescent="0.25">
      <c r="B116" s="230" t="s">
        <v>188</v>
      </c>
      <c r="C116" s="226" t="s">
        <v>189</v>
      </c>
    </row>
    <row r="117" spans="2:3" hidden="1" x14ac:dyDescent="0.25">
      <c r="B117" s="230" t="s">
        <v>190</v>
      </c>
      <c r="C117" s="226" t="s">
        <v>191</v>
      </c>
    </row>
    <row r="118" spans="2:3" hidden="1" x14ac:dyDescent="0.25">
      <c r="B118" s="232" t="s">
        <v>192</v>
      </c>
      <c r="C118" s="226" t="s">
        <v>193</v>
      </c>
    </row>
    <row r="119" spans="2:3" hidden="1" x14ac:dyDescent="0.25">
      <c r="B119" s="232"/>
      <c r="C119" s="226"/>
    </row>
    <row r="120" spans="2:3" hidden="1" x14ac:dyDescent="0.25">
      <c r="B120" s="230" t="s">
        <v>161</v>
      </c>
      <c r="C120" s="226" t="s">
        <v>194</v>
      </c>
    </row>
    <row r="121" spans="2:3" hidden="1" x14ac:dyDescent="0.25">
      <c r="B121" s="230" t="s">
        <v>195</v>
      </c>
      <c r="C121" s="226" t="s">
        <v>196</v>
      </c>
    </row>
    <row r="122" spans="2:3" hidden="1" x14ac:dyDescent="0.25">
      <c r="B122" s="230" t="s">
        <v>197</v>
      </c>
      <c r="C122" s="226" t="s">
        <v>198</v>
      </c>
    </row>
    <row r="123" spans="2:3" hidden="1" x14ac:dyDescent="0.25">
      <c r="B123" s="230" t="s">
        <v>263</v>
      </c>
      <c r="C123" s="226" t="s">
        <v>200</v>
      </c>
    </row>
    <row r="124" spans="2:3" hidden="1" x14ac:dyDescent="0.25">
      <c r="B124" s="230" t="s">
        <v>264</v>
      </c>
      <c r="C124" s="226" t="s">
        <v>202</v>
      </c>
    </row>
    <row r="125" spans="2:3" hidden="1" x14ac:dyDescent="0.25">
      <c r="B125" s="230" t="s">
        <v>203</v>
      </c>
      <c r="C125" s="226" t="s">
        <v>204</v>
      </c>
    </row>
    <row r="126" spans="2:3" hidden="1" x14ac:dyDescent="0.25">
      <c r="B126" s="230" t="s">
        <v>203</v>
      </c>
      <c r="C126" s="226" t="s">
        <v>205</v>
      </c>
    </row>
    <row r="127" spans="2:3" hidden="1" x14ac:dyDescent="0.25">
      <c r="B127" s="230" t="s">
        <v>203</v>
      </c>
      <c r="C127" s="226" t="s">
        <v>206</v>
      </c>
    </row>
    <row r="128" spans="2:3" hidden="1" x14ac:dyDescent="0.25">
      <c r="B128" s="230" t="s">
        <v>203</v>
      </c>
      <c r="C128" s="226" t="s">
        <v>207</v>
      </c>
    </row>
    <row r="129" spans="2:3" hidden="1" x14ac:dyDescent="0.25">
      <c r="B129" s="230" t="s">
        <v>167</v>
      </c>
      <c r="C129" s="226" t="s">
        <v>208</v>
      </c>
    </row>
    <row r="130" spans="2:3" hidden="1" x14ac:dyDescent="0.25">
      <c r="B130" s="230" t="s">
        <v>209</v>
      </c>
      <c r="C130" s="226" t="s">
        <v>210</v>
      </c>
    </row>
    <row r="131" spans="2:3" hidden="1" x14ac:dyDescent="0.25">
      <c r="B131" s="230" t="s">
        <v>203</v>
      </c>
      <c r="C131" s="226" t="s">
        <v>211</v>
      </c>
    </row>
    <row r="132" spans="2:3" hidden="1" x14ac:dyDescent="0.25">
      <c r="B132" s="226"/>
      <c r="C132" s="226"/>
    </row>
    <row r="133" spans="2:3" hidden="1" x14ac:dyDescent="0.25">
      <c r="B133" s="226"/>
      <c r="C133" s="226"/>
    </row>
    <row r="134" spans="2:3" hidden="1" x14ac:dyDescent="0.25">
      <c r="B134" s="232"/>
      <c r="C134" s="232"/>
    </row>
    <row r="135" spans="2:3" hidden="1" x14ac:dyDescent="0.25">
      <c r="B135" s="232">
        <f>NvsElapsedTime</f>
        <v>1.15740767796524E-5</v>
      </c>
      <c r="C135" s="232"/>
    </row>
    <row r="136" spans="2:3" hidden="1" x14ac:dyDescent="0.25">
      <c r="B136" s="233">
        <f>NvsEndTime</f>
        <v>41754.487870370402</v>
      </c>
      <c r="C136" s="233" t="s">
        <v>212</v>
      </c>
    </row>
    <row r="137" spans="2:3" x14ac:dyDescent="0.25">
      <c r="B137" s="226"/>
      <c r="C137" s="234"/>
    </row>
    <row r="138" spans="2:3" x14ac:dyDescent="0.25">
      <c r="B138" s="226"/>
      <c r="C138" s="226"/>
    </row>
    <row r="139" spans="2:3" x14ac:dyDescent="0.25">
      <c r="B139" s="226"/>
      <c r="C139" s="226"/>
    </row>
    <row r="140" spans="2:3" x14ac:dyDescent="0.25">
      <c r="B140" s="226"/>
      <c r="C140" s="226"/>
    </row>
    <row r="141" spans="2:3" x14ac:dyDescent="0.25">
      <c r="B141" s="226"/>
      <c r="C141" s="226"/>
    </row>
    <row r="142" spans="2:3" x14ac:dyDescent="0.25">
      <c r="B142" s="226"/>
      <c r="C142" s="226"/>
    </row>
    <row r="143" spans="2:3" x14ac:dyDescent="0.25">
      <c r="B143" s="226"/>
      <c r="C143" s="226"/>
    </row>
    <row r="144" spans="2:3" x14ac:dyDescent="0.25">
      <c r="B144" s="226"/>
      <c r="C144" s="226"/>
    </row>
    <row r="145" spans="2:3" x14ac:dyDescent="0.25">
      <c r="B145" s="226"/>
      <c r="C145" s="226"/>
    </row>
    <row r="146" spans="2:3" x14ac:dyDescent="0.25">
      <c r="B146" s="226"/>
      <c r="C146" s="226"/>
    </row>
    <row r="147" spans="2:3" x14ac:dyDescent="0.25">
      <c r="B147" s="226"/>
      <c r="C147" s="226"/>
    </row>
    <row r="148" spans="2:3" x14ac:dyDescent="0.25">
      <c r="B148" s="226"/>
      <c r="C148" s="226"/>
    </row>
    <row r="149" spans="2:3" x14ac:dyDescent="0.25">
      <c r="B149" s="226"/>
      <c r="C149" s="226"/>
    </row>
    <row r="150" spans="2:3" x14ac:dyDescent="0.25">
      <c r="B150" s="226"/>
      <c r="C150" s="226"/>
    </row>
    <row r="151" spans="2:3" x14ac:dyDescent="0.25">
      <c r="B151" s="226"/>
      <c r="C151" s="226"/>
    </row>
  </sheetData>
  <mergeCells count="151">
    <mergeCell ref="B80:D80"/>
    <mergeCell ref="V76:X76"/>
    <mergeCell ref="Y76:Z76"/>
    <mergeCell ref="V77:X77"/>
    <mergeCell ref="Y77:Z77"/>
    <mergeCell ref="B78:D78"/>
    <mergeCell ref="V78:X78"/>
    <mergeCell ref="V70:X70"/>
    <mergeCell ref="Y70:Z70"/>
    <mergeCell ref="V71:X71"/>
    <mergeCell ref="Y71:Z71"/>
    <mergeCell ref="V72:AB72"/>
    <mergeCell ref="V73:AC73"/>
    <mergeCell ref="V74:W74"/>
    <mergeCell ref="V75:W75"/>
    <mergeCell ref="B79:D79"/>
    <mergeCell ref="V79:X79"/>
    <mergeCell ref="V65:W65"/>
    <mergeCell ref="X65:AC65"/>
    <mergeCell ref="V66:X66"/>
    <mergeCell ref="Y66:Z66"/>
    <mergeCell ref="V67:AC67"/>
    <mergeCell ref="V68:X68"/>
    <mergeCell ref="Y68:Z68"/>
    <mergeCell ref="V69:X69"/>
    <mergeCell ref="Y69:Z69"/>
    <mergeCell ref="V60:W60"/>
    <mergeCell ref="X60:AC60"/>
    <mergeCell ref="V61:W61"/>
    <mergeCell ref="X61:AC61"/>
    <mergeCell ref="V62:W62"/>
    <mergeCell ref="X62:AC62"/>
    <mergeCell ref="V63:AC63"/>
    <mergeCell ref="V64:W64"/>
    <mergeCell ref="X64:AC64"/>
    <mergeCell ref="V55:AC55"/>
    <mergeCell ref="V56:W56"/>
    <mergeCell ref="Y56:Z56"/>
    <mergeCell ref="AA56:AC56"/>
    <mergeCell ref="V57:AA57"/>
    <mergeCell ref="AB57:AC57"/>
    <mergeCell ref="V58:X58"/>
    <mergeCell ref="Y58:Z58"/>
    <mergeCell ref="V59:AC59"/>
    <mergeCell ref="X49:Y49"/>
    <mergeCell ref="X50:AB50"/>
    <mergeCell ref="V51:AC51"/>
    <mergeCell ref="V52:AC52"/>
    <mergeCell ref="V53:W53"/>
    <mergeCell ref="Y53:Z53"/>
    <mergeCell ref="AA53:AC53"/>
    <mergeCell ref="V54:AA54"/>
    <mergeCell ref="AB54:AC54"/>
    <mergeCell ref="V41:AC41"/>
    <mergeCell ref="V42:AC42"/>
    <mergeCell ref="V43:AC43"/>
    <mergeCell ref="V44:AB44"/>
    <mergeCell ref="V45:AC45"/>
    <mergeCell ref="X46:Y46"/>
    <mergeCell ref="Z46:AC46"/>
    <mergeCell ref="X47:Y47"/>
    <mergeCell ref="X48:Y48"/>
    <mergeCell ref="V37:W37"/>
    <mergeCell ref="X37:Y37"/>
    <mergeCell ref="Z37:AB37"/>
    <mergeCell ref="V38:AC38"/>
    <mergeCell ref="V39:W39"/>
    <mergeCell ref="X39:Y39"/>
    <mergeCell ref="Z39:AC39"/>
    <mergeCell ref="V40:W40"/>
    <mergeCell ref="X40:AA40"/>
    <mergeCell ref="V26:W26"/>
    <mergeCell ref="X26:Y26"/>
    <mergeCell ref="Z26:AA26"/>
    <mergeCell ref="V27:W27"/>
    <mergeCell ref="X27:Y27"/>
    <mergeCell ref="B28:C36"/>
    <mergeCell ref="V28:W36"/>
    <mergeCell ref="X28:Y28"/>
    <mergeCell ref="X29:Y29"/>
    <mergeCell ref="X30:Y30"/>
    <mergeCell ref="X31:Y31"/>
    <mergeCell ref="X32:Y32"/>
    <mergeCell ref="X33:Y33"/>
    <mergeCell ref="X34:Y34"/>
    <mergeCell ref="X35:Y35"/>
    <mergeCell ref="X36:Y36"/>
    <mergeCell ref="V23:W23"/>
    <mergeCell ref="X23:Y23"/>
    <mergeCell ref="Z23:AA23"/>
    <mergeCell ref="V24:W24"/>
    <mergeCell ref="X24:Y24"/>
    <mergeCell ref="Z24:AA24"/>
    <mergeCell ref="V25:W25"/>
    <mergeCell ref="X25:Y25"/>
    <mergeCell ref="Z25:AA25"/>
    <mergeCell ref="V20:W20"/>
    <mergeCell ref="X20:Y20"/>
    <mergeCell ref="Z20:AA20"/>
    <mergeCell ref="V21:W21"/>
    <mergeCell ref="X21:Y21"/>
    <mergeCell ref="Z21:AA21"/>
    <mergeCell ref="V22:W22"/>
    <mergeCell ref="X22:Y22"/>
    <mergeCell ref="Z22:AA22"/>
    <mergeCell ref="V17:W17"/>
    <mergeCell ref="X17:Y17"/>
    <mergeCell ref="Z17:AA17"/>
    <mergeCell ref="V18:W18"/>
    <mergeCell ref="X18:Y18"/>
    <mergeCell ref="Z18:AA18"/>
    <mergeCell ref="V19:W19"/>
    <mergeCell ref="X19:Y19"/>
    <mergeCell ref="Z19:AA19"/>
    <mergeCell ref="V14:W14"/>
    <mergeCell ref="X14:Y14"/>
    <mergeCell ref="Z14:AA14"/>
    <mergeCell ref="V15:W15"/>
    <mergeCell ref="X15:Y15"/>
    <mergeCell ref="Z15:AA15"/>
    <mergeCell ref="V16:W16"/>
    <mergeCell ref="X16:Y16"/>
    <mergeCell ref="Z16:AA16"/>
    <mergeCell ref="V11:W11"/>
    <mergeCell ref="X11:Y11"/>
    <mergeCell ref="Z11:AA11"/>
    <mergeCell ref="V12:W12"/>
    <mergeCell ref="X12:Y12"/>
    <mergeCell ref="Z12:AA12"/>
    <mergeCell ref="V13:W13"/>
    <mergeCell ref="X13:Y13"/>
    <mergeCell ref="Z13:AA13"/>
    <mergeCell ref="V8:W8"/>
    <mergeCell ref="X8:Y8"/>
    <mergeCell ref="Z8:AA8"/>
    <mergeCell ref="V9:W9"/>
    <mergeCell ref="X9:Y9"/>
    <mergeCell ref="Z9:AA9"/>
    <mergeCell ref="V10:W10"/>
    <mergeCell ref="X10:Y10"/>
    <mergeCell ref="Z10:AA10"/>
    <mergeCell ref="W2:AC2"/>
    <mergeCell ref="V3:AC3"/>
    <mergeCell ref="V4:AC4"/>
    <mergeCell ref="V5:W5"/>
    <mergeCell ref="X5:Y5"/>
    <mergeCell ref="V6:AC6"/>
    <mergeCell ref="V7:W7"/>
    <mergeCell ref="X7:Y7"/>
    <mergeCell ref="Z7:AA7"/>
    <mergeCell ref="AB7:AC7"/>
  </mergeCells>
  <printOptions horizontalCentered="1"/>
  <pageMargins left="0" right="0" top="0.67" bottom="0.2" header="0.25" footer="0.196850393700787"/>
  <pageSetup scale="63" fitToWidth="2" fitToHeight="2" orientation="portrait" horizontalDpi="4294967295" verticalDpi="4294967295" r:id="rId1"/>
  <headerFooter alignWithMargins="0">
    <oddHeader>&amp;L&amp;8&amp;F
&amp;D &amp;T</oddHeader>
    <oddFooter>&amp;C&amp;P</oddFooter>
  </headerFooter>
  <rowBreaks count="1" manualBreakCount="1">
    <brk id="51" max="16383"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pageSetUpPr fitToPage="1"/>
  </sheetPr>
  <dimension ref="A1:AD151"/>
  <sheetViews>
    <sheetView topLeftCell="B2" zoomScale="70" zoomScaleNormal="70" workbookViewId="0">
      <selection activeCell="B2" sqref="B2"/>
    </sheetView>
  </sheetViews>
  <sheetFormatPr defaultColWidth="8.85546875" defaultRowHeight="15.75" x14ac:dyDescent="0.25"/>
  <cols>
    <col min="1" max="1" width="11.28515625" style="1" hidden="1" customWidth="1"/>
    <col min="2" max="2" width="10.28515625" style="2" customWidth="1"/>
    <col min="3" max="3" width="29" style="1" customWidth="1"/>
    <col min="4" max="5" width="12.28515625" style="1" customWidth="1"/>
    <col min="6" max="6" width="12.28515625" style="1" hidden="1" customWidth="1"/>
    <col min="7" max="7" width="16.28515625" style="1" customWidth="1"/>
    <col min="8" max="8" width="6.7109375" style="1" customWidth="1"/>
    <col min="9" max="9" width="14.5703125" style="1" customWidth="1"/>
    <col min="10" max="10" width="12.85546875" style="1" customWidth="1"/>
    <col min="11" max="11" width="17.140625" style="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28515625" style="1" customWidth="1"/>
    <col min="18" max="18" width="8.85546875" style="1"/>
    <col min="19" max="21" width="0" style="1" hidden="1" customWidth="1"/>
    <col min="22" max="23" width="8.85546875" style="1"/>
    <col min="24" max="24" width="12.7109375" style="1" customWidth="1"/>
    <col min="25" max="27" width="8.85546875" style="1"/>
    <col min="28" max="28" width="13.140625" style="1" bestFit="1" customWidth="1"/>
    <col min="29" max="16384" width="8.85546875" style="1"/>
  </cols>
  <sheetData>
    <row r="1" spans="1:30" ht="15.6"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7"/>
      <c r="N2" s="3"/>
      <c r="O2" s="1"/>
      <c r="V2" s="8">
        <f>'3384'!B2</f>
        <v>50</v>
      </c>
      <c r="W2" s="606" t="s">
        <v>4</v>
      </c>
      <c r="X2" s="607"/>
      <c r="Y2" s="608"/>
      <c r="Z2" s="608"/>
      <c r="AA2" s="608"/>
      <c r="AB2" s="608"/>
      <c r="AC2" s="608"/>
      <c r="AD2" s="9"/>
    </row>
    <row r="3" spans="1:30" ht="20.25" x14ac:dyDescent="0.3">
      <c r="B3" s="10" t="str">
        <f>"Revenue Estimate Worksheet for "&amp;B124</f>
        <v>Revenue Estimate Worksheet for Hope Learning Riviera Beach</v>
      </c>
      <c r="C3" s="11"/>
      <c r="D3" s="11"/>
      <c r="E3" s="11"/>
      <c r="F3" s="11"/>
      <c r="G3" s="11"/>
      <c r="H3" s="11"/>
      <c r="I3" s="11"/>
      <c r="J3" s="11"/>
      <c r="K3" s="11"/>
      <c r="L3" s="11"/>
      <c r="M3" s="10"/>
      <c r="N3" s="10"/>
      <c r="O3" s="10"/>
      <c r="P3" s="10"/>
      <c r="Q3" s="10"/>
      <c r="V3" s="609" t="s">
        <v>5</v>
      </c>
      <c r="W3" s="609"/>
      <c r="X3" s="609"/>
      <c r="Y3" s="609"/>
      <c r="Z3" s="609"/>
      <c r="AA3" s="609"/>
      <c r="AB3" s="609"/>
      <c r="AC3" s="609"/>
      <c r="AD3" s="12"/>
    </row>
    <row r="4" spans="1:30" ht="18.75" x14ac:dyDescent="0.3">
      <c r="B4" s="2" t="s">
        <v>6</v>
      </c>
      <c r="C4" s="13"/>
      <c r="D4" s="13"/>
      <c r="E4" s="13"/>
      <c r="F4" s="13"/>
      <c r="G4" s="13"/>
      <c r="H4" s="13"/>
      <c r="I4" s="13"/>
      <c r="J4" s="13"/>
      <c r="K4" s="13"/>
      <c r="L4" s="13"/>
      <c r="M4" s="14"/>
      <c r="N4" s="14"/>
      <c r="O4" s="14"/>
      <c r="P4" s="14"/>
      <c r="Q4" s="14"/>
      <c r="V4" s="610" t="str">
        <f>+Based_on_the_Second_Calculation_of_the_FEFP_2010_11</f>
        <v>Based on the Fourth Calculation of the FEFP 2013-14</v>
      </c>
      <c r="W4" s="610"/>
      <c r="X4" s="610"/>
      <c r="Y4" s="610"/>
      <c r="Z4" s="610"/>
      <c r="AA4" s="610"/>
      <c r="AB4" s="610"/>
      <c r="AC4" s="610"/>
      <c r="AD4" s="15"/>
    </row>
    <row r="5" spans="1:30" ht="18.75" customHeight="1" x14ac:dyDescent="0.25">
      <c r="B5" s="16" t="s">
        <v>7</v>
      </c>
      <c r="C5" s="16"/>
      <c r="D5" s="16"/>
      <c r="E5" s="16"/>
      <c r="F5" s="16"/>
      <c r="G5" s="17" t="s">
        <v>8</v>
      </c>
      <c r="H5" s="17"/>
      <c r="I5" s="17"/>
      <c r="J5" s="17"/>
      <c r="K5" s="17"/>
      <c r="L5" s="17"/>
      <c r="M5" s="18"/>
      <c r="N5" s="18"/>
      <c r="O5" s="18"/>
      <c r="P5" s="18"/>
      <c r="Q5" s="18"/>
      <c r="V5" s="611" t="s">
        <v>7</v>
      </c>
      <c r="W5" s="611"/>
      <c r="X5" s="612" t="s">
        <v>8</v>
      </c>
      <c r="Y5" s="612"/>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613" t="s">
        <v>9</v>
      </c>
      <c r="W6" s="613"/>
      <c r="X6" s="613"/>
      <c r="Y6" s="613"/>
      <c r="Z6" s="613"/>
      <c r="AA6" s="613"/>
      <c r="AB6" s="613"/>
      <c r="AC6" s="613"/>
      <c r="AD6" s="22"/>
    </row>
    <row r="7" spans="1:30" ht="18" customHeight="1" x14ac:dyDescent="0.25">
      <c r="B7" s="23" t="s">
        <v>10</v>
      </c>
      <c r="C7" s="23"/>
      <c r="D7" s="23"/>
      <c r="E7" s="23"/>
      <c r="F7" s="23"/>
      <c r="G7" s="24">
        <v>3752.3</v>
      </c>
      <c r="H7" s="24"/>
      <c r="I7" s="23" t="s">
        <v>11</v>
      </c>
      <c r="J7" s="23"/>
      <c r="K7" s="25">
        <v>1.0326</v>
      </c>
      <c r="L7" s="25"/>
      <c r="O7" s="1"/>
      <c r="V7" s="620" t="s">
        <v>10</v>
      </c>
      <c r="W7" s="620"/>
      <c r="X7" s="621">
        <f>'3384'!G7</f>
        <v>3752.3</v>
      </c>
      <c r="Y7" s="621"/>
      <c r="Z7" s="622" t="s">
        <v>11</v>
      </c>
      <c r="AA7" s="622"/>
      <c r="AB7" s="602">
        <f>+K7</f>
        <v>1.0326</v>
      </c>
      <c r="AC7" s="602"/>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603" t="s">
        <v>12</v>
      </c>
      <c r="W8" s="603"/>
      <c r="X8" s="604" t="s">
        <v>15</v>
      </c>
      <c r="Y8" s="604"/>
      <c r="Z8" s="605" t="s">
        <v>16</v>
      </c>
      <c r="AA8" s="605"/>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614" t="s">
        <v>22</v>
      </c>
      <c r="W9" s="614"/>
      <c r="X9" s="615" t="s">
        <v>23</v>
      </c>
      <c r="Y9" s="615"/>
      <c r="Z9" s="616" t="s">
        <v>24</v>
      </c>
      <c r="AA9" s="616"/>
      <c r="AB9" s="43" t="s">
        <v>25</v>
      </c>
      <c r="AC9" s="44" t="s">
        <v>26</v>
      </c>
      <c r="AD9" s="9"/>
    </row>
    <row r="10" spans="1:30" x14ac:dyDescent="0.25">
      <c r="A10" s="1" t="s">
        <v>27</v>
      </c>
      <c r="B10" s="45" t="s">
        <v>28</v>
      </c>
      <c r="C10" s="45"/>
      <c r="D10" s="45">
        <v>6.95</v>
      </c>
      <c r="E10" s="45">
        <v>5.87</v>
      </c>
      <c r="F10" s="45">
        <v>8.4600000000000009</v>
      </c>
      <c r="G10" s="46">
        <f>D10+E10</f>
        <v>12.82</v>
      </c>
      <c r="H10" s="47"/>
      <c r="I10" s="48">
        <v>1.125</v>
      </c>
      <c r="J10" s="48"/>
      <c r="K10" s="49">
        <f>ROUND(G10*I10,4)</f>
        <v>14.422499999999999</v>
      </c>
      <c r="L10" s="50">
        <f>ROUND(ROUND(K10*$G$7,4)*($K$7),0)</f>
        <v>55882</v>
      </c>
      <c r="N10" s="51">
        <v>5101</v>
      </c>
      <c r="O10" s="52">
        <v>101</v>
      </c>
      <c r="P10" s="53"/>
      <c r="Q10" s="54"/>
      <c r="V10" s="617" t="s">
        <v>28</v>
      </c>
      <c r="W10" s="617"/>
      <c r="X10" s="618">
        <f>IF('3384'!K$84=1,'3384'!G10,0)</f>
        <v>0</v>
      </c>
      <c r="Y10" s="618"/>
      <c r="Z10" s="619">
        <v>1</v>
      </c>
      <c r="AA10" s="619"/>
      <c r="AB10" s="55">
        <f t="shared" ref="AB10:AB25" si="0">ROUND(X10*Z10,4)</f>
        <v>0</v>
      </c>
      <c r="AC10" s="56">
        <f t="shared" ref="AC10:AC25" si="1">ROUND(ROUND(AB10*$X$7,4)*($AB$7),0)</f>
        <v>0</v>
      </c>
      <c r="AD10" s="9">
        <v>1</v>
      </c>
    </row>
    <row r="11" spans="1:30" x14ac:dyDescent="0.25">
      <c r="A11" s="1" t="s">
        <v>29</v>
      </c>
      <c r="B11" s="13" t="s">
        <v>30</v>
      </c>
      <c r="C11" s="13"/>
      <c r="D11" s="13">
        <v>0.5</v>
      </c>
      <c r="E11" s="13">
        <v>0</v>
      </c>
      <c r="F11" s="13">
        <v>0.6</v>
      </c>
      <c r="G11" s="46">
        <f t="shared" ref="G11:G25" si="2">D11+E11</f>
        <v>0.5</v>
      </c>
      <c r="H11" s="47"/>
      <c r="I11" s="57">
        <f>I10</f>
        <v>1.125</v>
      </c>
      <c r="J11" s="57"/>
      <c r="K11" s="49">
        <f t="shared" ref="K11:K25" si="3">ROUND(G11*I11,4)</f>
        <v>0.5625</v>
      </c>
      <c r="L11" s="50">
        <f t="shared" ref="L11:L25" si="4">ROUND(ROUND(K11*$G$7,4)*($K$7),0)</f>
        <v>2179</v>
      </c>
      <c r="M11" s="1" t="str">
        <f>IF(ROUND(G11,2)=ROUND(SUM(G28:G30),2)," ","CHECK 2. PK-3 Lines Below")</f>
        <v xml:space="preserve"> </v>
      </c>
      <c r="N11" s="51">
        <v>5101</v>
      </c>
      <c r="O11" s="58" t="s">
        <v>31</v>
      </c>
      <c r="P11" s="53"/>
      <c r="Q11" s="54"/>
      <c r="V11" s="623" t="s">
        <v>30</v>
      </c>
      <c r="W11" s="623"/>
      <c r="X11" s="618">
        <f>IF('3384'!K$84=1,'3384'!G11,0)</f>
        <v>0</v>
      </c>
      <c r="Y11" s="618"/>
      <c r="Z11" s="624">
        <v>1</v>
      </c>
      <c r="AA11" s="624"/>
      <c r="AB11" s="55">
        <f t="shared" si="0"/>
        <v>0</v>
      </c>
      <c r="AC11" s="56">
        <f t="shared" si="1"/>
        <v>0</v>
      </c>
      <c r="AD11" s="9"/>
    </row>
    <row r="12" spans="1:30" x14ac:dyDescent="0.25">
      <c r="A12" s="1" t="s">
        <v>32</v>
      </c>
      <c r="B12" s="13" t="s">
        <v>33</v>
      </c>
      <c r="C12" s="13"/>
      <c r="D12" s="13">
        <v>3.08</v>
      </c>
      <c r="E12" s="13">
        <v>3.64</v>
      </c>
      <c r="F12" s="13">
        <v>3.7</v>
      </c>
      <c r="G12" s="46">
        <f t="shared" si="2"/>
        <v>6.7200000000000006</v>
      </c>
      <c r="H12" s="47"/>
      <c r="I12" s="57">
        <v>1</v>
      </c>
      <c r="J12" s="57"/>
      <c r="K12" s="49">
        <f t="shared" si="3"/>
        <v>6.72</v>
      </c>
      <c r="L12" s="50">
        <f t="shared" si="4"/>
        <v>26037</v>
      </c>
      <c r="N12" s="51">
        <v>5102</v>
      </c>
      <c r="O12" s="52">
        <v>102</v>
      </c>
      <c r="P12" s="53"/>
      <c r="Q12" s="54"/>
      <c r="V12" s="623" t="s">
        <v>33</v>
      </c>
      <c r="W12" s="623"/>
      <c r="X12" s="618">
        <f>IF('3384'!K$84=1,'3384'!G12,0)</f>
        <v>0</v>
      </c>
      <c r="Y12" s="618"/>
      <c r="Z12" s="624">
        <v>1</v>
      </c>
      <c r="AA12" s="624"/>
      <c r="AB12" s="55">
        <f t="shared" si="0"/>
        <v>0</v>
      </c>
      <c r="AC12" s="56">
        <f t="shared" si="1"/>
        <v>0</v>
      </c>
      <c r="AD12" s="9"/>
    </row>
    <row r="13" spans="1:30" x14ac:dyDescent="0.25">
      <c r="A13" s="1" t="s">
        <v>34</v>
      </c>
      <c r="B13" s="13" t="s">
        <v>35</v>
      </c>
      <c r="C13" s="13"/>
      <c r="D13" s="13">
        <v>0</v>
      </c>
      <c r="E13" s="13">
        <v>0</v>
      </c>
      <c r="F13" s="13">
        <v>0</v>
      </c>
      <c r="G13" s="46">
        <f t="shared" si="2"/>
        <v>0</v>
      </c>
      <c r="H13" s="47"/>
      <c r="I13" s="57">
        <f>I12</f>
        <v>1</v>
      </c>
      <c r="J13" s="57"/>
      <c r="K13" s="49">
        <f t="shared" si="3"/>
        <v>0</v>
      </c>
      <c r="L13" s="50">
        <f t="shared" si="4"/>
        <v>0</v>
      </c>
      <c r="M13" s="1" t="str">
        <f>IF(ROUND(G13,2)=ROUND(SUM(G31:G33),2)," ","CHECK 2. PK-3 Lines Below")</f>
        <v xml:space="preserve"> </v>
      </c>
      <c r="N13" s="51">
        <v>5102</v>
      </c>
      <c r="O13" s="58" t="s">
        <v>36</v>
      </c>
      <c r="P13" s="53"/>
      <c r="Q13" s="54"/>
      <c r="V13" s="623" t="s">
        <v>35</v>
      </c>
      <c r="W13" s="623"/>
      <c r="X13" s="618">
        <f>IF('3384'!K$84=1,'3384'!G13,0)</f>
        <v>0</v>
      </c>
      <c r="Y13" s="618"/>
      <c r="Z13" s="624">
        <v>1</v>
      </c>
      <c r="AA13" s="624"/>
      <c r="AB13" s="55">
        <f t="shared" si="0"/>
        <v>0</v>
      </c>
      <c r="AC13" s="56">
        <f t="shared" si="1"/>
        <v>0</v>
      </c>
      <c r="AD13" s="9"/>
    </row>
    <row r="14" spans="1:30" x14ac:dyDescent="0.25">
      <c r="A14" s="1" t="s">
        <v>37</v>
      </c>
      <c r="B14" s="13" t="s">
        <v>38</v>
      </c>
      <c r="C14" s="13"/>
      <c r="D14" s="13">
        <v>0</v>
      </c>
      <c r="E14" s="13">
        <v>0</v>
      </c>
      <c r="F14" s="13">
        <v>0</v>
      </c>
      <c r="G14" s="46">
        <f t="shared" si="2"/>
        <v>0</v>
      </c>
      <c r="H14" s="47"/>
      <c r="I14" s="57">
        <v>1.0109999999999999</v>
      </c>
      <c r="J14" s="57"/>
      <c r="K14" s="49">
        <f t="shared" si="3"/>
        <v>0</v>
      </c>
      <c r="L14" s="50">
        <f t="shared" si="4"/>
        <v>0</v>
      </c>
      <c r="N14" s="51">
        <v>5103</v>
      </c>
      <c r="O14" s="52">
        <v>103</v>
      </c>
      <c r="P14" s="53"/>
      <c r="Q14" s="54"/>
      <c r="V14" s="623" t="s">
        <v>38</v>
      </c>
      <c r="W14" s="623"/>
      <c r="X14" s="618">
        <f>IF('3384'!K$84=1,'3384'!G14,0)</f>
        <v>0</v>
      </c>
      <c r="Y14" s="618"/>
      <c r="Z14" s="624">
        <v>1</v>
      </c>
      <c r="AA14" s="624"/>
      <c r="AB14" s="55">
        <f t="shared" si="0"/>
        <v>0</v>
      </c>
      <c r="AC14" s="56">
        <f t="shared" si="1"/>
        <v>0</v>
      </c>
      <c r="AD14" s="9"/>
    </row>
    <row r="15" spans="1:30" x14ac:dyDescent="0.25">
      <c r="A15" s="1" t="s">
        <v>39</v>
      </c>
      <c r="B15" s="13" t="s">
        <v>40</v>
      </c>
      <c r="C15" s="13"/>
      <c r="D15" s="13">
        <v>0</v>
      </c>
      <c r="E15" s="13">
        <v>0</v>
      </c>
      <c r="F15" s="13">
        <v>0</v>
      </c>
      <c r="G15" s="46">
        <f t="shared" si="2"/>
        <v>0</v>
      </c>
      <c r="H15" s="47"/>
      <c r="I15" s="57">
        <f>I14</f>
        <v>1.0109999999999999</v>
      </c>
      <c r="J15" s="57"/>
      <c r="K15" s="49">
        <f t="shared" si="3"/>
        <v>0</v>
      </c>
      <c r="L15" s="59">
        <f t="shared" si="4"/>
        <v>0</v>
      </c>
      <c r="M15" s="1" t="str">
        <f>IF(ROUND(G15,2)=ROUND(SUM(G34:G36),2)," ","CHECK 2. PK-3 Lines Below")</f>
        <v xml:space="preserve"> </v>
      </c>
      <c r="N15" s="51">
        <v>5103</v>
      </c>
      <c r="O15" s="58" t="s">
        <v>41</v>
      </c>
      <c r="P15" s="53"/>
      <c r="Q15" s="54"/>
      <c r="V15" s="623" t="s">
        <v>40</v>
      </c>
      <c r="W15" s="623"/>
      <c r="X15" s="618">
        <f>IF('3384'!K$84=1,'3384'!G15,0)</f>
        <v>0</v>
      </c>
      <c r="Y15" s="618"/>
      <c r="Z15" s="624">
        <v>1</v>
      </c>
      <c r="AA15" s="624"/>
      <c r="AB15" s="55">
        <f t="shared" si="0"/>
        <v>0</v>
      </c>
      <c r="AC15" s="60">
        <f t="shared" si="1"/>
        <v>0</v>
      </c>
      <c r="AD15" s="9"/>
    </row>
    <row r="16" spans="1:30" x14ac:dyDescent="0.25">
      <c r="A16" s="1" t="s">
        <v>42</v>
      </c>
      <c r="B16" s="13" t="s">
        <v>43</v>
      </c>
      <c r="C16" s="13"/>
      <c r="D16" s="13">
        <v>0</v>
      </c>
      <c r="E16" s="13">
        <v>0</v>
      </c>
      <c r="F16" s="13">
        <v>0</v>
      </c>
      <c r="G16" s="46">
        <f t="shared" si="2"/>
        <v>0</v>
      </c>
      <c r="H16" s="47"/>
      <c r="I16" s="57">
        <v>3.5579999999999998</v>
      </c>
      <c r="J16" s="57"/>
      <c r="K16" s="49">
        <f t="shared" si="3"/>
        <v>0</v>
      </c>
      <c r="L16" s="50">
        <f t="shared" si="4"/>
        <v>0</v>
      </c>
      <c r="N16" s="51">
        <v>5101</v>
      </c>
      <c r="O16" s="53">
        <v>254</v>
      </c>
      <c r="P16" s="53"/>
      <c r="Q16" s="54"/>
      <c r="V16" s="623" t="s">
        <v>43</v>
      </c>
      <c r="W16" s="623"/>
      <c r="X16" s="618">
        <f>IF('3384'!K$84=1,'3384'!G16,0)</f>
        <v>0</v>
      </c>
      <c r="Y16" s="618"/>
      <c r="Z16" s="624">
        <v>1</v>
      </c>
      <c r="AA16" s="624"/>
      <c r="AB16" s="55">
        <f t="shared" si="0"/>
        <v>0</v>
      </c>
      <c r="AC16" s="56">
        <f t="shared" si="1"/>
        <v>0</v>
      </c>
      <c r="AD16" s="9"/>
    </row>
    <row r="17" spans="1:30" x14ac:dyDescent="0.25">
      <c r="A17" s="1" t="s">
        <v>44</v>
      </c>
      <c r="B17" s="13" t="s">
        <v>45</v>
      </c>
      <c r="C17" s="13"/>
      <c r="D17" s="13">
        <v>0</v>
      </c>
      <c r="E17" s="13">
        <v>0</v>
      </c>
      <c r="F17" s="13">
        <v>0</v>
      </c>
      <c r="G17" s="46">
        <f t="shared" si="2"/>
        <v>0</v>
      </c>
      <c r="H17" s="47"/>
      <c r="I17" s="57">
        <f>I16</f>
        <v>3.5579999999999998</v>
      </c>
      <c r="J17" s="57"/>
      <c r="K17" s="49">
        <f t="shared" si="3"/>
        <v>0</v>
      </c>
      <c r="L17" s="50">
        <f t="shared" si="4"/>
        <v>0</v>
      </c>
      <c r="N17" s="51">
        <v>5102</v>
      </c>
      <c r="O17" s="54">
        <v>254</v>
      </c>
      <c r="P17" s="53"/>
      <c r="Q17" s="54"/>
      <c r="V17" s="623" t="s">
        <v>45</v>
      </c>
      <c r="W17" s="623"/>
      <c r="X17" s="618">
        <f>IF('3384'!K$84=1,'3384'!G17,0)</f>
        <v>0</v>
      </c>
      <c r="Y17" s="618"/>
      <c r="Z17" s="624">
        <v>1</v>
      </c>
      <c r="AA17" s="624"/>
      <c r="AB17" s="55">
        <f t="shared" si="0"/>
        <v>0</v>
      </c>
      <c r="AC17" s="56">
        <f t="shared" si="1"/>
        <v>0</v>
      </c>
      <c r="AD17" s="9"/>
    </row>
    <row r="18" spans="1:30" x14ac:dyDescent="0.25">
      <c r="A18" s="1" t="s">
        <v>46</v>
      </c>
      <c r="B18" s="13" t="s">
        <v>47</v>
      </c>
      <c r="C18" s="13"/>
      <c r="D18" s="13">
        <v>0</v>
      </c>
      <c r="E18" s="13">
        <v>0</v>
      </c>
      <c r="F18" s="13">
        <v>0</v>
      </c>
      <c r="G18" s="46">
        <f t="shared" si="2"/>
        <v>0</v>
      </c>
      <c r="H18" s="47"/>
      <c r="I18" s="57">
        <f>I17</f>
        <v>3.5579999999999998</v>
      </c>
      <c r="J18" s="57"/>
      <c r="K18" s="49">
        <f t="shared" si="3"/>
        <v>0</v>
      </c>
      <c r="L18" s="50">
        <f t="shared" si="4"/>
        <v>0</v>
      </c>
      <c r="N18" s="51">
        <v>5103</v>
      </c>
      <c r="O18" s="54">
        <v>254</v>
      </c>
      <c r="P18" s="53"/>
      <c r="Q18" s="54"/>
      <c r="V18" s="623" t="s">
        <v>47</v>
      </c>
      <c r="W18" s="623"/>
      <c r="X18" s="618">
        <f>IF('3384'!K$84=1,'3384'!G18,0)</f>
        <v>0</v>
      </c>
      <c r="Y18" s="618"/>
      <c r="Z18" s="624">
        <v>1</v>
      </c>
      <c r="AA18" s="624"/>
      <c r="AB18" s="55">
        <f t="shared" si="0"/>
        <v>0</v>
      </c>
      <c r="AC18" s="56">
        <f t="shared" si="1"/>
        <v>0</v>
      </c>
      <c r="AD18" s="9"/>
    </row>
    <row r="19" spans="1:30" ht="15" customHeight="1" x14ac:dyDescent="0.25">
      <c r="A19" s="1" t="s">
        <v>48</v>
      </c>
      <c r="B19" s="13" t="s">
        <v>49</v>
      </c>
      <c r="C19" s="13"/>
      <c r="D19" s="13">
        <v>0</v>
      </c>
      <c r="E19" s="13">
        <v>0</v>
      </c>
      <c r="F19" s="13">
        <v>0</v>
      </c>
      <c r="G19" s="46">
        <f t="shared" si="2"/>
        <v>0</v>
      </c>
      <c r="H19" s="47"/>
      <c r="I19" s="57">
        <v>5.0890000000000004</v>
      </c>
      <c r="J19" s="57"/>
      <c r="K19" s="49">
        <f t="shared" si="3"/>
        <v>0</v>
      </c>
      <c r="L19" s="50">
        <f t="shared" si="4"/>
        <v>0</v>
      </c>
      <c r="N19" s="51">
        <v>5101</v>
      </c>
      <c r="O19" s="53">
        <v>255</v>
      </c>
      <c r="P19" s="53"/>
      <c r="Q19" s="54"/>
      <c r="V19" s="623" t="s">
        <v>49</v>
      </c>
      <c r="W19" s="623"/>
      <c r="X19" s="618">
        <f>IF('3384'!K$84=1,'3384'!G19,0)</f>
        <v>0</v>
      </c>
      <c r="Y19" s="618"/>
      <c r="Z19" s="624">
        <v>1</v>
      </c>
      <c r="AA19" s="624"/>
      <c r="AB19" s="55">
        <f t="shared" si="0"/>
        <v>0</v>
      </c>
      <c r="AC19" s="56">
        <f t="shared" si="1"/>
        <v>0</v>
      </c>
      <c r="AD19" s="9"/>
    </row>
    <row r="20" spans="1:30" ht="15" customHeight="1" x14ac:dyDescent="0.25">
      <c r="A20" s="1" t="s">
        <v>50</v>
      </c>
      <c r="B20" s="13" t="s">
        <v>51</v>
      </c>
      <c r="C20" s="13"/>
      <c r="D20" s="13">
        <v>0</v>
      </c>
      <c r="E20" s="13">
        <v>0</v>
      </c>
      <c r="F20" s="13">
        <v>0</v>
      </c>
      <c r="G20" s="46">
        <f t="shared" si="2"/>
        <v>0</v>
      </c>
      <c r="H20" s="47"/>
      <c r="I20" s="57">
        <f>I19</f>
        <v>5.0890000000000004</v>
      </c>
      <c r="J20" s="57"/>
      <c r="K20" s="49">
        <f t="shared" si="3"/>
        <v>0</v>
      </c>
      <c r="L20" s="50">
        <f t="shared" si="4"/>
        <v>0</v>
      </c>
      <c r="N20" s="51">
        <v>5102</v>
      </c>
      <c r="O20" s="54">
        <v>255</v>
      </c>
      <c r="P20" s="53"/>
      <c r="Q20" s="54"/>
      <c r="V20" s="623" t="s">
        <v>51</v>
      </c>
      <c r="W20" s="623"/>
      <c r="X20" s="618">
        <f>IF('3384'!K$84=1,'3384'!G20,0)</f>
        <v>0</v>
      </c>
      <c r="Y20" s="618"/>
      <c r="Z20" s="624">
        <v>1</v>
      </c>
      <c r="AA20" s="624"/>
      <c r="AB20" s="55">
        <f t="shared" si="0"/>
        <v>0</v>
      </c>
      <c r="AC20" s="56">
        <f t="shared" si="1"/>
        <v>0</v>
      </c>
      <c r="AD20" s="9"/>
    </row>
    <row r="21" spans="1:30" ht="15" customHeight="1" x14ac:dyDescent="0.25">
      <c r="A21" s="1" t="s">
        <v>52</v>
      </c>
      <c r="B21" s="13" t="s">
        <v>53</v>
      </c>
      <c r="C21" s="13"/>
      <c r="D21" s="13">
        <v>0</v>
      </c>
      <c r="E21" s="13">
        <v>0</v>
      </c>
      <c r="F21" s="13">
        <v>0</v>
      </c>
      <c r="G21" s="46">
        <f t="shared" si="2"/>
        <v>0</v>
      </c>
      <c r="H21" s="47"/>
      <c r="I21" s="57">
        <f>I20</f>
        <v>5.0890000000000004</v>
      </c>
      <c r="J21" s="57"/>
      <c r="K21" s="49">
        <f t="shared" si="3"/>
        <v>0</v>
      </c>
      <c r="L21" s="50">
        <f t="shared" si="4"/>
        <v>0</v>
      </c>
      <c r="N21" s="51">
        <v>5103</v>
      </c>
      <c r="O21" s="54">
        <v>255</v>
      </c>
      <c r="P21" s="53"/>
      <c r="Q21" s="54"/>
      <c r="V21" s="623" t="s">
        <v>53</v>
      </c>
      <c r="W21" s="623"/>
      <c r="X21" s="618">
        <f>IF('3384'!K$84=1,'3384'!G21,0)</f>
        <v>0</v>
      </c>
      <c r="Y21" s="618"/>
      <c r="Z21" s="624">
        <v>1</v>
      </c>
      <c r="AA21" s="624"/>
      <c r="AB21" s="55">
        <f t="shared" si="0"/>
        <v>0</v>
      </c>
      <c r="AC21" s="56">
        <f t="shared" si="1"/>
        <v>0</v>
      </c>
      <c r="AD21" s="9"/>
    </row>
    <row r="22" spans="1:30" x14ac:dyDescent="0.25">
      <c r="A22" s="1" t="s">
        <v>54</v>
      </c>
      <c r="B22" s="13" t="s">
        <v>55</v>
      </c>
      <c r="C22" s="13"/>
      <c r="D22" s="13">
        <v>5.07</v>
      </c>
      <c r="E22" s="13">
        <v>4.59</v>
      </c>
      <c r="F22" s="13">
        <v>6.64</v>
      </c>
      <c r="G22" s="46">
        <f t="shared" si="2"/>
        <v>9.66</v>
      </c>
      <c r="H22" s="47"/>
      <c r="I22" s="57">
        <v>1.145</v>
      </c>
      <c r="J22" s="57"/>
      <c r="K22" s="49">
        <f t="shared" si="3"/>
        <v>11.060700000000001</v>
      </c>
      <c r="L22" s="50">
        <f t="shared" si="4"/>
        <v>42856</v>
      </c>
      <c r="N22" s="51">
        <v>5101</v>
      </c>
      <c r="O22" s="52">
        <v>130</v>
      </c>
      <c r="P22" s="53"/>
      <c r="Q22" s="54"/>
      <c r="V22" s="623" t="s">
        <v>55</v>
      </c>
      <c r="W22" s="623"/>
      <c r="X22" s="618">
        <f>IF('3384'!K$84=1,'3384'!G22,0)</f>
        <v>0</v>
      </c>
      <c r="Y22" s="618"/>
      <c r="Z22" s="624">
        <v>1</v>
      </c>
      <c r="AA22" s="624"/>
      <c r="AB22" s="55">
        <f t="shared" si="0"/>
        <v>0</v>
      </c>
      <c r="AC22" s="56">
        <f t="shared" si="1"/>
        <v>0</v>
      </c>
      <c r="AD22" s="9"/>
    </row>
    <row r="23" spans="1:30" x14ac:dyDescent="0.25">
      <c r="A23" s="1" t="s">
        <v>56</v>
      </c>
      <c r="B23" s="13" t="s">
        <v>57</v>
      </c>
      <c r="C23" s="13"/>
      <c r="D23" s="13">
        <v>0</v>
      </c>
      <c r="E23" s="13">
        <v>0</v>
      </c>
      <c r="F23" s="13">
        <v>0</v>
      </c>
      <c r="G23" s="46">
        <f t="shared" si="2"/>
        <v>0</v>
      </c>
      <c r="H23" s="47"/>
      <c r="I23" s="57">
        <f>I22</f>
        <v>1.145</v>
      </c>
      <c r="J23" s="57"/>
      <c r="K23" s="49">
        <f t="shared" si="3"/>
        <v>0</v>
      </c>
      <c r="L23" s="50">
        <f t="shared" si="4"/>
        <v>0</v>
      </c>
      <c r="N23" s="51">
        <v>5102</v>
      </c>
      <c r="O23" s="52">
        <v>130</v>
      </c>
      <c r="P23" s="53"/>
      <c r="Q23" s="54"/>
      <c r="V23" s="623" t="s">
        <v>57</v>
      </c>
      <c r="W23" s="623"/>
      <c r="X23" s="618">
        <f>IF('3384'!K$84=1,'3384'!G23,0)</f>
        <v>0</v>
      </c>
      <c r="Y23" s="618"/>
      <c r="Z23" s="624">
        <v>1</v>
      </c>
      <c r="AA23" s="624"/>
      <c r="AB23" s="55">
        <f t="shared" si="0"/>
        <v>0</v>
      </c>
      <c r="AC23" s="56">
        <f t="shared" si="1"/>
        <v>0</v>
      </c>
      <c r="AD23" s="9"/>
    </row>
    <row r="24" spans="1:30" x14ac:dyDescent="0.25">
      <c r="A24" s="1" t="s">
        <v>58</v>
      </c>
      <c r="B24" s="13" t="s">
        <v>59</v>
      </c>
      <c r="C24" s="13"/>
      <c r="D24" s="13">
        <v>0</v>
      </c>
      <c r="E24" s="13">
        <v>0</v>
      </c>
      <c r="F24" s="13">
        <v>0</v>
      </c>
      <c r="G24" s="46">
        <f t="shared" si="2"/>
        <v>0</v>
      </c>
      <c r="H24" s="47"/>
      <c r="I24" s="57">
        <f>I23</f>
        <v>1.145</v>
      </c>
      <c r="J24" s="57"/>
      <c r="K24" s="49">
        <f t="shared" si="3"/>
        <v>0</v>
      </c>
      <c r="L24" s="50">
        <f t="shared" si="4"/>
        <v>0</v>
      </c>
      <c r="N24" s="51">
        <v>5103</v>
      </c>
      <c r="O24" s="52">
        <v>130</v>
      </c>
      <c r="P24" s="53"/>
      <c r="Q24" s="54"/>
      <c r="V24" s="623" t="s">
        <v>59</v>
      </c>
      <c r="W24" s="623"/>
      <c r="X24" s="618">
        <f>IF('3384'!K$84=1,'3384'!G24,0)</f>
        <v>0</v>
      </c>
      <c r="Y24" s="618"/>
      <c r="Z24" s="624">
        <v>1</v>
      </c>
      <c r="AA24" s="624"/>
      <c r="AB24" s="55">
        <f t="shared" si="0"/>
        <v>0</v>
      </c>
      <c r="AC24" s="56">
        <f t="shared" si="1"/>
        <v>0</v>
      </c>
      <c r="AD24" s="9"/>
    </row>
    <row r="25" spans="1:30" ht="16.5" thickBot="1" x14ac:dyDescent="0.3">
      <c r="A25" s="1" t="s">
        <v>60</v>
      </c>
      <c r="B25" s="13" t="s">
        <v>61</v>
      </c>
      <c r="C25" s="13"/>
      <c r="D25" s="13">
        <v>0</v>
      </c>
      <c r="E25" s="13">
        <v>0</v>
      </c>
      <c r="F25" s="13">
        <v>0</v>
      </c>
      <c r="G25" s="46">
        <f t="shared" si="2"/>
        <v>0</v>
      </c>
      <c r="H25" s="47"/>
      <c r="I25" s="57">
        <v>1.0109999999999999</v>
      </c>
      <c r="J25" s="57"/>
      <c r="K25" s="49">
        <f t="shared" si="3"/>
        <v>0</v>
      </c>
      <c r="L25" s="50">
        <f t="shared" si="4"/>
        <v>0</v>
      </c>
      <c r="N25" s="51">
        <v>5310</v>
      </c>
      <c r="O25" s="52">
        <v>300</v>
      </c>
      <c r="P25" s="53"/>
      <c r="Q25" s="54"/>
      <c r="V25" s="623" t="s">
        <v>61</v>
      </c>
      <c r="W25" s="623"/>
      <c r="X25" s="618">
        <f>IF('3384'!K$84=1,'3384'!G25,0)</f>
        <v>0</v>
      </c>
      <c r="Y25" s="618"/>
      <c r="Z25" s="624">
        <v>1</v>
      </c>
      <c r="AA25" s="624"/>
      <c r="AB25" s="55">
        <f t="shared" si="0"/>
        <v>0</v>
      </c>
      <c r="AC25" s="56">
        <f t="shared" si="1"/>
        <v>0</v>
      </c>
      <c r="AD25" s="9"/>
    </row>
    <row r="26" spans="1:30" ht="20.25" customHeight="1" thickBot="1" x14ac:dyDescent="0.3">
      <c r="B26" s="62" t="s">
        <v>62</v>
      </c>
      <c r="C26" s="62"/>
      <c r="D26" s="63">
        <f t="shared" ref="D26:E26" si="5">SUM(D10:D25)</f>
        <v>15.600000000000001</v>
      </c>
      <c r="E26" s="63">
        <f t="shared" si="5"/>
        <v>14.1</v>
      </c>
      <c r="F26" s="63"/>
      <c r="G26" s="63">
        <f>SUM(G10:G25)</f>
        <v>29.7</v>
      </c>
      <c r="H26" s="64"/>
      <c r="I26" s="64"/>
      <c r="J26" s="65"/>
      <c r="K26" s="66">
        <f>SUM(K10:K25)</f>
        <v>32.765699999999995</v>
      </c>
      <c r="L26" s="67">
        <f>SUM(L10:L25)</f>
        <v>126954</v>
      </c>
      <c r="N26" s="54"/>
      <c r="O26" s="68"/>
      <c r="P26" s="54"/>
      <c r="Q26" s="54"/>
      <c r="V26" s="625" t="s">
        <v>62</v>
      </c>
      <c r="W26" s="625"/>
      <c r="X26" s="626">
        <f>SUM(X10:X25)</f>
        <v>0</v>
      </c>
      <c r="Y26" s="626"/>
      <c r="Z26" s="627"/>
      <c r="AA26" s="628"/>
      <c r="AB26" s="69">
        <f>SUM(AB10:AB25)</f>
        <v>0</v>
      </c>
      <c r="AC26" s="70">
        <f>SUM(AC10:AC25)</f>
        <v>0</v>
      </c>
      <c r="AD26" s="9"/>
    </row>
    <row r="27" spans="1:30" ht="51.75" customHeight="1" x14ac:dyDescent="0.25">
      <c r="B27" s="62" t="s">
        <v>63</v>
      </c>
      <c r="C27" s="62"/>
      <c r="D27" s="71" t="s">
        <v>13</v>
      </c>
      <c r="E27" s="71" t="s">
        <v>14</v>
      </c>
      <c r="F27" s="27"/>
      <c r="G27" s="72" t="s">
        <v>64</v>
      </c>
      <c r="H27" s="73"/>
      <c r="I27" s="74" t="s">
        <v>65</v>
      </c>
      <c r="J27" s="74" t="s">
        <v>66</v>
      </c>
      <c r="K27" s="75" t="s">
        <v>67</v>
      </c>
      <c r="N27" s="54"/>
      <c r="O27" s="68"/>
      <c r="P27" s="54"/>
      <c r="Q27" s="54"/>
      <c r="V27" s="629" t="s">
        <v>63</v>
      </c>
      <c r="W27" s="629"/>
      <c r="X27" s="630" t="s">
        <v>64</v>
      </c>
      <c r="Y27" s="630"/>
      <c r="Z27" s="76" t="s">
        <v>65</v>
      </c>
      <c r="AA27" s="77" t="s">
        <v>66</v>
      </c>
      <c r="AB27" s="78" t="s">
        <v>67</v>
      </c>
      <c r="AC27" s="9"/>
      <c r="AD27" s="9"/>
    </row>
    <row r="28" spans="1:30" ht="15.75" customHeight="1" x14ac:dyDescent="0.25">
      <c r="A28" s="1" t="s">
        <v>68</v>
      </c>
      <c r="B28" s="631" t="s">
        <v>69</v>
      </c>
      <c r="C28" s="632"/>
      <c r="D28" s="13">
        <v>0.5</v>
      </c>
      <c r="E28" s="13">
        <v>0</v>
      </c>
      <c r="F28" s="79">
        <v>0.5</v>
      </c>
      <c r="G28" s="46">
        <f t="shared" ref="G28:G36" si="6">D28+E28</f>
        <v>0.5</v>
      </c>
      <c r="H28" s="80"/>
      <c r="I28" s="81" t="s">
        <v>70</v>
      </c>
      <c r="J28" s="82">
        <v>251</v>
      </c>
      <c r="K28" s="83">
        <v>1047</v>
      </c>
      <c r="L28" s="84">
        <f>ROUND(G28*K28,0)</f>
        <v>524</v>
      </c>
      <c r="N28" s="85">
        <v>5101</v>
      </c>
      <c r="O28" s="54">
        <v>251</v>
      </c>
      <c r="P28" s="86"/>
      <c r="Q28" s="87"/>
      <c r="V28" s="637" t="s">
        <v>69</v>
      </c>
      <c r="W28" s="637"/>
      <c r="X28" s="638"/>
      <c r="Y28" s="638"/>
      <c r="Z28" s="88" t="s">
        <v>70</v>
      </c>
      <c r="AA28" s="89">
        <v>251</v>
      </c>
      <c r="AB28" s="90">
        <f>+K28</f>
        <v>1047</v>
      </c>
      <c r="AC28" s="91">
        <f t="shared" ref="AC28:AC36" si="7">ROUND(X28*AB28,0)</f>
        <v>0</v>
      </c>
      <c r="AD28" s="9"/>
    </row>
    <row r="29" spans="1:30" x14ac:dyDescent="0.25">
      <c r="A29" s="1" t="s">
        <v>71</v>
      </c>
      <c r="B29" s="633"/>
      <c r="C29" s="634"/>
      <c r="D29" s="13">
        <v>0</v>
      </c>
      <c r="E29" s="13">
        <v>0</v>
      </c>
      <c r="F29" s="92">
        <v>0.5</v>
      </c>
      <c r="G29" s="46">
        <f t="shared" si="6"/>
        <v>0</v>
      </c>
      <c r="H29" s="80"/>
      <c r="I29" s="82" t="s">
        <v>70</v>
      </c>
      <c r="J29" s="82">
        <v>252</v>
      </c>
      <c r="K29" s="83">
        <v>3380</v>
      </c>
      <c r="L29" s="84">
        <f t="shared" ref="L29:L36" si="8">ROUND(G29*K29,0)</f>
        <v>0</v>
      </c>
      <c r="N29" s="85">
        <v>5101</v>
      </c>
      <c r="O29" s="54">
        <v>252</v>
      </c>
      <c r="P29" s="86"/>
      <c r="Q29" s="87"/>
      <c r="V29" s="637"/>
      <c r="W29" s="637"/>
      <c r="X29" s="638"/>
      <c r="Y29" s="638"/>
      <c r="Z29" s="89" t="s">
        <v>70</v>
      </c>
      <c r="AA29" s="89">
        <v>252</v>
      </c>
      <c r="AB29" s="90">
        <f t="shared" ref="AB29:AB36" si="9">+K29</f>
        <v>3380</v>
      </c>
      <c r="AC29" s="91">
        <f t="shared" si="7"/>
        <v>0</v>
      </c>
      <c r="AD29" s="9"/>
    </row>
    <row r="30" spans="1:30" x14ac:dyDescent="0.25">
      <c r="A30" s="1" t="s">
        <v>72</v>
      </c>
      <c r="B30" s="633"/>
      <c r="C30" s="634"/>
      <c r="D30" s="13">
        <v>0</v>
      </c>
      <c r="E30" s="13">
        <v>0</v>
      </c>
      <c r="F30" s="92">
        <v>0</v>
      </c>
      <c r="G30" s="46">
        <f t="shared" si="6"/>
        <v>0</v>
      </c>
      <c r="H30" s="80"/>
      <c r="I30" s="82" t="s">
        <v>70</v>
      </c>
      <c r="J30" s="82">
        <v>253</v>
      </c>
      <c r="K30" s="83">
        <v>6896</v>
      </c>
      <c r="L30" s="84">
        <f t="shared" si="8"/>
        <v>0</v>
      </c>
      <c r="N30" s="85">
        <v>5101</v>
      </c>
      <c r="O30" s="54">
        <v>253</v>
      </c>
      <c r="P30" s="86"/>
      <c r="Q30" s="68"/>
      <c r="V30" s="637"/>
      <c r="W30" s="637"/>
      <c r="X30" s="638"/>
      <c r="Y30" s="638"/>
      <c r="Z30" s="89" t="s">
        <v>70</v>
      </c>
      <c r="AA30" s="89">
        <v>253</v>
      </c>
      <c r="AB30" s="90">
        <f t="shared" si="9"/>
        <v>6896</v>
      </c>
      <c r="AC30" s="91">
        <f t="shared" si="7"/>
        <v>0</v>
      </c>
      <c r="AD30" s="9"/>
    </row>
    <row r="31" spans="1:30" x14ac:dyDescent="0.25">
      <c r="A31" s="1" t="s">
        <v>73</v>
      </c>
      <c r="B31" s="633"/>
      <c r="C31" s="634"/>
      <c r="D31" s="13">
        <v>0</v>
      </c>
      <c r="E31" s="13">
        <v>0</v>
      </c>
      <c r="F31" s="92">
        <v>0.5</v>
      </c>
      <c r="G31" s="46">
        <f t="shared" si="6"/>
        <v>0</v>
      </c>
      <c r="H31" s="80"/>
      <c r="I31" s="93" t="s">
        <v>74</v>
      </c>
      <c r="J31" s="82">
        <v>251</v>
      </c>
      <c r="K31" s="83">
        <v>1173</v>
      </c>
      <c r="L31" s="84">
        <f t="shared" si="8"/>
        <v>0</v>
      </c>
      <c r="N31" s="85">
        <v>5102</v>
      </c>
      <c r="O31" s="54">
        <v>251</v>
      </c>
      <c r="P31" s="86"/>
      <c r="Q31" s="68"/>
      <c r="V31" s="637"/>
      <c r="W31" s="637"/>
      <c r="X31" s="638"/>
      <c r="Y31" s="638"/>
      <c r="Z31" s="94" t="s">
        <v>74</v>
      </c>
      <c r="AA31" s="89">
        <v>251</v>
      </c>
      <c r="AB31" s="90">
        <f t="shared" si="9"/>
        <v>1173</v>
      </c>
      <c r="AC31" s="91">
        <f t="shared" si="7"/>
        <v>0</v>
      </c>
      <c r="AD31" s="9"/>
    </row>
    <row r="32" spans="1:30" x14ac:dyDescent="0.25">
      <c r="A32" s="1" t="s">
        <v>75</v>
      </c>
      <c r="B32" s="633"/>
      <c r="C32" s="634"/>
      <c r="D32" s="13">
        <v>0</v>
      </c>
      <c r="E32" s="13">
        <v>0</v>
      </c>
      <c r="F32" s="92">
        <v>0</v>
      </c>
      <c r="G32" s="46">
        <f t="shared" si="6"/>
        <v>0</v>
      </c>
      <c r="H32" s="80"/>
      <c r="I32" s="93" t="s">
        <v>74</v>
      </c>
      <c r="J32" s="82">
        <v>252</v>
      </c>
      <c r="K32" s="83">
        <v>3506</v>
      </c>
      <c r="L32" s="84">
        <f t="shared" si="8"/>
        <v>0</v>
      </c>
      <c r="N32" s="85">
        <v>5102</v>
      </c>
      <c r="O32" s="54">
        <v>252</v>
      </c>
      <c r="P32" s="86"/>
      <c r="Q32" s="54"/>
      <c r="V32" s="637"/>
      <c r="W32" s="637"/>
      <c r="X32" s="638"/>
      <c r="Y32" s="638"/>
      <c r="Z32" s="94" t="s">
        <v>74</v>
      </c>
      <c r="AA32" s="89">
        <v>252</v>
      </c>
      <c r="AB32" s="90">
        <f t="shared" si="9"/>
        <v>3506</v>
      </c>
      <c r="AC32" s="91">
        <f t="shared" si="7"/>
        <v>0</v>
      </c>
      <c r="AD32" s="9"/>
    </row>
    <row r="33" spans="1:30" x14ac:dyDescent="0.25">
      <c r="A33" s="1" t="s">
        <v>76</v>
      </c>
      <c r="B33" s="633"/>
      <c r="C33" s="634"/>
      <c r="D33" s="13">
        <v>0</v>
      </c>
      <c r="E33" s="13">
        <v>0</v>
      </c>
      <c r="F33" s="92">
        <v>0</v>
      </c>
      <c r="G33" s="46">
        <f t="shared" si="6"/>
        <v>0</v>
      </c>
      <c r="H33" s="80"/>
      <c r="I33" s="93" t="s">
        <v>74</v>
      </c>
      <c r="J33" s="82">
        <v>253</v>
      </c>
      <c r="K33" s="83">
        <v>7023</v>
      </c>
      <c r="L33" s="84">
        <f t="shared" si="8"/>
        <v>0</v>
      </c>
      <c r="N33" s="85">
        <v>5102</v>
      </c>
      <c r="O33" s="54">
        <v>253</v>
      </c>
      <c r="P33" s="86"/>
      <c r="Q33" s="87"/>
      <c r="V33" s="637"/>
      <c r="W33" s="637"/>
      <c r="X33" s="638"/>
      <c r="Y33" s="638"/>
      <c r="Z33" s="94" t="s">
        <v>74</v>
      </c>
      <c r="AA33" s="89">
        <v>253</v>
      </c>
      <c r="AB33" s="90">
        <f t="shared" si="9"/>
        <v>7023</v>
      </c>
      <c r="AC33" s="91">
        <f t="shared" si="7"/>
        <v>0</v>
      </c>
      <c r="AD33" s="9"/>
    </row>
    <row r="34" spans="1:30" x14ac:dyDescent="0.25">
      <c r="A34" s="1" t="s">
        <v>77</v>
      </c>
      <c r="B34" s="633"/>
      <c r="C34" s="634"/>
      <c r="D34" s="13">
        <v>0</v>
      </c>
      <c r="E34" s="13">
        <v>0</v>
      </c>
      <c r="F34" s="92">
        <v>0</v>
      </c>
      <c r="G34" s="46">
        <f t="shared" si="6"/>
        <v>0</v>
      </c>
      <c r="H34" s="80"/>
      <c r="I34" s="93" t="s">
        <v>78</v>
      </c>
      <c r="J34" s="82">
        <v>251</v>
      </c>
      <c r="K34" s="83">
        <v>835</v>
      </c>
      <c r="L34" s="84">
        <f t="shared" si="8"/>
        <v>0</v>
      </c>
      <c r="N34" s="85">
        <v>5103</v>
      </c>
      <c r="O34" s="54">
        <v>251</v>
      </c>
      <c r="P34" s="86"/>
      <c r="Q34" s="87"/>
      <c r="V34" s="637"/>
      <c r="W34" s="637"/>
      <c r="X34" s="638"/>
      <c r="Y34" s="638"/>
      <c r="Z34" s="94" t="s">
        <v>78</v>
      </c>
      <c r="AA34" s="89">
        <v>251</v>
      </c>
      <c r="AB34" s="90">
        <f t="shared" si="9"/>
        <v>835</v>
      </c>
      <c r="AC34" s="91">
        <f t="shared" si="7"/>
        <v>0</v>
      </c>
      <c r="AD34" s="9"/>
    </row>
    <row r="35" spans="1:30" x14ac:dyDescent="0.25">
      <c r="A35" s="1" t="s">
        <v>79</v>
      </c>
      <c r="B35" s="633"/>
      <c r="C35" s="634"/>
      <c r="D35" s="13">
        <v>0</v>
      </c>
      <c r="E35" s="13">
        <v>0</v>
      </c>
      <c r="F35" s="92">
        <v>0</v>
      </c>
      <c r="G35" s="46">
        <f t="shared" si="6"/>
        <v>0</v>
      </c>
      <c r="H35" s="80"/>
      <c r="I35" s="93" t="s">
        <v>78</v>
      </c>
      <c r="J35" s="82">
        <v>252</v>
      </c>
      <c r="K35" s="83">
        <v>3168</v>
      </c>
      <c r="L35" s="84">
        <f t="shared" si="8"/>
        <v>0</v>
      </c>
      <c r="N35" s="85">
        <v>5103</v>
      </c>
      <c r="O35" s="54">
        <v>252</v>
      </c>
      <c r="P35" s="86"/>
      <c r="Q35" s="95"/>
      <c r="V35" s="637"/>
      <c r="W35" s="637"/>
      <c r="X35" s="638"/>
      <c r="Y35" s="638"/>
      <c r="Z35" s="94" t="s">
        <v>78</v>
      </c>
      <c r="AA35" s="89">
        <v>252</v>
      </c>
      <c r="AB35" s="90">
        <f t="shared" si="9"/>
        <v>3168</v>
      </c>
      <c r="AC35" s="91">
        <f t="shared" si="7"/>
        <v>0</v>
      </c>
      <c r="AD35" s="9"/>
    </row>
    <row r="36" spans="1:30" ht="16.5" thickBot="1" x14ac:dyDescent="0.3">
      <c r="A36" s="1" t="s">
        <v>80</v>
      </c>
      <c r="B36" s="635"/>
      <c r="C36" s="636"/>
      <c r="D36" s="13">
        <v>0</v>
      </c>
      <c r="E36" s="13">
        <v>0</v>
      </c>
      <c r="F36" s="92">
        <v>0</v>
      </c>
      <c r="G36" s="46">
        <f t="shared" si="6"/>
        <v>0</v>
      </c>
      <c r="H36" s="80"/>
      <c r="I36" s="93" t="s">
        <v>78</v>
      </c>
      <c r="J36" s="82">
        <v>253</v>
      </c>
      <c r="K36" s="83">
        <v>6685</v>
      </c>
      <c r="L36" s="96">
        <f t="shared" si="8"/>
        <v>0</v>
      </c>
      <c r="N36" s="85">
        <v>5103</v>
      </c>
      <c r="O36" s="54">
        <v>253</v>
      </c>
      <c r="P36" s="86"/>
      <c r="Q36" s="97"/>
      <c r="V36" s="637"/>
      <c r="W36" s="637"/>
      <c r="X36" s="645"/>
      <c r="Y36" s="645"/>
      <c r="Z36" s="94" t="s">
        <v>78</v>
      </c>
      <c r="AA36" s="89">
        <v>253</v>
      </c>
      <c r="AB36" s="90">
        <f t="shared" si="9"/>
        <v>6685</v>
      </c>
      <c r="AC36" s="98">
        <f t="shared" si="7"/>
        <v>0</v>
      </c>
      <c r="AD36" s="9"/>
    </row>
    <row r="37" spans="1:30" ht="18.75" customHeight="1" x14ac:dyDescent="0.25">
      <c r="B37" s="13" t="s">
        <v>81</v>
      </c>
      <c r="C37" s="13"/>
      <c r="D37" s="63">
        <f t="shared" ref="D37:E37" si="10">SUM(D28:D36)</f>
        <v>0.5</v>
      </c>
      <c r="E37" s="63">
        <f t="shared" si="10"/>
        <v>0</v>
      </c>
      <c r="F37" s="63"/>
      <c r="G37" s="63">
        <f>SUM(G28:G36)</f>
        <v>0.5</v>
      </c>
      <c r="H37" s="64"/>
      <c r="I37" s="13" t="s">
        <v>82</v>
      </c>
      <c r="J37" s="13"/>
      <c r="K37" s="13"/>
      <c r="L37" s="50">
        <f>SUM(L28:L36)</f>
        <v>524</v>
      </c>
      <c r="N37" s="54"/>
      <c r="O37" s="68"/>
      <c r="P37" s="54"/>
      <c r="Q37" s="54"/>
      <c r="V37" s="646" t="s">
        <v>81</v>
      </c>
      <c r="W37" s="646"/>
      <c r="X37" s="626">
        <f>SUM(X28:X36)</f>
        <v>0</v>
      </c>
      <c r="Y37" s="626"/>
      <c r="Z37" s="646" t="s">
        <v>82</v>
      </c>
      <c r="AA37" s="646"/>
      <c r="AB37" s="646"/>
      <c r="AC37" s="56">
        <f>SUM(AC28:AC36)</f>
        <v>0</v>
      </c>
      <c r="AD37" s="9"/>
    </row>
    <row r="38" spans="1:30" ht="30.75" customHeight="1" x14ac:dyDescent="0.25">
      <c r="B38" s="99" t="s">
        <v>83</v>
      </c>
      <c r="C38" s="99"/>
      <c r="D38" s="99"/>
      <c r="E38" s="99"/>
      <c r="F38" s="99"/>
      <c r="G38" s="99"/>
      <c r="H38" s="100"/>
      <c r="I38" s="99"/>
      <c r="J38" s="99"/>
      <c r="K38" s="99"/>
      <c r="L38" s="99"/>
      <c r="M38" s="101"/>
      <c r="N38" s="54"/>
      <c r="O38" s="68"/>
      <c r="P38" s="54"/>
      <c r="Q38" s="54"/>
      <c r="V38" s="639" t="s">
        <v>83</v>
      </c>
      <c r="W38" s="639"/>
      <c r="X38" s="639"/>
      <c r="Y38" s="639"/>
      <c r="Z38" s="639"/>
      <c r="AA38" s="639"/>
      <c r="AB38" s="639"/>
      <c r="AC38" s="639"/>
      <c r="AD38" s="102"/>
    </row>
    <row r="39" spans="1:30" ht="15.75" customHeight="1" x14ac:dyDescent="0.25">
      <c r="B39" s="103" t="s">
        <v>84</v>
      </c>
      <c r="C39" s="103"/>
      <c r="D39" s="103"/>
      <c r="E39" s="103"/>
      <c r="F39" s="103"/>
      <c r="G39" s="104">
        <v>34389540</v>
      </c>
      <c r="H39" s="104"/>
      <c r="I39" s="13" t="s">
        <v>85</v>
      </c>
      <c r="J39" s="13"/>
      <c r="K39" s="13"/>
      <c r="L39" s="13"/>
      <c r="O39" s="1"/>
      <c r="V39" s="640" t="s">
        <v>84</v>
      </c>
      <c r="W39" s="640"/>
      <c r="X39" s="641">
        <f>+G39</f>
        <v>34389540</v>
      </c>
      <c r="Y39" s="641"/>
      <c r="Z39" s="642" t="s">
        <v>85</v>
      </c>
      <c r="AA39" s="642"/>
      <c r="AB39" s="642"/>
      <c r="AC39" s="642"/>
      <c r="AD39" s="9"/>
    </row>
    <row r="40" spans="1:30" ht="15.75" customHeight="1" x14ac:dyDescent="0.25">
      <c r="B40" s="105" t="s">
        <v>86</v>
      </c>
      <c r="C40" s="105"/>
      <c r="D40" s="105"/>
      <c r="E40" s="105"/>
      <c r="F40" s="105"/>
      <c r="G40" s="106">
        <v>180284.81</v>
      </c>
      <c r="H40" s="106"/>
      <c r="I40" s="106"/>
      <c r="J40" s="106"/>
      <c r="K40" s="50">
        <f>ROUND(G39/G40,0)</f>
        <v>191</v>
      </c>
      <c r="L40" s="50">
        <f>ROUND(K40*$G$26,0)</f>
        <v>5673</v>
      </c>
      <c r="N40" s="107"/>
      <c r="O40" s="107"/>
      <c r="P40" s="107"/>
      <c r="Q40" s="107"/>
      <c r="V40" s="643" t="s">
        <v>86</v>
      </c>
      <c r="W40" s="643"/>
      <c r="X40" s="644">
        <f>+G40</f>
        <v>180284.81</v>
      </c>
      <c r="Y40" s="644"/>
      <c r="Z40" s="644"/>
      <c r="AA40" s="644"/>
      <c r="AB40" s="56">
        <f>ROUND(X39/X40,0)</f>
        <v>191</v>
      </c>
      <c r="AC40" s="56">
        <f>ROUND(AB40*$X$26,0)</f>
        <v>0</v>
      </c>
      <c r="AD40" s="9"/>
    </row>
    <row r="41" spans="1:30" ht="15.75" customHeight="1" x14ac:dyDescent="0.25">
      <c r="B41" s="108" t="s">
        <v>87</v>
      </c>
      <c r="C41" s="108"/>
      <c r="D41" s="108"/>
      <c r="E41" s="108"/>
      <c r="F41" s="108"/>
      <c r="G41" s="108"/>
      <c r="H41" s="108"/>
      <c r="I41" s="108"/>
      <c r="J41" s="108"/>
      <c r="K41" s="108"/>
      <c r="L41" s="108"/>
      <c r="N41" s="101"/>
      <c r="O41" s="109"/>
      <c r="P41" s="101"/>
      <c r="Q41" s="101"/>
      <c r="V41" s="652" t="s">
        <v>87</v>
      </c>
      <c r="W41" s="652"/>
      <c r="X41" s="652"/>
      <c r="Y41" s="652"/>
      <c r="Z41" s="652"/>
      <c r="AA41" s="652"/>
      <c r="AB41" s="652"/>
      <c r="AC41" s="652"/>
      <c r="AD41" s="9"/>
    </row>
    <row r="42" spans="1:30" ht="28.5" customHeight="1" x14ac:dyDescent="0.25">
      <c r="B42" s="99" t="s">
        <v>88</v>
      </c>
      <c r="C42" s="99"/>
      <c r="D42" s="99"/>
      <c r="E42" s="99"/>
      <c r="F42" s="99"/>
      <c r="G42" s="99"/>
      <c r="H42" s="99"/>
      <c r="I42" s="99"/>
      <c r="J42" s="99"/>
      <c r="K42" s="99"/>
      <c r="L42" s="99"/>
      <c r="M42" s="107"/>
      <c r="O42" s="1"/>
      <c r="V42" s="639" t="s">
        <v>88</v>
      </c>
      <c r="W42" s="639"/>
      <c r="X42" s="639"/>
      <c r="Y42" s="639"/>
      <c r="Z42" s="639"/>
      <c r="AA42" s="639"/>
      <c r="AB42" s="639"/>
      <c r="AC42" s="639"/>
      <c r="AD42" s="110"/>
    </row>
    <row r="43" spans="1:30" x14ac:dyDescent="0.25">
      <c r="B43" s="111" t="s">
        <v>89</v>
      </c>
      <c r="C43" s="111"/>
      <c r="D43" s="111"/>
      <c r="E43" s="111"/>
      <c r="F43" s="111"/>
      <c r="G43" s="111"/>
      <c r="H43" s="111"/>
      <c r="I43" s="111"/>
      <c r="J43" s="111"/>
      <c r="K43" s="111"/>
      <c r="L43" s="111"/>
      <c r="M43" s="112"/>
      <c r="N43" s="101"/>
      <c r="O43" s="101"/>
      <c r="P43" s="101"/>
      <c r="Q43" s="101"/>
      <c r="V43" s="653" t="s">
        <v>89</v>
      </c>
      <c r="W43" s="653"/>
      <c r="X43" s="653"/>
      <c r="Y43" s="653"/>
      <c r="Z43" s="653"/>
      <c r="AA43" s="653"/>
      <c r="AB43" s="653"/>
      <c r="AC43" s="653"/>
      <c r="AD43" s="113"/>
    </row>
    <row r="44" spans="1:30" ht="24" customHeight="1" x14ac:dyDescent="0.25">
      <c r="B44" s="62" t="s">
        <v>90</v>
      </c>
      <c r="C44" s="62"/>
      <c r="D44" s="62"/>
      <c r="E44" s="62"/>
      <c r="F44" s="62"/>
      <c r="G44" s="62"/>
      <c r="H44" s="62"/>
      <c r="I44" s="62"/>
      <c r="J44" s="62"/>
      <c r="K44" s="62"/>
      <c r="L44" s="114">
        <f>SUM(L26,L37,L40)</f>
        <v>133151</v>
      </c>
      <c r="O44" s="1"/>
      <c r="V44" s="654" t="s">
        <v>90</v>
      </c>
      <c r="W44" s="654"/>
      <c r="X44" s="654"/>
      <c r="Y44" s="654"/>
      <c r="Z44" s="654"/>
      <c r="AA44" s="654"/>
      <c r="AB44" s="654"/>
      <c r="AC44" s="115">
        <f>SUM(AC26,AC37,AC40)</f>
        <v>0</v>
      </c>
      <c r="AD44" s="9"/>
    </row>
    <row r="45" spans="1:30" ht="30.75" customHeight="1" x14ac:dyDescent="0.25">
      <c r="B45" s="99" t="s">
        <v>91</v>
      </c>
      <c r="C45" s="99"/>
      <c r="D45" s="99"/>
      <c r="E45" s="99"/>
      <c r="F45" s="99"/>
      <c r="G45" s="99"/>
      <c r="H45" s="99"/>
      <c r="I45" s="99"/>
      <c r="J45" s="99"/>
      <c r="K45" s="99"/>
      <c r="L45" s="99"/>
      <c r="M45" s="116"/>
      <c r="O45" s="1"/>
      <c r="V45" s="639" t="s">
        <v>91</v>
      </c>
      <c r="W45" s="639"/>
      <c r="X45" s="639"/>
      <c r="Y45" s="639"/>
      <c r="Z45" s="639"/>
      <c r="AA45" s="639"/>
      <c r="AB45" s="639"/>
      <c r="AC45" s="639"/>
      <c r="AD45" s="117"/>
    </row>
    <row r="46" spans="1:30" ht="18.75" customHeight="1" x14ac:dyDescent="0.25">
      <c r="B46" s="1"/>
      <c r="C46" s="118" t="s">
        <v>92</v>
      </c>
      <c r="D46" s="118"/>
      <c r="E46" s="118"/>
      <c r="F46" s="118"/>
      <c r="G46" s="118" t="s">
        <v>93</v>
      </c>
      <c r="H46" s="119"/>
      <c r="I46" s="120" t="s">
        <v>94</v>
      </c>
      <c r="J46" s="121"/>
      <c r="K46" s="121"/>
      <c r="L46" s="121"/>
      <c r="M46" s="122"/>
      <c r="O46" s="1"/>
      <c r="V46" s="9"/>
      <c r="W46" s="123" t="s">
        <v>92</v>
      </c>
      <c r="X46" s="655" t="s">
        <v>95</v>
      </c>
      <c r="Y46" s="655"/>
      <c r="Z46" s="656" t="s">
        <v>94</v>
      </c>
      <c r="AA46" s="656"/>
      <c r="AB46" s="656"/>
      <c r="AC46" s="656"/>
      <c r="AD46" s="124"/>
    </row>
    <row r="47" spans="1:30" ht="18.75" customHeight="1" x14ac:dyDescent="0.25">
      <c r="B47" s="107" t="s">
        <v>96</v>
      </c>
      <c r="C47" s="125">
        <f>K10+K11+K16+K19+K22</f>
        <v>26.0457</v>
      </c>
      <c r="D47" s="125"/>
      <c r="E47" s="125"/>
      <c r="F47" s="125"/>
      <c r="G47" s="126">
        <f>K7</f>
        <v>1.0326</v>
      </c>
      <c r="H47" s="126"/>
      <c r="I47" s="127">
        <v>1316.85</v>
      </c>
      <c r="J47" s="128" t="s">
        <v>97</v>
      </c>
      <c r="K47" s="129">
        <f>ROUND(C47*G47*I47,0)</f>
        <v>35416</v>
      </c>
      <c r="L47" s="130"/>
      <c r="O47" s="1"/>
      <c r="V47" s="110" t="s">
        <v>96</v>
      </c>
      <c r="W47" s="131">
        <f>AB10+AB11+AB16+AB19+AB22</f>
        <v>0</v>
      </c>
      <c r="X47" s="647">
        <f>AB7</f>
        <v>1.0326</v>
      </c>
      <c r="Y47" s="647"/>
      <c r="Z47" s="132">
        <f>+I47</f>
        <v>1316.85</v>
      </c>
      <c r="AA47" s="133" t="s">
        <v>97</v>
      </c>
      <c r="AB47" s="134">
        <f>ROUND(W47*X47*Z47,0)</f>
        <v>0</v>
      </c>
      <c r="AC47" s="135"/>
      <c r="AD47" s="9"/>
    </row>
    <row r="48" spans="1:30" ht="18" customHeight="1" x14ac:dyDescent="0.25">
      <c r="B48" s="136" t="s">
        <v>74</v>
      </c>
      <c r="C48" s="125">
        <f>K12+K13+K17+K20+K23</f>
        <v>6.72</v>
      </c>
      <c r="D48" s="125"/>
      <c r="E48" s="125"/>
      <c r="F48" s="125"/>
      <c r="G48" s="126">
        <f>K7</f>
        <v>1.0326</v>
      </c>
      <c r="H48" s="126"/>
      <c r="I48" s="127">
        <v>898.23</v>
      </c>
      <c r="J48" s="128" t="s">
        <v>97</v>
      </c>
      <c r="K48" s="129">
        <f>ROUND(C48*G48*I48,0)</f>
        <v>6233</v>
      </c>
      <c r="L48" s="62"/>
      <c r="O48" s="1"/>
      <c r="V48" s="137" t="s">
        <v>74</v>
      </c>
      <c r="W48" s="131">
        <f>AB12+AB13+AB17+AB20+AB23</f>
        <v>0</v>
      </c>
      <c r="X48" s="647">
        <f>AB7</f>
        <v>1.0326</v>
      </c>
      <c r="Y48" s="647"/>
      <c r="Z48" s="132">
        <f>+I48</f>
        <v>898.23</v>
      </c>
      <c r="AA48" s="133" t="s">
        <v>97</v>
      </c>
      <c r="AB48" s="134">
        <f>ROUND(W48*X48*Z48,0)</f>
        <v>0</v>
      </c>
      <c r="AC48" s="138"/>
      <c r="AD48" s="9"/>
    </row>
    <row r="49" spans="2:30" ht="19.5" customHeight="1" thickBot="1" x14ac:dyDescent="0.3">
      <c r="B49" s="139" t="s">
        <v>78</v>
      </c>
      <c r="C49" s="140">
        <f>K14+K15+K18+K21+K24+K25</f>
        <v>0</v>
      </c>
      <c r="D49" s="125"/>
      <c r="E49" s="125"/>
      <c r="F49" s="125"/>
      <c r="G49" s="126">
        <f>K7</f>
        <v>1.0326</v>
      </c>
      <c r="H49" s="126"/>
      <c r="I49" s="127">
        <v>900.39</v>
      </c>
      <c r="J49" s="128" t="s">
        <v>97</v>
      </c>
      <c r="K49" s="129">
        <f>ROUND(C49*G49*I49,0)</f>
        <v>0</v>
      </c>
      <c r="L49" s="62"/>
      <c r="M49" s="112"/>
      <c r="N49" s="141"/>
      <c r="O49" s="142"/>
      <c r="P49" s="101"/>
      <c r="Q49" s="143"/>
      <c r="V49" s="144" t="s">
        <v>78</v>
      </c>
      <c r="W49" s="145">
        <f>AB14+AB15+AB18+AB21+AB24+AB25</f>
        <v>0</v>
      </c>
      <c r="X49" s="647">
        <f>AB7</f>
        <v>1.0326</v>
      </c>
      <c r="Y49" s="647"/>
      <c r="Z49" s="132">
        <f>+I49</f>
        <v>900.39</v>
      </c>
      <c r="AA49" s="133" t="s">
        <v>97</v>
      </c>
      <c r="AB49" s="134">
        <f>ROUND(W49*X49*Z49,0)</f>
        <v>0</v>
      </c>
      <c r="AC49" s="138"/>
      <c r="AD49" s="113"/>
    </row>
    <row r="50" spans="2:30" ht="24" customHeight="1" thickBot="1" x14ac:dyDescent="0.3">
      <c r="B50" s="146" t="s">
        <v>98</v>
      </c>
      <c r="C50" s="147">
        <f>SUM(C47:C49)</f>
        <v>32.765700000000002</v>
      </c>
      <c r="D50" s="148"/>
      <c r="E50" s="149"/>
      <c r="F50" s="149"/>
      <c r="G50" s="150" t="s">
        <v>99</v>
      </c>
      <c r="H50" s="150"/>
      <c r="I50" s="150"/>
      <c r="J50" s="150"/>
      <c r="K50" s="150"/>
      <c r="L50" s="50">
        <f>IF(B2=75,0,K49+K48+K47)</f>
        <v>41649</v>
      </c>
      <c r="N50" s="3"/>
      <c r="O50" s="1"/>
      <c r="V50" s="151" t="s">
        <v>98</v>
      </c>
      <c r="W50" s="152">
        <f>SUM(W47:W49)</f>
        <v>0</v>
      </c>
      <c r="X50" s="648" t="s">
        <v>99</v>
      </c>
      <c r="Y50" s="649"/>
      <c r="Z50" s="649"/>
      <c r="AA50" s="649"/>
      <c r="AB50" s="649"/>
      <c r="AC50" s="56">
        <f>IF(V2=75,0,AB49+AB48+AB47)</f>
        <v>0</v>
      </c>
      <c r="AD50" s="9"/>
    </row>
    <row r="51" spans="2:30" ht="19.5" customHeight="1" x14ac:dyDescent="0.25">
      <c r="B51" s="153" t="s">
        <v>100</v>
      </c>
      <c r="C51" s="153"/>
      <c r="D51" s="153"/>
      <c r="E51" s="153"/>
      <c r="F51" s="153"/>
      <c r="G51" s="153"/>
      <c r="H51" s="153"/>
      <c r="I51" s="153"/>
      <c r="J51" s="153"/>
      <c r="K51" s="153"/>
      <c r="L51" s="153"/>
      <c r="M51" s="141"/>
      <c r="N51" s="101"/>
      <c r="O51" s="1"/>
      <c r="V51" s="650" t="s">
        <v>100</v>
      </c>
      <c r="W51" s="650"/>
      <c r="X51" s="650"/>
      <c r="Y51" s="650"/>
      <c r="Z51" s="650"/>
      <c r="AA51" s="650"/>
      <c r="AB51" s="650"/>
      <c r="AC51" s="650"/>
      <c r="AD51" s="154"/>
    </row>
    <row r="52" spans="2:30" ht="27.75" customHeight="1" x14ac:dyDescent="0.25">
      <c r="B52" s="13" t="s">
        <v>101</v>
      </c>
      <c r="C52" s="13"/>
      <c r="D52" s="13"/>
      <c r="E52" s="13"/>
      <c r="F52" s="13"/>
      <c r="G52" s="13"/>
      <c r="H52" s="13"/>
      <c r="I52" s="13"/>
      <c r="J52" s="13"/>
      <c r="K52" s="13"/>
      <c r="L52" s="13"/>
      <c r="O52" s="1"/>
      <c r="V52" s="651" t="s">
        <v>101</v>
      </c>
      <c r="W52" s="651"/>
      <c r="X52" s="651"/>
      <c r="Y52" s="651"/>
      <c r="Z52" s="651"/>
      <c r="AA52" s="651"/>
      <c r="AB52" s="651"/>
      <c r="AC52" s="651"/>
      <c r="AD52" s="9"/>
    </row>
    <row r="53" spans="2:30" x14ac:dyDescent="0.25">
      <c r="B53" s="13" t="s">
        <v>102</v>
      </c>
      <c r="C53" s="13"/>
      <c r="D53" s="13"/>
      <c r="E53" s="13"/>
      <c r="F53" s="13"/>
      <c r="G53" s="155">
        <f>K26</f>
        <v>32.765699999999995</v>
      </c>
      <c r="H53" s="57" t="s">
        <v>103</v>
      </c>
      <c r="I53" s="57"/>
      <c r="J53" s="156">
        <v>197823.77</v>
      </c>
      <c r="K53" s="156"/>
      <c r="L53" s="156"/>
      <c r="N53" s="3"/>
      <c r="O53" s="1"/>
      <c r="V53" s="657" t="s">
        <v>102</v>
      </c>
      <c r="W53" s="657"/>
      <c r="X53" s="157">
        <f>AB26</f>
        <v>0</v>
      </c>
      <c r="Y53" s="658" t="s">
        <v>103</v>
      </c>
      <c r="Z53" s="658"/>
      <c r="AA53" s="659">
        <f>+J53</f>
        <v>197823.77</v>
      </c>
      <c r="AB53" s="659"/>
      <c r="AC53" s="659"/>
      <c r="AD53" s="9"/>
    </row>
    <row r="54" spans="2:30" x14ac:dyDescent="0.25">
      <c r="B54" s="13" t="s">
        <v>104</v>
      </c>
      <c r="C54" s="13"/>
      <c r="D54" s="13"/>
      <c r="E54" s="13"/>
      <c r="F54" s="13"/>
      <c r="G54" s="13"/>
      <c r="H54" s="13"/>
      <c r="I54" s="13"/>
      <c r="J54" s="13"/>
      <c r="K54" s="158">
        <f>ROUND(G53/J53,6)</f>
        <v>1.66E-4</v>
      </c>
      <c r="L54" s="158"/>
      <c r="N54" s="101"/>
      <c r="O54" s="1"/>
      <c r="V54" s="657" t="s">
        <v>104</v>
      </c>
      <c r="W54" s="657"/>
      <c r="X54" s="657"/>
      <c r="Y54" s="657"/>
      <c r="Z54" s="657"/>
      <c r="AA54" s="657"/>
      <c r="AB54" s="660">
        <f>ROUND(X53/AA53,6)</f>
        <v>0</v>
      </c>
      <c r="AC54" s="660"/>
      <c r="AD54" s="9"/>
    </row>
    <row r="55" spans="2:30" ht="24" customHeight="1" x14ac:dyDescent="0.25">
      <c r="B55" s="13" t="s">
        <v>105</v>
      </c>
      <c r="C55" s="13"/>
      <c r="D55" s="13"/>
      <c r="E55" s="13"/>
      <c r="F55" s="13"/>
      <c r="G55" s="13"/>
      <c r="H55" s="13"/>
      <c r="I55" s="13"/>
      <c r="J55" s="13"/>
      <c r="K55" s="13"/>
      <c r="L55" s="13"/>
      <c r="O55" s="1"/>
      <c r="V55" s="651" t="s">
        <v>105</v>
      </c>
      <c r="W55" s="651"/>
      <c r="X55" s="651"/>
      <c r="Y55" s="651"/>
      <c r="Z55" s="651"/>
      <c r="AA55" s="651"/>
      <c r="AB55" s="651"/>
      <c r="AC55" s="651"/>
      <c r="AD55" s="9"/>
    </row>
    <row r="56" spans="2:30" x14ac:dyDescent="0.25">
      <c r="B56" s="13" t="s">
        <v>106</v>
      </c>
      <c r="C56" s="13"/>
      <c r="D56" s="13"/>
      <c r="E56" s="13"/>
      <c r="F56" s="13"/>
      <c r="G56" s="159">
        <f>G26</f>
        <v>29.7</v>
      </c>
      <c r="H56" s="57" t="s">
        <v>107</v>
      </c>
      <c r="I56" s="57"/>
      <c r="J56" s="156">
        <f>+G40</f>
        <v>180284.81</v>
      </c>
      <c r="K56" s="156"/>
      <c r="L56" s="156"/>
      <c r="O56" s="1"/>
      <c r="V56" s="657" t="s">
        <v>106</v>
      </c>
      <c r="W56" s="657"/>
      <c r="X56" s="160">
        <f>X26</f>
        <v>0</v>
      </c>
      <c r="Y56" s="658" t="s">
        <v>107</v>
      </c>
      <c r="Z56" s="658"/>
      <c r="AA56" s="659">
        <f>+J56</f>
        <v>180284.81</v>
      </c>
      <c r="AB56" s="659"/>
      <c r="AC56" s="659"/>
      <c r="AD56" s="9"/>
    </row>
    <row r="57" spans="2:30" x14ac:dyDescent="0.25">
      <c r="B57" s="13" t="s">
        <v>108</v>
      </c>
      <c r="C57" s="13"/>
      <c r="D57" s="13"/>
      <c r="E57" s="13"/>
      <c r="F57" s="13"/>
      <c r="G57" s="13"/>
      <c r="H57" s="13"/>
      <c r="I57" s="13"/>
      <c r="J57" s="13"/>
      <c r="K57" s="158">
        <f>ROUND(G56/J56,6)</f>
        <v>1.65E-4</v>
      </c>
      <c r="L57" s="158"/>
      <c r="O57" s="1"/>
      <c r="V57" s="657" t="s">
        <v>108</v>
      </c>
      <c r="W57" s="657"/>
      <c r="X57" s="657"/>
      <c r="Y57" s="657"/>
      <c r="Z57" s="657"/>
      <c r="AA57" s="657"/>
      <c r="AB57" s="660">
        <f>ROUND(X56/AA56,6)</f>
        <v>0</v>
      </c>
      <c r="AC57" s="660"/>
      <c r="AD57" s="9"/>
    </row>
    <row r="58" spans="2:30" ht="20.25" customHeight="1" x14ac:dyDescent="0.25">
      <c r="B58" s="161" t="s">
        <v>109</v>
      </c>
      <c r="C58" s="161"/>
      <c r="D58" s="161"/>
      <c r="E58" s="161"/>
      <c r="F58" s="161"/>
      <c r="G58" s="161"/>
      <c r="H58" s="161"/>
      <c r="I58" s="161"/>
      <c r="J58" s="161"/>
      <c r="K58" s="161"/>
      <c r="L58" s="161"/>
      <c r="N58" s="18"/>
      <c r="O58" s="18"/>
      <c r="V58" s="629" t="s">
        <v>110</v>
      </c>
      <c r="W58" s="629"/>
      <c r="X58" s="629"/>
      <c r="Y58" s="661">
        <f>X65+X64+X62+X61+X60</f>
        <v>4123852</v>
      </c>
      <c r="Z58" s="661"/>
      <c r="AA58" s="162" t="s">
        <v>111</v>
      </c>
      <c r="AB58" s="163">
        <f>AB54</f>
        <v>0</v>
      </c>
      <c r="AC58" s="56">
        <f>ROUND(Y58*AB58,0)</f>
        <v>0</v>
      </c>
      <c r="AD58" s="9"/>
    </row>
    <row r="59" spans="2:30" x14ac:dyDescent="0.25">
      <c r="B59" s="62" t="s">
        <v>110</v>
      </c>
      <c r="C59" s="62"/>
      <c r="D59" s="62"/>
      <c r="E59" s="62"/>
      <c r="F59" s="62"/>
      <c r="G59" s="62"/>
      <c r="H59" s="164" t="s">
        <v>22</v>
      </c>
      <c r="I59" s="129">
        <v>4123852</v>
      </c>
      <c r="J59" s="165" t="s">
        <v>111</v>
      </c>
      <c r="K59" s="166">
        <f>K54</f>
        <v>1.66E-4</v>
      </c>
      <c r="L59" s="50">
        <f>ROUND(I59*K59,0)</f>
        <v>685</v>
      </c>
      <c r="O59" s="1"/>
      <c r="P59" s="165"/>
      <c r="Q59" s="165"/>
      <c r="V59" s="662" t="s">
        <v>112</v>
      </c>
      <c r="W59" s="662"/>
      <c r="X59" s="662"/>
      <c r="Y59" s="662"/>
      <c r="Z59" s="662"/>
      <c r="AA59" s="662"/>
      <c r="AB59" s="662"/>
      <c r="AC59" s="662"/>
      <c r="AD59" s="9"/>
    </row>
    <row r="60" spans="2:30" x14ac:dyDescent="0.25">
      <c r="B60" s="62" t="s">
        <v>112</v>
      </c>
      <c r="C60" s="62"/>
      <c r="D60" s="62"/>
      <c r="E60" s="62"/>
      <c r="F60" s="62"/>
      <c r="G60" s="62"/>
      <c r="H60" s="62"/>
      <c r="I60" s="62"/>
      <c r="J60" s="62"/>
      <c r="K60" s="62"/>
      <c r="L60" s="62"/>
      <c r="O60" s="1"/>
      <c r="P60" s="165"/>
      <c r="Q60" s="165"/>
      <c r="V60" s="663" t="s">
        <v>113</v>
      </c>
      <c r="W60" s="663"/>
      <c r="X60" s="664">
        <f>+G61</f>
        <v>0</v>
      </c>
      <c r="Y60" s="664"/>
      <c r="Z60" s="664"/>
      <c r="AA60" s="664"/>
      <c r="AB60" s="664"/>
      <c r="AC60" s="664"/>
      <c r="AD60" s="9"/>
    </row>
    <row r="61" spans="2:30" ht="15" customHeight="1" x14ac:dyDescent="0.25">
      <c r="B61" s="167" t="s">
        <v>113</v>
      </c>
      <c r="C61" s="62"/>
      <c r="D61" s="62"/>
      <c r="E61" s="62"/>
      <c r="F61" s="62"/>
      <c r="G61" s="168">
        <v>0</v>
      </c>
      <c r="H61" s="168"/>
      <c r="I61" s="168"/>
      <c r="J61" s="168"/>
      <c r="K61" s="168"/>
      <c r="L61" s="168"/>
      <c r="O61" s="1"/>
      <c r="P61" s="165"/>
      <c r="Q61" s="165"/>
      <c r="V61" s="663" t="s">
        <v>114</v>
      </c>
      <c r="W61" s="663"/>
      <c r="X61" s="664">
        <f>+G62</f>
        <v>0</v>
      </c>
      <c r="Y61" s="664"/>
      <c r="Z61" s="664"/>
      <c r="AA61" s="664"/>
      <c r="AB61" s="664"/>
      <c r="AC61" s="664"/>
      <c r="AD61" s="9"/>
    </row>
    <row r="62" spans="2:30" ht="13.5" customHeight="1" x14ac:dyDescent="0.25">
      <c r="B62" s="167" t="s">
        <v>114</v>
      </c>
      <c r="C62" s="62"/>
      <c r="D62" s="62"/>
      <c r="E62" s="62"/>
      <c r="F62" s="62"/>
      <c r="G62" s="168">
        <v>0</v>
      </c>
      <c r="H62" s="168"/>
      <c r="I62" s="168"/>
      <c r="J62" s="168"/>
      <c r="K62" s="168"/>
      <c r="L62" s="168"/>
      <c r="N62" s="165"/>
      <c r="O62" s="165"/>
      <c r="P62" s="165"/>
      <c r="Q62" s="165"/>
      <c r="V62" s="663" t="s">
        <v>115</v>
      </c>
      <c r="W62" s="663"/>
      <c r="X62" s="664">
        <v>0</v>
      </c>
      <c r="Y62" s="664"/>
      <c r="Z62" s="664"/>
      <c r="AA62" s="664"/>
      <c r="AB62" s="664"/>
      <c r="AC62" s="664"/>
      <c r="AD62" s="9"/>
    </row>
    <row r="63" spans="2:30" ht="13.5" hidden="1" customHeight="1" x14ac:dyDescent="0.25">
      <c r="B63" s="62" t="s">
        <v>115</v>
      </c>
      <c r="C63" s="62"/>
      <c r="D63" s="62"/>
      <c r="E63" s="62"/>
      <c r="F63" s="62"/>
      <c r="G63" s="168">
        <v>0</v>
      </c>
      <c r="H63" s="168"/>
      <c r="I63" s="168"/>
      <c r="J63" s="168"/>
      <c r="K63" s="168"/>
      <c r="L63" s="168"/>
      <c r="O63" s="1"/>
      <c r="P63" s="165"/>
      <c r="Q63" s="165"/>
      <c r="V63" s="662" t="s">
        <v>116</v>
      </c>
      <c r="W63" s="662"/>
      <c r="X63" s="662"/>
      <c r="Y63" s="662"/>
      <c r="Z63" s="662"/>
      <c r="AA63" s="662"/>
      <c r="AB63" s="662"/>
      <c r="AC63" s="662"/>
      <c r="AD63" s="117"/>
    </row>
    <row r="64" spans="2:30" ht="13.5" customHeight="1" x14ac:dyDescent="0.25">
      <c r="B64" s="62" t="s">
        <v>116</v>
      </c>
      <c r="C64" s="62"/>
      <c r="D64" s="62"/>
      <c r="E64" s="62"/>
      <c r="F64" s="62"/>
      <c r="G64" s="62"/>
      <c r="H64" s="62"/>
      <c r="I64" s="62"/>
      <c r="J64" s="62"/>
      <c r="K64" s="62"/>
      <c r="L64" s="62"/>
      <c r="M64" s="116"/>
      <c r="N64" s="18"/>
      <c r="O64" s="1"/>
      <c r="V64" s="663" t="s">
        <v>117</v>
      </c>
      <c r="W64" s="663"/>
      <c r="X64" s="664">
        <f>+G65</f>
        <v>4123852</v>
      </c>
      <c r="Y64" s="664"/>
      <c r="Z64" s="664"/>
      <c r="AA64" s="664"/>
      <c r="AB64" s="664"/>
      <c r="AC64" s="664"/>
      <c r="AD64" s="9"/>
    </row>
    <row r="65" spans="1:30" ht="12.75" customHeight="1" x14ac:dyDescent="0.25">
      <c r="B65" s="167" t="s">
        <v>117</v>
      </c>
      <c r="C65" s="62"/>
      <c r="D65" s="62"/>
      <c r="E65" s="62"/>
      <c r="F65" s="62"/>
      <c r="G65" s="168">
        <f>+I59</f>
        <v>4123852</v>
      </c>
      <c r="H65" s="168"/>
      <c r="I65" s="168"/>
      <c r="J65" s="168"/>
      <c r="K65" s="168"/>
      <c r="L65" s="168"/>
      <c r="O65" s="1"/>
      <c r="V65" s="663" t="s">
        <v>118</v>
      </c>
      <c r="W65" s="663"/>
      <c r="X65" s="664">
        <f>+G66</f>
        <v>0</v>
      </c>
      <c r="Y65" s="664"/>
      <c r="Z65" s="664"/>
      <c r="AA65" s="664"/>
      <c r="AB65" s="664"/>
      <c r="AC65" s="664"/>
      <c r="AD65" s="20"/>
    </row>
    <row r="66" spans="1:30" ht="15" customHeight="1" x14ac:dyDescent="0.25">
      <c r="B66" s="167" t="s">
        <v>118</v>
      </c>
      <c r="C66" s="62"/>
      <c r="D66" s="62"/>
      <c r="E66" s="62"/>
      <c r="F66" s="62"/>
      <c r="G66" s="168">
        <v>0</v>
      </c>
      <c r="H66" s="168"/>
      <c r="I66" s="168"/>
      <c r="J66" s="168"/>
      <c r="K66" s="168"/>
      <c r="L66" s="168"/>
      <c r="M66" s="18"/>
      <c r="N66" s="3"/>
      <c r="O66" s="169"/>
      <c r="P66" s="169"/>
      <c r="Q66" s="169"/>
      <c r="V66" s="651" t="s">
        <v>119</v>
      </c>
      <c r="W66" s="651"/>
      <c r="X66" s="651"/>
      <c r="Y66" s="661">
        <f>+I67</f>
        <v>96774526</v>
      </c>
      <c r="Z66" s="661"/>
      <c r="AA66" s="162" t="s">
        <v>111</v>
      </c>
      <c r="AB66" s="163">
        <f>AB54</f>
        <v>0</v>
      </c>
      <c r="AC66" s="56">
        <f>ROUND(Y66*AB66,0)</f>
        <v>0</v>
      </c>
      <c r="AD66" s="9"/>
    </row>
    <row r="67" spans="1:30" ht="20.25" customHeight="1" x14ac:dyDescent="0.25">
      <c r="B67" s="13" t="s">
        <v>119</v>
      </c>
      <c r="C67" s="13"/>
      <c r="D67" s="13"/>
      <c r="E67" s="13"/>
      <c r="F67" s="13"/>
      <c r="H67" s="164" t="s">
        <v>25</v>
      </c>
      <c r="I67" s="129">
        <v>96774526</v>
      </c>
      <c r="J67" s="165" t="s">
        <v>111</v>
      </c>
      <c r="K67" s="166">
        <f>K54</f>
        <v>1.66E-4</v>
      </c>
      <c r="L67" s="50">
        <f>ROUND(I67*K67,0)</f>
        <v>16065</v>
      </c>
      <c r="O67" s="1"/>
      <c r="V67" s="651" t="s">
        <v>120</v>
      </c>
      <c r="W67" s="651"/>
      <c r="X67" s="651"/>
      <c r="Y67" s="651"/>
      <c r="Z67" s="651"/>
      <c r="AA67" s="651"/>
      <c r="AB67" s="651"/>
      <c r="AC67" s="651"/>
      <c r="AD67" s="9"/>
    </row>
    <row r="68" spans="1:30" ht="20.25" customHeight="1" x14ac:dyDescent="0.25">
      <c r="B68" s="13" t="s">
        <v>120</v>
      </c>
      <c r="C68" s="13"/>
      <c r="D68" s="13"/>
      <c r="E68" s="13"/>
      <c r="F68" s="13"/>
      <c r="H68" s="13"/>
      <c r="I68" s="13"/>
      <c r="J68" s="82"/>
      <c r="K68" s="13"/>
      <c r="L68" s="13"/>
      <c r="O68" s="1"/>
      <c r="V68" s="667" t="s">
        <v>121</v>
      </c>
      <c r="W68" s="667"/>
      <c r="X68" s="667"/>
      <c r="Y68" s="661">
        <f>+I69</f>
        <v>0</v>
      </c>
      <c r="Z68" s="661"/>
      <c r="AA68" s="162" t="s">
        <v>111</v>
      </c>
      <c r="AB68" s="163">
        <f>AB57</f>
        <v>0</v>
      </c>
      <c r="AC68" s="56">
        <f>ROUND(Y68*AB68,0)</f>
        <v>0</v>
      </c>
      <c r="AD68" s="9"/>
    </row>
    <row r="69" spans="1:30" ht="15" customHeight="1" x14ac:dyDescent="0.25">
      <c r="B69" s="170" t="s">
        <v>121</v>
      </c>
      <c r="C69" s="13"/>
      <c r="D69" s="13"/>
      <c r="E69" s="13"/>
      <c r="F69" s="13"/>
      <c r="H69" s="164" t="s">
        <v>23</v>
      </c>
      <c r="I69" s="129">
        <v>0</v>
      </c>
      <c r="J69" s="165" t="s">
        <v>111</v>
      </c>
      <c r="K69" s="166">
        <f>K57</f>
        <v>1.65E-4</v>
      </c>
      <c r="L69" s="50">
        <f>ROUND(I69*K69,0)</f>
        <v>0</v>
      </c>
      <c r="O69" s="1"/>
      <c r="V69" s="651" t="s">
        <v>122</v>
      </c>
      <c r="W69" s="651"/>
      <c r="X69" s="651"/>
      <c r="Y69" s="668">
        <f>+I70</f>
        <v>-3460775</v>
      </c>
      <c r="Z69" s="668"/>
      <c r="AA69" s="162" t="s">
        <v>111</v>
      </c>
      <c r="AB69" s="163">
        <f>AB54</f>
        <v>0</v>
      </c>
      <c r="AC69" s="56">
        <f>ROUND(Y69*AB69,0)</f>
        <v>0</v>
      </c>
      <c r="AD69" s="9"/>
    </row>
    <row r="70" spans="1:30" ht="20.25" customHeight="1" x14ac:dyDescent="0.25">
      <c r="B70" s="13" t="s">
        <v>122</v>
      </c>
      <c r="C70" s="13"/>
      <c r="D70" s="13"/>
      <c r="E70" s="13"/>
      <c r="F70" s="13"/>
      <c r="H70" s="164" t="s">
        <v>22</v>
      </c>
      <c r="I70" s="129">
        <v>-3460775</v>
      </c>
      <c r="J70" s="165" t="s">
        <v>111</v>
      </c>
      <c r="K70" s="166">
        <f>K54</f>
        <v>1.66E-4</v>
      </c>
      <c r="L70" s="50">
        <f>ROUND(I70*K70,0)</f>
        <v>-574</v>
      </c>
      <c r="O70" s="1"/>
      <c r="V70" s="651" t="s">
        <v>123</v>
      </c>
      <c r="W70" s="651"/>
      <c r="X70" s="651"/>
      <c r="Y70" s="665">
        <f>+I71</f>
        <v>1874788</v>
      </c>
      <c r="Z70" s="665"/>
      <c r="AA70" s="162" t="s">
        <v>111</v>
      </c>
      <c r="AB70" s="163">
        <f>AB54</f>
        <v>0</v>
      </c>
      <c r="AC70" s="56">
        <f>ROUND(Y70*AB70,0)</f>
        <v>0</v>
      </c>
      <c r="AD70" s="9"/>
    </row>
    <row r="71" spans="1:30" ht="20.25" customHeight="1" x14ac:dyDescent="0.25">
      <c r="B71" s="13" t="s">
        <v>123</v>
      </c>
      <c r="C71" s="13"/>
      <c r="D71" s="13"/>
      <c r="E71" s="13"/>
      <c r="F71" s="13"/>
      <c r="H71" s="164" t="s">
        <v>22</v>
      </c>
      <c r="I71" s="129">
        <v>1874788</v>
      </c>
      <c r="J71" s="165" t="s">
        <v>111</v>
      </c>
      <c r="K71" s="166">
        <f>K54</f>
        <v>1.66E-4</v>
      </c>
      <c r="L71" s="50">
        <f>ROUND(I71*K71,0)</f>
        <v>311</v>
      </c>
      <c r="O71" s="1"/>
      <c r="V71" s="651" t="s">
        <v>124</v>
      </c>
      <c r="W71" s="651"/>
      <c r="X71" s="651"/>
      <c r="Y71" s="665">
        <f>+I72</f>
        <v>14223298</v>
      </c>
      <c r="Z71" s="665"/>
      <c r="AA71" s="162" t="s">
        <v>111</v>
      </c>
      <c r="AB71" s="163">
        <f>AB57</f>
        <v>0</v>
      </c>
      <c r="AC71" s="56">
        <f>ROUND(Y71*AB71,0)</f>
        <v>0</v>
      </c>
      <c r="AD71" s="9"/>
    </row>
    <row r="72" spans="1:30" ht="21" customHeight="1" x14ac:dyDescent="0.25">
      <c r="B72" s="13" t="s">
        <v>124</v>
      </c>
      <c r="C72" s="13"/>
      <c r="D72" s="13"/>
      <c r="E72" s="13"/>
      <c r="F72" s="13"/>
      <c r="H72" s="164" t="s">
        <v>23</v>
      </c>
      <c r="I72" s="171">
        <v>14223298</v>
      </c>
      <c r="J72" s="165" t="s">
        <v>111</v>
      </c>
      <c r="K72" s="166">
        <f>K57</f>
        <v>1.65E-4</v>
      </c>
      <c r="L72" s="50">
        <f>ROUND(I72*K72,0)</f>
        <v>2347</v>
      </c>
      <c r="O72" s="1"/>
      <c r="V72" s="623" t="s">
        <v>125</v>
      </c>
      <c r="W72" s="623"/>
      <c r="X72" s="623"/>
      <c r="Y72" s="623"/>
      <c r="Z72" s="623"/>
      <c r="AA72" s="623"/>
      <c r="AB72" s="623"/>
      <c r="AC72" s="60"/>
      <c r="AD72" s="9"/>
    </row>
    <row r="73" spans="1:30" ht="17.25" customHeight="1" x14ac:dyDescent="0.25">
      <c r="B73" s="13" t="s">
        <v>125</v>
      </c>
      <c r="C73" s="13"/>
      <c r="D73" s="13"/>
      <c r="E73" s="13"/>
      <c r="F73" s="13"/>
      <c r="H73" s="13"/>
      <c r="I73" s="13"/>
      <c r="J73" s="82"/>
      <c r="K73" s="13"/>
      <c r="L73" s="59"/>
      <c r="O73" s="1"/>
      <c r="V73" s="651" t="s">
        <v>126</v>
      </c>
      <c r="W73" s="651"/>
      <c r="X73" s="651"/>
      <c r="Y73" s="651"/>
      <c r="Z73" s="651"/>
      <c r="AA73" s="651"/>
      <c r="AB73" s="651"/>
      <c r="AC73" s="651"/>
      <c r="AD73" s="9"/>
    </row>
    <row r="74" spans="1:30" ht="31.5" x14ac:dyDescent="0.25">
      <c r="B74" s="13" t="s">
        <v>126</v>
      </c>
      <c r="C74" s="13"/>
      <c r="D74" s="27" t="s">
        <v>13</v>
      </c>
      <c r="E74" s="27" t="s">
        <v>14</v>
      </c>
      <c r="F74" s="27"/>
      <c r="H74" s="164" t="s">
        <v>26</v>
      </c>
      <c r="I74" s="172"/>
      <c r="J74" s="164"/>
      <c r="K74" s="172"/>
      <c r="L74" s="112"/>
      <c r="O74" s="1"/>
      <c r="V74" s="666" t="s">
        <v>127</v>
      </c>
      <c r="W74" s="666"/>
      <c r="X74" s="173" t="s">
        <v>128</v>
      </c>
      <c r="Y74" s="174"/>
      <c r="Z74" s="175">
        <f>+I75</f>
        <v>21.5</v>
      </c>
      <c r="AA74" s="176" t="s">
        <v>129</v>
      </c>
      <c r="AB74" s="177">
        <f>+K75</f>
        <v>361</v>
      </c>
      <c r="AC74" s="56">
        <f>ROUND(AB74*Z74,0)</f>
        <v>7762</v>
      </c>
      <c r="AD74" s="9"/>
    </row>
    <row r="75" spans="1:30" ht="19.5" customHeight="1" x14ac:dyDescent="0.25">
      <c r="A75" s="1" t="s">
        <v>130</v>
      </c>
      <c r="B75" s="178" t="s">
        <v>127</v>
      </c>
      <c r="C75" s="179" t="s">
        <v>128</v>
      </c>
      <c r="D75" s="178">
        <v>18</v>
      </c>
      <c r="E75" s="178">
        <v>25</v>
      </c>
      <c r="F75" s="178">
        <v>0</v>
      </c>
      <c r="G75" s="180">
        <f>IF(E75=0,D75,E75)</f>
        <v>25</v>
      </c>
      <c r="H75" s="181"/>
      <c r="I75" s="182">
        <f>AVERAGE(G75,D75)</f>
        <v>21.5</v>
      </c>
      <c r="J75" s="183" t="s">
        <v>129</v>
      </c>
      <c r="K75" s="184">
        <v>361</v>
      </c>
      <c r="L75" s="50">
        <f>ROUND(K75*I75,0)</f>
        <v>7762</v>
      </c>
      <c r="N75" s="1">
        <v>7802</v>
      </c>
      <c r="O75" s="1">
        <v>0</v>
      </c>
      <c r="V75" s="666" t="s">
        <v>127</v>
      </c>
      <c r="W75" s="666"/>
      <c r="X75" s="173" t="s">
        <v>131</v>
      </c>
      <c r="Y75" s="185"/>
      <c r="Z75" s="186">
        <f>+I76</f>
        <v>0</v>
      </c>
      <c r="AA75" s="176" t="s">
        <v>129</v>
      </c>
      <c r="AB75" s="187">
        <f>+K76</f>
        <v>1358</v>
      </c>
      <c r="AC75" s="56">
        <f>ROUND(AB75*Z75,0)</f>
        <v>0</v>
      </c>
      <c r="AD75" s="9"/>
    </row>
    <row r="76" spans="1:30" ht="19.5" customHeight="1" x14ac:dyDescent="0.25">
      <c r="A76" s="1" t="s">
        <v>132</v>
      </c>
      <c r="B76" s="178" t="s">
        <v>127</v>
      </c>
      <c r="C76" s="179" t="s">
        <v>131</v>
      </c>
      <c r="D76" s="178">
        <v>0</v>
      </c>
      <c r="E76" s="178">
        <v>0</v>
      </c>
      <c r="F76" s="178">
        <v>0</v>
      </c>
      <c r="G76" s="180">
        <f>IF(E76=0,D76,E76)</f>
        <v>0</v>
      </c>
      <c r="H76" s="181"/>
      <c r="I76" s="182">
        <f>AVERAGE(G76,D76)</f>
        <v>0</v>
      </c>
      <c r="J76" s="183" t="s">
        <v>129</v>
      </c>
      <c r="K76" s="188">
        <v>1358</v>
      </c>
      <c r="L76" s="50">
        <f>ROUND(K76*I76,0)</f>
        <v>0</v>
      </c>
      <c r="N76" s="1">
        <v>7802</v>
      </c>
      <c r="O76" s="1">
        <v>110</v>
      </c>
      <c r="V76" s="651" t="s">
        <v>133</v>
      </c>
      <c r="W76" s="651"/>
      <c r="X76" s="651"/>
      <c r="Y76" s="661">
        <f>+I77</f>
        <v>33305823</v>
      </c>
      <c r="Z76" s="661"/>
      <c r="AA76" s="176" t="s">
        <v>129</v>
      </c>
      <c r="AB76" s="163">
        <f>AB54</f>
        <v>0</v>
      </c>
      <c r="AC76" s="56">
        <f>ROUND(Y76*AB76,0)</f>
        <v>0</v>
      </c>
      <c r="AD76" s="9"/>
    </row>
    <row r="77" spans="1:30" ht="26.25" customHeight="1" x14ac:dyDescent="0.25">
      <c r="B77" s="13" t="s">
        <v>133</v>
      </c>
      <c r="C77" s="13"/>
      <c r="D77" s="13"/>
      <c r="E77" s="13"/>
      <c r="F77" s="13"/>
      <c r="H77" s="164" t="s">
        <v>134</v>
      </c>
      <c r="I77" s="189">
        <v>33305823</v>
      </c>
      <c r="J77" s="165" t="s">
        <v>111</v>
      </c>
      <c r="K77" s="166">
        <f>K54</f>
        <v>1.66E-4</v>
      </c>
      <c r="L77" s="50">
        <f>ROUND(I77*K77,0)</f>
        <v>5529</v>
      </c>
      <c r="O77" s="1"/>
      <c r="V77" s="651" t="str">
        <f>+B78</f>
        <v>15.  Additional Allocation (WFTE share)</v>
      </c>
      <c r="W77" s="651"/>
      <c r="X77" s="651"/>
      <c r="Y77" s="661">
        <f>+I78</f>
        <v>680688</v>
      </c>
      <c r="Z77" s="661"/>
      <c r="AA77" s="176" t="s">
        <v>129</v>
      </c>
      <c r="AB77" s="163">
        <f>AB54</f>
        <v>0</v>
      </c>
      <c r="AC77" s="56">
        <f>ROUND(Y77*AB77,0)</f>
        <v>0</v>
      </c>
      <c r="AD77" s="9"/>
    </row>
    <row r="78" spans="1:30" ht="26.25" customHeight="1" x14ac:dyDescent="0.25">
      <c r="B78" s="669" t="s">
        <v>135</v>
      </c>
      <c r="C78" s="669"/>
      <c r="D78" s="669"/>
      <c r="E78" s="13"/>
      <c r="F78" s="13"/>
      <c r="H78" s="164" t="s">
        <v>136</v>
      </c>
      <c r="I78" s="190">
        <v>680688</v>
      </c>
      <c r="J78" s="165" t="s">
        <v>111</v>
      </c>
      <c r="K78" s="166">
        <f>K54</f>
        <v>1.66E-4</v>
      </c>
      <c r="L78" s="50">
        <f>ROUND(I78*K78,0)</f>
        <v>113</v>
      </c>
      <c r="O78" s="1"/>
      <c r="V78" s="651" t="str">
        <f t="shared" ref="V78:V79" si="11">+B79</f>
        <v>16.  Florida Teachers Lead Program Stipend</v>
      </c>
      <c r="W78" s="651"/>
      <c r="X78" s="651"/>
      <c r="Y78" s="191"/>
      <c r="Z78" s="191"/>
      <c r="AA78" s="191"/>
      <c r="AB78" s="191"/>
      <c r="AC78" s="134"/>
      <c r="AD78" s="9"/>
    </row>
    <row r="79" spans="1:30" ht="21" customHeight="1" x14ac:dyDescent="0.25">
      <c r="B79" s="669" t="s">
        <v>137</v>
      </c>
      <c r="C79" s="669"/>
      <c r="D79" s="669"/>
      <c r="E79" s="13"/>
      <c r="F79" s="13"/>
      <c r="H79" s="164"/>
      <c r="I79" s="172"/>
      <c r="J79" s="172"/>
      <c r="K79" s="172"/>
      <c r="L79" s="129"/>
      <c r="N79" s="192"/>
      <c r="O79" s="1"/>
      <c r="Q79" s="164"/>
      <c r="V79" s="651" t="str">
        <f t="shared" si="11"/>
        <v>17.  Food Service Allocation</v>
      </c>
      <c r="W79" s="651"/>
      <c r="X79" s="651"/>
      <c r="Y79" s="191"/>
      <c r="Z79" s="191"/>
      <c r="AA79" s="191"/>
      <c r="AB79" s="191"/>
      <c r="AC79" s="193"/>
      <c r="AD79" s="9"/>
    </row>
    <row r="80" spans="1:30" ht="21" customHeight="1" x14ac:dyDescent="0.25">
      <c r="B80" s="669" t="s">
        <v>138</v>
      </c>
      <c r="C80" s="669"/>
      <c r="D80" s="669"/>
      <c r="E80" s="13"/>
      <c r="F80" s="13"/>
      <c r="H80" s="194" t="s">
        <v>139</v>
      </c>
      <c r="I80" s="195"/>
      <c r="J80" s="195"/>
      <c r="K80" s="195"/>
      <c r="L80" s="196"/>
      <c r="N80" s="197"/>
      <c r="O80" s="1"/>
      <c r="Q80" s="164"/>
      <c r="V80" s="191"/>
      <c r="W80" s="191"/>
      <c r="X80" s="191"/>
      <c r="Y80" s="191"/>
      <c r="Z80" s="191"/>
      <c r="AA80" s="191"/>
      <c r="AB80" s="191"/>
      <c r="AC80" s="193"/>
      <c r="AD80" s="9"/>
    </row>
    <row r="81" spans="1:30" ht="21" customHeight="1" thickBot="1" x14ac:dyDescent="0.3">
      <c r="B81" s="13"/>
      <c r="C81" s="13"/>
      <c r="D81" s="13"/>
      <c r="E81" s="13"/>
      <c r="F81" s="13"/>
      <c r="G81" s="13"/>
      <c r="H81" s="13"/>
      <c r="I81" s="13"/>
      <c r="J81" s="13"/>
      <c r="K81" s="13"/>
      <c r="L81" s="196"/>
      <c r="M81" s="198"/>
      <c r="N81" s="197"/>
      <c r="O81" s="1"/>
      <c r="Q81" s="164"/>
      <c r="V81" s="191" t="s">
        <v>140</v>
      </c>
      <c r="W81" s="191"/>
      <c r="X81" s="191"/>
      <c r="Y81" s="191"/>
      <c r="Z81" s="191"/>
      <c r="AA81" s="191"/>
      <c r="AB81" s="191"/>
      <c r="AC81" s="199">
        <f>SUM(AC44:AC80)</f>
        <v>7762</v>
      </c>
      <c r="AD81" s="200"/>
    </row>
    <row r="82" spans="1:30" ht="22.5" customHeight="1" thickTop="1" thickBot="1" x14ac:dyDescent="0.3">
      <c r="B82" s="13" t="s">
        <v>141</v>
      </c>
      <c r="C82" s="13"/>
      <c r="D82" s="13"/>
      <c r="E82" s="13"/>
      <c r="F82" s="13"/>
      <c r="G82" s="13"/>
      <c r="H82" s="13"/>
      <c r="I82" s="13"/>
      <c r="J82" s="13"/>
      <c r="K82" s="13"/>
      <c r="L82" s="201">
        <f>SUM(L44:L81)</f>
        <v>207038</v>
      </c>
      <c r="M82" s="202"/>
      <c r="N82" s="203"/>
      <c r="O82" s="1"/>
      <c r="Q82" s="164"/>
      <c r="V82" s="191"/>
      <c r="W82" s="191"/>
      <c r="X82" s="191"/>
      <c r="Y82" s="191"/>
      <c r="Z82" s="191"/>
      <c r="AA82" s="191"/>
      <c r="AB82" s="191"/>
      <c r="AC82" s="204"/>
      <c r="AD82" s="200"/>
    </row>
    <row r="83" spans="1:30" ht="27.75" customHeight="1" thickTop="1" x14ac:dyDescent="0.25">
      <c r="B83" s="13" t="s">
        <v>142</v>
      </c>
      <c r="C83" s="13"/>
      <c r="D83" s="13"/>
      <c r="E83" s="13"/>
      <c r="F83" s="13"/>
      <c r="G83" s="13"/>
      <c r="H83" s="13"/>
      <c r="I83" s="13"/>
      <c r="J83" s="13"/>
      <c r="K83" s="82" t="s">
        <v>143</v>
      </c>
      <c r="L83" s="205" t="s">
        <v>144</v>
      </c>
      <c r="M83" s="202"/>
      <c r="N83" s="203"/>
      <c r="O83" s="1"/>
      <c r="Q83" s="164"/>
      <c r="V83" s="9" t="s">
        <v>145</v>
      </c>
      <c r="W83" s="9"/>
      <c r="X83" s="9"/>
      <c r="Y83" s="9"/>
      <c r="Z83" s="9"/>
      <c r="AA83" s="9"/>
      <c r="AB83" s="9"/>
      <c r="AC83" s="9"/>
      <c r="AD83" s="206"/>
    </row>
    <row r="84" spans="1:30" ht="18.75" customHeight="1" thickBot="1" x14ac:dyDescent="0.3">
      <c r="B84" s="13" t="s">
        <v>146</v>
      </c>
      <c r="C84" s="13"/>
      <c r="D84" s="13"/>
      <c r="E84" s="13"/>
      <c r="F84" s="13"/>
      <c r="G84" s="13"/>
      <c r="H84" s="13"/>
      <c r="I84" s="13"/>
      <c r="J84" s="13"/>
      <c r="K84" s="207" t="str">
        <f>IF(G26=0,"",IF((G11+G13+SUM(G15:G21))/G26&gt;0.75,1,""))</f>
        <v/>
      </c>
      <c r="L84" s="201">
        <f>'3384'!AC81</f>
        <v>7762</v>
      </c>
      <c r="M84" s="202"/>
      <c r="N84" s="203"/>
      <c r="O84" s="1"/>
      <c r="Q84" s="164"/>
      <c r="V84" s="208" t="s">
        <v>147</v>
      </c>
      <c r="W84" s="208"/>
      <c r="X84" s="208"/>
      <c r="Y84" s="208"/>
      <c r="Z84" s="208"/>
      <c r="AA84" s="208"/>
      <c r="AB84" s="208"/>
      <c r="AC84" s="208"/>
      <c r="AD84" s="9"/>
    </row>
    <row r="85" spans="1:30" ht="18.75" customHeight="1" thickTop="1" x14ac:dyDescent="0.25">
      <c r="B85" s="13"/>
      <c r="C85" s="13"/>
      <c r="D85" s="13"/>
      <c r="E85" s="13"/>
      <c r="F85" s="13"/>
      <c r="G85" s="13"/>
      <c r="H85" s="13"/>
      <c r="I85" s="13"/>
      <c r="J85" s="13"/>
      <c r="M85" s="202"/>
      <c r="N85" s="203"/>
      <c r="O85" s="1"/>
      <c r="Q85" s="164"/>
      <c r="V85" s="208" t="s">
        <v>148</v>
      </c>
      <c r="W85" s="208"/>
      <c r="X85" s="208"/>
      <c r="Y85" s="208"/>
      <c r="Z85" s="208"/>
      <c r="AA85" s="208"/>
      <c r="AB85" s="208"/>
      <c r="AC85" s="208"/>
      <c r="AD85" s="206"/>
    </row>
    <row r="86" spans="1:30" ht="18.75" customHeight="1" x14ac:dyDescent="0.25">
      <c r="B86" s="2" t="s">
        <v>149</v>
      </c>
      <c r="C86" s="13"/>
      <c r="D86" s="13"/>
      <c r="E86" s="13"/>
      <c r="F86" s="13"/>
      <c r="G86" s="13"/>
      <c r="H86" s="13"/>
      <c r="I86" s="13"/>
      <c r="J86" s="209" t="s">
        <v>150</v>
      </c>
      <c r="K86" s="210">
        <f>IF(K84=1,L84,L82)</f>
        <v>207038</v>
      </c>
      <c r="L86" s="211">
        <f>IF(G26=0,0,IF(G26&gt;250,-(((250/G26)*K86)*IF(M86="H",0.02,0.05)),IF(M86="H",-0.02*K86,-0.05*K86)))</f>
        <v>-10351.900000000001</v>
      </c>
      <c r="M86" s="212" t="str">
        <f>IF(B123="2801","H",IF(B123="2911","H",IF(B123="3382","H"," ")))</f>
        <v xml:space="preserve"> </v>
      </c>
      <c r="N86" s="203"/>
      <c r="O86" s="1"/>
      <c r="Q86" s="164"/>
      <c r="V86" s="208" t="s">
        <v>151</v>
      </c>
      <c r="W86" s="208"/>
      <c r="X86" s="208"/>
      <c r="Y86" s="208"/>
      <c r="Z86" s="208"/>
      <c r="AA86" s="208"/>
      <c r="AB86" s="208"/>
      <c r="AC86" s="208"/>
      <c r="AD86" s="206"/>
    </row>
    <row r="87" spans="1:30" ht="18.75" customHeight="1" x14ac:dyDescent="0.25">
      <c r="B87" s="2" t="s">
        <v>152</v>
      </c>
      <c r="C87" s="13"/>
      <c r="D87" s="13"/>
      <c r="E87" s="13"/>
      <c r="F87" s="13"/>
      <c r="G87" s="13"/>
      <c r="H87" s="13"/>
      <c r="I87" s="13"/>
      <c r="J87" s="13"/>
      <c r="K87" s="213"/>
      <c r="L87" s="205">
        <f>L82+L86</f>
        <v>196686.1</v>
      </c>
      <c r="M87" s="202"/>
      <c r="N87" s="203"/>
      <c r="O87" s="1"/>
      <c r="Q87" s="164"/>
      <c r="V87" s="198"/>
      <c r="W87" s="198"/>
      <c r="X87" s="198"/>
      <c r="Y87" s="198"/>
      <c r="Z87" s="198"/>
      <c r="AA87" s="198"/>
      <c r="AB87" s="198"/>
      <c r="AC87" s="198"/>
      <c r="AD87" s="214"/>
    </row>
    <row r="88" spans="1:30" x14ac:dyDescent="0.25">
      <c r="V88" s="198"/>
      <c r="W88" s="198"/>
      <c r="X88" s="198"/>
      <c r="Y88" s="198"/>
      <c r="Z88" s="198"/>
      <c r="AA88" s="198"/>
      <c r="AB88" s="198"/>
      <c r="AC88" s="198"/>
      <c r="AD88" s="215"/>
    </row>
    <row r="89" spans="1:30" ht="18.75" customHeight="1" x14ac:dyDescent="0.25">
      <c r="A89" s="1" t="s">
        <v>153</v>
      </c>
      <c r="B89" s="13" t="s">
        <v>154</v>
      </c>
      <c r="C89" s="13"/>
      <c r="D89" s="13">
        <v>118576</v>
      </c>
      <c r="E89" s="13">
        <v>15133</v>
      </c>
      <c r="F89" s="13">
        <v>179108</v>
      </c>
      <c r="G89" s="13"/>
      <c r="H89" s="13"/>
      <c r="I89" s="13"/>
      <c r="J89" s="13"/>
      <c r="K89" s="213"/>
      <c r="L89" s="84">
        <f>-F89-9560</f>
        <v>-188668</v>
      </c>
      <c r="M89" s="202"/>
      <c r="N89" s="203"/>
      <c r="O89" s="1"/>
      <c r="Q89" s="164"/>
      <c r="V89" s="198">
        <v>2801</v>
      </c>
      <c r="W89" s="198"/>
      <c r="X89" s="198"/>
      <c r="Y89" s="198"/>
      <c r="Z89" s="198"/>
      <c r="AA89" s="198"/>
      <c r="AB89" s="198"/>
      <c r="AC89" s="198"/>
      <c r="AD89" s="214"/>
    </row>
    <row r="90" spans="1:30" ht="18.75" customHeight="1" x14ac:dyDescent="0.25">
      <c r="B90" s="13" t="s">
        <v>155</v>
      </c>
      <c r="C90" s="13"/>
      <c r="D90" s="13"/>
      <c r="E90" s="13"/>
      <c r="F90" s="13"/>
      <c r="G90" s="13"/>
      <c r="H90" s="13"/>
      <c r="I90" s="13"/>
      <c r="J90" s="13"/>
      <c r="K90" s="213"/>
      <c r="L90" s="205">
        <f>L87+L89</f>
        <v>8018.1000000000058</v>
      </c>
      <c r="M90" s="202"/>
      <c r="N90" s="203"/>
      <c r="O90" s="1"/>
      <c r="Q90" s="164"/>
      <c r="V90" s="198">
        <v>2911</v>
      </c>
      <c r="W90" s="216"/>
      <c r="X90" s="216"/>
      <c r="Y90" s="216"/>
      <c r="Z90" s="216"/>
      <c r="AA90" s="216"/>
      <c r="AB90" s="216"/>
      <c r="AC90" s="216"/>
      <c r="AD90" s="214"/>
    </row>
    <row r="91" spans="1:30" ht="18.75" customHeight="1" x14ac:dyDescent="0.25">
      <c r="B91" s="13" t="s">
        <v>156</v>
      </c>
      <c r="C91" s="13"/>
      <c r="D91" s="13"/>
      <c r="E91" s="13"/>
      <c r="F91" s="13"/>
      <c r="G91" s="13"/>
      <c r="H91" s="13"/>
      <c r="I91" s="13"/>
      <c r="J91" s="13"/>
      <c r="K91" s="213"/>
      <c r="L91" s="205">
        <v>1</v>
      </c>
      <c r="M91" s="202"/>
      <c r="N91" s="203"/>
      <c r="O91" s="1"/>
      <c r="Q91" s="164"/>
      <c r="V91" s="198">
        <v>3382</v>
      </c>
      <c r="W91" s="216"/>
      <c r="X91" s="216"/>
      <c r="Y91" s="216"/>
      <c r="Z91" s="216"/>
      <c r="AA91" s="216"/>
      <c r="AB91" s="216"/>
      <c r="AC91" s="216"/>
      <c r="AD91" s="214"/>
    </row>
    <row r="92" spans="1:30" ht="18.75" customHeight="1" thickBot="1" x14ac:dyDescent="0.3">
      <c r="B92" s="13" t="s">
        <v>157</v>
      </c>
      <c r="C92" s="13"/>
      <c r="D92" s="13"/>
      <c r="E92" s="13"/>
      <c r="F92" s="13"/>
      <c r="G92" s="13"/>
      <c r="H92" s="13"/>
      <c r="I92" s="13"/>
      <c r="J92" s="13"/>
      <c r="K92" s="213"/>
      <c r="L92" s="217">
        <f>L90/L91</f>
        <v>8018.1000000000058</v>
      </c>
      <c r="M92" s="202"/>
      <c r="N92" s="203"/>
      <c r="O92" s="1"/>
      <c r="Q92" s="164"/>
      <c r="V92" s="218"/>
      <c r="W92" s="218"/>
      <c r="X92" s="218"/>
      <c r="Y92" s="218"/>
      <c r="Z92" s="218"/>
      <c r="AA92" s="218"/>
      <c r="AB92" s="218"/>
      <c r="AC92" s="218"/>
      <c r="AD92" s="219"/>
    </row>
    <row r="93" spans="1:30" ht="18.75" customHeight="1" thickTop="1" x14ac:dyDescent="0.25">
      <c r="N93" s="219"/>
      <c r="O93" s="220"/>
      <c r="P93" s="219"/>
      <c r="Q93" s="219"/>
      <c r="V93" s="218"/>
      <c r="W93" s="218"/>
      <c r="X93" s="218"/>
      <c r="Y93" s="218"/>
      <c r="Z93" s="218"/>
      <c r="AA93" s="218"/>
      <c r="AB93" s="218"/>
      <c r="AC93" s="218"/>
      <c r="AD93" s="214"/>
    </row>
    <row r="94" spans="1:30" ht="18.75" customHeight="1" thickBot="1" x14ac:dyDescent="0.3">
      <c r="B94" s="221" t="s">
        <v>158</v>
      </c>
      <c r="C94" s="13"/>
      <c r="D94" s="13"/>
      <c r="E94" s="13"/>
      <c r="G94" s="13"/>
      <c r="H94" s="13"/>
      <c r="I94" s="13"/>
      <c r="J94" s="13"/>
      <c r="L94" s="222">
        <f>IF(M86="H",(K86*0.02)+L86,(K86*0.05)+L86)</f>
        <v>0</v>
      </c>
      <c r="M94" s="202"/>
      <c r="V94" s="223"/>
      <c r="W94" s="223"/>
      <c r="X94" s="223"/>
      <c r="Y94" s="223"/>
      <c r="Z94" s="223"/>
      <c r="AA94" s="223"/>
      <c r="AB94" s="223"/>
      <c r="AC94" s="223"/>
      <c r="AD94" s="214"/>
    </row>
    <row r="95" spans="1:30" ht="21.75" customHeight="1" thickTop="1" x14ac:dyDescent="0.25">
      <c r="B95" s="224" t="s">
        <v>159</v>
      </c>
      <c r="C95" s="224"/>
      <c r="D95" s="224"/>
      <c r="E95" s="224"/>
      <c r="F95" s="224"/>
      <c r="G95" s="224"/>
      <c r="H95" s="224"/>
      <c r="I95" s="224"/>
      <c r="J95" s="224"/>
      <c r="K95" s="224"/>
      <c r="L95" s="224"/>
      <c r="M95" s="219"/>
      <c r="V95" s="223"/>
      <c r="W95" s="223"/>
      <c r="X95" s="223"/>
      <c r="Y95" s="223"/>
      <c r="Z95" s="223"/>
      <c r="AA95" s="223"/>
      <c r="AB95" s="223"/>
      <c r="AC95" s="223"/>
      <c r="AD95" s="214"/>
    </row>
    <row r="96" spans="1:30" x14ac:dyDescent="0.25">
      <c r="B96" s="225"/>
      <c r="V96" s="223"/>
      <c r="W96" s="223"/>
      <c r="X96" s="223"/>
      <c r="Y96" s="223"/>
      <c r="Z96" s="223"/>
      <c r="AA96" s="223"/>
      <c r="AB96" s="223"/>
      <c r="AC96" s="223"/>
      <c r="AD96" s="219"/>
    </row>
    <row r="97" spans="2:30" x14ac:dyDescent="0.25">
      <c r="B97" s="225"/>
      <c r="V97" s="223"/>
      <c r="W97" s="223"/>
      <c r="X97" s="223"/>
      <c r="Y97" s="223"/>
      <c r="Z97" s="223"/>
      <c r="AA97" s="223"/>
      <c r="AB97" s="223"/>
      <c r="AC97" s="223"/>
      <c r="AD97" s="219"/>
    </row>
    <row r="98" spans="2:30" hidden="1" x14ac:dyDescent="0.25">
      <c r="B98" s="226" t="s">
        <v>160</v>
      </c>
      <c r="C98" s="227"/>
      <c r="V98" s="228"/>
      <c r="W98" s="228"/>
      <c r="X98" s="228"/>
      <c r="Y98" s="228"/>
      <c r="Z98" s="228"/>
      <c r="AA98" s="228"/>
      <c r="AB98" s="228"/>
      <c r="AC98" s="228"/>
    </row>
    <row r="99" spans="2:30" hidden="1" x14ac:dyDescent="0.25">
      <c r="B99" s="229"/>
      <c r="C99" s="227"/>
      <c r="V99" s="225"/>
      <c r="W99" s="13"/>
      <c r="X99" s="13"/>
      <c r="Y99" s="13"/>
      <c r="Z99" s="13"/>
      <c r="AA99" s="13"/>
      <c r="AB99" s="13"/>
      <c r="AC99" s="13"/>
    </row>
    <row r="100" spans="2:30" hidden="1" x14ac:dyDescent="0.25">
      <c r="B100" s="230" t="s">
        <v>161</v>
      </c>
      <c r="C100" s="226" t="s">
        <v>162</v>
      </c>
      <c r="V100" s="225"/>
    </row>
    <row r="101" spans="2:30" hidden="1" x14ac:dyDescent="0.25">
      <c r="B101" s="230" t="s">
        <v>163</v>
      </c>
      <c r="C101" s="226" t="s">
        <v>164</v>
      </c>
      <c r="V101" s="225"/>
    </row>
    <row r="102" spans="2:30" hidden="1" x14ac:dyDescent="0.25">
      <c r="B102" s="230" t="s">
        <v>165</v>
      </c>
      <c r="C102" s="226" t="s">
        <v>166</v>
      </c>
      <c r="V102" s="225"/>
      <c r="W102" s="231"/>
      <c r="X102" s="231"/>
      <c r="Y102" s="231"/>
      <c r="Z102" s="231"/>
      <c r="AA102" s="231"/>
      <c r="AB102" s="231"/>
      <c r="AC102" s="231"/>
      <c r="AD102" s="231"/>
    </row>
    <row r="103" spans="2:30" hidden="1" x14ac:dyDescent="0.25">
      <c r="B103" s="230" t="s">
        <v>167</v>
      </c>
      <c r="C103" s="226" t="s">
        <v>168</v>
      </c>
      <c r="V103" s="225"/>
    </row>
    <row r="104" spans="2:30" hidden="1" x14ac:dyDescent="0.25">
      <c r="B104" s="232"/>
      <c r="C104" s="226" t="s">
        <v>169</v>
      </c>
      <c r="V104" s="225"/>
    </row>
    <row r="105" spans="2:30" hidden="1" x14ac:dyDescent="0.25">
      <c r="B105" s="230" t="s">
        <v>170</v>
      </c>
      <c r="C105" s="226" t="s">
        <v>171</v>
      </c>
      <c r="V105" s="225"/>
    </row>
    <row r="106" spans="2:30" hidden="1" x14ac:dyDescent="0.25">
      <c r="B106" s="230" t="s">
        <v>172</v>
      </c>
      <c r="C106" s="226" t="s">
        <v>173</v>
      </c>
      <c r="V106" s="225"/>
    </row>
    <row r="107" spans="2:30" hidden="1" x14ac:dyDescent="0.25">
      <c r="B107" s="230" t="s">
        <v>265</v>
      </c>
      <c r="C107" s="226" t="s">
        <v>175</v>
      </c>
      <c r="V107" s="225"/>
    </row>
    <row r="108" spans="2:30" hidden="1" x14ac:dyDescent="0.25">
      <c r="B108" s="230" t="s">
        <v>176</v>
      </c>
      <c r="C108" s="226" t="s">
        <v>177</v>
      </c>
      <c r="V108" s="225"/>
    </row>
    <row r="109" spans="2:30" hidden="1" x14ac:dyDescent="0.25">
      <c r="B109" s="230" t="s">
        <v>178</v>
      </c>
      <c r="C109" s="226" t="s">
        <v>179</v>
      </c>
      <c r="V109" s="225"/>
    </row>
    <row r="110" spans="2:30" hidden="1" x14ac:dyDescent="0.25">
      <c r="B110" s="232"/>
      <c r="C110" s="226"/>
      <c r="V110" s="225"/>
    </row>
    <row r="111" spans="2:30" hidden="1" x14ac:dyDescent="0.25">
      <c r="B111" s="230" t="s">
        <v>180</v>
      </c>
      <c r="C111" s="226" t="s">
        <v>181</v>
      </c>
      <c r="V111" s="225"/>
    </row>
    <row r="112" spans="2:30" hidden="1" x14ac:dyDescent="0.25">
      <c r="B112" s="230" t="s">
        <v>180</v>
      </c>
      <c r="C112" s="226" t="s">
        <v>182</v>
      </c>
    </row>
    <row r="113" spans="2:3" hidden="1" x14ac:dyDescent="0.25">
      <c r="B113" s="230" t="s">
        <v>183</v>
      </c>
      <c r="C113" s="226" t="s">
        <v>184</v>
      </c>
    </row>
    <row r="114" spans="2:3" hidden="1" x14ac:dyDescent="0.25">
      <c r="B114" s="230" t="s">
        <v>185</v>
      </c>
      <c r="C114" s="226" t="s">
        <v>186</v>
      </c>
    </row>
    <row r="115" spans="2:3" hidden="1" x14ac:dyDescent="0.25">
      <c r="B115" s="230" t="s">
        <v>183</v>
      </c>
      <c r="C115" s="226" t="s">
        <v>187</v>
      </c>
    </row>
    <row r="116" spans="2:3" hidden="1" x14ac:dyDescent="0.25">
      <c r="B116" s="230" t="s">
        <v>188</v>
      </c>
      <c r="C116" s="226" t="s">
        <v>189</v>
      </c>
    </row>
    <row r="117" spans="2:3" hidden="1" x14ac:dyDescent="0.25">
      <c r="B117" s="230" t="s">
        <v>190</v>
      </c>
      <c r="C117" s="226" t="s">
        <v>191</v>
      </c>
    </row>
    <row r="118" spans="2:3" hidden="1" x14ac:dyDescent="0.25">
      <c r="B118" s="232" t="s">
        <v>192</v>
      </c>
      <c r="C118" s="226" t="s">
        <v>193</v>
      </c>
    </row>
    <row r="119" spans="2:3" hidden="1" x14ac:dyDescent="0.25">
      <c r="B119" s="232"/>
      <c r="C119" s="226"/>
    </row>
    <row r="120" spans="2:3" hidden="1" x14ac:dyDescent="0.25">
      <c r="B120" s="230" t="s">
        <v>161</v>
      </c>
      <c r="C120" s="226" t="s">
        <v>194</v>
      </c>
    </row>
    <row r="121" spans="2:3" hidden="1" x14ac:dyDescent="0.25">
      <c r="B121" s="230" t="s">
        <v>195</v>
      </c>
      <c r="C121" s="226" t="s">
        <v>196</v>
      </c>
    </row>
    <row r="122" spans="2:3" hidden="1" x14ac:dyDescent="0.25">
      <c r="B122" s="230" t="s">
        <v>197</v>
      </c>
      <c r="C122" s="226" t="s">
        <v>198</v>
      </c>
    </row>
    <row r="123" spans="2:3" hidden="1" x14ac:dyDescent="0.25">
      <c r="B123" s="230" t="s">
        <v>266</v>
      </c>
      <c r="C123" s="226" t="s">
        <v>200</v>
      </c>
    </row>
    <row r="124" spans="2:3" hidden="1" x14ac:dyDescent="0.25">
      <c r="B124" s="230" t="s">
        <v>267</v>
      </c>
      <c r="C124" s="226" t="s">
        <v>202</v>
      </c>
    </row>
    <row r="125" spans="2:3" hidden="1" x14ac:dyDescent="0.25">
      <c r="B125" s="230" t="s">
        <v>203</v>
      </c>
      <c r="C125" s="226" t="s">
        <v>204</v>
      </c>
    </row>
    <row r="126" spans="2:3" hidden="1" x14ac:dyDescent="0.25">
      <c r="B126" s="230" t="s">
        <v>203</v>
      </c>
      <c r="C126" s="226" t="s">
        <v>205</v>
      </c>
    </row>
    <row r="127" spans="2:3" hidden="1" x14ac:dyDescent="0.25">
      <c r="B127" s="230" t="s">
        <v>203</v>
      </c>
      <c r="C127" s="226" t="s">
        <v>206</v>
      </c>
    </row>
    <row r="128" spans="2:3" hidden="1" x14ac:dyDescent="0.25">
      <c r="B128" s="230" t="s">
        <v>203</v>
      </c>
      <c r="C128" s="226" t="s">
        <v>207</v>
      </c>
    </row>
    <row r="129" spans="2:3" hidden="1" x14ac:dyDescent="0.25">
      <c r="B129" s="230" t="s">
        <v>167</v>
      </c>
      <c r="C129" s="226" t="s">
        <v>208</v>
      </c>
    </row>
    <row r="130" spans="2:3" hidden="1" x14ac:dyDescent="0.25">
      <c r="B130" s="230" t="s">
        <v>209</v>
      </c>
      <c r="C130" s="226" t="s">
        <v>210</v>
      </c>
    </row>
    <row r="131" spans="2:3" hidden="1" x14ac:dyDescent="0.25">
      <c r="B131" s="230" t="s">
        <v>203</v>
      </c>
      <c r="C131" s="226" t="s">
        <v>211</v>
      </c>
    </row>
    <row r="132" spans="2:3" hidden="1" x14ac:dyDescent="0.25">
      <c r="B132" s="226"/>
      <c r="C132" s="226"/>
    </row>
    <row r="133" spans="2:3" hidden="1" x14ac:dyDescent="0.25">
      <c r="B133" s="226"/>
      <c r="C133" s="226"/>
    </row>
    <row r="134" spans="2:3" hidden="1" x14ac:dyDescent="0.25">
      <c r="B134" s="232"/>
      <c r="C134" s="232"/>
    </row>
    <row r="135" spans="2:3" hidden="1" x14ac:dyDescent="0.25">
      <c r="B135" s="232">
        <f>NvsElapsedTime</f>
        <v>1.15740695036948E-5</v>
      </c>
      <c r="C135" s="232"/>
    </row>
    <row r="136" spans="2:3" hidden="1" x14ac:dyDescent="0.25">
      <c r="B136" s="233">
        <f>NvsEndTime</f>
        <v>41754.487881944398</v>
      </c>
      <c r="C136" s="233" t="s">
        <v>212</v>
      </c>
    </row>
    <row r="137" spans="2:3" x14ac:dyDescent="0.25">
      <c r="B137" s="226"/>
      <c r="C137" s="234"/>
    </row>
    <row r="138" spans="2:3" x14ac:dyDescent="0.25">
      <c r="B138" s="226"/>
      <c r="C138" s="226"/>
    </row>
    <row r="139" spans="2:3" x14ac:dyDescent="0.25">
      <c r="B139" s="226"/>
      <c r="C139" s="226"/>
    </row>
    <row r="140" spans="2:3" x14ac:dyDescent="0.25">
      <c r="B140" s="226"/>
      <c r="C140" s="226"/>
    </row>
    <row r="141" spans="2:3" x14ac:dyDescent="0.25">
      <c r="B141" s="226"/>
      <c r="C141" s="226"/>
    </row>
    <row r="142" spans="2:3" x14ac:dyDescent="0.25">
      <c r="B142" s="226"/>
      <c r="C142" s="226"/>
    </row>
    <row r="143" spans="2:3" x14ac:dyDescent="0.25">
      <c r="B143" s="226"/>
      <c r="C143" s="226"/>
    </row>
    <row r="144" spans="2:3" x14ac:dyDescent="0.25">
      <c r="B144" s="226"/>
      <c r="C144" s="226"/>
    </row>
    <row r="145" spans="2:3" x14ac:dyDescent="0.25">
      <c r="B145" s="226"/>
      <c r="C145" s="226"/>
    </row>
    <row r="146" spans="2:3" x14ac:dyDescent="0.25">
      <c r="B146" s="226"/>
      <c r="C146" s="226"/>
    </row>
    <row r="147" spans="2:3" x14ac:dyDescent="0.25">
      <c r="B147" s="226"/>
      <c r="C147" s="226"/>
    </row>
    <row r="148" spans="2:3" x14ac:dyDescent="0.25">
      <c r="B148" s="226"/>
      <c r="C148" s="226"/>
    </row>
    <row r="149" spans="2:3" x14ac:dyDescent="0.25">
      <c r="B149" s="226"/>
      <c r="C149" s="226"/>
    </row>
    <row r="150" spans="2:3" x14ac:dyDescent="0.25">
      <c r="B150" s="226"/>
      <c r="C150" s="226"/>
    </row>
    <row r="151" spans="2:3" x14ac:dyDescent="0.25">
      <c r="B151" s="226"/>
      <c r="C151" s="226"/>
    </row>
  </sheetData>
  <mergeCells count="151">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9:W9"/>
    <mergeCell ref="X9:Y9"/>
    <mergeCell ref="Z9:AA9"/>
    <mergeCell ref="V10:W10"/>
    <mergeCell ref="X10:Y10"/>
    <mergeCell ref="Z10:AA10"/>
    <mergeCell ref="V7:W7"/>
    <mergeCell ref="X7:Y7"/>
    <mergeCell ref="Z7:AA7"/>
    <mergeCell ref="AB7:AC7"/>
    <mergeCell ref="V8:W8"/>
    <mergeCell ref="X8:Y8"/>
    <mergeCell ref="Z8:AA8"/>
    <mergeCell ref="W2:AC2"/>
    <mergeCell ref="V3:AC3"/>
    <mergeCell ref="V4:AC4"/>
    <mergeCell ref="V5:W5"/>
    <mergeCell ref="X5:Y5"/>
    <mergeCell ref="V6:AC6"/>
  </mergeCells>
  <printOptions horizontalCentered="1"/>
  <pageMargins left="0" right="0" top="0.67" bottom="0.2" header="0.25" footer="0.196850393700787"/>
  <pageSetup scale="63" fitToWidth="2" fitToHeight="2" orientation="portrait" horizontalDpi="4294967295" verticalDpi="4294967295" r:id="rId1"/>
  <headerFooter alignWithMargins="0">
    <oddHeader>&amp;L&amp;8&amp;F
&amp;D &amp;T</oddHeader>
    <oddFooter>&amp;C&amp;P</oddFooter>
  </headerFooter>
  <rowBreaks count="1" manualBreakCount="1">
    <brk id="51" max="16383" man="1"/>
  </row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D151"/>
  <sheetViews>
    <sheetView topLeftCell="B2" zoomScale="70" zoomScaleNormal="70" workbookViewId="0">
      <selection activeCell="L23" sqref="L23"/>
    </sheetView>
  </sheetViews>
  <sheetFormatPr defaultColWidth="8.85546875" defaultRowHeight="15.75" x14ac:dyDescent="0.25"/>
  <cols>
    <col min="1" max="1" width="11.28515625" style="1" hidden="1" customWidth="1"/>
    <col min="2" max="2" width="10.28515625" style="2" customWidth="1"/>
    <col min="3" max="3" width="29" style="1" customWidth="1"/>
    <col min="4" max="5" width="12.28515625" style="1" customWidth="1"/>
    <col min="6" max="6" width="12.28515625" style="1" hidden="1" customWidth="1"/>
    <col min="7" max="7" width="16.85546875" style="1" customWidth="1"/>
    <col min="8" max="8" width="6.7109375" style="1" customWidth="1"/>
    <col min="9" max="9" width="13.5703125" style="1" customWidth="1"/>
    <col min="10" max="10" width="12.85546875" style="1" customWidth="1"/>
    <col min="11" max="11" width="16.42578125" style="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28515625" style="1" customWidth="1"/>
    <col min="18" max="18" width="8.85546875" style="1"/>
    <col min="19" max="21" width="0" style="1" hidden="1" customWidth="1"/>
    <col min="22" max="23" width="8.85546875" style="1"/>
    <col min="24" max="24" width="12.7109375" style="1" customWidth="1"/>
    <col min="25" max="27" width="8.85546875" style="1"/>
    <col min="28" max="28" width="13.140625" style="1" bestFit="1" customWidth="1"/>
    <col min="29" max="16384" width="8.85546875" style="1"/>
  </cols>
  <sheetData>
    <row r="1" spans="1:30" ht="15.6"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7"/>
      <c r="N2" s="3"/>
      <c r="O2" s="1"/>
      <c r="V2" s="8">
        <f>'3384 June Final'!B2</f>
        <v>50</v>
      </c>
      <c r="W2" s="606" t="s">
        <v>4</v>
      </c>
      <c r="X2" s="607"/>
      <c r="Y2" s="608"/>
      <c r="Z2" s="608"/>
      <c r="AA2" s="608"/>
      <c r="AB2" s="608"/>
      <c r="AC2" s="608"/>
      <c r="AD2" s="9"/>
    </row>
    <row r="3" spans="1:30" ht="20.25" x14ac:dyDescent="0.3">
      <c r="B3" s="10" t="str">
        <f>"Revenue Estimate Worksheet for "&amp;B124</f>
        <v>Revenue Estimate Worksheet for Hope Learning Riviera Beach</v>
      </c>
      <c r="C3" s="11"/>
      <c r="D3" s="11"/>
      <c r="E3" s="11"/>
      <c r="F3" s="11"/>
      <c r="G3" s="11"/>
      <c r="H3" s="11"/>
      <c r="I3" s="11"/>
      <c r="J3" s="11"/>
      <c r="K3" s="11"/>
      <c r="L3" s="11"/>
      <c r="M3" s="10"/>
      <c r="N3" s="10"/>
      <c r="O3" s="10"/>
      <c r="P3" s="10"/>
      <c r="Q3" s="10"/>
      <c r="V3" s="609" t="s">
        <v>5</v>
      </c>
      <c r="W3" s="609"/>
      <c r="X3" s="609"/>
      <c r="Y3" s="609"/>
      <c r="Z3" s="609"/>
      <c r="AA3" s="609"/>
      <c r="AB3" s="609"/>
      <c r="AC3" s="609"/>
      <c r="AD3" s="12"/>
    </row>
    <row r="4" spans="1:30" ht="18.75" x14ac:dyDescent="0.3">
      <c r="B4" s="2" t="s">
        <v>6</v>
      </c>
      <c r="C4" s="13"/>
      <c r="D4" s="13"/>
      <c r="E4" s="13"/>
      <c r="F4" s="13"/>
      <c r="G4" s="13"/>
      <c r="H4" s="13"/>
      <c r="I4" s="13"/>
      <c r="J4" s="13"/>
      <c r="K4" s="13"/>
      <c r="L4" s="13"/>
      <c r="M4" s="14"/>
      <c r="N4" s="14"/>
      <c r="O4" s="14"/>
      <c r="P4" s="14"/>
      <c r="Q4" s="14"/>
      <c r="V4" s="610" t="str">
        <f>+Based_on_the_Second_Calculation_of_the_FEFP_2010_11</f>
        <v>Based on the Fourth Calculation of the FEFP 2013-14</v>
      </c>
      <c r="W4" s="610"/>
      <c r="X4" s="610"/>
      <c r="Y4" s="610"/>
      <c r="Z4" s="610"/>
      <c r="AA4" s="610"/>
      <c r="AB4" s="610"/>
      <c r="AC4" s="610"/>
      <c r="AD4" s="15"/>
    </row>
    <row r="5" spans="1:30" ht="18.75" customHeight="1" x14ac:dyDescent="0.25">
      <c r="B5" s="16" t="s">
        <v>7</v>
      </c>
      <c r="C5" s="16"/>
      <c r="D5" s="16"/>
      <c r="E5" s="16"/>
      <c r="F5" s="16"/>
      <c r="G5" s="17" t="s">
        <v>8</v>
      </c>
      <c r="H5" s="17"/>
      <c r="I5" s="17"/>
      <c r="J5" s="17"/>
      <c r="K5" s="17"/>
      <c r="L5" s="17"/>
      <c r="M5" s="18"/>
      <c r="N5" s="18"/>
      <c r="O5" s="18"/>
      <c r="P5" s="18"/>
      <c r="Q5" s="18"/>
      <c r="V5" s="611" t="s">
        <v>7</v>
      </c>
      <c r="W5" s="611"/>
      <c r="X5" s="612" t="s">
        <v>8</v>
      </c>
      <c r="Y5" s="612"/>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613" t="s">
        <v>9</v>
      </c>
      <c r="W6" s="613"/>
      <c r="X6" s="613"/>
      <c r="Y6" s="613"/>
      <c r="Z6" s="613"/>
      <c r="AA6" s="613"/>
      <c r="AB6" s="613"/>
      <c r="AC6" s="613"/>
      <c r="AD6" s="22"/>
    </row>
    <row r="7" spans="1:30" ht="18" customHeight="1" x14ac:dyDescent="0.25">
      <c r="B7" s="23" t="s">
        <v>10</v>
      </c>
      <c r="C7" s="23"/>
      <c r="D7" s="23"/>
      <c r="E7" s="23"/>
      <c r="F7" s="23"/>
      <c r="G7" s="24">
        <v>3752.3</v>
      </c>
      <c r="H7" s="24"/>
      <c r="I7" s="23" t="s">
        <v>11</v>
      </c>
      <c r="J7" s="23"/>
      <c r="K7" s="25">
        <v>1.0326</v>
      </c>
      <c r="L7" s="25"/>
      <c r="O7" s="1"/>
      <c r="V7" s="620" t="s">
        <v>10</v>
      </c>
      <c r="W7" s="620"/>
      <c r="X7" s="621">
        <f>'3384 June Final'!G7</f>
        <v>3752.3</v>
      </c>
      <c r="Y7" s="621"/>
      <c r="Z7" s="622" t="s">
        <v>11</v>
      </c>
      <c r="AA7" s="622"/>
      <c r="AB7" s="602">
        <f>+K7</f>
        <v>1.0326</v>
      </c>
      <c r="AC7" s="602"/>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603" t="s">
        <v>12</v>
      </c>
      <c r="W8" s="603"/>
      <c r="X8" s="604" t="s">
        <v>15</v>
      </c>
      <c r="Y8" s="604"/>
      <c r="Z8" s="605" t="s">
        <v>16</v>
      </c>
      <c r="AA8" s="605"/>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614" t="s">
        <v>22</v>
      </c>
      <c r="W9" s="614"/>
      <c r="X9" s="615" t="s">
        <v>23</v>
      </c>
      <c r="Y9" s="615"/>
      <c r="Z9" s="616" t="s">
        <v>24</v>
      </c>
      <c r="AA9" s="616"/>
      <c r="AB9" s="43" t="s">
        <v>25</v>
      </c>
      <c r="AC9" s="44" t="s">
        <v>26</v>
      </c>
      <c r="AD9" s="9"/>
    </row>
    <row r="10" spans="1:30" x14ac:dyDescent="0.25">
      <c r="A10" s="1" t="s">
        <v>27</v>
      </c>
      <c r="B10" s="45" t="s">
        <v>28</v>
      </c>
      <c r="C10" s="45"/>
      <c r="D10" s="45">
        <v>6.95</v>
      </c>
      <c r="E10" s="45">
        <v>5.87</v>
      </c>
      <c r="F10" s="45">
        <v>8.4600000000000009</v>
      </c>
      <c r="G10" s="46">
        <f t="shared" ref="G10:G25" si="0">D10+E10</f>
        <v>12.82</v>
      </c>
      <c r="H10" s="47"/>
      <c r="I10" s="48">
        <v>1.125</v>
      </c>
      <c r="J10" s="48"/>
      <c r="K10" s="49">
        <f t="shared" ref="K10:K25" si="1">ROUND(G10*I10,4)</f>
        <v>14.422499999999999</v>
      </c>
      <c r="L10" s="50">
        <f t="shared" ref="L10:L25" si="2">ROUND(ROUND(K10*$G$7,4)*($K$7),0)</f>
        <v>55882</v>
      </c>
      <c r="N10" s="51">
        <v>5101</v>
      </c>
      <c r="O10" s="52">
        <v>101</v>
      </c>
      <c r="P10" s="53"/>
      <c r="Q10" s="54"/>
      <c r="V10" s="617" t="s">
        <v>28</v>
      </c>
      <c r="W10" s="617"/>
      <c r="X10" s="618">
        <f>IF('3384 June Final'!K$84=1,'3384 June Final'!G10,0)</f>
        <v>0</v>
      </c>
      <c r="Y10" s="618"/>
      <c r="Z10" s="619">
        <v>1</v>
      </c>
      <c r="AA10" s="619"/>
      <c r="AB10" s="55">
        <f t="shared" ref="AB10:AB25" si="3">ROUND(X10*Z10,4)</f>
        <v>0</v>
      </c>
      <c r="AC10" s="56">
        <f t="shared" ref="AC10:AC25" si="4">ROUND(ROUND(AB10*$X$7,4)*($AB$7),0)</f>
        <v>0</v>
      </c>
      <c r="AD10" s="9">
        <v>1</v>
      </c>
    </row>
    <row r="11" spans="1:30" x14ac:dyDescent="0.25">
      <c r="A11" s="1" t="s">
        <v>29</v>
      </c>
      <c r="B11" s="13" t="s">
        <v>30</v>
      </c>
      <c r="C11" s="13"/>
      <c r="D11" s="13">
        <v>0.5</v>
      </c>
      <c r="E11" s="13">
        <v>0</v>
      </c>
      <c r="F11" s="13">
        <v>0.6</v>
      </c>
      <c r="G11" s="46">
        <f t="shared" si="0"/>
        <v>0.5</v>
      </c>
      <c r="H11" s="47"/>
      <c r="I11" s="57">
        <f>I10</f>
        <v>1.125</v>
      </c>
      <c r="J11" s="57"/>
      <c r="K11" s="49">
        <f t="shared" si="1"/>
        <v>0.5625</v>
      </c>
      <c r="L11" s="50">
        <f t="shared" si="2"/>
        <v>2179</v>
      </c>
      <c r="M11" s="1" t="str">
        <f>IF(ROUND(G11,2)=ROUND(SUM(G28:G30),2)," ","CHECK 2. PK-3 Lines Below")</f>
        <v xml:space="preserve"> </v>
      </c>
      <c r="N11" s="51">
        <v>5101</v>
      </c>
      <c r="O11" s="58" t="s">
        <v>31</v>
      </c>
      <c r="P11" s="53"/>
      <c r="Q11" s="54"/>
      <c r="V11" s="623" t="s">
        <v>30</v>
      </c>
      <c r="W11" s="623"/>
      <c r="X11" s="618">
        <f>IF('3384 June Final'!K$84=1,'3384 June Final'!G11,0)</f>
        <v>0</v>
      </c>
      <c r="Y11" s="618"/>
      <c r="Z11" s="624">
        <v>1</v>
      </c>
      <c r="AA11" s="624"/>
      <c r="AB11" s="55">
        <f t="shared" si="3"/>
        <v>0</v>
      </c>
      <c r="AC11" s="56">
        <f t="shared" si="4"/>
        <v>0</v>
      </c>
      <c r="AD11" s="9"/>
    </row>
    <row r="12" spans="1:30" x14ac:dyDescent="0.25">
      <c r="A12" s="1" t="s">
        <v>32</v>
      </c>
      <c r="B12" s="13" t="s">
        <v>33</v>
      </c>
      <c r="C12" s="13"/>
      <c r="D12" s="13">
        <v>3.08</v>
      </c>
      <c r="E12" s="13">
        <v>3.64</v>
      </c>
      <c r="F12" s="13">
        <v>3.7</v>
      </c>
      <c r="G12" s="46">
        <f t="shared" si="0"/>
        <v>6.7200000000000006</v>
      </c>
      <c r="H12" s="47"/>
      <c r="I12" s="57">
        <v>1</v>
      </c>
      <c r="J12" s="57"/>
      <c r="K12" s="49">
        <f t="shared" si="1"/>
        <v>6.72</v>
      </c>
      <c r="L12" s="50">
        <f t="shared" si="2"/>
        <v>26037</v>
      </c>
      <c r="N12" s="51">
        <v>5102</v>
      </c>
      <c r="O12" s="52">
        <v>102</v>
      </c>
      <c r="P12" s="53"/>
      <c r="Q12" s="54"/>
      <c r="V12" s="623" t="s">
        <v>33</v>
      </c>
      <c r="W12" s="623"/>
      <c r="X12" s="618">
        <f>IF('3384 June Final'!K$84=1,'3384 June Final'!G12,0)</f>
        <v>0</v>
      </c>
      <c r="Y12" s="618"/>
      <c r="Z12" s="624">
        <v>1</v>
      </c>
      <c r="AA12" s="624"/>
      <c r="AB12" s="55">
        <f t="shared" si="3"/>
        <v>0</v>
      </c>
      <c r="AC12" s="56">
        <f t="shared" si="4"/>
        <v>0</v>
      </c>
      <c r="AD12" s="9"/>
    </row>
    <row r="13" spans="1:30" x14ac:dyDescent="0.25">
      <c r="A13" s="1" t="s">
        <v>34</v>
      </c>
      <c r="B13" s="13" t="s">
        <v>35</v>
      </c>
      <c r="C13" s="13"/>
      <c r="D13" s="13">
        <v>0</v>
      </c>
      <c r="E13" s="13">
        <v>0</v>
      </c>
      <c r="F13" s="13">
        <v>0</v>
      </c>
      <c r="G13" s="46">
        <f t="shared" si="0"/>
        <v>0</v>
      </c>
      <c r="H13" s="47"/>
      <c r="I13" s="57">
        <f>I12</f>
        <v>1</v>
      </c>
      <c r="J13" s="57"/>
      <c r="K13" s="49">
        <f t="shared" si="1"/>
        <v>0</v>
      </c>
      <c r="L13" s="50">
        <f t="shared" si="2"/>
        <v>0</v>
      </c>
      <c r="M13" s="1" t="str">
        <f>IF(ROUND(G13,2)=ROUND(SUM(G31:G33),2)," ","CHECK 2. PK-3 Lines Below")</f>
        <v xml:space="preserve"> </v>
      </c>
      <c r="N13" s="51">
        <v>5102</v>
      </c>
      <c r="O13" s="58" t="s">
        <v>36</v>
      </c>
      <c r="P13" s="53"/>
      <c r="Q13" s="54"/>
      <c r="V13" s="623" t="s">
        <v>35</v>
      </c>
      <c r="W13" s="623"/>
      <c r="X13" s="618">
        <f>IF('3384 June Final'!K$84=1,'3384 June Final'!G13,0)</f>
        <v>0</v>
      </c>
      <c r="Y13" s="618"/>
      <c r="Z13" s="624">
        <v>1</v>
      </c>
      <c r="AA13" s="624"/>
      <c r="AB13" s="55">
        <f t="shared" si="3"/>
        <v>0</v>
      </c>
      <c r="AC13" s="56">
        <f t="shared" si="4"/>
        <v>0</v>
      </c>
      <c r="AD13" s="9"/>
    </row>
    <row r="14" spans="1:30" x14ac:dyDescent="0.25">
      <c r="A14" s="1" t="s">
        <v>37</v>
      </c>
      <c r="B14" s="13" t="s">
        <v>38</v>
      </c>
      <c r="C14" s="13"/>
      <c r="D14" s="13">
        <v>0</v>
      </c>
      <c r="E14" s="13">
        <v>0</v>
      </c>
      <c r="F14" s="13">
        <v>0</v>
      </c>
      <c r="G14" s="46">
        <f t="shared" si="0"/>
        <v>0</v>
      </c>
      <c r="H14" s="47"/>
      <c r="I14" s="57">
        <v>1.0109999999999999</v>
      </c>
      <c r="J14" s="57"/>
      <c r="K14" s="49">
        <f t="shared" si="1"/>
        <v>0</v>
      </c>
      <c r="L14" s="50">
        <f t="shared" si="2"/>
        <v>0</v>
      </c>
      <c r="N14" s="51">
        <v>5103</v>
      </c>
      <c r="O14" s="52">
        <v>103</v>
      </c>
      <c r="P14" s="53"/>
      <c r="Q14" s="54"/>
      <c r="V14" s="623" t="s">
        <v>38</v>
      </c>
      <c r="W14" s="623"/>
      <c r="X14" s="618">
        <f>IF('3384 June Final'!K$84=1,'3384 June Final'!G14,0)</f>
        <v>0</v>
      </c>
      <c r="Y14" s="618"/>
      <c r="Z14" s="624">
        <v>1</v>
      </c>
      <c r="AA14" s="624"/>
      <c r="AB14" s="55">
        <f t="shared" si="3"/>
        <v>0</v>
      </c>
      <c r="AC14" s="56">
        <f t="shared" si="4"/>
        <v>0</v>
      </c>
      <c r="AD14" s="9"/>
    </row>
    <row r="15" spans="1:30" x14ac:dyDescent="0.25">
      <c r="A15" s="1" t="s">
        <v>39</v>
      </c>
      <c r="B15" s="13" t="s">
        <v>40</v>
      </c>
      <c r="C15" s="13"/>
      <c r="D15" s="13">
        <v>0</v>
      </c>
      <c r="E15" s="13">
        <v>0</v>
      </c>
      <c r="F15" s="13">
        <v>0</v>
      </c>
      <c r="G15" s="46">
        <f t="shared" si="0"/>
        <v>0</v>
      </c>
      <c r="H15" s="47"/>
      <c r="I15" s="57">
        <f>I14</f>
        <v>1.0109999999999999</v>
      </c>
      <c r="J15" s="57"/>
      <c r="K15" s="49">
        <f t="shared" si="1"/>
        <v>0</v>
      </c>
      <c r="L15" s="59">
        <f t="shared" si="2"/>
        <v>0</v>
      </c>
      <c r="M15" s="1" t="str">
        <f>IF(ROUND(G15,2)=ROUND(SUM(G34:G36),2)," ","CHECK 2. PK-3 Lines Below")</f>
        <v xml:space="preserve"> </v>
      </c>
      <c r="N15" s="51">
        <v>5103</v>
      </c>
      <c r="O15" s="58" t="s">
        <v>41</v>
      </c>
      <c r="P15" s="53"/>
      <c r="Q15" s="54"/>
      <c r="V15" s="623" t="s">
        <v>40</v>
      </c>
      <c r="W15" s="623"/>
      <c r="X15" s="618">
        <f>IF('3384 June Final'!K$84=1,'3384 June Final'!G15,0)</f>
        <v>0</v>
      </c>
      <c r="Y15" s="618"/>
      <c r="Z15" s="624">
        <v>1</v>
      </c>
      <c r="AA15" s="624"/>
      <c r="AB15" s="55">
        <f t="shared" si="3"/>
        <v>0</v>
      </c>
      <c r="AC15" s="60">
        <f t="shared" si="4"/>
        <v>0</v>
      </c>
      <c r="AD15" s="9"/>
    </row>
    <row r="16" spans="1:30" x14ac:dyDescent="0.25">
      <c r="A16" s="1" t="s">
        <v>42</v>
      </c>
      <c r="B16" s="13" t="s">
        <v>43</v>
      </c>
      <c r="C16" s="13"/>
      <c r="D16" s="13">
        <v>0</v>
      </c>
      <c r="E16" s="13">
        <v>0</v>
      </c>
      <c r="F16" s="13">
        <v>0</v>
      </c>
      <c r="G16" s="46">
        <f t="shared" si="0"/>
        <v>0</v>
      </c>
      <c r="H16" s="47"/>
      <c r="I16" s="57">
        <v>3.5579999999999998</v>
      </c>
      <c r="J16" s="57"/>
      <c r="K16" s="49">
        <f t="shared" si="1"/>
        <v>0</v>
      </c>
      <c r="L16" s="50">
        <f t="shared" si="2"/>
        <v>0</v>
      </c>
      <c r="N16" s="51">
        <v>5101</v>
      </c>
      <c r="O16" s="53">
        <v>254</v>
      </c>
      <c r="P16" s="53"/>
      <c r="Q16" s="54"/>
      <c r="V16" s="623" t="s">
        <v>43</v>
      </c>
      <c r="W16" s="623"/>
      <c r="X16" s="618">
        <f>IF('3384 June Final'!K$84=1,'3384 June Final'!G16,0)</f>
        <v>0</v>
      </c>
      <c r="Y16" s="618"/>
      <c r="Z16" s="624">
        <v>1</v>
      </c>
      <c r="AA16" s="624"/>
      <c r="AB16" s="55">
        <f t="shared" si="3"/>
        <v>0</v>
      </c>
      <c r="AC16" s="56">
        <f t="shared" si="4"/>
        <v>0</v>
      </c>
      <c r="AD16" s="9"/>
    </row>
    <row r="17" spans="1:30" x14ac:dyDescent="0.25">
      <c r="A17" s="1" t="s">
        <v>44</v>
      </c>
      <c r="B17" s="13" t="s">
        <v>45</v>
      </c>
      <c r="C17" s="13"/>
      <c r="D17" s="13">
        <v>0</v>
      </c>
      <c r="E17" s="13">
        <v>0</v>
      </c>
      <c r="F17" s="13">
        <v>0</v>
      </c>
      <c r="G17" s="46">
        <f t="shared" si="0"/>
        <v>0</v>
      </c>
      <c r="H17" s="47"/>
      <c r="I17" s="57">
        <f>I16</f>
        <v>3.5579999999999998</v>
      </c>
      <c r="J17" s="57"/>
      <c r="K17" s="49">
        <f t="shared" si="1"/>
        <v>0</v>
      </c>
      <c r="L17" s="50">
        <f t="shared" si="2"/>
        <v>0</v>
      </c>
      <c r="N17" s="51">
        <v>5102</v>
      </c>
      <c r="O17" s="54">
        <v>254</v>
      </c>
      <c r="P17" s="53"/>
      <c r="Q17" s="54"/>
      <c r="V17" s="623" t="s">
        <v>45</v>
      </c>
      <c r="W17" s="623"/>
      <c r="X17" s="618">
        <f>IF('3384 June Final'!K$84=1,'3384 June Final'!G17,0)</f>
        <v>0</v>
      </c>
      <c r="Y17" s="618"/>
      <c r="Z17" s="624">
        <v>1</v>
      </c>
      <c r="AA17" s="624"/>
      <c r="AB17" s="55">
        <f t="shared" si="3"/>
        <v>0</v>
      </c>
      <c r="AC17" s="56">
        <f t="shared" si="4"/>
        <v>0</v>
      </c>
      <c r="AD17" s="9"/>
    </row>
    <row r="18" spans="1:30" x14ac:dyDescent="0.25">
      <c r="A18" s="1" t="s">
        <v>46</v>
      </c>
      <c r="B18" s="13" t="s">
        <v>47</v>
      </c>
      <c r="C18" s="13"/>
      <c r="D18" s="13">
        <v>0</v>
      </c>
      <c r="E18" s="13">
        <v>0</v>
      </c>
      <c r="F18" s="13">
        <v>0</v>
      </c>
      <c r="G18" s="46">
        <f t="shared" si="0"/>
        <v>0</v>
      </c>
      <c r="H18" s="47"/>
      <c r="I18" s="57">
        <f>I17</f>
        <v>3.5579999999999998</v>
      </c>
      <c r="J18" s="57"/>
      <c r="K18" s="49">
        <f t="shared" si="1"/>
        <v>0</v>
      </c>
      <c r="L18" s="50">
        <f t="shared" si="2"/>
        <v>0</v>
      </c>
      <c r="N18" s="51">
        <v>5103</v>
      </c>
      <c r="O18" s="54">
        <v>254</v>
      </c>
      <c r="P18" s="53"/>
      <c r="Q18" s="54"/>
      <c r="V18" s="623" t="s">
        <v>47</v>
      </c>
      <c r="W18" s="623"/>
      <c r="X18" s="618">
        <f>IF('3384 June Final'!K$84=1,'3384 June Final'!G18,0)</f>
        <v>0</v>
      </c>
      <c r="Y18" s="618"/>
      <c r="Z18" s="624">
        <v>1</v>
      </c>
      <c r="AA18" s="624"/>
      <c r="AB18" s="55">
        <f t="shared" si="3"/>
        <v>0</v>
      </c>
      <c r="AC18" s="56">
        <f t="shared" si="4"/>
        <v>0</v>
      </c>
      <c r="AD18" s="9"/>
    </row>
    <row r="19" spans="1:30" ht="15" customHeight="1" x14ac:dyDescent="0.25">
      <c r="A19" s="1" t="s">
        <v>48</v>
      </c>
      <c r="B19" s="13" t="s">
        <v>49</v>
      </c>
      <c r="C19" s="13"/>
      <c r="D19" s="13">
        <v>0</v>
      </c>
      <c r="E19" s="13">
        <v>0</v>
      </c>
      <c r="F19" s="13">
        <v>0</v>
      </c>
      <c r="G19" s="46">
        <f t="shared" si="0"/>
        <v>0</v>
      </c>
      <c r="H19" s="47"/>
      <c r="I19" s="57">
        <v>5.0890000000000004</v>
      </c>
      <c r="J19" s="57"/>
      <c r="K19" s="49">
        <f t="shared" si="1"/>
        <v>0</v>
      </c>
      <c r="L19" s="50">
        <f t="shared" si="2"/>
        <v>0</v>
      </c>
      <c r="N19" s="51">
        <v>5101</v>
      </c>
      <c r="O19" s="53">
        <v>255</v>
      </c>
      <c r="P19" s="53"/>
      <c r="Q19" s="54"/>
      <c r="V19" s="623" t="s">
        <v>49</v>
      </c>
      <c r="W19" s="623"/>
      <c r="X19" s="618">
        <f>IF('3384 June Final'!K$84=1,'3384 June Final'!G19,0)</f>
        <v>0</v>
      </c>
      <c r="Y19" s="618"/>
      <c r="Z19" s="624">
        <v>1</v>
      </c>
      <c r="AA19" s="624"/>
      <c r="AB19" s="55">
        <f t="shared" si="3"/>
        <v>0</v>
      </c>
      <c r="AC19" s="56">
        <f t="shared" si="4"/>
        <v>0</v>
      </c>
      <c r="AD19" s="9"/>
    </row>
    <row r="20" spans="1:30" ht="15" customHeight="1" x14ac:dyDescent="0.25">
      <c r="A20" s="1" t="s">
        <v>50</v>
      </c>
      <c r="B20" s="13" t="s">
        <v>51</v>
      </c>
      <c r="C20" s="13"/>
      <c r="D20" s="13">
        <v>0</v>
      </c>
      <c r="E20" s="13">
        <v>0</v>
      </c>
      <c r="F20" s="13">
        <v>0</v>
      </c>
      <c r="G20" s="46">
        <f t="shared" si="0"/>
        <v>0</v>
      </c>
      <c r="H20" s="47"/>
      <c r="I20" s="57">
        <f>I19</f>
        <v>5.0890000000000004</v>
      </c>
      <c r="J20" s="57"/>
      <c r="K20" s="49">
        <f t="shared" si="1"/>
        <v>0</v>
      </c>
      <c r="L20" s="50">
        <f t="shared" si="2"/>
        <v>0</v>
      </c>
      <c r="N20" s="51">
        <v>5102</v>
      </c>
      <c r="O20" s="54">
        <v>255</v>
      </c>
      <c r="P20" s="53"/>
      <c r="Q20" s="54"/>
      <c r="V20" s="623" t="s">
        <v>51</v>
      </c>
      <c r="W20" s="623"/>
      <c r="X20" s="618">
        <f>IF('3384 June Final'!K$84=1,'3384 June Final'!G20,0)</f>
        <v>0</v>
      </c>
      <c r="Y20" s="618"/>
      <c r="Z20" s="624">
        <v>1</v>
      </c>
      <c r="AA20" s="624"/>
      <c r="AB20" s="55">
        <f t="shared" si="3"/>
        <v>0</v>
      </c>
      <c r="AC20" s="56">
        <f t="shared" si="4"/>
        <v>0</v>
      </c>
      <c r="AD20" s="9"/>
    </row>
    <row r="21" spans="1:30" ht="15" customHeight="1" x14ac:dyDescent="0.25">
      <c r="A21" s="1" t="s">
        <v>52</v>
      </c>
      <c r="B21" s="13" t="s">
        <v>53</v>
      </c>
      <c r="C21" s="13"/>
      <c r="D21" s="13">
        <v>0</v>
      </c>
      <c r="E21" s="13">
        <v>0</v>
      </c>
      <c r="F21" s="13">
        <v>0</v>
      </c>
      <c r="G21" s="46">
        <f t="shared" si="0"/>
        <v>0</v>
      </c>
      <c r="H21" s="47"/>
      <c r="I21" s="57">
        <f>I20</f>
        <v>5.0890000000000004</v>
      </c>
      <c r="J21" s="57"/>
      <c r="K21" s="49">
        <f t="shared" si="1"/>
        <v>0</v>
      </c>
      <c r="L21" s="50">
        <f t="shared" si="2"/>
        <v>0</v>
      </c>
      <c r="N21" s="51">
        <v>5103</v>
      </c>
      <c r="O21" s="54">
        <v>255</v>
      </c>
      <c r="P21" s="53"/>
      <c r="Q21" s="54"/>
      <c r="V21" s="623" t="s">
        <v>53</v>
      </c>
      <c r="W21" s="623"/>
      <c r="X21" s="618">
        <f>IF('3384 June Final'!K$84=1,'3384 June Final'!G21,0)</f>
        <v>0</v>
      </c>
      <c r="Y21" s="618"/>
      <c r="Z21" s="624">
        <v>1</v>
      </c>
      <c r="AA21" s="624"/>
      <c r="AB21" s="55">
        <f t="shared" si="3"/>
        <v>0</v>
      </c>
      <c r="AC21" s="56">
        <f t="shared" si="4"/>
        <v>0</v>
      </c>
      <c r="AD21" s="9"/>
    </row>
    <row r="22" spans="1:30" x14ac:dyDescent="0.25">
      <c r="A22" s="1" t="s">
        <v>54</v>
      </c>
      <c r="B22" s="13" t="s">
        <v>55</v>
      </c>
      <c r="C22" s="13"/>
      <c r="D22" s="13">
        <v>4.1500000000000004</v>
      </c>
      <c r="E22" s="13">
        <v>3.67</v>
      </c>
      <c r="F22" s="13">
        <v>6.64</v>
      </c>
      <c r="G22" s="46">
        <f t="shared" si="0"/>
        <v>7.82</v>
      </c>
      <c r="H22" s="47"/>
      <c r="I22" s="57">
        <v>1.145</v>
      </c>
      <c r="J22" s="57"/>
      <c r="K22" s="49">
        <f t="shared" si="1"/>
        <v>8.9539000000000009</v>
      </c>
      <c r="L22" s="50">
        <f t="shared" si="2"/>
        <v>34693</v>
      </c>
      <c r="N22" s="51">
        <v>5101</v>
      </c>
      <c r="O22" s="52">
        <v>130</v>
      </c>
      <c r="P22" s="53"/>
      <c r="Q22" s="54"/>
      <c r="V22" s="623" t="s">
        <v>55</v>
      </c>
      <c r="W22" s="623"/>
      <c r="X22" s="618">
        <f>IF('3384 June Final'!K$84=1,'3384 June Final'!G22,0)</f>
        <v>0</v>
      </c>
      <c r="Y22" s="618"/>
      <c r="Z22" s="624">
        <v>1</v>
      </c>
      <c r="AA22" s="624"/>
      <c r="AB22" s="55">
        <f t="shared" si="3"/>
        <v>0</v>
      </c>
      <c r="AC22" s="56">
        <f t="shared" si="4"/>
        <v>0</v>
      </c>
      <c r="AD22" s="9"/>
    </row>
    <row r="23" spans="1:30" x14ac:dyDescent="0.25">
      <c r="A23" s="1" t="s">
        <v>56</v>
      </c>
      <c r="B23" s="13" t="s">
        <v>57</v>
      </c>
      <c r="C23" s="13"/>
      <c r="D23" s="13">
        <v>0.92</v>
      </c>
      <c r="E23" s="13">
        <v>0.92</v>
      </c>
      <c r="F23" s="13">
        <v>0</v>
      </c>
      <c r="G23" s="46">
        <f t="shared" si="0"/>
        <v>1.84</v>
      </c>
      <c r="H23" s="47"/>
      <c r="I23" s="57">
        <f>I22</f>
        <v>1.145</v>
      </c>
      <c r="J23" s="57"/>
      <c r="K23" s="49">
        <f t="shared" si="1"/>
        <v>2.1067999999999998</v>
      </c>
      <c r="L23" s="50">
        <f t="shared" si="2"/>
        <v>8163</v>
      </c>
      <c r="N23" s="51">
        <v>5102</v>
      </c>
      <c r="O23" s="52">
        <v>130</v>
      </c>
      <c r="P23" s="53"/>
      <c r="Q23" s="54"/>
      <c r="V23" s="623" t="s">
        <v>57</v>
      </c>
      <c r="W23" s="623"/>
      <c r="X23" s="618">
        <f>IF('3384 June Final'!K$84=1,'3384 June Final'!G23,0)</f>
        <v>0</v>
      </c>
      <c r="Y23" s="618"/>
      <c r="Z23" s="624">
        <v>1</v>
      </c>
      <c r="AA23" s="624"/>
      <c r="AB23" s="55">
        <f t="shared" si="3"/>
        <v>0</v>
      </c>
      <c r="AC23" s="56">
        <f t="shared" si="4"/>
        <v>0</v>
      </c>
      <c r="AD23" s="9"/>
    </row>
    <row r="24" spans="1:30" x14ac:dyDescent="0.25">
      <c r="A24" s="1" t="s">
        <v>58</v>
      </c>
      <c r="B24" s="13" t="s">
        <v>59</v>
      </c>
      <c r="C24" s="13"/>
      <c r="D24" s="13">
        <v>0</v>
      </c>
      <c r="E24" s="13">
        <v>0</v>
      </c>
      <c r="F24" s="13">
        <v>0</v>
      </c>
      <c r="G24" s="46">
        <f t="shared" si="0"/>
        <v>0</v>
      </c>
      <c r="H24" s="47"/>
      <c r="I24" s="57">
        <f>I23</f>
        <v>1.145</v>
      </c>
      <c r="J24" s="57"/>
      <c r="K24" s="49">
        <f t="shared" si="1"/>
        <v>0</v>
      </c>
      <c r="L24" s="50">
        <f t="shared" si="2"/>
        <v>0</v>
      </c>
      <c r="N24" s="51">
        <v>5103</v>
      </c>
      <c r="O24" s="52">
        <v>130</v>
      </c>
      <c r="P24" s="53"/>
      <c r="Q24" s="54"/>
      <c r="V24" s="623" t="s">
        <v>59</v>
      </c>
      <c r="W24" s="623"/>
      <c r="X24" s="618">
        <f>IF('3384 June Final'!K$84=1,'3384 June Final'!G24,0)</f>
        <v>0</v>
      </c>
      <c r="Y24" s="618"/>
      <c r="Z24" s="624">
        <v>1</v>
      </c>
      <c r="AA24" s="624"/>
      <c r="AB24" s="55">
        <f t="shared" si="3"/>
        <v>0</v>
      </c>
      <c r="AC24" s="56">
        <f t="shared" si="4"/>
        <v>0</v>
      </c>
      <c r="AD24" s="9"/>
    </row>
    <row r="25" spans="1:30" ht="16.5" thickBot="1" x14ac:dyDescent="0.3">
      <c r="A25" s="1" t="s">
        <v>60</v>
      </c>
      <c r="B25" s="13" t="s">
        <v>61</v>
      </c>
      <c r="C25" s="13"/>
      <c r="D25" s="13">
        <v>0</v>
      </c>
      <c r="E25" s="13">
        <v>0</v>
      </c>
      <c r="F25" s="13">
        <v>0</v>
      </c>
      <c r="G25" s="46">
        <f t="shared" si="0"/>
        <v>0</v>
      </c>
      <c r="H25" s="47"/>
      <c r="I25" s="57">
        <v>1.0109999999999999</v>
      </c>
      <c r="J25" s="57"/>
      <c r="K25" s="49">
        <f t="shared" si="1"/>
        <v>0</v>
      </c>
      <c r="L25" s="50">
        <f t="shared" si="2"/>
        <v>0</v>
      </c>
      <c r="N25" s="51">
        <v>5310</v>
      </c>
      <c r="O25" s="52">
        <v>300</v>
      </c>
      <c r="P25" s="53"/>
      <c r="Q25" s="54"/>
      <c r="V25" s="623" t="s">
        <v>61</v>
      </c>
      <c r="W25" s="623"/>
      <c r="X25" s="618">
        <f>IF('3384 June Final'!K$84=1,'3384 June Final'!G25,0)</f>
        <v>0</v>
      </c>
      <c r="Y25" s="618"/>
      <c r="Z25" s="624">
        <v>1</v>
      </c>
      <c r="AA25" s="624"/>
      <c r="AB25" s="55">
        <f t="shared" si="3"/>
        <v>0</v>
      </c>
      <c r="AC25" s="56">
        <f t="shared" si="4"/>
        <v>0</v>
      </c>
      <c r="AD25" s="9"/>
    </row>
    <row r="26" spans="1:30" ht="20.25" customHeight="1" thickBot="1" x14ac:dyDescent="0.3">
      <c r="B26" s="62" t="s">
        <v>62</v>
      </c>
      <c r="C26" s="62"/>
      <c r="D26" s="63">
        <f>SUM(D10:D25)</f>
        <v>15.600000000000001</v>
      </c>
      <c r="E26" s="63">
        <f>SUM(E10:E25)</f>
        <v>14.1</v>
      </c>
      <c r="F26" s="63"/>
      <c r="G26" s="63">
        <f>SUM(G10:G25)</f>
        <v>29.7</v>
      </c>
      <c r="H26" s="64"/>
      <c r="I26" s="64"/>
      <c r="J26" s="65"/>
      <c r="K26" s="66">
        <f>SUM(K10:K25)</f>
        <v>32.765699999999995</v>
      </c>
      <c r="L26" s="67">
        <f>SUM(L10:L25)</f>
        <v>126954</v>
      </c>
      <c r="N26" s="54"/>
      <c r="O26" s="68"/>
      <c r="P26" s="54"/>
      <c r="Q26" s="54"/>
      <c r="V26" s="625" t="s">
        <v>62</v>
      </c>
      <c r="W26" s="625"/>
      <c r="X26" s="626">
        <f>SUM(X10:X25)</f>
        <v>0</v>
      </c>
      <c r="Y26" s="626"/>
      <c r="Z26" s="627"/>
      <c r="AA26" s="628"/>
      <c r="AB26" s="69">
        <f>SUM(AB10:AB25)</f>
        <v>0</v>
      </c>
      <c r="AC26" s="70">
        <f>SUM(AC10:AC25)</f>
        <v>0</v>
      </c>
      <c r="AD26" s="9"/>
    </row>
    <row r="27" spans="1:30" ht="51.75" customHeight="1" x14ac:dyDescent="0.25">
      <c r="B27" s="62" t="s">
        <v>63</v>
      </c>
      <c r="C27" s="62"/>
      <c r="D27" s="71" t="s">
        <v>13</v>
      </c>
      <c r="E27" s="71" t="s">
        <v>14</v>
      </c>
      <c r="F27" s="27"/>
      <c r="G27" s="72" t="s">
        <v>64</v>
      </c>
      <c r="H27" s="73"/>
      <c r="I27" s="74" t="s">
        <v>65</v>
      </c>
      <c r="J27" s="74" t="s">
        <v>66</v>
      </c>
      <c r="K27" s="75" t="s">
        <v>67</v>
      </c>
      <c r="N27" s="54"/>
      <c r="O27" s="68"/>
      <c r="P27" s="54"/>
      <c r="Q27" s="54"/>
      <c r="V27" s="629" t="s">
        <v>63</v>
      </c>
      <c r="W27" s="629"/>
      <c r="X27" s="630" t="s">
        <v>64</v>
      </c>
      <c r="Y27" s="630"/>
      <c r="Z27" s="76" t="s">
        <v>65</v>
      </c>
      <c r="AA27" s="77" t="s">
        <v>66</v>
      </c>
      <c r="AB27" s="78" t="s">
        <v>67</v>
      </c>
      <c r="AC27" s="9"/>
      <c r="AD27" s="9"/>
    </row>
    <row r="28" spans="1:30" ht="15.75" customHeight="1" x14ac:dyDescent="0.25">
      <c r="A28" s="1" t="s">
        <v>68</v>
      </c>
      <c r="B28" s="631" t="s">
        <v>69</v>
      </c>
      <c r="C28" s="632"/>
      <c r="D28" s="13">
        <v>0.5</v>
      </c>
      <c r="E28" s="13">
        <v>0</v>
      </c>
      <c r="F28" s="79">
        <v>0.5</v>
      </c>
      <c r="G28" s="46">
        <f t="shared" ref="G28:G36" si="5">D28+E28</f>
        <v>0.5</v>
      </c>
      <c r="H28" s="80"/>
      <c r="I28" s="81" t="s">
        <v>70</v>
      </c>
      <c r="J28" s="82">
        <v>251</v>
      </c>
      <c r="K28" s="83">
        <v>1047</v>
      </c>
      <c r="L28" s="84">
        <f t="shared" ref="L28:L36" si="6">ROUND(G28*K28,0)</f>
        <v>524</v>
      </c>
      <c r="N28" s="337">
        <v>5101</v>
      </c>
      <c r="O28" s="54">
        <v>251</v>
      </c>
      <c r="P28" s="86"/>
      <c r="Q28" s="87"/>
      <c r="V28" s="637" t="s">
        <v>69</v>
      </c>
      <c r="W28" s="637"/>
      <c r="X28" s="638"/>
      <c r="Y28" s="638"/>
      <c r="Z28" s="88" t="s">
        <v>70</v>
      </c>
      <c r="AA28" s="330">
        <v>251</v>
      </c>
      <c r="AB28" s="90">
        <f t="shared" ref="AB28:AB36" si="7">+K28</f>
        <v>1047</v>
      </c>
      <c r="AC28" s="91">
        <f t="shared" ref="AC28:AC36" si="8">ROUND(X28*AB28,0)</f>
        <v>0</v>
      </c>
      <c r="AD28" s="9"/>
    </row>
    <row r="29" spans="1:30" x14ac:dyDescent="0.25">
      <c r="A29" s="1" t="s">
        <v>71</v>
      </c>
      <c r="B29" s="633"/>
      <c r="C29" s="634"/>
      <c r="D29" s="13">
        <v>0</v>
      </c>
      <c r="E29" s="13">
        <v>0</v>
      </c>
      <c r="F29" s="92">
        <v>0.5</v>
      </c>
      <c r="G29" s="46">
        <f t="shared" si="5"/>
        <v>0</v>
      </c>
      <c r="H29" s="80"/>
      <c r="I29" s="82" t="s">
        <v>70</v>
      </c>
      <c r="J29" s="82">
        <v>252</v>
      </c>
      <c r="K29" s="83">
        <v>3380</v>
      </c>
      <c r="L29" s="84">
        <f t="shared" si="6"/>
        <v>0</v>
      </c>
      <c r="N29" s="337">
        <v>5101</v>
      </c>
      <c r="O29" s="54">
        <v>252</v>
      </c>
      <c r="P29" s="86"/>
      <c r="Q29" s="87"/>
      <c r="V29" s="637"/>
      <c r="W29" s="637"/>
      <c r="X29" s="638"/>
      <c r="Y29" s="638"/>
      <c r="Z29" s="330" t="s">
        <v>70</v>
      </c>
      <c r="AA29" s="330">
        <v>252</v>
      </c>
      <c r="AB29" s="90">
        <f t="shared" si="7"/>
        <v>3380</v>
      </c>
      <c r="AC29" s="91">
        <f t="shared" si="8"/>
        <v>0</v>
      </c>
      <c r="AD29" s="9"/>
    </row>
    <row r="30" spans="1:30" x14ac:dyDescent="0.25">
      <c r="A30" s="1" t="s">
        <v>72</v>
      </c>
      <c r="B30" s="633"/>
      <c r="C30" s="634"/>
      <c r="D30" s="13">
        <v>0</v>
      </c>
      <c r="E30" s="13">
        <v>0</v>
      </c>
      <c r="F30" s="92">
        <v>0</v>
      </c>
      <c r="G30" s="46">
        <f t="shared" si="5"/>
        <v>0</v>
      </c>
      <c r="H30" s="80"/>
      <c r="I30" s="82" t="s">
        <v>70</v>
      </c>
      <c r="J30" s="82">
        <v>253</v>
      </c>
      <c r="K30" s="83">
        <v>6896</v>
      </c>
      <c r="L30" s="84">
        <f t="shared" si="6"/>
        <v>0</v>
      </c>
      <c r="N30" s="337">
        <v>5101</v>
      </c>
      <c r="O30" s="54">
        <v>253</v>
      </c>
      <c r="P30" s="86"/>
      <c r="Q30" s="68"/>
      <c r="V30" s="637"/>
      <c r="W30" s="637"/>
      <c r="X30" s="638"/>
      <c r="Y30" s="638"/>
      <c r="Z30" s="330" t="s">
        <v>70</v>
      </c>
      <c r="AA30" s="330">
        <v>253</v>
      </c>
      <c r="AB30" s="90">
        <f t="shared" si="7"/>
        <v>6896</v>
      </c>
      <c r="AC30" s="91">
        <f t="shared" si="8"/>
        <v>0</v>
      </c>
      <c r="AD30" s="9"/>
    </row>
    <row r="31" spans="1:30" x14ac:dyDescent="0.25">
      <c r="A31" s="1" t="s">
        <v>73</v>
      </c>
      <c r="B31" s="633"/>
      <c r="C31" s="634"/>
      <c r="D31" s="13">
        <v>0</v>
      </c>
      <c r="E31" s="13">
        <v>0</v>
      </c>
      <c r="F31" s="92">
        <v>0.5</v>
      </c>
      <c r="G31" s="46">
        <f t="shared" si="5"/>
        <v>0</v>
      </c>
      <c r="H31" s="80"/>
      <c r="I31" s="93" t="s">
        <v>74</v>
      </c>
      <c r="J31" s="82">
        <v>251</v>
      </c>
      <c r="K31" s="83">
        <v>1173</v>
      </c>
      <c r="L31" s="84">
        <f t="shared" si="6"/>
        <v>0</v>
      </c>
      <c r="N31" s="337">
        <v>5102</v>
      </c>
      <c r="O31" s="54">
        <v>251</v>
      </c>
      <c r="P31" s="86"/>
      <c r="Q31" s="68"/>
      <c r="V31" s="637"/>
      <c r="W31" s="637"/>
      <c r="X31" s="638"/>
      <c r="Y31" s="638"/>
      <c r="Z31" s="94" t="s">
        <v>74</v>
      </c>
      <c r="AA31" s="330">
        <v>251</v>
      </c>
      <c r="AB31" s="90">
        <f t="shared" si="7"/>
        <v>1173</v>
      </c>
      <c r="AC31" s="91">
        <f t="shared" si="8"/>
        <v>0</v>
      </c>
      <c r="AD31" s="9"/>
    </row>
    <row r="32" spans="1:30" x14ac:dyDescent="0.25">
      <c r="A32" s="1" t="s">
        <v>75</v>
      </c>
      <c r="B32" s="633"/>
      <c r="C32" s="634"/>
      <c r="D32" s="13">
        <v>0</v>
      </c>
      <c r="E32" s="13">
        <v>0</v>
      </c>
      <c r="F32" s="92">
        <v>0</v>
      </c>
      <c r="G32" s="46">
        <f t="shared" si="5"/>
        <v>0</v>
      </c>
      <c r="H32" s="80"/>
      <c r="I32" s="93" t="s">
        <v>74</v>
      </c>
      <c r="J32" s="82">
        <v>252</v>
      </c>
      <c r="K32" s="83">
        <v>3506</v>
      </c>
      <c r="L32" s="84">
        <f t="shared" si="6"/>
        <v>0</v>
      </c>
      <c r="N32" s="337">
        <v>5102</v>
      </c>
      <c r="O32" s="54">
        <v>252</v>
      </c>
      <c r="P32" s="86"/>
      <c r="Q32" s="54"/>
      <c r="V32" s="637"/>
      <c r="W32" s="637"/>
      <c r="X32" s="638"/>
      <c r="Y32" s="638"/>
      <c r="Z32" s="94" t="s">
        <v>74</v>
      </c>
      <c r="AA32" s="330">
        <v>252</v>
      </c>
      <c r="AB32" s="90">
        <f t="shared" si="7"/>
        <v>3506</v>
      </c>
      <c r="AC32" s="91">
        <f t="shared" si="8"/>
        <v>0</v>
      </c>
      <c r="AD32" s="9"/>
    </row>
    <row r="33" spans="1:30" x14ac:dyDescent="0.25">
      <c r="A33" s="1" t="s">
        <v>76</v>
      </c>
      <c r="B33" s="633"/>
      <c r="C33" s="634"/>
      <c r="D33" s="13">
        <v>0</v>
      </c>
      <c r="E33" s="13">
        <v>0</v>
      </c>
      <c r="F33" s="92">
        <v>0</v>
      </c>
      <c r="G33" s="46">
        <f t="shared" si="5"/>
        <v>0</v>
      </c>
      <c r="H33" s="80"/>
      <c r="I33" s="93" t="s">
        <v>74</v>
      </c>
      <c r="J33" s="82">
        <v>253</v>
      </c>
      <c r="K33" s="83">
        <v>7023</v>
      </c>
      <c r="L33" s="84">
        <f t="shared" si="6"/>
        <v>0</v>
      </c>
      <c r="N33" s="337">
        <v>5102</v>
      </c>
      <c r="O33" s="54">
        <v>253</v>
      </c>
      <c r="P33" s="86"/>
      <c r="Q33" s="87"/>
      <c r="V33" s="637"/>
      <c r="W33" s="637"/>
      <c r="X33" s="638"/>
      <c r="Y33" s="638"/>
      <c r="Z33" s="94" t="s">
        <v>74</v>
      </c>
      <c r="AA33" s="330">
        <v>253</v>
      </c>
      <c r="AB33" s="90">
        <f t="shared" si="7"/>
        <v>7023</v>
      </c>
      <c r="AC33" s="91">
        <f t="shared" si="8"/>
        <v>0</v>
      </c>
      <c r="AD33" s="9"/>
    </row>
    <row r="34" spans="1:30" x14ac:dyDescent="0.25">
      <c r="A34" s="1" t="s">
        <v>77</v>
      </c>
      <c r="B34" s="633"/>
      <c r="C34" s="634"/>
      <c r="D34" s="13">
        <v>0</v>
      </c>
      <c r="E34" s="13">
        <v>0</v>
      </c>
      <c r="F34" s="92">
        <v>0</v>
      </c>
      <c r="G34" s="46">
        <f t="shared" si="5"/>
        <v>0</v>
      </c>
      <c r="H34" s="80"/>
      <c r="I34" s="93" t="s">
        <v>78</v>
      </c>
      <c r="J34" s="82">
        <v>251</v>
      </c>
      <c r="K34" s="83">
        <v>835</v>
      </c>
      <c r="L34" s="84">
        <f t="shared" si="6"/>
        <v>0</v>
      </c>
      <c r="N34" s="337">
        <v>5103</v>
      </c>
      <c r="O34" s="54">
        <v>251</v>
      </c>
      <c r="P34" s="86"/>
      <c r="Q34" s="87"/>
      <c r="V34" s="637"/>
      <c r="W34" s="637"/>
      <c r="X34" s="638"/>
      <c r="Y34" s="638"/>
      <c r="Z34" s="94" t="s">
        <v>78</v>
      </c>
      <c r="AA34" s="330">
        <v>251</v>
      </c>
      <c r="AB34" s="90">
        <f t="shared" si="7"/>
        <v>835</v>
      </c>
      <c r="AC34" s="91">
        <f t="shared" si="8"/>
        <v>0</v>
      </c>
      <c r="AD34" s="9"/>
    </row>
    <row r="35" spans="1:30" x14ac:dyDescent="0.25">
      <c r="A35" s="1" t="s">
        <v>79</v>
      </c>
      <c r="B35" s="633"/>
      <c r="C35" s="634"/>
      <c r="D35" s="13">
        <v>0</v>
      </c>
      <c r="E35" s="13">
        <v>0</v>
      </c>
      <c r="F35" s="92">
        <v>0</v>
      </c>
      <c r="G35" s="46">
        <f t="shared" si="5"/>
        <v>0</v>
      </c>
      <c r="H35" s="80"/>
      <c r="I35" s="93" t="s">
        <v>78</v>
      </c>
      <c r="J35" s="82">
        <v>252</v>
      </c>
      <c r="K35" s="83">
        <v>3168</v>
      </c>
      <c r="L35" s="84">
        <f t="shared" si="6"/>
        <v>0</v>
      </c>
      <c r="N35" s="337">
        <v>5103</v>
      </c>
      <c r="O35" s="54">
        <v>252</v>
      </c>
      <c r="P35" s="86"/>
      <c r="Q35" s="95"/>
      <c r="V35" s="637"/>
      <c r="W35" s="637"/>
      <c r="X35" s="638"/>
      <c r="Y35" s="638"/>
      <c r="Z35" s="94" t="s">
        <v>78</v>
      </c>
      <c r="AA35" s="330">
        <v>252</v>
      </c>
      <c r="AB35" s="90">
        <f t="shared" si="7"/>
        <v>3168</v>
      </c>
      <c r="AC35" s="91">
        <f t="shared" si="8"/>
        <v>0</v>
      </c>
      <c r="AD35" s="9"/>
    </row>
    <row r="36" spans="1:30" ht="16.5" thickBot="1" x14ac:dyDescent="0.3">
      <c r="A36" s="1" t="s">
        <v>80</v>
      </c>
      <c r="B36" s="635"/>
      <c r="C36" s="636"/>
      <c r="D36" s="13">
        <v>0</v>
      </c>
      <c r="E36" s="13">
        <v>0</v>
      </c>
      <c r="F36" s="92">
        <v>0</v>
      </c>
      <c r="G36" s="46">
        <f t="shared" si="5"/>
        <v>0</v>
      </c>
      <c r="H36" s="80"/>
      <c r="I36" s="93" t="s">
        <v>78</v>
      </c>
      <c r="J36" s="82">
        <v>253</v>
      </c>
      <c r="K36" s="83">
        <v>6685</v>
      </c>
      <c r="L36" s="96">
        <f t="shared" si="6"/>
        <v>0</v>
      </c>
      <c r="N36" s="337">
        <v>5103</v>
      </c>
      <c r="O36" s="54">
        <v>253</v>
      </c>
      <c r="P36" s="86"/>
      <c r="Q36" s="97"/>
      <c r="V36" s="637"/>
      <c r="W36" s="637"/>
      <c r="X36" s="645"/>
      <c r="Y36" s="645"/>
      <c r="Z36" s="94" t="s">
        <v>78</v>
      </c>
      <c r="AA36" s="330">
        <v>253</v>
      </c>
      <c r="AB36" s="90">
        <f t="shared" si="7"/>
        <v>6685</v>
      </c>
      <c r="AC36" s="98">
        <f t="shared" si="8"/>
        <v>0</v>
      </c>
      <c r="AD36" s="9"/>
    </row>
    <row r="37" spans="1:30" ht="18.75" customHeight="1" x14ac:dyDescent="0.25">
      <c r="B37" s="13" t="s">
        <v>81</v>
      </c>
      <c r="C37" s="13"/>
      <c r="D37" s="63">
        <f>SUM(D28:D36)</f>
        <v>0.5</v>
      </c>
      <c r="E37" s="63">
        <f>SUM(E28:E36)</f>
        <v>0</v>
      </c>
      <c r="F37" s="63"/>
      <c r="G37" s="63">
        <f>SUM(G28:G36)</f>
        <v>0.5</v>
      </c>
      <c r="H37" s="64"/>
      <c r="I37" s="13" t="s">
        <v>82</v>
      </c>
      <c r="J37" s="13"/>
      <c r="K37" s="13"/>
      <c r="L37" s="50">
        <f>SUM(L28:L36)</f>
        <v>524</v>
      </c>
      <c r="N37" s="54"/>
      <c r="O37" s="68"/>
      <c r="P37" s="54"/>
      <c r="Q37" s="54"/>
      <c r="V37" s="646" t="s">
        <v>81</v>
      </c>
      <c r="W37" s="646"/>
      <c r="X37" s="626">
        <f>SUM(X28:X36)</f>
        <v>0</v>
      </c>
      <c r="Y37" s="626"/>
      <c r="Z37" s="646" t="s">
        <v>82</v>
      </c>
      <c r="AA37" s="646"/>
      <c r="AB37" s="646"/>
      <c r="AC37" s="56">
        <f>SUM(AC28:AC36)</f>
        <v>0</v>
      </c>
      <c r="AD37" s="9"/>
    </row>
    <row r="38" spans="1:30" ht="30.75" customHeight="1" x14ac:dyDescent="0.25">
      <c r="B38" s="99" t="s">
        <v>83</v>
      </c>
      <c r="C38" s="99"/>
      <c r="D38" s="99"/>
      <c r="E38" s="99"/>
      <c r="F38" s="99"/>
      <c r="G38" s="99"/>
      <c r="H38" s="100"/>
      <c r="I38" s="99"/>
      <c r="J38" s="99"/>
      <c r="K38" s="99"/>
      <c r="L38" s="99"/>
      <c r="M38" s="101"/>
      <c r="N38" s="54"/>
      <c r="O38" s="68"/>
      <c r="P38" s="54"/>
      <c r="Q38" s="54"/>
      <c r="V38" s="639" t="s">
        <v>83</v>
      </c>
      <c r="W38" s="639"/>
      <c r="X38" s="639"/>
      <c r="Y38" s="639"/>
      <c r="Z38" s="639"/>
      <c r="AA38" s="639"/>
      <c r="AB38" s="639"/>
      <c r="AC38" s="639"/>
      <c r="AD38" s="102"/>
    </row>
    <row r="39" spans="1:30" ht="15.75" customHeight="1" x14ac:dyDescent="0.25">
      <c r="B39" s="103" t="s">
        <v>84</v>
      </c>
      <c r="C39" s="103"/>
      <c r="D39" s="103"/>
      <c r="E39" s="103"/>
      <c r="F39" s="103"/>
      <c r="G39" s="104">
        <v>34389540</v>
      </c>
      <c r="H39" s="104"/>
      <c r="I39" s="13" t="s">
        <v>85</v>
      </c>
      <c r="J39" s="13"/>
      <c r="K39" s="13"/>
      <c r="L39" s="13"/>
      <c r="O39" s="1"/>
      <c r="V39" s="640" t="s">
        <v>84</v>
      </c>
      <c r="W39" s="640"/>
      <c r="X39" s="641">
        <f>+G39</f>
        <v>34389540</v>
      </c>
      <c r="Y39" s="641"/>
      <c r="Z39" s="642" t="s">
        <v>85</v>
      </c>
      <c r="AA39" s="642"/>
      <c r="AB39" s="642"/>
      <c r="AC39" s="642"/>
      <c r="AD39" s="9"/>
    </row>
    <row r="40" spans="1:30" ht="15.75" customHeight="1" x14ac:dyDescent="0.25">
      <c r="B40" s="105" t="s">
        <v>86</v>
      </c>
      <c r="C40" s="105"/>
      <c r="D40" s="105"/>
      <c r="E40" s="105"/>
      <c r="F40" s="105"/>
      <c r="G40" s="106">
        <v>180284.81</v>
      </c>
      <c r="H40" s="106"/>
      <c r="I40" s="106"/>
      <c r="J40" s="106"/>
      <c r="K40" s="50">
        <f>ROUND(G39/G40,0)</f>
        <v>191</v>
      </c>
      <c r="L40" s="50">
        <f>ROUND(K40*$G$26,0)</f>
        <v>5673</v>
      </c>
      <c r="N40" s="107"/>
      <c r="O40" s="107"/>
      <c r="P40" s="107"/>
      <c r="Q40" s="107"/>
      <c r="V40" s="643" t="s">
        <v>86</v>
      </c>
      <c r="W40" s="643"/>
      <c r="X40" s="644">
        <f>+G40</f>
        <v>180284.81</v>
      </c>
      <c r="Y40" s="644"/>
      <c r="Z40" s="644"/>
      <c r="AA40" s="644"/>
      <c r="AB40" s="56">
        <f>ROUND(X39/X40,0)</f>
        <v>191</v>
      </c>
      <c r="AC40" s="56">
        <f>ROUND(AB40*$X$26,0)</f>
        <v>0</v>
      </c>
      <c r="AD40" s="9"/>
    </row>
    <row r="41" spans="1:30" ht="15.75" customHeight="1" x14ac:dyDescent="0.25">
      <c r="B41" s="108" t="s">
        <v>87</v>
      </c>
      <c r="C41" s="108"/>
      <c r="D41" s="108"/>
      <c r="E41" s="108"/>
      <c r="F41" s="108"/>
      <c r="G41" s="108"/>
      <c r="H41" s="108"/>
      <c r="I41" s="108"/>
      <c r="J41" s="108"/>
      <c r="K41" s="108"/>
      <c r="L41" s="108"/>
      <c r="N41" s="101"/>
      <c r="O41" s="109"/>
      <c r="P41" s="101"/>
      <c r="Q41" s="101"/>
      <c r="V41" s="652" t="s">
        <v>87</v>
      </c>
      <c r="W41" s="652"/>
      <c r="X41" s="652"/>
      <c r="Y41" s="652"/>
      <c r="Z41" s="652"/>
      <c r="AA41" s="652"/>
      <c r="AB41" s="652"/>
      <c r="AC41" s="652"/>
      <c r="AD41" s="9"/>
    </row>
    <row r="42" spans="1:30" ht="28.5" customHeight="1" x14ac:dyDescent="0.25">
      <c r="B42" s="99" t="s">
        <v>88</v>
      </c>
      <c r="C42" s="99"/>
      <c r="D42" s="99"/>
      <c r="E42" s="99"/>
      <c r="F42" s="99"/>
      <c r="G42" s="99"/>
      <c r="H42" s="99"/>
      <c r="I42" s="99"/>
      <c r="J42" s="99"/>
      <c r="K42" s="99"/>
      <c r="L42" s="99"/>
      <c r="M42" s="107"/>
      <c r="O42" s="1"/>
      <c r="V42" s="639" t="s">
        <v>88</v>
      </c>
      <c r="W42" s="639"/>
      <c r="X42" s="639"/>
      <c r="Y42" s="639"/>
      <c r="Z42" s="639"/>
      <c r="AA42" s="639"/>
      <c r="AB42" s="639"/>
      <c r="AC42" s="639"/>
      <c r="AD42" s="334"/>
    </row>
    <row r="43" spans="1:30" x14ac:dyDescent="0.25">
      <c r="B43" s="111" t="s">
        <v>89</v>
      </c>
      <c r="C43" s="111"/>
      <c r="D43" s="111"/>
      <c r="E43" s="111"/>
      <c r="F43" s="111"/>
      <c r="G43" s="111"/>
      <c r="H43" s="111"/>
      <c r="I43" s="111"/>
      <c r="J43" s="111"/>
      <c r="K43" s="111"/>
      <c r="L43" s="111"/>
      <c r="M43" s="112"/>
      <c r="N43" s="101"/>
      <c r="O43" s="101"/>
      <c r="P43" s="101"/>
      <c r="Q43" s="101"/>
      <c r="V43" s="653" t="s">
        <v>89</v>
      </c>
      <c r="W43" s="653"/>
      <c r="X43" s="653"/>
      <c r="Y43" s="653"/>
      <c r="Z43" s="653"/>
      <c r="AA43" s="653"/>
      <c r="AB43" s="653"/>
      <c r="AC43" s="653"/>
      <c r="AD43" s="113"/>
    </row>
    <row r="44" spans="1:30" ht="24" customHeight="1" x14ac:dyDescent="0.25">
      <c r="B44" s="62" t="s">
        <v>90</v>
      </c>
      <c r="C44" s="62"/>
      <c r="D44" s="62"/>
      <c r="E44" s="62"/>
      <c r="F44" s="62"/>
      <c r="G44" s="62"/>
      <c r="H44" s="62"/>
      <c r="I44" s="62"/>
      <c r="J44" s="62"/>
      <c r="K44" s="62"/>
      <c r="L44" s="114">
        <f>SUM(L26,L37,L40)</f>
        <v>133151</v>
      </c>
      <c r="O44" s="1"/>
      <c r="V44" s="654" t="s">
        <v>90</v>
      </c>
      <c r="W44" s="654"/>
      <c r="X44" s="654"/>
      <c r="Y44" s="654"/>
      <c r="Z44" s="654"/>
      <c r="AA44" s="654"/>
      <c r="AB44" s="654"/>
      <c r="AC44" s="115">
        <f>SUM(AC26,AC37,AC40)</f>
        <v>0</v>
      </c>
      <c r="AD44" s="9"/>
    </row>
    <row r="45" spans="1:30" ht="30.75" customHeight="1" x14ac:dyDescent="0.25">
      <c r="B45" s="99" t="s">
        <v>91</v>
      </c>
      <c r="C45" s="99"/>
      <c r="D45" s="99"/>
      <c r="E45" s="99"/>
      <c r="F45" s="99"/>
      <c r="G45" s="99"/>
      <c r="H45" s="99"/>
      <c r="I45" s="99"/>
      <c r="J45" s="99"/>
      <c r="K45" s="99"/>
      <c r="L45" s="99"/>
      <c r="M45" s="116"/>
      <c r="O45" s="1"/>
      <c r="V45" s="639" t="s">
        <v>91</v>
      </c>
      <c r="W45" s="639"/>
      <c r="X45" s="639"/>
      <c r="Y45" s="639"/>
      <c r="Z45" s="639"/>
      <c r="AA45" s="639"/>
      <c r="AB45" s="639"/>
      <c r="AC45" s="639"/>
      <c r="AD45" s="333"/>
    </row>
    <row r="46" spans="1:30" ht="18.75" customHeight="1" x14ac:dyDescent="0.25">
      <c r="B46" s="1"/>
      <c r="C46" s="118" t="s">
        <v>92</v>
      </c>
      <c r="D46" s="118"/>
      <c r="E46" s="118"/>
      <c r="F46" s="118"/>
      <c r="G46" s="118" t="s">
        <v>93</v>
      </c>
      <c r="H46" s="119"/>
      <c r="I46" s="120" t="s">
        <v>94</v>
      </c>
      <c r="J46" s="121"/>
      <c r="K46" s="121"/>
      <c r="L46" s="121"/>
      <c r="M46" s="122"/>
      <c r="O46" s="1"/>
      <c r="V46" s="9"/>
      <c r="W46" s="336" t="s">
        <v>92</v>
      </c>
      <c r="X46" s="655" t="s">
        <v>95</v>
      </c>
      <c r="Y46" s="655"/>
      <c r="Z46" s="656" t="s">
        <v>94</v>
      </c>
      <c r="AA46" s="656"/>
      <c r="AB46" s="656"/>
      <c r="AC46" s="656"/>
      <c r="AD46" s="124"/>
    </row>
    <row r="47" spans="1:30" ht="18.75" customHeight="1" x14ac:dyDescent="0.25">
      <c r="B47" s="107" t="s">
        <v>96</v>
      </c>
      <c r="C47" s="125">
        <f>K10+K11+K16+K19+K22</f>
        <v>23.9389</v>
      </c>
      <c r="D47" s="125"/>
      <c r="E47" s="125"/>
      <c r="F47" s="125"/>
      <c r="G47" s="126">
        <f>K7</f>
        <v>1.0326</v>
      </c>
      <c r="H47" s="126"/>
      <c r="I47" s="127">
        <v>1316.85</v>
      </c>
      <c r="J47" s="128" t="s">
        <v>97</v>
      </c>
      <c r="K47" s="129">
        <f>ROUND(C47*G47*I47,0)</f>
        <v>32552</v>
      </c>
      <c r="L47" s="130"/>
      <c r="O47" s="1"/>
      <c r="V47" s="334" t="s">
        <v>96</v>
      </c>
      <c r="W47" s="131">
        <f>AB10+AB11+AB16+AB19+AB22</f>
        <v>0</v>
      </c>
      <c r="X47" s="647">
        <f>AB7</f>
        <v>1.0326</v>
      </c>
      <c r="Y47" s="647"/>
      <c r="Z47" s="132">
        <f>+I47</f>
        <v>1316.85</v>
      </c>
      <c r="AA47" s="133" t="s">
        <v>97</v>
      </c>
      <c r="AB47" s="134">
        <f>ROUND(W47*X47*Z47,0)</f>
        <v>0</v>
      </c>
      <c r="AC47" s="135"/>
      <c r="AD47" s="9"/>
    </row>
    <row r="48" spans="1:30" ht="18" customHeight="1" x14ac:dyDescent="0.25">
      <c r="B48" s="136" t="s">
        <v>74</v>
      </c>
      <c r="C48" s="125">
        <f>K12+K13+K17+K20+K23</f>
        <v>8.8267999999999986</v>
      </c>
      <c r="D48" s="125"/>
      <c r="E48" s="125"/>
      <c r="F48" s="125"/>
      <c r="G48" s="126">
        <f>K7</f>
        <v>1.0326</v>
      </c>
      <c r="H48" s="126"/>
      <c r="I48" s="127">
        <v>898.23</v>
      </c>
      <c r="J48" s="128" t="s">
        <v>97</v>
      </c>
      <c r="K48" s="129">
        <f>ROUND(C48*G48*I48,0)</f>
        <v>8187</v>
      </c>
      <c r="L48" s="62"/>
      <c r="O48" s="1"/>
      <c r="V48" s="137" t="s">
        <v>74</v>
      </c>
      <c r="W48" s="131">
        <f>AB12+AB13+AB17+AB20+AB23</f>
        <v>0</v>
      </c>
      <c r="X48" s="647">
        <f>AB7</f>
        <v>1.0326</v>
      </c>
      <c r="Y48" s="647"/>
      <c r="Z48" s="132">
        <f>+I48</f>
        <v>898.23</v>
      </c>
      <c r="AA48" s="133" t="s">
        <v>97</v>
      </c>
      <c r="AB48" s="134">
        <f>ROUND(W48*X48*Z48,0)</f>
        <v>0</v>
      </c>
      <c r="AC48" s="138"/>
      <c r="AD48" s="9"/>
    </row>
    <row r="49" spans="2:30" ht="19.5" customHeight="1" thickBot="1" x14ac:dyDescent="0.3">
      <c r="B49" s="139" t="s">
        <v>78</v>
      </c>
      <c r="C49" s="140">
        <f>K14+K15+K18+K21+K24+K25</f>
        <v>0</v>
      </c>
      <c r="D49" s="125"/>
      <c r="E49" s="125"/>
      <c r="F49" s="125"/>
      <c r="G49" s="126">
        <f>K7</f>
        <v>1.0326</v>
      </c>
      <c r="H49" s="126"/>
      <c r="I49" s="127">
        <v>900.39</v>
      </c>
      <c r="J49" s="128" t="s">
        <v>97</v>
      </c>
      <c r="K49" s="129">
        <f>ROUND(C49*G49*I49,0)</f>
        <v>0</v>
      </c>
      <c r="L49" s="62"/>
      <c r="M49" s="112"/>
      <c r="N49" s="141"/>
      <c r="O49" s="142"/>
      <c r="P49" s="101"/>
      <c r="Q49" s="143"/>
      <c r="V49" s="144" t="s">
        <v>78</v>
      </c>
      <c r="W49" s="145">
        <f>AB14+AB15+AB18+AB21+AB24+AB25</f>
        <v>0</v>
      </c>
      <c r="X49" s="647">
        <f>AB7</f>
        <v>1.0326</v>
      </c>
      <c r="Y49" s="647"/>
      <c r="Z49" s="132">
        <f>+I49</f>
        <v>900.39</v>
      </c>
      <c r="AA49" s="133" t="s">
        <v>97</v>
      </c>
      <c r="AB49" s="134">
        <f>ROUND(W49*X49*Z49,0)</f>
        <v>0</v>
      </c>
      <c r="AC49" s="138"/>
      <c r="AD49" s="113"/>
    </row>
    <row r="50" spans="2:30" ht="24" customHeight="1" thickBot="1" x14ac:dyDescent="0.3">
      <c r="B50" s="146" t="s">
        <v>98</v>
      </c>
      <c r="C50" s="147">
        <f>SUM(C47:C49)</f>
        <v>32.765699999999995</v>
      </c>
      <c r="D50" s="148"/>
      <c r="E50" s="149"/>
      <c r="F50" s="149"/>
      <c r="G50" s="150" t="s">
        <v>99</v>
      </c>
      <c r="H50" s="150"/>
      <c r="I50" s="150"/>
      <c r="J50" s="150"/>
      <c r="K50" s="150"/>
      <c r="L50" s="50">
        <f>IF(B2=75,0,K49+K48+K47)</f>
        <v>40739</v>
      </c>
      <c r="N50" s="3"/>
      <c r="O50" s="1"/>
      <c r="V50" s="335" t="s">
        <v>98</v>
      </c>
      <c r="W50" s="152">
        <f>SUM(W47:W49)</f>
        <v>0</v>
      </c>
      <c r="X50" s="648" t="s">
        <v>99</v>
      </c>
      <c r="Y50" s="649"/>
      <c r="Z50" s="649"/>
      <c r="AA50" s="649"/>
      <c r="AB50" s="649"/>
      <c r="AC50" s="56">
        <f>IF(V2=75,0,AB49+AB48+AB47)</f>
        <v>0</v>
      </c>
      <c r="AD50" s="9"/>
    </row>
    <row r="51" spans="2:30" ht="19.5" customHeight="1" x14ac:dyDescent="0.25">
      <c r="B51" s="153" t="s">
        <v>100</v>
      </c>
      <c r="C51" s="153"/>
      <c r="D51" s="153"/>
      <c r="E51" s="153"/>
      <c r="F51" s="153"/>
      <c r="G51" s="153"/>
      <c r="H51" s="153"/>
      <c r="I51" s="153"/>
      <c r="J51" s="153"/>
      <c r="K51" s="153"/>
      <c r="L51" s="153"/>
      <c r="M51" s="141"/>
      <c r="N51" s="101"/>
      <c r="O51" s="1"/>
      <c r="V51" s="650" t="s">
        <v>100</v>
      </c>
      <c r="W51" s="650"/>
      <c r="X51" s="650"/>
      <c r="Y51" s="650"/>
      <c r="Z51" s="650"/>
      <c r="AA51" s="650"/>
      <c r="AB51" s="650"/>
      <c r="AC51" s="650"/>
      <c r="AD51" s="154"/>
    </row>
    <row r="52" spans="2:30" ht="27.75" customHeight="1" x14ac:dyDescent="0.25">
      <c r="B52" s="13" t="s">
        <v>101</v>
      </c>
      <c r="C52" s="13"/>
      <c r="D52" s="13"/>
      <c r="E52" s="13"/>
      <c r="F52" s="13"/>
      <c r="G52" s="13"/>
      <c r="H52" s="13"/>
      <c r="I52" s="13"/>
      <c r="J52" s="13"/>
      <c r="K52" s="13"/>
      <c r="L52" s="13"/>
      <c r="O52" s="1"/>
      <c r="V52" s="651" t="s">
        <v>101</v>
      </c>
      <c r="W52" s="651"/>
      <c r="X52" s="651"/>
      <c r="Y52" s="651"/>
      <c r="Z52" s="651"/>
      <c r="AA52" s="651"/>
      <c r="AB52" s="651"/>
      <c r="AC52" s="651"/>
      <c r="AD52" s="9"/>
    </row>
    <row r="53" spans="2:30" x14ac:dyDescent="0.25">
      <c r="B53" s="13" t="s">
        <v>102</v>
      </c>
      <c r="C53" s="13"/>
      <c r="D53" s="13"/>
      <c r="E53" s="13"/>
      <c r="F53" s="13"/>
      <c r="G53" s="155">
        <f>K26</f>
        <v>32.765699999999995</v>
      </c>
      <c r="H53" s="57" t="s">
        <v>103</v>
      </c>
      <c r="I53" s="57"/>
      <c r="J53" s="156">
        <v>197823.77</v>
      </c>
      <c r="K53" s="156"/>
      <c r="L53" s="156"/>
      <c r="N53" s="3"/>
      <c r="O53" s="1"/>
      <c r="V53" s="657" t="s">
        <v>102</v>
      </c>
      <c r="W53" s="657"/>
      <c r="X53" s="157">
        <f>AB26</f>
        <v>0</v>
      </c>
      <c r="Y53" s="658" t="s">
        <v>103</v>
      </c>
      <c r="Z53" s="658"/>
      <c r="AA53" s="659">
        <f>+J53</f>
        <v>197823.77</v>
      </c>
      <c r="AB53" s="659"/>
      <c r="AC53" s="659"/>
      <c r="AD53" s="9"/>
    </row>
    <row r="54" spans="2:30" x14ac:dyDescent="0.25">
      <c r="B54" s="13" t="s">
        <v>104</v>
      </c>
      <c r="C54" s="13"/>
      <c r="D54" s="13"/>
      <c r="E54" s="13"/>
      <c r="F54" s="13"/>
      <c r="G54" s="13"/>
      <c r="H54" s="13"/>
      <c r="I54" s="13"/>
      <c r="J54" s="13"/>
      <c r="K54" s="158">
        <f>ROUND(G53/J53,6)</f>
        <v>1.66E-4</v>
      </c>
      <c r="L54" s="158"/>
      <c r="N54" s="101"/>
      <c r="O54" s="1"/>
      <c r="V54" s="657" t="s">
        <v>104</v>
      </c>
      <c r="W54" s="657"/>
      <c r="X54" s="657"/>
      <c r="Y54" s="657"/>
      <c r="Z54" s="657"/>
      <c r="AA54" s="657"/>
      <c r="AB54" s="660">
        <f>ROUND(X53/AA53,6)</f>
        <v>0</v>
      </c>
      <c r="AC54" s="660"/>
      <c r="AD54" s="9"/>
    </row>
    <row r="55" spans="2:30" ht="24" customHeight="1" x14ac:dyDescent="0.25">
      <c r="B55" s="13" t="s">
        <v>105</v>
      </c>
      <c r="C55" s="13"/>
      <c r="D55" s="13"/>
      <c r="E55" s="13"/>
      <c r="F55" s="13"/>
      <c r="G55" s="13"/>
      <c r="H55" s="13"/>
      <c r="I55" s="13"/>
      <c r="J55" s="13"/>
      <c r="K55" s="13"/>
      <c r="L55" s="13"/>
      <c r="O55" s="1"/>
      <c r="V55" s="651" t="s">
        <v>105</v>
      </c>
      <c r="W55" s="651"/>
      <c r="X55" s="651"/>
      <c r="Y55" s="651"/>
      <c r="Z55" s="651"/>
      <c r="AA55" s="651"/>
      <c r="AB55" s="651"/>
      <c r="AC55" s="651"/>
      <c r="AD55" s="9"/>
    </row>
    <row r="56" spans="2:30" x14ac:dyDescent="0.25">
      <c r="B56" s="13" t="s">
        <v>106</v>
      </c>
      <c r="C56" s="13"/>
      <c r="D56" s="13"/>
      <c r="E56" s="13"/>
      <c r="F56" s="13"/>
      <c r="G56" s="159">
        <f>G26</f>
        <v>29.7</v>
      </c>
      <c r="H56" s="57" t="s">
        <v>107</v>
      </c>
      <c r="I56" s="57"/>
      <c r="J56" s="156">
        <f>+G40</f>
        <v>180284.81</v>
      </c>
      <c r="K56" s="156"/>
      <c r="L56" s="156"/>
      <c r="O56" s="1"/>
      <c r="V56" s="657" t="s">
        <v>106</v>
      </c>
      <c r="W56" s="657"/>
      <c r="X56" s="160">
        <f>X26</f>
        <v>0</v>
      </c>
      <c r="Y56" s="658" t="s">
        <v>107</v>
      </c>
      <c r="Z56" s="658"/>
      <c r="AA56" s="659">
        <f>+J56</f>
        <v>180284.81</v>
      </c>
      <c r="AB56" s="659"/>
      <c r="AC56" s="659"/>
      <c r="AD56" s="9"/>
    </row>
    <row r="57" spans="2:30" x14ac:dyDescent="0.25">
      <c r="B57" s="13" t="s">
        <v>108</v>
      </c>
      <c r="C57" s="13"/>
      <c r="D57" s="13"/>
      <c r="E57" s="13"/>
      <c r="F57" s="13"/>
      <c r="G57" s="13"/>
      <c r="H57" s="13"/>
      <c r="I57" s="13"/>
      <c r="J57" s="13"/>
      <c r="K57" s="158">
        <f>ROUND(G56/J56,6)</f>
        <v>1.65E-4</v>
      </c>
      <c r="L57" s="158"/>
      <c r="O57" s="1"/>
      <c r="V57" s="657" t="s">
        <v>108</v>
      </c>
      <c r="W57" s="657"/>
      <c r="X57" s="657"/>
      <c r="Y57" s="657"/>
      <c r="Z57" s="657"/>
      <c r="AA57" s="657"/>
      <c r="AB57" s="660">
        <f>ROUND(X56/AA56,6)</f>
        <v>0</v>
      </c>
      <c r="AC57" s="660"/>
      <c r="AD57" s="9"/>
    </row>
    <row r="58" spans="2:30" ht="20.25" customHeight="1" x14ac:dyDescent="0.25">
      <c r="B58" s="161" t="s">
        <v>109</v>
      </c>
      <c r="C58" s="161"/>
      <c r="D58" s="161"/>
      <c r="E58" s="161"/>
      <c r="F58" s="161"/>
      <c r="G58" s="161"/>
      <c r="H58" s="161"/>
      <c r="I58" s="161"/>
      <c r="J58" s="161"/>
      <c r="K58" s="161"/>
      <c r="L58" s="161"/>
      <c r="N58" s="18"/>
      <c r="O58" s="18"/>
      <c r="V58" s="629" t="s">
        <v>110</v>
      </c>
      <c r="W58" s="629"/>
      <c r="X58" s="629"/>
      <c r="Y58" s="661">
        <f>X65+X64+X62+X61+X60</f>
        <v>4123852</v>
      </c>
      <c r="Z58" s="661"/>
      <c r="AA58" s="332" t="s">
        <v>111</v>
      </c>
      <c r="AB58" s="163">
        <f>AB54</f>
        <v>0</v>
      </c>
      <c r="AC58" s="56">
        <f>ROUND(Y58*AB58,0)</f>
        <v>0</v>
      </c>
      <c r="AD58" s="9"/>
    </row>
    <row r="59" spans="2:30" x14ac:dyDescent="0.25">
      <c r="B59" s="62" t="s">
        <v>110</v>
      </c>
      <c r="C59" s="62"/>
      <c r="D59" s="62"/>
      <c r="E59" s="62"/>
      <c r="F59" s="62"/>
      <c r="G59" s="62"/>
      <c r="H59" s="164" t="s">
        <v>22</v>
      </c>
      <c r="I59" s="129">
        <v>4123852</v>
      </c>
      <c r="J59" s="165" t="s">
        <v>111</v>
      </c>
      <c r="K59" s="166">
        <f>K54</f>
        <v>1.66E-4</v>
      </c>
      <c r="L59" s="50">
        <f>ROUND(I59*K59,0)</f>
        <v>685</v>
      </c>
      <c r="O59" s="1"/>
      <c r="P59" s="165"/>
      <c r="Q59" s="165"/>
      <c r="V59" s="662" t="s">
        <v>112</v>
      </c>
      <c r="W59" s="662"/>
      <c r="X59" s="662"/>
      <c r="Y59" s="662"/>
      <c r="Z59" s="662"/>
      <c r="AA59" s="662"/>
      <c r="AB59" s="662"/>
      <c r="AC59" s="662"/>
      <c r="AD59" s="9"/>
    </row>
    <row r="60" spans="2:30" x14ac:dyDescent="0.25">
      <c r="B60" s="62" t="s">
        <v>112</v>
      </c>
      <c r="C60" s="62"/>
      <c r="D60" s="62"/>
      <c r="E60" s="62"/>
      <c r="F60" s="62"/>
      <c r="G60" s="62"/>
      <c r="H60" s="62"/>
      <c r="I60" s="62"/>
      <c r="J60" s="62"/>
      <c r="K60" s="62"/>
      <c r="L60" s="62"/>
      <c r="O60" s="1"/>
      <c r="P60" s="165"/>
      <c r="Q60" s="165"/>
      <c r="V60" s="663" t="s">
        <v>113</v>
      </c>
      <c r="W60" s="663"/>
      <c r="X60" s="664">
        <f>+G61</f>
        <v>0</v>
      </c>
      <c r="Y60" s="664"/>
      <c r="Z60" s="664"/>
      <c r="AA60" s="664"/>
      <c r="AB60" s="664"/>
      <c r="AC60" s="664"/>
      <c r="AD60" s="9"/>
    </row>
    <row r="61" spans="2:30" ht="15" customHeight="1" x14ac:dyDescent="0.25">
      <c r="B61" s="167" t="s">
        <v>113</v>
      </c>
      <c r="C61" s="62"/>
      <c r="D61" s="62"/>
      <c r="E61" s="62"/>
      <c r="F61" s="62"/>
      <c r="G61" s="168">
        <v>0</v>
      </c>
      <c r="H61" s="168"/>
      <c r="I61" s="168"/>
      <c r="J61" s="168"/>
      <c r="K61" s="168"/>
      <c r="L61" s="168"/>
      <c r="O61" s="1"/>
      <c r="P61" s="165"/>
      <c r="Q61" s="165"/>
      <c r="V61" s="663" t="s">
        <v>114</v>
      </c>
      <c r="W61" s="663"/>
      <c r="X61" s="664">
        <f>+G62</f>
        <v>0</v>
      </c>
      <c r="Y61" s="664"/>
      <c r="Z61" s="664"/>
      <c r="AA61" s="664"/>
      <c r="AB61" s="664"/>
      <c r="AC61" s="664"/>
      <c r="AD61" s="9"/>
    </row>
    <row r="62" spans="2:30" ht="13.5" customHeight="1" x14ac:dyDescent="0.25">
      <c r="B62" s="167" t="s">
        <v>114</v>
      </c>
      <c r="C62" s="62"/>
      <c r="D62" s="62"/>
      <c r="E62" s="62"/>
      <c r="F62" s="62"/>
      <c r="G62" s="168">
        <v>0</v>
      </c>
      <c r="H62" s="168"/>
      <c r="I62" s="168"/>
      <c r="J62" s="168"/>
      <c r="K62" s="168"/>
      <c r="L62" s="168"/>
      <c r="N62" s="165"/>
      <c r="O62" s="165"/>
      <c r="P62" s="165"/>
      <c r="Q62" s="165"/>
      <c r="V62" s="663" t="s">
        <v>115</v>
      </c>
      <c r="W62" s="663"/>
      <c r="X62" s="664">
        <v>0</v>
      </c>
      <c r="Y62" s="664"/>
      <c r="Z62" s="664"/>
      <c r="AA62" s="664"/>
      <c r="AB62" s="664"/>
      <c r="AC62" s="664"/>
      <c r="AD62" s="9"/>
    </row>
    <row r="63" spans="2:30" ht="13.5" hidden="1" customHeight="1" x14ac:dyDescent="0.25">
      <c r="B63" s="62" t="s">
        <v>115</v>
      </c>
      <c r="C63" s="62"/>
      <c r="D63" s="62"/>
      <c r="E63" s="62"/>
      <c r="F63" s="62"/>
      <c r="G63" s="168">
        <v>0</v>
      </c>
      <c r="H63" s="168"/>
      <c r="I63" s="168"/>
      <c r="J63" s="168"/>
      <c r="K63" s="168"/>
      <c r="L63" s="168"/>
      <c r="O63" s="1"/>
      <c r="P63" s="165"/>
      <c r="Q63" s="165"/>
      <c r="V63" s="662" t="s">
        <v>116</v>
      </c>
      <c r="W63" s="662"/>
      <c r="X63" s="662"/>
      <c r="Y63" s="662"/>
      <c r="Z63" s="662"/>
      <c r="AA63" s="662"/>
      <c r="AB63" s="662"/>
      <c r="AC63" s="662"/>
      <c r="AD63" s="333"/>
    </row>
    <row r="64" spans="2:30" ht="13.5" customHeight="1" x14ac:dyDescent="0.25">
      <c r="B64" s="62" t="s">
        <v>116</v>
      </c>
      <c r="C64" s="62"/>
      <c r="D64" s="62"/>
      <c r="E64" s="62"/>
      <c r="F64" s="62"/>
      <c r="G64" s="62"/>
      <c r="H64" s="62"/>
      <c r="I64" s="62"/>
      <c r="J64" s="62"/>
      <c r="K64" s="62"/>
      <c r="L64" s="62"/>
      <c r="M64" s="116"/>
      <c r="N64" s="18"/>
      <c r="O64" s="1"/>
      <c r="V64" s="663" t="s">
        <v>117</v>
      </c>
      <c r="W64" s="663"/>
      <c r="X64" s="664">
        <f>+G65</f>
        <v>4123852</v>
      </c>
      <c r="Y64" s="664"/>
      <c r="Z64" s="664"/>
      <c r="AA64" s="664"/>
      <c r="AB64" s="664"/>
      <c r="AC64" s="664"/>
      <c r="AD64" s="9"/>
    </row>
    <row r="65" spans="1:30" ht="12.75" customHeight="1" x14ac:dyDescent="0.25">
      <c r="B65" s="167" t="s">
        <v>117</v>
      </c>
      <c r="C65" s="62"/>
      <c r="D65" s="62"/>
      <c r="E65" s="62"/>
      <c r="F65" s="62"/>
      <c r="G65" s="168">
        <f>+I59</f>
        <v>4123852</v>
      </c>
      <c r="H65" s="168"/>
      <c r="I65" s="168"/>
      <c r="J65" s="168"/>
      <c r="K65" s="168"/>
      <c r="L65" s="168"/>
      <c r="O65" s="1"/>
      <c r="V65" s="663" t="s">
        <v>118</v>
      </c>
      <c r="W65" s="663"/>
      <c r="X65" s="664">
        <f>+G66</f>
        <v>0</v>
      </c>
      <c r="Y65" s="664"/>
      <c r="Z65" s="664"/>
      <c r="AA65" s="664"/>
      <c r="AB65" s="664"/>
      <c r="AC65" s="664"/>
      <c r="AD65" s="20"/>
    </row>
    <row r="66" spans="1:30" ht="15" customHeight="1" x14ac:dyDescent="0.25">
      <c r="B66" s="167" t="s">
        <v>118</v>
      </c>
      <c r="C66" s="62"/>
      <c r="D66" s="62"/>
      <c r="E66" s="62"/>
      <c r="F66" s="62"/>
      <c r="G66" s="168">
        <v>0</v>
      </c>
      <c r="H66" s="168"/>
      <c r="I66" s="168"/>
      <c r="J66" s="168"/>
      <c r="K66" s="168"/>
      <c r="L66" s="168"/>
      <c r="M66" s="18"/>
      <c r="N66" s="3"/>
      <c r="O66" s="169"/>
      <c r="P66" s="169"/>
      <c r="Q66" s="169"/>
      <c r="V66" s="651" t="s">
        <v>119</v>
      </c>
      <c r="W66" s="651"/>
      <c r="X66" s="651"/>
      <c r="Y66" s="661">
        <f>+I67</f>
        <v>96774526</v>
      </c>
      <c r="Z66" s="661"/>
      <c r="AA66" s="332" t="s">
        <v>111</v>
      </c>
      <c r="AB66" s="163">
        <f>AB54</f>
        <v>0</v>
      </c>
      <c r="AC66" s="56">
        <f>ROUND(Y66*AB66,0)</f>
        <v>0</v>
      </c>
      <c r="AD66" s="9"/>
    </row>
    <row r="67" spans="1:30" ht="20.25" customHeight="1" x14ac:dyDescent="0.25">
      <c r="B67" s="13" t="s">
        <v>119</v>
      </c>
      <c r="C67" s="13"/>
      <c r="D67" s="13"/>
      <c r="E67" s="13"/>
      <c r="F67" s="13"/>
      <c r="H67" s="164" t="s">
        <v>25</v>
      </c>
      <c r="I67" s="129">
        <v>96774526</v>
      </c>
      <c r="J67" s="165" t="s">
        <v>111</v>
      </c>
      <c r="K67" s="166">
        <f>K54</f>
        <v>1.66E-4</v>
      </c>
      <c r="L67" s="50">
        <f>ROUND(I67*K67,0)</f>
        <v>16065</v>
      </c>
      <c r="O67" s="1"/>
      <c r="V67" s="651" t="s">
        <v>120</v>
      </c>
      <c r="W67" s="651"/>
      <c r="X67" s="651"/>
      <c r="Y67" s="651"/>
      <c r="Z67" s="651"/>
      <c r="AA67" s="651"/>
      <c r="AB67" s="651"/>
      <c r="AC67" s="651"/>
      <c r="AD67" s="9"/>
    </row>
    <row r="68" spans="1:30" ht="20.25" customHeight="1" x14ac:dyDescent="0.25">
      <c r="B68" s="13" t="s">
        <v>120</v>
      </c>
      <c r="C68" s="13"/>
      <c r="D68" s="13"/>
      <c r="E68" s="13"/>
      <c r="F68" s="13"/>
      <c r="H68" s="13"/>
      <c r="I68" s="13"/>
      <c r="J68" s="82"/>
      <c r="K68" s="13"/>
      <c r="L68" s="13"/>
      <c r="O68" s="1"/>
      <c r="V68" s="667" t="s">
        <v>121</v>
      </c>
      <c r="W68" s="667"/>
      <c r="X68" s="667"/>
      <c r="Y68" s="661">
        <f>+I69</f>
        <v>0</v>
      </c>
      <c r="Z68" s="661"/>
      <c r="AA68" s="332" t="s">
        <v>111</v>
      </c>
      <c r="AB68" s="163">
        <f>AB57</f>
        <v>0</v>
      </c>
      <c r="AC68" s="56">
        <f>ROUND(Y68*AB68,0)</f>
        <v>0</v>
      </c>
      <c r="AD68" s="9"/>
    </row>
    <row r="69" spans="1:30" ht="15" customHeight="1" x14ac:dyDescent="0.25">
      <c r="B69" s="170" t="s">
        <v>121</v>
      </c>
      <c r="C69" s="13"/>
      <c r="D69" s="13"/>
      <c r="E69" s="13"/>
      <c r="F69" s="13"/>
      <c r="H69" s="164" t="s">
        <v>23</v>
      </c>
      <c r="I69" s="129">
        <v>0</v>
      </c>
      <c r="J69" s="165" t="s">
        <v>111</v>
      </c>
      <c r="K69" s="166">
        <f>K57</f>
        <v>1.65E-4</v>
      </c>
      <c r="L69" s="50">
        <f>ROUND(I69*K69,0)</f>
        <v>0</v>
      </c>
      <c r="O69" s="1"/>
      <c r="V69" s="651" t="s">
        <v>122</v>
      </c>
      <c r="W69" s="651"/>
      <c r="X69" s="651"/>
      <c r="Y69" s="668">
        <f>+I70</f>
        <v>-3460775</v>
      </c>
      <c r="Z69" s="668"/>
      <c r="AA69" s="332" t="s">
        <v>111</v>
      </c>
      <c r="AB69" s="163">
        <f>AB54</f>
        <v>0</v>
      </c>
      <c r="AC69" s="56">
        <f>ROUND(Y69*AB69,0)</f>
        <v>0</v>
      </c>
      <c r="AD69" s="9"/>
    </row>
    <row r="70" spans="1:30" ht="20.25" customHeight="1" x14ac:dyDescent="0.25">
      <c r="B70" s="13" t="s">
        <v>122</v>
      </c>
      <c r="C70" s="13"/>
      <c r="D70" s="13"/>
      <c r="E70" s="13"/>
      <c r="F70" s="13"/>
      <c r="H70" s="164" t="s">
        <v>22</v>
      </c>
      <c r="I70" s="129">
        <v>-3460775</v>
      </c>
      <c r="J70" s="165" t="s">
        <v>111</v>
      </c>
      <c r="K70" s="166">
        <f>K54</f>
        <v>1.66E-4</v>
      </c>
      <c r="L70" s="50">
        <f>ROUND(I70*K70,0)</f>
        <v>-574</v>
      </c>
      <c r="O70" s="1"/>
      <c r="V70" s="651" t="s">
        <v>123</v>
      </c>
      <c r="W70" s="651"/>
      <c r="X70" s="651"/>
      <c r="Y70" s="665">
        <f>+I71</f>
        <v>1874788</v>
      </c>
      <c r="Z70" s="665"/>
      <c r="AA70" s="332" t="s">
        <v>111</v>
      </c>
      <c r="AB70" s="163">
        <f>AB54</f>
        <v>0</v>
      </c>
      <c r="AC70" s="56">
        <f>ROUND(Y70*AB70,0)</f>
        <v>0</v>
      </c>
      <c r="AD70" s="9"/>
    </row>
    <row r="71" spans="1:30" ht="20.25" customHeight="1" x14ac:dyDescent="0.25">
      <c r="B71" s="13" t="s">
        <v>123</v>
      </c>
      <c r="C71" s="13"/>
      <c r="D71" s="13"/>
      <c r="E71" s="13"/>
      <c r="F71" s="13"/>
      <c r="H71" s="164" t="s">
        <v>22</v>
      </c>
      <c r="I71" s="129">
        <v>1874788</v>
      </c>
      <c r="J71" s="165" t="s">
        <v>111</v>
      </c>
      <c r="K71" s="166">
        <f>K54</f>
        <v>1.66E-4</v>
      </c>
      <c r="L71" s="50">
        <f>ROUND(I71*K71,0)</f>
        <v>311</v>
      </c>
      <c r="O71" s="1"/>
      <c r="V71" s="651" t="s">
        <v>124</v>
      </c>
      <c r="W71" s="651"/>
      <c r="X71" s="651"/>
      <c r="Y71" s="665">
        <f>+I72</f>
        <v>14223298</v>
      </c>
      <c r="Z71" s="665"/>
      <c r="AA71" s="332" t="s">
        <v>111</v>
      </c>
      <c r="AB71" s="163">
        <f>AB57</f>
        <v>0</v>
      </c>
      <c r="AC71" s="56">
        <f>ROUND(Y71*AB71,0)</f>
        <v>0</v>
      </c>
      <c r="AD71" s="9"/>
    </row>
    <row r="72" spans="1:30" ht="21" customHeight="1" x14ac:dyDescent="0.25">
      <c r="B72" s="13" t="s">
        <v>124</v>
      </c>
      <c r="C72" s="13"/>
      <c r="D72" s="13"/>
      <c r="E72" s="13"/>
      <c r="F72" s="13"/>
      <c r="H72" s="164" t="s">
        <v>23</v>
      </c>
      <c r="I72" s="171">
        <v>14223298</v>
      </c>
      <c r="J72" s="165" t="s">
        <v>111</v>
      </c>
      <c r="K72" s="166">
        <f>K57</f>
        <v>1.65E-4</v>
      </c>
      <c r="L72" s="50">
        <f>ROUND(I72*K72,0)</f>
        <v>2347</v>
      </c>
      <c r="O72" s="1"/>
      <c r="V72" s="623" t="s">
        <v>125</v>
      </c>
      <c r="W72" s="623"/>
      <c r="X72" s="623"/>
      <c r="Y72" s="623"/>
      <c r="Z72" s="623"/>
      <c r="AA72" s="623"/>
      <c r="AB72" s="623"/>
      <c r="AC72" s="60"/>
      <c r="AD72" s="9"/>
    </row>
    <row r="73" spans="1:30" ht="17.25" customHeight="1" x14ac:dyDescent="0.25">
      <c r="B73" s="13" t="s">
        <v>125</v>
      </c>
      <c r="C73" s="13"/>
      <c r="D73" s="13"/>
      <c r="E73" s="13"/>
      <c r="F73" s="13"/>
      <c r="H73" s="13"/>
      <c r="I73" s="13"/>
      <c r="J73" s="82"/>
      <c r="K73" s="13"/>
      <c r="L73" s="59"/>
      <c r="O73" s="1"/>
      <c r="V73" s="651" t="s">
        <v>126</v>
      </c>
      <c r="W73" s="651"/>
      <c r="X73" s="651"/>
      <c r="Y73" s="651"/>
      <c r="Z73" s="651"/>
      <c r="AA73" s="651"/>
      <c r="AB73" s="651"/>
      <c r="AC73" s="651"/>
      <c r="AD73" s="9"/>
    </row>
    <row r="74" spans="1:30" ht="31.5" x14ac:dyDescent="0.25">
      <c r="B74" s="13" t="s">
        <v>126</v>
      </c>
      <c r="C74" s="13"/>
      <c r="D74" s="27" t="s">
        <v>13</v>
      </c>
      <c r="E74" s="27" t="s">
        <v>14</v>
      </c>
      <c r="F74" s="27"/>
      <c r="H74" s="164" t="s">
        <v>26</v>
      </c>
      <c r="I74" s="172"/>
      <c r="J74" s="164"/>
      <c r="K74" s="172"/>
      <c r="L74" s="112"/>
      <c r="O74" s="1"/>
      <c r="V74" s="666" t="s">
        <v>127</v>
      </c>
      <c r="W74" s="666"/>
      <c r="X74" s="173" t="s">
        <v>128</v>
      </c>
      <c r="Y74" s="174"/>
      <c r="Z74" s="175">
        <f>+I75</f>
        <v>21.5</v>
      </c>
      <c r="AA74" s="331" t="s">
        <v>129</v>
      </c>
      <c r="AB74" s="177">
        <f>+K75</f>
        <v>361</v>
      </c>
      <c r="AC74" s="56">
        <f>ROUND(AB74*Z74,0)</f>
        <v>7762</v>
      </c>
      <c r="AD74" s="9"/>
    </row>
    <row r="75" spans="1:30" ht="19.5" customHeight="1" x14ac:dyDescent="0.25">
      <c r="A75" s="1" t="s">
        <v>130</v>
      </c>
      <c r="B75" s="178" t="s">
        <v>127</v>
      </c>
      <c r="C75" s="179" t="s">
        <v>128</v>
      </c>
      <c r="D75" s="178">
        <v>18</v>
      </c>
      <c r="E75" s="178">
        <v>25</v>
      </c>
      <c r="F75" s="178">
        <v>0</v>
      </c>
      <c r="G75" s="180">
        <f>IF(E75=0,D75,E75)</f>
        <v>25</v>
      </c>
      <c r="H75" s="181"/>
      <c r="I75" s="182">
        <f>AVERAGE(G75,D75)</f>
        <v>21.5</v>
      </c>
      <c r="J75" s="183" t="s">
        <v>129</v>
      </c>
      <c r="K75" s="184">
        <v>361</v>
      </c>
      <c r="L75" s="50">
        <f>ROUND(K75*I75,0)</f>
        <v>7762</v>
      </c>
      <c r="N75" s="1">
        <v>7802</v>
      </c>
      <c r="O75" s="1">
        <v>0</v>
      </c>
      <c r="V75" s="666" t="s">
        <v>127</v>
      </c>
      <c r="W75" s="666"/>
      <c r="X75" s="173" t="s">
        <v>131</v>
      </c>
      <c r="Y75" s="185"/>
      <c r="Z75" s="186">
        <f>+I76</f>
        <v>0</v>
      </c>
      <c r="AA75" s="331" t="s">
        <v>129</v>
      </c>
      <c r="AB75" s="187">
        <f>+K76</f>
        <v>1358</v>
      </c>
      <c r="AC75" s="56">
        <f>ROUND(AB75*Z75,0)</f>
        <v>0</v>
      </c>
      <c r="AD75" s="9"/>
    </row>
    <row r="76" spans="1:30" ht="19.5" customHeight="1" x14ac:dyDescent="0.25">
      <c r="A76" s="1" t="s">
        <v>132</v>
      </c>
      <c r="B76" s="178" t="s">
        <v>127</v>
      </c>
      <c r="C76" s="179" t="s">
        <v>131</v>
      </c>
      <c r="D76" s="178">
        <v>0</v>
      </c>
      <c r="E76" s="178">
        <v>0</v>
      </c>
      <c r="F76" s="178">
        <v>0</v>
      </c>
      <c r="G76" s="180">
        <f>IF(E76=0,D76,E76)</f>
        <v>0</v>
      </c>
      <c r="H76" s="181"/>
      <c r="I76" s="182">
        <f>AVERAGE(G76,D76)</f>
        <v>0</v>
      </c>
      <c r="J76" s="183" t="s">
        <v>129</v>
      </c>
      <c r="K76" s="188">
        <v>1358</v>
      </c>
      <c r="L76" s="50">
        <f>ROUND(K76*I76,0)</f>
        <v>0</v>
      </c>
      <c r="N76" s="1">
        <v>7802</v>
      </c>
      <c r="O76" s="1">
        <v>110</v>
      </c>
      <c r="V76" s="651" t="s">
        <v>133</v>
      </c>
      <c r="W76" s="651"/>
      <c r="X76" s="651"/>
      <c r="Y76" s="661">
        <f>+I77</f>
        <v>33305823</v>
      </c>
      <c r="Z76" s="661"/>
      <c r="AA76" s="331" t="s">
        <v>129</v>
      </c>
      <c r="AB76" s="163">
        <f>AB54</f>
        <v>0</v>
      </c>
      <c r="AC76" s="56">
        <f>ROUND(Y76*AB76,0)</f>
        <v>0</v>
      </c>
      <c r="AD76" s="9"/>
    </row>
    <row r="77" spans="1:30" ht="26.25" customHeight="1" x14ac:dyDescent="0.25">
      <c r="B77" s="13" t="s">
        <v>133</v>
      </c>
      <c r="C77" s="13"/>
      <c r="D77" s="13"/>
      <c r="E77" s="13"/>
      <c r="F77" s="13"/>
      <c r="H77" s="164" t="s">
        <v>134</v>
      </c>
      <c r="I77" s="189">
        <v>33305823</v>
      </c>
      <c r="J77" s="165" t="s">
        <v>111</v>
      </c>
      <c r="K77" s="166">
        <f>K54</f>
        <v>1.66E-4</v>
      </c>
      <c r="L77" s="50">
        <f>ROUND(I77*K77,0)</f>
        <v>5529</v>
      </c>
      <c r="O77" s="1"/>
      <c r="V77" s="651" t="str">
        <f>+B78</f>
        <v>15.  Additional Allocation (WFTE share)</v>
      </c>
      <c r="W77" s="651"/>
      <c r="X77" s="651"/>
      <c r="Y77" s="661">
        <f>+I78</f>
        <v>680688</v>
      </c>
      <c r="Z77" s="661"/>
      <c r="AA77" s="331" t="s">
        <v>129</v>
      </c>
      <c r="AB77" s="163">
        <f>AB54</f>
        <v>0</v>
      </c>
      <c r="AC77" s="56">
        <f>ROUND(Y77*AB77,0)</f>
        <v>0</v>
      </c>
      <c r="AD77" s="9"/>
    </row>
    <row r="78" spans="1:30" ht="26.25" customHeight="1" x14ac:dyDescent="0.25">
      <c r="B78" s="669" t="s">
        <v>135</v>
      </c>
      <c r="C78" s="669"/>
      <c r="D78" s="669"/>
      <c r="E78" s="13"/>
      <c r="F78" s="13"/>
      <c r="H78" s="164" t="s">
        <v>136</v>
      </c>
      <c r="I78" s="190">
        <v>680688</v>
      </c>
      <c r="J78" s="165" t="s">
        <v>111</v>
      </c>
      <c r="K78" s="166">
        <f>K54</f>
        <v>1.66E-4</v>
      </c>
      <c r="L78" s="50">
        <f>ROUND(I78*K78,0)</f>
        <v>113</v>
      </c>
      <c r="O78" s="1"/>
      <c r="V78" s="651" t="str">
        <f>+B79</f>
        <v>16.  Florida Teachers Lead Program Stipend</v>
      </c>
      <c r="W78" s="651"/>
      <c r="X78" s="651"/>
      <c r="Y78" s="191"/>
      <c r="Z78" s="191"/>
      <c r="AA78" s="191"/>
      <c r="AB78" s="191"/>
      <c r="AC78" s="134"/>
      <c r="AD78" s="9"/>
    </row>
    <row r="79" spans="1:30" ht="21" customHeight="1" x14ac:dyDescent="0.25">
      <c r="B79" s="669" t="s">
        <v>137</v>
      </c>
      <c r="C79" s="669"/>
      <c r="D79" s="669"/>
      <c r="E79" s="13"/>
      <c r="F79" s="13"/>
      <c r="H79" s="164"/>
      <c r="I79" s="172"/>
      <c r="J79" s="172"/>
      <c r="K79" s="172"/>
      <c r="L79" s="129"/>
      <c r="N79" s="192"/>
      <c r="O79" s="1"/>
      <c r="Q79" s="164"/>
      <c r="V79" s="651" t="str">
        <f>+B80</f>
        <v>17.  Food Service Allocation</v>
      </c>
      <c r="W79" s="651"/>
      <c r="X79" s="651"/>
      <c r="Y79" s="191"/>
      <c r="Z79" s="191"/>
      <c r="AA79" s="191"/>
      <c r="AB79" s="191"/>
      <c r="AC79" s="193"/>
      <c r="AD79" s="9"/>
    </row>
    <row r="80" spans="1:30" ht="21" customHeight="1" x14ac:dyDescent="0.25">
      <c r="B80" s="669" t="s">
        <v>138</v>
      </c>
      <c r="C80" s="669"/>
      <c r="D80" s="669"/>
      <c r="E80" s="13"/>
      <c r="F80" s="13"/>
      <c r="H80" s="194" t="s">
        <v>139</v>
      </c>
      <c r="I80" s="195"/>
      <c r="J80" s="195"/>
      <c r="K80" s="195"/>
      <c r="L80" s="196"/>
      <c r="N80" s="197"/>
      <c r="O80" s="1"/>
      <c r="Q80" s="164"/>
      <c r="V80" s="191"/>
      <c r="W80" s="191"/>
      <c r="X80" s="191"/>
      <c r="Y80" s="191"/>
      <c r="Z80" s="191"/>
      <c r="AA80" s="191"/>
      <c r="AB80" s="191"/>
      <c r="AC80" s="193"/>
      <c r="AD80" s="9"/>
    </row>
    <row r="81" spans="1:30" ht="21" customHeight="1" thickBot="1" x14ac:dyDescent="0.3">
      <c r="B81" s="13"/>
      <c r="C81" s="13"/>
      <c r="D81" s="13"/>
      <c r="E81" s="13"/>
      <c r="F81" s="13"/>
      <c r="G81" s="13"/>
      <c r="H81" s="13"/>
      <c r="I81" s="13"/>
      <c r="J81" s="13"/>
      <c r="K81" s="13"/>
      <c r="L81" s="196"/>
      <c r="M81" s="198"/>
      <c r="N81" s="197"/>
      <c r="O81" s="1"/>
      <c r="Q81" s="164"/>
      <c r="V81" s="191" t="s">
        <v>140</v>
      </c>
      <c r="W81" s="191"/>
      <c r="X81" s="191"/>
      <c r="Y81" s="191"/>
      <c r="Z81" s="191"/>
      <c r="AA81" s="191"/>
      <c r="AB81" s="191"/>
      <c r="AC81" s="199">
        <f>SUM(AC44:AC80)</f>
        <v>7762</v>
      </c>
      <c r="AD81" s="200"/>
    </row>
    <row r="82" spans="1:30" ht="22.5" customHeight="1" thickTop="1" thickBot="1" x14ac:dyDescent="0.3">
      <c r="B82" s="13" t="s">
        <v>141</v>
      </c>
      <c r="C82" s="13"/>
      <c r="D82" s="13"/>
      <c r="E82" s="13"/>
      <c r="F82" s="13"/>
      <c r="G82" s="13"/>
      <c r="H82" s="13"/>
      <c r="I82" s="13"/>
      <c r="J82" s="13"/>
      <c r="K82" s="13"/>
      <c r="L82" s="201">
        <f>SUM(L44:L81)</f>
        <v>206128</v>
      </c>
      <c r="M82" s="202"/>
      <c r="N82" s="203"/>
      <c r="O82" s="1"/>
      <c r="Q82" s="164"/>
      <c r="V82" s="191"/>
      <c r="W82" s="191"/>
      <c r="X82" s="191"/>
      <c r="Y82" s="191"/>
      <c r="Z82" s="191"/>
      <c r="AA82" s="191"/>
      <c r="AB82" s="191"/>
      <c r="AC82" s="204"/>
      <c r="AD82" s="200"/>
    </row>
    <row r="83" spans="1:30" ht="27.75" customHeight="1" thickTop="1" x14ac:dyDescent="0.25">
      <c r="B83" s="13" t="s">
        <v>142</v>
      </c>
      <c r="C83" s="13"/>
      <c r="D83" s="13"/>
      <c r="E83" s="13"/>
      <c r="F83" s="13"/>
      <c r="G83" s="13"/>
      <c r="H83" s="13"/>
      <c r="I83" s="13"/>
      <c r="J83" s="13"/>
      <c r="K83" s="82" t="s">
        <v>143</v>
      </c>
      <c r="L83" s="205" t="s">
        <v>144</v>
      </c>
      <c r="M83" s="202"/>
      <c r="N83" s="203"/>
      <c r="O83" s="1"/>
      <c r="Q83" s="164"/>
      <c r="V83" s="9" t="s">
        <v>145</v>
      </c>
      <c r="W83" s="9"/>
      <c r="X83" s="9"/>
      <c r="Y83" s="9"/>
      <c r="Z83" s="9"/>
      <c r="AA83" s="9"/>
      <c r="AB83" s="9"/>
      <c r="AC83" s="9"/>
      <c r="AD83" s="206"/>
    </row>
    <row r="84" spans="1:30" ht="18.75" customHeight="1" thickBot="1" x14ac:dyDescent="0.3">
      <c r="B84" s="13" t="s">
        <v>146</v>
      </c>
      <c r="C84" s="13"/>
      <c r="D84" s="13"/>
      <c r="E84" s="13"/>
      <c r="F84" s="13"/>
      <c r="G84" s="13"/>
      <c r="H84" s="13"/>
      <c r="I84" s="13"/>
      <c r="J84" s="13"/>
      <c r="K84" s="207" t="str">
        <f>IF(G26=0,"",IF((G11+G13+SUM(G15:G21))/G26&gt;0.75,1,""))</f>
        <v/>
      </c>
      <c r="L84" s="201">
        <f>'3384 June Final'!AC81</f>
        <v>7762</v>
      </c>
      <c r="M84" s="202"/>
      <c r="N84" s="203"/>
      <c r="O84" s="1"/>
      <c r="Q84" s="164"/>
      <c r="V84" s="208" t="s">
        <v>147</v>
      </c>
      <c r="W84" s="208"/>
      <c r="X84" s="208"/>
      <c r="Y84" s="208"/>
      <c r="Z84" s="208"/>
      <c r="AA84" s="208"/>
      <c r="AB84" s="208"/>
      <c r="AC84" s="208"/>
      <c r="AD84" s="9"/>
    </row>
    <row r="85" spans="1:30" ht="18.75" customHeight="1" thickTop="1" x14ac:dyDescent="0.25">
      <c r="B85" s="13"/>
      <c r="C85" s="13"/>
      <c r="D85" s="13"/>
      <c r="E85" s="13"/>
      <c r="F85" s="13"/>
      <c r="G85" s="13"/>
      <c r="H85" s="13"/>
      <c r="I85" s="13"/>
      <c r="J85" s="13"/>
      <c r="M85" s="202"/>
      <c r="N85" s="203"/>
      <c r="O85" s="1"/>
      <c r="Q85" s="164"/>
      <c r="V85" s="208" t="s">
        <v>148</v>
      </c>
      <c r="W85" s="208"/>
      <c r="X85" s="208"/>
      <c r="Y85" s="208"/>
      <c r="Z85" s="208"/>
      <c r="AA85" s="208"/>
      <c r="AB85" s="208"/>
      <c r="AC85" s="208"/>
      <c r="AD85" s="206"/>
    </row>
    <row r="86" spans="1:30" ht="18.75" customHeight="1" x14ac:dyDescent="0.25">
      <c r="B86" s="2" t="s">
        <v>149</v>
      </c>
      <c r="C86" s="13"/>
      <c r="D86" s="13"/>
      <c r="E86" s="13"/>
      <c r="F86" s="13"/>
      <c r="G86" s="13"/>
      <c r="H86" s="13"/>
      <c r="I86" s="13"/>
      <c r="J86" s="209" t="s">
        <v>150</v>
      </c>
      <c r="K86" s="210">
        <f>IF(K84=1,L84,L82)</f>
        <v>206128</v>
      </c>
      <c r="L86" s="211">
        <f>IF(G26=0,0,IF(G26&gt;250,-(((250/G26)*K86)*IF(M86="H",0.02,0.05)),IF(M86="H",-0.02*K86,-0.05*K86)))</f>
        <v>-10306.400000000001</v>
      </c>
      <c r="M86" s="212" t="str">
        <f>IF(B123="2801","H",IF(B123="2911","H",IF(B123="3382","H"," ")))</f>
        <v xml:space="preserve"> </v>
      </c>
      <c r="N86" s="203"/>
      <c r="O86" s="1"/>
      <c r="Q86" s="164"/>
      <c r="V86" s="208" t="s">
        <v>151</v>
      </c>
      <c r="W86" s="208"/>
      <c r="X86" s="208"/>
      <c r="Y86" s="208"/>
      <c r="Z86" s="208"/>
      <c r="AA86" s="208"/>
      <c r="AB86" s="208"/>
      <c r="AC86" s="208"/>
      <c r="AD86" s="206"/>
    </row>
    <row r="87" spans="1:30" ht="18.75" customHeight="1" x14ac:dyDescent="0.25">
      <c r="B87" s="2" t="s">
        <v>152</v>
      </c>
      <c r="C87" s="13"/>
      <c r="D87" s="13"/>
      <c r="E87" s="13"/>
      <c r="F87" s="13"/>
      <c r="G87" s="13"/>
      <c r="H87" s="13"/>
      <c r="I87" s="13"/>
      <c r="J87" s="13"/>
      <c r="K87" s="213"/>
      <c r="L87" s="205">
        <f>L82+L86</f>
        <v>195821.6</v>
      </c>
      <c r="M87" s="202"/>
      <c r="N87" s="203"/>
      <c r="O87" s="1"/>
      <c r="Q87" s="164"/>
      <c r="V87" s="198"/>
      <c r="W87" s="198"/>
      <c r="X87" s="198"/>
      <c r="Y87" s="198"/>
      <c r="Z87" s="198"/>
      <c r="AA87" s="198"/>
      <c r="AB87" s="198"/>
      <c r="AC87" s="198"/>
      <c r="AD87" s="214"/>
    </row>
    <row r="88" spans="1:30" x14ac:dyDescent="0.25">
      <c r="V88" s="198"/>
      <c r="W88" s="198"/>
      <c r="X88" s="198"/>
      <c r="Y88" s="198"/>
      <c r="Z88" s="198"/>
      <c r="AA88" s="198"/>
      <c r="AB88" s="198"/>
      <c r="AC88" s="198"/>
      <c r="AD88" s="215"/>
    </row>
    <row r="89" spans="1:30" ht="18.75" customHeight="1" x14ac:dyDescent="0.25">
      <c r="A89" s="1" t="s">
        <v>153</v>
      </c>
      <c r="B89" s="13" t="s">
        <v>154</v>
      </c>
      <c r="C89" s="13"/>
      <c r="D89" s="13">
        <v>118576</v>
      </c>
      <c r="E89" s="13">
        <v>15133</v>
      </c>
      <c r="F89" s="13">
        <v>179108</v>
      </c>
      <c r="G89" s="13"/>
      <c r="H89" s="13"/>
      <c r="I89" s="13"/>
      <c r="J89" s="13"/>
      <c r="K89" s="213"/>
      <c r="L89" s="84">
        <v>-196686.1</v>
      </c>
      <c r="M89" s="202"/>
      <c r="N89" s="203"/>
      <c r="O89" s="1"/>
      <c r="Q89" s="164"/>
      <c r="V89" s="198">
        <v>2801</v>
      </c>
      <c r="W89" s="198"/>
      <c r="X89" s="198"/>
      <c r="Y89" s="198"/>
      <c r="Z89" s="198"/>
      <c r="AA89" s="198"/>
      <c r="AB89" s="198"/>
      <c r="AC89" s="198"/>
      <c r="AD89" s="214"/>
    </row>
    <row r="90" spans="1:30" ht="18.75" customHeight="1" x14ac:dyDescent="0.25">
      <c r="B90" s="13" t="s">
        <v>155</v>
      </c>
      <c r="C90" s="13"/>
      <c r="D90" s="13"/>
      <c r="E90" s="13"/>
      <c r="F90" s="13"/>
      <c r="G90" s="13"/>
      <c r="H90" s="13"/>
      <c r="I90" s="13"/>
      <c r="J90" s="13"/>
      <c r="K90" s="213"/>
      <c r="L90" s="205">
        <f>L87+L89</f>
        <v>-864.5</v>
      </c>
      <c r="M90" s="202"/>
      <c r="N90" s="203"/>
      <c r="O90" s="1"/>
      <c r="Q90" s="164"/>
      <c r="V90" s="198">
        <v>2911</v>
      </c>
      <c r="W90" s="216"/>
      <c r="X90" s="216"/>
      <c r="Y90" s="216"/>
      <c r="Z90" s="216"/>
      <c r="AA90" s="216"/>
      <c r="AB90" s="216"/>
      <c r="AC90" s="216"/>
      <c r="AD90" s="214"/>
    </row>
    <row r="91" spans="1:30" ht="18.75" customHeight="1" x14ac:dyDescent="0.25">
      <c r="B91" s="13" t="s">
        <v>156</v>
      </c>
      <c r="C91" s="13"/>
      <c r="D91" s="13"/>
      <c r="E91" s="13"/>
      <c r="F91" s="13"/>
      <c r="G91" s="13"/>
      <c r="H91" s="13"/>
      <c r="I91" s="13"/>
      <c r="J91" s="13"/>
      <c r="K91" s="213"/>
      <c r="L91" s="205">
        <v>1</v>
      </c>
      <c r="M91" s="202"/>
      <c r="N91" s="203"/>
      <c r="O91" s="1"/>
      <c r="Q91" s="164"/>
      <c r="V91" s="198">
        <v>3382</v>
      </c>
      <c r="W91" s="216"/>
      <c r="X91" s="216"/>
      <c r="Y91" s="216"/>
      <c r="Z91" s="216"/>
      <c r="AA91" s="216"/>
      <c r="AB91" s="216"/>
      <c r="AC91" s="216"/>
      <c r="AD91" s="214"/>
    </row>
    <row r="92" spans="1:30" ht="18.75" customHeight="1" thickBot="1" x14ac:dyDescent="0.3">
      <c r="B92" s="13" t="s">
        <v>434</v>
      </c>
      <c r="C92" s="13"/>
      <c r="D92" s="13"/>
      <c r="E92" s="13"/>
      <c r="F92" s="13"/>
      <c r="G92" s="13"/>
      <c r="H92" s="13"/>
      <c r="I92" s="13"/>
      <c r="J92" s="13"/>
      <c r="K92" s="213"/>
      <c r="L92" s="217">
        <f>L90/L91</f>
        <v>-864.5</v>
      </c>
      <c r="M92" s="202"/>
      <c r="N92" s="203"/>
      <c r="O92" s="1"/>
      <c r="Q92" s="164"/>
      <c r="V92" s="218"/>
      <c r="W92" s="218"/>
      <c r="X92" s="218"/>
      <c r="Y92" s="218"/>
      <c r="Z92" s="218"/>
      <c r="AA92" s="218"/>
      <c r="AB92" s="218"/>
      <c r="AC92" s="218"/>
      <c r="AD92" s="219"/>
    </row>
    <row r="93" spans="1:30" ht="18.75" customHeight="1" thickTop="1" x14ac:dyDescent="0.25">
      <c r="N93" s="219"/>
      <c r="O93" s="220"/>
      <c r="P93" s="219"/>
      <c r="Q93" s="219"/>
      <c r="V93" s="218"/>
      <c r="W93" s="218"/>
      <c r="X93" s="218"/>
      <c r="Y93" s="218"/>
      <c r="Z93" s="218"/>
      <c r="AA93" s="218"/>
      <c r="AB93" s="218"/>
      <c r="AC93" s="218"/>
      <c r="AD93" s="214"/>
    </row>
    <row r="94" spans="1:30" ht="18.75" customHeight="1" thickBot="1" x14ac:dyDescent="0.3">
      <c r="B94" s="221" t="s">
        <v>158</v>
      </c>
      <c r="C94" s="13"/>
      <c r="D94" s="13"/>
      <c r="E94" s="13"/>
      <c r="G94" s="13"/>
      <c r="H94" s="13"/>
      <c r="I94" s="13"/>
      <c r="J94" s="13"/>
      <c r="L94" s="222">
        <f>IF(M86="H",(K86*0.02)+L86,(K86*0.05)+L86)</f>
        <v>0</v>
      </c>
      <c r="M94" s="202"/>
      <c r="V94" s="223"/>
      <c r="W94" s="223"/>
      <c r="X94" s="223"/>
      <c r="Y94" s="223"/>
      <c r="Z94" s="223"/>
      <c r="AA94" s="223"/>
      <c r="AB94" s="223"/>
      <c r="AC94" s="223"/>
      <c r="AD94" s="214"/>
    </row>
    <row r="95" spans="1:30" ht="21.75" customHeight="1" thickTop="1" x14ac:dyDescent="0.25">
      <c r="B95" s="224" t="s">
        <v>159</v>
      </c>
      <c r="C95" s="224"/>
      <c r="D95" s="224"/>
      <c r="E95" s="224"/>
      <c r="F95" s="224"/>
      <c r="G95" s="224"/>
      <c r="H95" s="224"/>
      <c r="I95" s="224"/>
      <c r="J95" s="224"/>
      <c r="K95" s="224"/>
      <c r="L95" s="224"/>
      <c r="M95" s="219"/>
      <c r="V95" s="223"/>
      <c r="W95" s="223"/>
      <c r="X95" s="223"/>
      <c r="Y95" s="223"/>
      <c r="Z95" s="223"/>
      <c r="AA95" s="223"/>
      <c r="AB95" s="223"/>
      <c r="AC95" s="223"/>
      <c r="AD95" s="214"/>
    </row>
    <row r="96" spans="1:30" x14ac:dyDescent="0.25">
      <c r="B96" s="225"/>
      <c r="V96" s="223"/>
      <c r="W96" s="223"/>
      <c r="X96" s="223"/>
      <c r="Y96" s="223"/>
      <c r="Z96" s="223"/>
      <c r="AA96" s="223"/>
      <c r="AB96" s="223"/>
      <c r="AC96" s="223"/>
      <c r="AD96" s="219"/>
    </row>
    <row r="97" spans="2:30" x14ac:dyDescent="0.25">
      <c r="B97" s="225"/>
      <c r="V97" s="223"/>
      <c r="W97" s="223"/>
      <c r="X97" s="223"/>
      <c r="Y97" s="223"/>
      <c r="Z97" s="223"/>
      <c r="AA97" s="223"/>
      <c r="AB97" s="223"/>
      <c r="AC97" s="223"/>
      <c r="AD97" s="219"/>
    </row>
    <row r="98" spans="2:30" hidden="1" x14ac:dyDescent="0.25">
      <c r="B98" s="226" t="s">
        <v>160</v>
      </c>
      <c r="C98" s="227"/>
      <c r="V98" s="228"/>
      <c r="W98" s="228"/>
      <c r="X98" s="228"/>
      <c r="Y98" s="228"/>
      <c r="Z98" s="228"/>
      <c r="AA98" s="228"/>
      <c r="AB98" s="228"/>
      <c r="AC98" s="228"/>
    </row>
    <row r="99" spans="2:30" hidden="1" x14ac:dyDescent="0.25">
      <c r="B99" s="229"/>
      <c r="C99" s="227"/>
      <c r="V99" s="225"/>
      <c r="W99" s="13"/>
      <c r="X99" s="13"/>
      <c r="Y99" s="13"/>
      <c r="Z99" s="13"/>
      <c r="AA99" s="13"/>
      <c r="AB99" s="13"/>
      <c r="AC99" s="13"/>
    </row>
    <row r="100" spans="2:30" hidden="1" x14ac:dyDescent="0.25">
      <c r="B100" s="230" t="s">
        <v>161</v>
      </c>
      <c r="C100" s="226" t="s">
        <v>162</v>
      </c>
      <c r="V100" s="225"/>
    </row>
    <row r="101" spans="2:30" hidden="1" x14ac:dyDescent="0.25">
      <c r="B101" s="230" t="s">
        <v>163</v>
      </c>
      <c r="C101" s="226" t="s">
        <v>164</v>
      </c>
      <c r="V101" s="225"/>
    </row>
    <row r="102" spans="2:30" hidden="1" x14ac:dyDescent="0.25">
      <c r="B102" s="230" t="s">
        <v>165</v>
      </c>
      <c r="C102" s="226" t="s">
        <v>166</v>
      </c>
      <c r="V102" s="225"/>
      <c r="W102" s="231"/>
      <c r="X102" s="231"/>
      <c r="Y102" s="231"/>
      <c r="Z102" s="231"/>
      <c r="AA102" s="231"/>
      <c r="AB102" s="231"/>
      <c r="AC102" s="231"/>
      <c r="AD102" s="231"/>
    </row>
    <row r="103" spans="2:30" hidden="1" x14ac:dyDescent="0.25">
      <c r="B103" s="230" t="s">
        <v>167</v>
      </c>
      <c r="C103" s="226" t="s">
        <v>168</v>
      </c>
      <c r="V103" s="225"/>
    </row>
    <row r="104" spans="2:30" hidden="1" x14ac:dyDescent="0.25">
      <c r="B104" s="232"/>
      <c r="C104" s="226" t="s">
        <v>169</v>
      </c>
      <c r="V104" s="225"/>
    </row>
    <row r="105" spans="2:30" hidden="1" x14ac:dyDescent="0.25">
      <c r="B105" s="230" t="s">
        <v>170</v>
      </c>
      <c r="C105" s="226" t="s">
        <v>171</v>
      </c>
      <c r="V105" s="225"/>
    </row>
    <row r="106" spans="2:30" hidden="1" x14ac:dyDescent="0.25">
      <c r="B106" s="230" t="s">
        <v>172</v>
      </c>
      <c r="C106" s="226" t="s">
        <v>173</v>
      </c>
      <c r="V106" s="225"/>
    </row>
    <row r="107" spans="2:30" hidden="1" x14ac:dyDescent="0.25">
      <c r="B107" s="230" t="s">
        <v>265</v>
      </c>
      <c r="C107" s="226" t="s">
        <v>175</v>
      </c>
      <c r="V107" s="225"/>
    </row>
    <row r="108" spans="2:30" hidden="1" x14ac:dyDescent="0.25">
      <c r="B108" s="230" t="s">
        <v>176</v>
      </c>
      <c r="C108" s="226" t="s">
        <v>177</v>
      </c>
      <c r="V108" s="225"/>
    </row>
    <row r="109" spans="2:30" hidden="1" x14ac:dyDescent="0.25">
      <c r="B109" s="230" t="s">
        <v>178</v>
      </c>
      <c r="C109" s="226" t="s">
        <v>179</v>
      </c>
      <c r="V109" s="225"/>
    </row>
    <row r="110" spans="2:30" hidden="1" x14ac:dyDescent="0.25">
      <c r="B110" s="232"/>
      <c r="C110" s="226"/>
      <c r="V110" s="225"/>
    </row>
    <row r="111" spans="2:30" hidden="1" x14ac:dyDescent="0.25">
      <c r="B111" s="230" t="s">
        <v>180</v>
      </c>
      <c r="C111" s="226" t="s">
        <v>181</v>
      </c>
      <c r="V111" s="225"/>
    </row>
    <row r="112" spans="2:30" hidden="1" x14ac:dyDescent="0.25">
      <c r="B112" s="230" t="s">
        <v>180</v>
      </c>
      <c r="C112" s="226" t="s">
        <v>182</v>
      </c>
    </row>
    <row r="113" spans="2:3" hidden="1" x14ac:dyDescent="0.25">
      <c r="B113" s="230" t="s">
        <v>183</v>
      </c>
      <c r="C113" s="226" t="s">
        <v>184</v>
      </c>
    </row>
    <row r="114" spans="2:3" hidden="1" x14ac:dyDescent="0.25">
      <c r="B114" s="230" t="s">
        <v>185</v>
      </c>
      <c r="C114" s="226" t="s">
        <v>186</v>
      </c>
    </row>
    <row r="115" spans="2:3" hidden="1" x14ac:dyDescent="0.25">
      <c r="B115" s="230" t="s">
        <v>183</v>
      </c>
      <c r="C115" s="226" t="s">
        <v>187</v>
      </c>
    </row>
    <row r="116" spans="2:3" hidden="1" x14ac:dyDescent="0.25">
      <c r="B116" s="230" t="s">
        <v>188</v>
      </c>
      <c r="C116" s="226" t="s">
        <v>189</v>
      </c>
    </row>
    <row r="117" spans="2:3" hidden="1" x14ac:dyDescent="0.25">
      <c r="B117" s="230" t="s">
        <v>190</v>
      </c>
      <c r="C117" s="226" t="s">
        <v>191</v>
      </c>
    </row>
    <row r="118" spans="2:3" hidden="1" x14ac:dyDescent="0.25">
      <c r="B118" s="232" t="s">
        <v>192</v>
      </c>
      <c r="C118" s="226" t="s">
        <v>193</v>
      </c>
    </row>
    <row r="119" spans="2:3" hidden="1" x14ac:dyDescent="0.25">
      <c r="B119" s="232"/>
      <c r="C119" s="226"/>
    </row>
    <row r="120" spans="2:3" hidden="1" x14ac:dyDescent="0.25">
      <c r="B120" s="230" t="s">
        <v>161</v>
      </c>
      <c r="C120" s="226" t="s">
        <v>194</v>
      </c>
    </row>
    <row r="121" spans="2:3" hidden="1" x14ac:dyDescent="0.25">
      <c r="B121" s="230" t="s">
        <v>195</v>
      </c>
      <c r="C121" s="226" t="s">
        <v>196</v>
      </c>
    </row>
    <row r="122" spans="2:3" hidden="1" x14ac:dyDescent="0.25">
      <c r="B122" s="230" t="s">
        <v>197</v>
      </c>
      <c r="C122" s="226" t="s">
        <v>198</v>
      </c>
    </row>
    <row r="123" spans="2:3" hidden="1" x14ac:dyDescent="0.25">
      <c r="B123" s="230" t="s">
        <v>266</v>
      </c>
      <c r="C123" s="226" t="s">
        <v>200</v>
      </c>
    </row>
    <row r="124" spans="2:3" hidden="1" x14ac:dyDescent="0.25">
      <c r="B124" s="230" t="s">
        <v>267</v>
      </c>
      <c r="C124" s="226" t="s">
        <v>202</v>
      </c>
    </row>
    <row r="125" spans="2:3" hidden="1" x14ac:dyDescent="0.25">
      <c r="B125" s="230" t="s">
        <v>203</v>
      </c>
      <c r="C125" s="226" t="s">
        <v>204</v>
      </c>
    </row>
    <row r="126" spans="2:3" hidden="1" x14ac:dyDescent="0.25">
      <c r="B126" s="230" t="s">
        <v>203</v>
      </c>
      <c r="C126" s="226" t="s">
        <v>205</v>
      </c>
    </row>
    <row r="127" spans="2:3" hidden="1" x14ac:dyDescent="0.25">
      <c r="B127" s="230" t="s">
        <v>203</v>
      </c>
      <c r="C127" s="226" t="s">
        <v>206</v>
      </c>
    </row>
    <row r="128" spans="2:3" hidden="1" x14ac:dyDescent="0.25">
      <c r="B128" s="230" t="s">
        <v>203</v>
      </c>
      <c r="C128" s="226" t="s">
        <v>207</v>
      </c>
    </row>
    <row r="129" spans="2:3" hidden="1" x14ac:dyDescent="0.25">
      <c r="B129" s="230" t="s">
        <v>167</v>
      </c>
      <c r="C129" s="226" t="s">
        <v>208</v>
      </c>
    </row>
    <row r="130" spans="2:3" hidden="1" x14ac:dyDescent="0.25">
      <c r="B130" s="230" t="s">
        <v>209</v>
      </c>
      <c r="C130" s="226" t="s">
        <v>210</v>
      </c>
    </row>
    <row r="131" spans="2:3" hidden="1" x14ac:dyDescent="0.25">
      <c r="B131" s="230" t="s">
        <v>203</v>
      </c>
      <c r="C131" s="226" t="s">
        <v>211</v>
      </c>
    </row>
    <row r="132" spans="2:3" hidden="1" x14ac:dyDescent="0.25">
      <c r="B132" s="226"/>
      <c r="C132" s="226"/>
    </row>
    <row r="133" spans="2:3" hidden="1" x14ac:dyDescent="0.25">
      <c r="B133" s="226"/>
      <c r="C133" s="226"/>
    </row>
    <row r="134" spans="2:3" hidden="1" x14ac:dyDescent="0.25">
      <c r="B134" s="232"/>
      <c r="C134" s="232"/>
    </row>
    <row r="135" spans="2:3" hidden="1" x14ac:dyDescent="0.25">
      <c r="B135" s="232">
        <f>NvsElapsedTime</f>
        <v>1.15740695036948E-5</v>
      </c>
      <c r="C135" s="232"/>
    </row>
    <row r="136" spans="2:3" hidden="1" x14ac:dyDescent="0.25">
      <c r="B136" s="233">
        <f>NvsEndTime</f>
        <v>41754.487881944398</v>
      </c>
      <c r="C136" s="233" t="s">
        <v>212</v>
      </c>
    </row>
    <row r="137" spans="2:3" x14ac:dyDescent="0.25">
      <c r="B137" s="226"/>
      <c r="C137" s="234"/>
    </row>
    <row r="138" spans="2:3" x14ac:dyDescent="0.25">
      <c r="B138" s="226"/>
      <c r="C138" s="226"/>
    </row>
    <row r="139" spans="2:3" x14ac:dyDescent="0.25">
      <c r="B139" s="226"/>
      <c r="C139" s="226"/>
    </row>
    <row r="140" spans="2:3" x14ac:dyDescent="0.25">
      <c r="B140" s="226"/>
      <c r="C140" s="226"/>
    </row>
    <row r="141" spans="2:3" x14ac:dyDescent="0.25">
      <c r="B141" s="226"/>
      <c r="C141" s="226"/>
    </row>
    <row r="142" spans="2:3" x14ac:dyDescent="0.25">
      <c r="B142" s="226"/>
      <c r="C142" s="226"/>
    </row>
    <row r="143" spans="2:3" x14ac:dyDescent="0.25">
      <c r="B143" s="226"/>
      <c r="C143" s="226"/>
    </row>
    <row r="144" spans="2:3" x14ac:dyDescent="0.25">
      <c r="B144" s="226"/>
      <c r="C144" s="226"/>
    </row>
    <row r="145" spans="2:3" x14ac:dyDescent="0.25">
      <c r="B145" s="226"/>
      <c r="C145" s="226"/>
    </row>
    <row r="146" spans="2:3" x14ac:dyDescent="0.25">
      <c r="B146" s="226"/>
      <c r="C146" s="226"/>
    </row>
    <row r="147" spans="2:3" x14ac:dyDescent="0.25">
      <c r="B147" s="226"/>
      <c r="C147" s="226"/>
    </row>
    <row r="148" spans="2:3" x14ac:dyDescent="0.25">
      <c r="B148" s="226"/>
      <c r="C148" s="226"/>
    </row>
    <row r="149" spans="2:3" x14ac:dyDescent="0.25">
      <c r="B149" s="226"/>
      <c r="C149" s="226"/>
    </row>
    <row r="150" spans="2:3" x14ac:dyDescent="0.25">
      <c r="B150" s="226"/>
      <c r="C150" s="226"/>
    </row>
    <row r="151" spans="2:3" x14ac:dyDescent="0.25">
      <c r="B151" s="226"/>
      <c r="C151" s="226"/>
    </row>
  </sheetData>
  <mergeCells count="151">
    <mergeCell ref="B80:D80"/>
    <mergeCell ref="V76:X76"/>
    <mergeCell ref="Y76:Z76"/>
    <mergeCell ref="V77:X77"/>
    <mergeCell ref="Y77:Z77"/>
    <mergeCell ref="B78:D78"/>
    <mergeCell ref="V78:X78"/>
    <mergeCell ref="V70:X70"/>
    <mergeCell ref="Y70:Z70"/>
    <mergeCell ref="V71:X71"/>
    <mergeCell ref="Y71:Z71"/>
    <mergeCell ref="V72:AB72"/>
    <mergeCell ref="V73:AC73"/>
    <mergeCell ref="V74:W74"/>
    <mergeCell ref="V75:W75"/>
    <mergeCell ref="B79:D79"/>
    <mergeCell ref="V79:X79"/>
    <mergeCell ref="V65:W65"/>
    <mergeCell ref="X65:AC65"/>
    <mergeCell ref="V66:X66"/>
    <mergeCell ref="Y66:Z66"/>
    <mergeCell ref="V67:AC67"/>
    <mergeCell ref="V68:X68"/>
    <mergeCell ref="Y68:Z68"/>
    <mergeCell ref="V69:X69"/>
    <mergeCell ref="Y69:Z69"/>
    <mergeCell ref="V60:W60"/>
    <mergeCell ref="X60:AC60"/>
    <mergeCell ref="V61:W61"/>
    <mergeCell ref="X61:AC61"/>
    <mergeCell ref="V62:W62"/>
    <mergeCell ref="X62:AC62"/>
    <mergeCell ref="V63:AC63"/>
    <mergeCell ref="V64:W64"/>
    <mergeCell ref="X64:AC64"/>
    <mergeCell ref="V55:AC55"/>
    <mergeCell ref="V56:W56"/>
    <mergeCell ref="Y56:Z56"/>
    <mergeCell ref="AA56:AC56"/>
    <mergeCell ref="V57:AA57"/>
    <mergeCell ref="AB57:AC57"/>
    <mergeCell ref="V58:X58"/>
    <mergeCell ref="Y58:Z58"/>
    <mergeCell ref="V59:AC59"/>
    <mergeCell ref="X49:Y49"/>
    <mergeCell ref="X50:AB50"/>
    <mergeCell ref="V51:AC51"/>
    <mergeCell ref="V52:AC52"/>
    <mergeCell ref="V53:W53"/>
    <mergeCell ref="Y53:Z53"/>
    <mergeCell ref="AA53:AC53"/>
    <mergeCell ref="V54:AA54"/>
    <mergeCell ref="AB54:AC54"/>
    <mergeCell ref="V41:AC41"/>
    <mergeCell ref="V42:AC42"/>
    <mergeCell ref="V43:AC43"/>
    <mergeCell ref="V44:AB44"/>
    <mergeCell ref="V45:AC45"/>
    <mergeCell ref="X46:Y46"/>
    <mergeCell ref="Z46:AC46"/>
    <mergeCell ref="X47:Y47"/>
    <mergeCell ref="X48:Y48"/>
    <mergeCell ref="V37:W37"/>
    <mergeCell ref="X37:Y37"/>
    <mergeCell ref="Z37:AB37"/>
    <mergeCell ref="V38:AC38"/>
    <mergeCell ref="V39:W39"/>
    <mergeCell ref="X39:Y39"/>
    <mergeCell ref="Z39:AC39"/>
    <mergeCell ref="V40:W40"/>
    <mergeCell ref="X40:AA40"/>
    <mergeCell ref="V26:W26"/>
    <mergeCell ref="X26:Y26"/>
    <mergeCell ref="Z26:AA26"/>
    <mergeCell ref="V27:W27"/>
    <mergeCell ref="X27:Y27"/>
    <mergeCell ref="B28:C36"/>
    <mergeCell ref="V28:W36"/>
    <mergeCell ref="X28:Y28"/>
    <mergeCell ref="X29:Y29"/>
    <mergeCell ref="X30:Y30"/>
    <mergeCell ref="X31:Y31"/>
    <mergeCell ref="X32:Y32"/>
    <mergeCell ref="X33:Y33"/>
    <mergeCell ref="X34:Y34"/>
    <mergeCell ref="X35:Y35"/>
    <mergeCell ref="X36:Y36"/>
    <mergeCell ref="V23:W23"/>
    <mergeCell ref="X23:Y23"/>
    <mergeCell ref="Z23:AA23"/>
    <mergeCell ref="V24:W24"/>
    <mergeCell ref="X24:Y24"/>
    <mergeCell ref="Z24:AA24"/>
    <mergeCell ref="V25:W25"/>
    <mergeCell ref="X25:Y25"/>
    <mergeCell ref="Z25:AA25"/>
    <mergeCell ref="V20:W20"/>
    <mergeCell ref="X20:Y20"/>
    <mergeCell ref="Z20:AA20"/>
    <mergeCell ref="V21:W21"/>
    <mergeCell ref="X21:Y21"/>
    <mergeCell ref="Z21:AA21"/>
    <mergeCell ref="V22:W22"/>
    <mergeCell ref="X22:Y22"/>
    <mergeCell ref="Z22:AA22"/>
    <mergeCell ref="V17:W17"/>
    <mergeCell ref="X17:Y17"/>
    <mergeCell ref="Z17:AA17"/>
    <mergeCell ref="V18:W18"/>
    <mergeCell ref="X18:Y18"/>
    <mergeCell ref="Z18:AA18"/>
    <mergeCell ref="V19:W19"/>
    <mergeCell ref="X19:Y19"/>
    <mergeCell ref="Z19:AA19"/>
    <mergeCell ref="V14:W14"/>
    <mergeCell ref="X14:Y14"/>
    <mergeCell ref="Z14:AA14"/>
    <mergeCell ref="V15:W15"/>
    <mergeCell ref="X15:Y15"/>
    <mergeCell ref="Z15:AA15"/>
    <mergeCell ref="V16:W16"/>
    <mergeCell ref="X16:Y16"/>
    <mergeCell ref="Z16:AA16"/>
    <mergeCell ref="V11:W11"/>
    <mergeCell ref="X11:Y11"/>
    <mergeCell ref="Z11:AA11"/>
    <mergeCell ref="V12:W12"/>
    <mergeCell ref="X12:Y12"/>
    <mergeCell ref="Z12:AA12"/>
    <mergeCell ref="V13:W13"/>
    <mergeCell ref="X13:Y13"/>
    <mergeCell ref="Z13:AA13"/>
    <mergeCell ref="V8:W8"/>
    <mergeCell ref="X8:Y8"/>
    <mergeCell ref="Z8:AA8"/>
    <mergeCell ref="V9:W9"/>
    <mergeCell ref="X9:Y9"/>
    <mergeCell ref="Z9:AA9"/>
    <mergeCell ref="V10:W10"/>
    <mergeCell ref="X10:Y10"/>
    <mergeCell ref="Z10:AA10"/>
    <mergeCell ref="W2:AC2"/>
    <mergeCell ref="V3:AC3"/>
    <mergeCell ref="V4:AC4"/>
    <mergeCell ref="V5:W5"/>
    <mergeCell ref="X5:Y5"/>
    <mergeCell ref="V6:AC6"/>
    <mergeCell ref="V7:W7"/>
    <mergeCell ref="X7:Y7"/>
    <mergeCell ref="Z7:AA7"/>
    <mergeCell ref="AB7:AC7"/>
  </mergeCells>
  <printOptions horizontalCentered="1"/>
  <pageMargins left="0" right="0" top="0.67" bottom="0.2" header="0.25" footer="0.196850393700787"/>
  <pageSetup scale="63" fitToWidth="2" fitToHeight="2" orientation="portrait" horizontalDpi="4294967295" verticalDpi="4294967295" r:id="rId1"/>
  <headerFooter alignWithMargins="0">
    <oddHeader>&amp;L&amp;8&amp;F
&amp;D &amp;T</oddHeader>
    <oddFooter>&amp;C&amp;P</oddFooter>
  </headerFooter>
  <rowBreaks count="1" manualBreakCount="1">
    <brk id="51" max="16383" man="1"/>
  </row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pageSetUpPr fitToPage="1"/>
  </sheetPr>
  <dimension ref="A1:AD151"/>
  <sheetViews>
    <sheetView topLeftCell="B2" zoomScale="70" zoomScaleNormal="70" workbookViewId="0">
      <selection activeCell="B2" sqref="B2"/>
    </sheetView>
  </sheetViews>
  <sheetFormatPr defaultColWidth="8.85546875" defaultRowHeight="15.75" x14ac:dyDescent="0.25"/>
  <cols>
    <col min="1" max="1" width="11.28515625" style="1" hidden="1" customWidth="1"/>
    <col min="2" max="2" width="10.28515625" style="2" customWidth="1"/>
    <col min="3" max="3" width="29" style="1" customWidth="1"/>
    <col min="4" max="5" width="12.28515625" style="1" customWidth="1"/>
    <col min="6" max="6" width="12.28515625" style="1" hidden="1" customWidth="1"/>
    <col min="7" max="7" width="16.28515625" style="1" customWidth="1"/>
    <col min="8" max="8" width="6.7109375" style="1" customWidth="1"/>
    <col min="9" max="9" width="14" style="1" customWidth="1"/>
    <col min="10" max="10" width="12.85546875" style="1" customWidth="1"/>
    <col min="11" max="11" width="15.5703125" style="1" bestFit="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28515625" style="1" customWidth="1"/>
    <col min="18" max="18" width="8.85546875" style="1"/>
    <col min="19" max="21" width="0" style="1" hidden="1" customWidth="1"/>
    <col min="22" max="23" width="8.85546875" style="1"/>
    <col min="24" max="24" width="12.7109375" style="1" customWidth="1"/>
    <col min="25" max="27" width="8.85546875" style="1"/>
    <col min="28" max="28" width="13.140625" style="1" bestFit="1" customWidth="1"/>
    <col min="29" max="16384" width="8.85546875" style="1"/>
  </cols>
  <sheetData>
    <row r="1" spans="1:30" ht="15.6"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7"/>
      <c r="N2" s="3"/>
      <c r="O2" s="1"/>
      <c r="V2" s="8">
        <f>'3385'!B2</f>
        <v>50</v>
      </c>
      <c r="W2" s="606" t="s">
        <v>4</v>
      </c>
      <c r="X2" s="607"/>
      <c r="Y2" s="608"/>
      <c r="Z2" s="608"/>
      <c r="AA2" s="608"/>
      <c r="AB2" s="608"/>
      <c r="AC2" s="608"/>
      <c r="AD2" s="9"/>
    </row>
    <row r="3" spans="1:30" ht="20.25" x14ac:dyDescent="0.3">
      <c r="B3" s="10" t="str">
        <f>"Revenue Estimate Worksheet for "&amp;B124</f>
        <v>Revenue Estimate Worksheet for Bright Futures Academy</v>
      </c>
      <c r="C3" s="11"/>
      <c r="D3" s="11"/>
      <c r="E3" s="11"/>
      <c r="F3" s="11"/>
      <c r="G3" s="11"/>
      <c r="H3" s="11"/>
      <c r="I3" s="11"/>
      <c r="J3" s="11"/>
      <c r="K3" s="11"/>
      <c r="L3" s="11"/>
      <c r="M3" s="10"/>
      <c r="N3" s="10"/>
      <c r="O3" s="10"/>
      <c r="P3" s="10"/>
      <c r="Q3" s="10"/>
      <c r="V3" s="609" t="s">
        <v>5</v>
      </c>
      <c r="W3" s="609"/>
      <c r="X3" s="609"/>
      <c r="Y3" s="609"/>
      <c r="Z3" s="609"/>
      <c r="AA3" s="609"/>
      <c r="AB3" s="609"/>
      <c r="AC3" s="609"/>
      <c r="AD3" s="12"/>
    </row>
    <row r="4" spans="1:30" ht="18.75" x14ac:dyDescent="0.3">
      <c r="B4" s="2" t="s">
        <v>6</v>
      </c>
      <c r="C4" s="13"/>
      <c r="D4" s="13"/>
      <c r="E4" s="13"/>
      <c r="F4" s="13"/>
      <c r="G4" s="13"/>
      <c r="H4" s="13"/>
      <c r="I4" s="13"/>
      <c r="J4" s="13"/>
      <c r="K4" s="13"/>
      <c r="L4" s="13"/>
      <c r="M4" s="14"/>
      <c r="N4" s="14"/>
      <c r="O4" s="14"/>
      <c r="P4" s="14"/>
      <c r="Q4" s="14"/>
      <c r="V4" s="610" t="str">
        <f>+Based_on_the_Second_Calculation_of_the_FEFP_2010_11</f>
        <v>Based on the Fourth Calculation of the FEFP 2013-14</v>
      </c>
      <c r="W4" s="610"/>
      <c r="X4" s="610"/>
      <c r="Y4" s="610"/>
      <c r="Z4" s="610"/>
      <c r="AA4" s="610"/>
      <c r="AB4" s="610"/>
      <c r="AC4" s="610"/>
      <c r="AD4" s="15"/>
    </row>
    <row r="5" spans="1:30" ht="18.75" customHeight="1" x14ac:dyDescent="0.25">
      <c r="B5" s="16" t="s">
        <v>7</v>
      </c>
      <c r="C5" s="16"/>
      <c r="D5" s="16"/>
      <c r="E5" s="16"/>
      <c r="F5" s="16"/>
      <c r="G5" s="17" t="s">
        <v>8</v>
      </c>
      <c r="H5" s="17"/>
      <c r="I5" s="17"/>
      <c r="J5" s="17"/>
      <c r="K5" s="17"/>
      <c r="L5" s="17"/>
      <c r="M5" s="18"/>
      <c r="N5" s="18"/>
      <c r="O5" s="18"/>
      <c r="P5" s="18"/>
      <c r="Q5" s="18"/>
      <c r="V5" s="611" t="s">
        <v>7</v>
      </c>
      <c r="W5" s="611"/>
      <c r="X5" s="612" t="s">
        <v>8</v>
      </c>
      <c r="Y5" s="612"/>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613" t="s">
        <v>9</v>
      </c>
      <c r="W6" s="613"/>
      <c r="X6" s="613"/>
      <c r="Y6" s="613"/>
      <c r="Z6" s="613"/>
      <c r="AA6" s="613"/>
      <c r="AB6" s="613"/>
      <c r="AC6" s="613"/>
      <c r="AD6" s="22"/>
    </row>
    <row r="7" spans="1:30" ht="18" customHeight="1" x14ac:dyDescent="0.25">
      <c r="B7" s="23" t="s">
        <v>10</v>
      </c>
      <c r="C7" s="23"/>
      <c r="D7" s="23"/>
      <c r="E7" s="23"/>
      <c r="F7" s="23"/>
      <c r="G7" s="24">
        <v>3752.3</v>
      </c>
      <c r="H7" s="24"/>
      <c r="I7" s="23" t="s">
        <v>11</v>
      </c>
      <c r="J7" s="23"/>
      <c r="K7" s="25">
        <v>1.0326</v>
      </c>
      <c r="L7" s="25"/>
      <c r="O7" s="1"/>
      <c r="V7" s="620" t="s">
        <v>10</v>
      </c>
      <c r="W7" s="620"/>
      <c r="X7" s="621">
        <f>'3385'!G7</f>
        <v>3752.3</v>
      </c>
      <c r="Y7" s="621"/>
      <c r="Z7" s="622" t="s">
        <v>11</v>
      </c>
      <c r="AA7" s="622"/>
      <c r="AB7" s="602">
        <f>+K7</f>
        <v>1.0326</v>
      </c>
      <c r="AC7" s="602"/>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603" t="s">
        <v>12</v>
      </c>
      <c r="W8" s="603"/>
      <c r="X8" s="604" t="s">
        <v>15</v>
      </c>
      <c r="Y8" s="604"/>
      <c r="Z8" s="605" t="s">
        <v>16</v>
      </c>
      <c r="AA8" s="605"/>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614" t="s">
        <v>22</v>
      </c>
      <c r="W9" s="614"/>
      <c r="X9" s="615" t="s">
        <v>23</v>
      </c>
      <c r="Y9" s="615"/>
      <c r="Z9" s="616" t="s">
        <v>24</v>
      </c>
      <c r="AA9" s="616"/>
      <c r="AB9" s="43" t="s">
        <v>25</v>
      </c>
      <c r="AC9" s="44" t="s">
        <v>26</v>
      </c>
      <c r="AD9" s="9"/>
    </row>
    <row r="10" spans="1:30" x14ac:dyDescent="0.25">
      <c r="A10" s="1" t="s">
        <v>27</v>
      </c>
      <c r="B10" s="45" t="s">
        <v>28</v>
      </c>
      <c r="C10" s="45"/>
      <c r="D10" s="45">
        <v>163.54</v>
      </c>
      <c r="E10" s="45">
        <v>164.45</v>
      </c>
      <c r="F10" s="45">
        <v>214.2</v>
      </c>
      <c r="G10" s="46">
        <f>D10+E10</f>
        <v>327.99</v>
      </c>
      <c r="H10" s="47"/>
      <c r="I10" s="48">
        <v>1.125</v>
      </c>
      <c r="J10" s="48"/>
      <c r="K10" s="49">
        <f>ROUND(G10*I10,4)</f>
        <v>368.98880000000003</v>
      </c>
      <c r="L10" s="50">
        <f>ROUND(ROUND(K10*$G$7,4)*($K$7),0)</f>
        <v>1429693</v>
      </c>
      <c r="N10" s="51">
        <v>5101</v>
      </c>
      <c r="O10" s="52">
        <v>101</v>
      </c>
      <c r="P10" s="53"/>
      <c r="Q10" s="54"/>
      <c r="V10" s="617" t="s">
        <v>28</v>
      </c>
      <c r="W10" s="617"/>
      <c r="X10" s="618">
        <f>IF('3385'!K$84=1,'3385'!G10,0)</f>
        <v>0</v>
      </c>
      <c r="Y10" s="618"/>
      <c r="Z10" s="619">
        <v>1</v>
      </c>
      <c r="AA10" s="619"/>
      <c r="AB10" s="55">
        <f t="shared" ref="AB10:AB25" si="0">ROUND(X10*Z10,4)</f>
        <v>0</v>
      </c>
      <c r="AC10" s="56">
        <f t="shared" ref="AC10:AC25" si="1">ROUND(ROUND(AB10*$X$7,4)*($AB$7),0)</f>
        <v>0</v>
      </c>
      <c r="AD10" s="9">
        <v>1</v>
      </c>
    </row>
    <row r="11" spans="1:30" x14ac:dyDescent="0.25">
      <c r="A11" s="1" t="s">
        <v>29</v>
      </c>
      <c r="B11" s="13" t="s">
        <v>30</v>
      </c>
      <c r="C11" s="13"/>
      <c r="D11" s="13">
        <v>12.02</v>
      </c>
      <c r="E11" s="13">
        <v>12.08</v>
      </c>
      <c r="F11" s="13">
        <v>15.85</v>
      </c>
      <c r="G11" s="46">
        <f t="shared" ref="G11:G25" si="2">D11+E11</f>
        <v>24.1</v>
      </c>
      <c r="H11" s="47"/>
      <c r="I11" s="57">
        <f>I10</f>
        <v>1.125</v>
      </c>
      <c r="J11" s="57"/>
      <c r="K11" s="49">
        <f t="shared" ref="K11:K25" si="3">ROUND(G11*I11,4)</f>
        <v>27.112500000000001</v>
      </c>
      <c r="L11" s="50">
        <f t="shared" ref="L11:L25" si="4">ROUND(ROUND(K11*$G$7,4)*($K$7),0)</f>
        <v>105051</v>
      </c>
      <c r="M11" s="1" t="str">
        <f>IF(ROUND(G11,2)=ROUND(SUM(G28:G30),2)," ","CHECK 2. PK-3 Lines Below")</f>
        <v xml:space="preserve"> </v>
      </c>
      <c r="N11" s="51">
        <v>5101</v>
      </c>
      <c r="O11" s="58" t="s">
        <v>31</v>
      </c>
      <c r="P11" s="53"/>
      <c r="Q11" s="54"/>
      <c r="V11" s="623" t="s">
        <v>30</v>
      </c>
      <c r="W11" s="623"/>
      <c r="X11" s="618">
        <f>IF('3385'!K$84=1,'3385'!G11,0)</f>
        <v>0</v>
      </c>
      <c r="Y11" s="618"/>
      <c r="Z11" s="624">
        <v>1</v>
      </c>
      <c r="AA11" s="624"/>
      <c r="AB11" s="55">
        <f t="shared" si="0"/>
        <v>0</v>
      </c>
      <c r="AC11" s="56">
        <f t="shared" si="1"/>
        <v>0</v>
      </c>
      <c r="AD11" s="9"/>
    </row>
    <row r="12" spans="1:30" x14ac:dyDescent="0.25">
      <c r="A12" s="1" t="s">
        <v>32</v>
      </c>
      <c r="B12" s="13" t="s">
        <v>33</v>
      </c>
      <c r="C12" s="13"/>
      <c r="D12" s="13">
        <v>174.65</v>
      </c>
      <c r="E12" s="13">
        <v>177.17</v>
      </c>
      <c r="F12" s="13">
        <v>226.58</v>
      </c>
      <c r="G12" s="46">
        <f t="shared" si="2"/>
        <v>351.82</v>
      </c>
      <c r="H12" s="47"/>
      <c r="I12" s="57">
        <v>1</v>
      </c>
      <c r="J12" s="57"/>
      <c r="K12" s="49">
        <f t="shared" si="3"/>
        <v>351.82</v>
      </c>
      <c r="L12" s="50">
        <f t="shared" si="4"/>
        <v>1363171</v>
      </c>
      <c r="N12" s="51">
        <v>5102</v>
      </c>
      <c r="O12" s="52">
        <v>102</v>
      </c>
      <c r="P12" s="53"/>
      <c r="Q12" s="54"/>
      <c r="V12" s="623" t="s">
        <v>33</v>
      </c>
      <c r="W12" s="623"/>
      <c r="X12" s="618">
        <f>IF('3385'!K$84=1,'3385'!G12,0)</f>
        <v>0</v>
      </c>
      <c r="Y12" s="618"/>
      <c r="Z12" s="624">
        <v>1</v>
      </c>
      <c r="AA12" s="624"/>
      <c r="AB12" s="55">
        <f t="shared" si="0"/>
        <v>0</v>
      </c>
      <c r="AC12" s="56">
        <f t="shared" si="1"/>
        <v>0</v>
      </c>
      <c r="AD12" s="9"/>
    </row>
    <row r="13" spans="1:30" x14ac:dyDescent="0.25">
      <c r="A13" s="1" t="s">
        <v>34</v>
      </c>
      <c r="B13" s="13" t="s">
        <v>35</v>
      </c>
      <c r="C13" s="13"/>
      <c r="D13" s="13">
        <v>25.99</v>
      </c>
      <c r="E13" s="13">
        <v>25.12</v>
      </c>
      <c r="F13" s="13">
        <v>34.799999999999997</v>
      </c>
      <c r="G13" s="46">
        <f t="shared" si="2"/>
        <v>51.11</v>
      </c>
      <c r="H13" s="47"/>
      <c r="I13" s="57">
        <f>I12</f>
        <v>1</v>
      </c>
      <c r="J13" s="57"/>
      <c r="K13" s="49">
        <f t="shared" si="3"/>
        <v>51.11</v>
      </c>
      <c r="L13" s="50">
        <f t="shared" si="4"/>
        <v>198032</v>
      </c>
      <c r="M13" s="1" t="str">
        <f>IF(ROUND(G13,2)=ROUND(SUM(G31:G33),2)," ","CHECK 2. PK-3 Lines Below")</f>
        <v xml:space="preserve"> </v>
      </c>
      <c r="N13" s="51">
        <v>5102</v>
      </c>
      <c r="O13" s="58" t="s">
        <v>36</v>
      </c>
      <c r="P13" s="53"/>
      <c r="Q13" s="54"/>
      <c r="V13" s="623" t="s">
        <v>35</v>
      </c>
      <c r="W13" s="623"/>
      <c r="X13" s="618">
        <f>IF('3385'!K$84=1,'3385'!G13,0)</f>
        <v>0</v>
      </c>
      <c r="Y13" s="618"/>
      <c r="Z13" s="624">
        <v>1</v>
      </c>
      <c r="AA13" s="624"/>
      <c r="AB13" s="55">
        <f t="shared" si="0"/>
        <v>0</v>
      </c>
      <c r="AC13" s="56">
        <f t="shared" si="1"/>
        <v>0</v>
      </c>
      <c r="AD13" s="9"/>
    </row>
    <row r="14" spans="1:30" x14ac:dyDescent="0.25">
      <c r="A14" s="1" t="s">
        <v>37</v>
      </c>
      <c r="B14" s="13" t="s">
        <v>38</v>
      </c>
      <c r="C14" s="13"/>
      <c r="D14" s="13">
        <v>0</v>
      </c>
      <c r="E14" s="13">
        <v>0</v>
      </c>
      <c r="F14" s="13">
        <v>0</v>
      </c>
      <c r="G14" s="46">
        <f t="shared" si="2"/>
        <v>0</v>
      </c>
      <c r="H14" s="47"/>
      <c r="I14" s="57">
        <v>1.0109999999999999</v>
      </c>
      <c r="J14" s="57"/>
      <c r="K14" s="49">
        <f t="shared" si="3"/>
        <v>0</v>
      </c>
      <c r="L14" s="50">
        <f t="shared" si="4"/>
        <v>0</v>
      </c>
      <c r="N14" s="51">
        <v>5103</v>
      </c>
      <c r="O14" s="52">
        <v>103</v>
      </c>
      <c r="P14" s="53"/>
      <c r="Q14" s="54"/>
      <c r="V14" s="623" t="s">
        <v>38</v>
      </c>
      <c r="W14" s="623"/>
      <c r="X14" s="618">
        <f>IF('3385'!K$84=1,'3385'!G14,0)</f>
        <v>0</v>
      </c>
      <c r="Y14" s="618"/>
      <c r="Z14" s="624">
        <v>1</v>
      </c>
      <c r="AA14" s="624"/>
      <c r="AB14" s="55">
        <f t="shared" si="0"/>
        <v>0</v>
      </c>
      <c r="AC14" s="56">
        <f t="shared" si="1"/>
        <v>0</v>
      </c>
      <c r="AD14" s="9"/>
    </row>
    <row r="15" spans="1:30" x14ac:dyDescent="0.25">
      <c r="A15" s="1" t="s">
        <v>39</v>
      </c>
      <c r="B15" s="13" t="s">
        <v>40</v>
      </c>
      <c r="C15" s="13"/>
      <c r="D15" s="13">
        <v>0</v>
      </c>
      <c r="E15" s="13">
        <v>0</v>
      </c>
      <c r="F15" s="13">
        <v>0</v>
      </c>
      <c r="G15" s="46">
        <f t="shared" si="2"/>
        <v>0</v>
      </c>
      <c r="H15" s="47"/>
      <c r="I15" s="57">
        <f>I14</f>
        <v>1.0109999999999999</v>
      </c>
      <c r="J15" s="57"/>
      <c r="K15" s="49">
        <f t="shared" si="3"/>
        <v>0</v>
      </c>
      <c r="L15" s="59">
        <f t="shared" si="4"/>
        <v>0</v>
      </c>
      <c r="M15" s="1" t="str">
        <f>IF(ROUND(G15,2)=ROUND(SUM(G34:G36),2)," ","CHECK 2. PK-3 Lines Below")</f>
        <v xml:space="preserve"> </v>
      </c>
      <c r="N15" s="51">
        <v>5103</v>
      </c>
      <c r="O15" s="58" t="s">
        <v>41</v>
      </c>
      <c r="P15" s="53"/>
      <c r="Q15" s="54"/>
      <c r="V15" s="623" t="s">
        <v>40</v>
      </c>
      <c r="W15" s="623"/>
      <c r="X15" s="618">
        <f>IF('3385'!K$84=1,'3385'!G15,0)</f>
        <v>0</v>
      </c>
      <c r="Y15" s="618"/>
      <c r="Z15" s="624">
        <v>1</v>
      </c>
      <c r="AA15" s="624"/>
      <c r="AB15" s="55">
        <f t="shared" si="0"/>
        <v>0</v>
      </c>
      <c r="AC15" s="60">
        <f t="shared" si="1"/>
        <v>0</v>
      </c>
      <c r="AD15" s="9"/>
    </row>
    <row r="16" spans="1:30" x14ac:dyDescent="0.25">
      <c r="A16" s="1" t="s">
        <v>42</v>
      </c>
      <c r="B16" s="13" t="s">
        <v>43</v>
      </c>
      <c r="C16" s="13"/>
      <c r="D16" s="13">
        <v>0</v>
      </c>
      <c r="E16" s="13">
        <v>0</v>
      </c>
      <c r="F16" s="13">
        <v>0</v>
      </c>
      <c r="G16" s="46">
        <f t="shared" si="2"/>
        <v>0</v>
      </c>
      <c r="H16" s="47"/>
      <c r="I16" s="57">
        <v>3.5579999999999998</v>
      </c>
      <c r="J16" s="57"/>
      <c r="K16" s="49">
        <f t="shared" si="3"/>
        <v>0</v>
      </c>
      <c r="L16" s="50">
        <f t="shared" si="4"/>
        <v>0</v>
      </c>
      <c r="N16" s="51">
        <v>5101</v>
      </c>
      <c r="O16" s="53">
        <v>254</v>
      </c>
      <c r="P16" s="53"/>
      <c r="Q16" s="54"/>
      <c r="V16" s="623" t="s">
        <v>43</v>
      </c>
      <c r="W16" s="623"/>
      <c r="X16" s="618">
        <f>IF('3385'!K$84=1,'3385'!G16,0)</f>
        <v>0</v>
      </c>
      <c r="Y16" s="618"/>
      <c r="Z16" s="624">
        <v>1</v>
      </c>
      <c r="AA16" s="624"/>
      <c r="AB16" s="55">
        <f t="shared" si="0"/>
        <v>0</v>
      </c>
      <c r="AC16" s="56">
        <f t="shared" si="1"/>
        <v>0</v>
      </c>
      <c r="AD16" s="9"/>
    </row>
    <row r="17" spans="1:30" x14ac:dyDescent="0.25">
      <c r="A17" s="1" t="s">
        <v>44</v>
      </c>
      <c r="B17" s="13" t="s">
        <v>45</v>
      </c>
      <c r="C17" s="13"/>
      <c r="D17" s="13">
        <v>0</v>
      </c>
      <c r="E17" s="13">
        <v>0</v>
      </c>
      <c r="F17" s="13">
        <v>0</v>
      </c>
      <c r="G17" s="46">
        <f t="shared" si="2"/>
        <v>0</v>
      </c>
      <c r="H17" s="47"/>
      <c r="I17" s="57">
        <f>I16</f>
        <v>3.5579999999999998</v>
      </c>
      <c r="J17" s="57"/>
      <c r="K17" s="49">
        <f t="shared" si="3"/>
        <v>0</v>
      </c>
      <c r="L17" s="50">
        <f t="shared" si="4"/>
        <v>0</v>
      </c>
      <c r="N17" s="51">
        <v>5102</v>
      </c>
      <c r="O17" s="54">
        <v>254</v>
      </c>
      <c r="P17" s="53"/>
      <c r="Q17" s="54"/>
      <c r="V17" s="623" t="s">
        <v>45</v>
      </c>
      <c r="W17" s="623"/>
      <c r="X17" s="618">
        <f>IF('3385'!K$84=1,'3385'!G17,0)</f>
        <v>0</v>
      </c>
      <c r="Y17" s="618"/>
      <c r="Z17" s="624">
        <v>1</v>
      </c>
      <c r="AA17" s="624"/>
      <c r="AB17" s="55">
        <f t="shared" si="0"/>
        <v>0</v>
      </c>
      <c r="AC17" s="56">
        <f t="shared" si="1"/>
        <v>0</v>
      </c>
      <c r="AD17" s="9"/>
    </row>
    <row r="18" spans="1:30" x14ac:dyDescent="0.25">
      <c r="A18" s="1" t="s">
        <v>46</v>
      </c>
      <c r="B18" s="13" t="s">
        <v>47</v>
      </c>
      <c r="C18" s="13"/>
      <c r="D18" s="13">
        <v>0</v>
      </c>
      <c r="E18" s="13">
        <v>0</v>
      </c>
      <c r="F18" s="13">
        <v>0</v>
      </c>
      <c r="G18" s="46">
        <f t="shared" si="2"/>
        <v>0</v>
      </c>
      <c r="H18" s="47"/>
      <c r="I18" s="57">
        <f>I17</f>
        <v>3.5579999999999998</v>
      </c>
      <c r="J18" s="57"/>
      <c r="K18" s="49">
        <f t="shared" si="3"/>
        <v>0</v>
      </c>
      <c r="L18" s="50">
        <f t="shared" si="4"/>
        <v>0</v>
      </c>
      <c r="N18" s="51">
        <v>5103</v>
      </c>
      <c r="O18" s="54">
        <v>254</v>
      </c>
      <c r="P18" s="53"/>
      <c r="Q18" s="54"/>
      <c r="V18" s="623" t="s">
        <v>47</v>
      </c>
      <c r="W18" s="623"/>
      <c r="X18" s="618">
        <f>IF('3385'!K$84=1,'3385'!G18,0)</f>
        <v>0</v>
      </c>
      <c r="Y18" s="618"/>
      <c r="Z18" s="624">
        <v>1</v>
      </c>
      <c r="AA18" s="624"/>
      <c r="AB18" s="55">
        <f t="shared" si="0"/>
        <v>0</v>
      </c>
      <c r="AC18" s="56">
        <f t="shared" si="1"/>
        <v>0</v>
      </c>
      <c r="AD18" s="9"/>
    </row>
    <row r="19" spans="1:30" ht="15" customHeight="1" x14ac:dyDescent="0.25">
      <c r="A19" s="1" t="s">
        <v>48</v>
      </c>
      <c r="B19" s="13" t="s">
        <v>49</v>
      </c>
      <c r="C19" s="13"/>
      <c r="D19" s="13">
        <v>0</v>
      </c>
      <c r="E19" s="13">
        <v>0</v>
      </c>
      <c r="F19" s="13">
        <v>0</v>
      </c>
      <c r="G19" s="46">
        <f t="shared" si="2"/>
        <v>0</v>
      </c>
      <c r="H19" s="47"/>
      <c r="I19" s="57">
        <v>5.0890000000000004</v>
      </c>
      <c r="J19" s="57"/>
      <c r="K19" s="49">
        <f t="shared" si="3"/>
        <v>0</v>
      </c>
      <c r="L19" s="50">
        <f t="shared" si="4"/>
        <v>0</v>
      </c>
      <c r="N19" s="51">
        <v>5101</v>
      </c>
      <c r="O19" s="53">
        <v>255</v>
      </c>
      <c r="P19" s="53"/>
      <c r="Q19" s="54"/>
      <c r="V19" s="623" t="s">
        <v>49</v>
      </c>
      <c r="W19" s="623"/>
      <c r="X19" s="618">
        <f>IF('3385'!K$84=1,'3385'!G19,0)</f>
        <v>0</v>
      </c>
      <c r="Y19" s="618"/>
      <c r="Z19" s="624">
        <v>1</v>
      </c>
      <c r="AA19" s="624"/>
      <c r="AB19" s="55">
        <f t="shared" si="0"/>
        <v>0</v>
      </c>
      <c r="AC19" s="56">
        <f t="shared" si="1"/>
        <v>0</v>
      </c>
      <c r="AD19" s="9"/>
    </row>
    <row r="20" spans="1:30" ht="15" customHeight="1" x14ac:dyDescent="0.25">
      <c r="A20" s="1" t="s">
        <v>50</v>
      </c>
      <c r="B20" s="13" t="s">
        <v>51</v>
      </c>
      <c r="C20" s="13"/>
      <c r="D20" s="13">
        <v>0</v>
      </c>
      <c r="E20" s="13">
        <v>0</v>
      </c>
      <c r="F20" s="13">
        <v>0</v>
      </c>
      <c r="G20" s="46">
        <f t="shared" si="2"/>
        <v>0</v>
      </c>
      <c r="H20" s="47"/>
      <c r="I20" s="57">
        <f>I19</f>
        <v>5.0890000000000004</v>
      </c>
      <c r="J20" s="57"/>
      <c r="K20" s="49">
        <f t="shared" si="3"/>
        <v>0</v>
      </c>
      <c r="L20" s="50">
        <f t="shared" si="4"/>
        <v>0</v>
      </c>
      <c r="N20" s="51">
        <v>5102</v>
      </c>
      <c r="O20" s="54">
        <v>255</v>
      </c>
      <c r="P20" s="53"/>
      <c r="Q20" s="54"/>
      <c r="V20" s="623" t="s">
        <v>51</v>
      </c>
      <c r="W20" s="623"/>
      <c r="X20" s="618">
        <f>IF('3385'!K$84=1,'3385'!G20,0)</f>
        <v>0</v>
      </c>
      <c r="Y20" s="618"/>
      <c r="Z20" s="624">
        <v>1</v>
      </c>
      <c r="AA20" s="624"/>
      <c r="AB20" s="55">
        <f t="shared" si="0"/>
        <v>0</v>
      </c>
      <c r="AC20" s="56">
        <f t="shared" si="1"/>
        <v>0</v>
      </c>
      <c r="AD20" s="9"/>
    </row>
    <row r="21" spans="1:30" ht="15" customHeight="1" x14ac:dyDescent="0.25">
      <c r="A21" s="1" t="s">
        <v>52</v>
      </c>
      <c r="B21" s="13" t="s">
        <v>53</v>
      </c>
      <c r="C21" s="13"/>
      <c r="D21" s="13">
        <v>0</v>
      </c>
      <c r="E21" s="13">
        <v>0</v>
      </c>
      <c r="F21" s="13">
        <v>0</v>
      </c>
      <c r="G21" s="46">
        <f t="shared" si="2"/>
        <v>0</v>
      </c>
      <c r="H21" s="47"/>
      <c r="I21" s="57">
        <f>I20</f>
        <v>5.0890000000000004</v>
      </c>
      <c r="J21" s="57"/>
      <c r="K21" s="49">
        <f t="shared" si="3"/>
        <v>0</v>
      </c>
      <c r="L21" s="50">
        <f t="shared" si="4"/>
        <v>0</v>
      </c>
      <c r="N21" s="51">
        <v>5103</v>
      </c>
      <c r="O21" s="54">
        <v>255</v>
      </c>
      <c r="P21" s="53"/>
      <c r="Q21" s="54"/>
      <c r="V21" s="623" t="s">
        <v>53</v>
      </c>
      <c r="W21" s="623"/>
      <c r="X21" s="618">
        <f>IF('3385'!K$84=1,'3385'!G21,0)</f>
        <v>0</v>
      </c>
      <c r="Y21" s="618"/>
      <c r="Z21" s="624">
        <v>1</v>
      </c>
      <c r="AA21" s="624"/>
      <c r="AB21" s="55">
        <f t="shared" si="0"/>
        <v>0</v>
      </c>
      <c r="AC21" s="56">
        <f t="shared" si="1"/>
        <v>0</v>
      </c>
      <c r="AD21" s="9"/>
    </row>
    <row r="22" spans="1:30" x14ac:dyDescent="0.25">
      <c r="A22" s="1" t="s">
        <v>54</v>
      </c>
      <c r="B22" s="13" t="s">
        <v>55</v>
      </c>
      <c r="C22" s="13"/>
      <c r="D22" s="13">
        <v>5.96</v>
      </c>
      <c r="E22" s="13">
        <v>5.46</v>
      </c>
      <c r="F22" s="13">
        <v>7.75</v>
      </c>
      <c r="G22" s="46">
        <f t="shared" si="2"/>
        <v>11.42</v>
      </c>
      <c r="H22" s="47"/>
      <c r="I22" s="57">
        <v>1.145</v>
      </c>
      <c r="J22" s="57"/>
      <c r="K22" s="49">
        <f t="shared" si="3"/>
        <v>13.075900000000001</v>
      </c>
      <c r="L22" s="50">
        <f t="shared" si="4"/>
        <v>50664</v>
      </c>
      <c r="N22" s="51">
        <v>5101</v>
      </c>
      <c r="O22" s="52">
        <v>130</v>
      </c>
      <c r="P22" s="53"/>
      <c r="Q22" s="54"/>
      <c r="V22" s="623" t="s">
        <v>55</v>
      </c>
      <c r="W22" s="623"/>
      <c r="X22" s="618">
        <f>IF('3385'!K$84=1,'3385'!G22,0)</f>
        <v>0</v>
      </c>
      <c r="Y22" s="618"/>
      <c r="Z22" s="624">
        <v>1</v>
      </c>
      <c r="AA22" s="624"/>
      <c r="AB22" s="55">
        <f t="shared" si="0"/>
        <v>0</v>
      </c>
      <c r="AC22" s="56">
        <f t="shared" si="1"/>
        <v>0</v>
      </c>
      <c r="AD22" s="9"/>
    </row>
    <row r="23" spans="1:30" x14ac:dyDescent="0.25">
      <c r="A23" s="1" t="s">
        <v>56</v>
      </c>
      <c r="B23" s="13" t="s">
        <v>57</v>
      </c>
      <c r="C23" s="13"/>
      <c r="D23" s="13">
        <v>0</v>
      </c>
      <c r="E23" s="13">
        <v>0</v>
      </c>
      <c r="F23" s="13">
        <v>0</v>
      </c>
      <c r="G23" s="46">
        <f t="shared" si="2"/>
        <v>0</v>
      </c>
      <c r="H23" s="47"/>
      <c r="I23" s="57">
        <f>I22</f>
        <v>1.145</v>
      </c>
      <c r="J23" s="57"/>
      <c r="K23" s="49">
        <f t="shared" si="3"/>
        <v>0</v>
      </c>
      <c r="L23" s="50">
        <f t="shared" si="4"/>
        <v>0</v>
      </c>
      <c r="N23" s="51">
        <v>5102</v>
      </c>
      <c r="O23" s="52">
        <v>130</v>
      </c>
      <c r="P23" s="53"/>
      <c r="Q23" s="54"/>
      <c r="V23" s="623" t="s">
        <v>57</v>
      </c>
      <c r="W23" s="623"/>
      <c r="X23" s="618">
        <f>IF('3385'!K$84=1,'3385'!G23,0)</f>
        <v>0</v>
      </c>
      <c r="Y23" s="618"/>
      <c r="Z23" s="624">
        <v>1</v>
      </c>
      <c r="AA23" s="624"/>
      <c r="AB23" s="55">
        <f t="shared" si="0"/>
        <v>0</v>
      </c>
      <c r="AC23" s="56">
        <f t="shared" si="1"/>
        <v>0</v>
      </c>
      <c r="AD23" s="9"/>
    </row>
    <row r="24" spans="1:30" x14ac:dyDescent="0.25">
      <c r="A24" s="1" t="s">
        <v>58</v>
      </c>
      <c r="B24" s="13" t="s">
        <v>59</v>
      </c>
      <c r="C24" s="13"/>
      <c r="D24" s="13">
        <v>0</v>
      </c>
      <c r="E24" s="13">
        <v>0</v>
      </c>
      <c r="F24" s="13">
        <v>0</v>
      </c>
      <c r="G24" s="46">
        <f t="shared" si="2"/>
        <v>0</v>
      </c>
      <c r="H24" s="47"/>
      <c r="I24" s="57">
        <f>I23</f>
        <v>1.145</v>
      </c>
      <c r="J24" s="57"/>
      <c r="K24" s="49">
        <f t="shared" si="3"/>
        <v>0</v>
      </c>
      <c r="L24" s="50">
        <f t="shared" si="4"/>
        <v>0</v>
      </c>
      <c r="N24" s="51">
        <v>5103</v>
      </c>
      <c r="O24" s="52">
        <v>130</v>
      </c>
      <c r="P24" s="53"/>
      <c r="Q24" s="54"/>
      <c r="V24" s="623" t="s">
        <v>59</v>
      </c>
      <c r="W24" s="623"/>
      <c r="X24" s="618">
        <f>IF('3385'!K$84=1,'3385'!G24,0)</f>
        <v>0</v>
      </c>
      <c r="Y24" s="618"/>
      <c r="Z24" s="624">
        <v>1</v>
      </c>
      <c r="AA24" s="624"/>
      <c r="AB24" s="55">
        <f t="shared" si="0"/>
        <v>0</v>
      </c>
      <c r="AC24" s="56">
        <f t="shared" si="1"/>
        <v>0</v>
      </c>
      <c r="AD24" s="9"/>
    </row>
    <row r="25" spans="1:30" ht="16.5" thickBot="1" x14ac:dyDescent="0.3">
      <c r="A25" s="1" t="s">
        <v>60</v>
      </c>
      <c r="B25" s="13" t="s">
        <v>61</v>
      </c>
      <c r="C25" s="13"/>
      <c r="D25" s="13">
        <v>0</v>
      </c>
      <c r="E25" s="13">
        <v>0</v>
      </c>
      <c r="F25" s="13">
        <v>0</v>
      </c>
      <c r="G25" s="46">
        <f t="shared" si="2"/>
        <v>0</v>
      </c>
      <c r="H25" s="47"/>
      <c r="I25" s="57">
        <v>1.0109999999999999</v>
      </c>
      <c r="J25" s="57"/>
      <c r="K25" s="49">
        <f t="shared" si="3"/>
        <v>0</v>
      </c>
      <c r="L25" s="50">
        <f t="shared" si="4"/>
        <v>0</v>
      </c>
      <c r="N25" s="51">
        <v>5310</v>
      </c>
      <c r="O25" s="52">
        <v>300</v>
      </c>
      <c r="P25" s="53"/>
      <c r="Q25" s="54"/>
      <c r="V25" s="623" t="s">
        <v>61</v>
      </c>
      <c r="W25" s="623"/>
      <c r="X25" s="618">
        <f>IF('3385'!K$84=1,'3385'!G25,0)</f>
        <v>0</v>
      </c>
      <c r="Y25" s="618"/>
      <c r="Z25" s="624">
        <v>1</v>
      </c>
      <c r="AA25" s="624"/>
      <c r="AB25" s="55">
        <f t="shared" si="0"/>
        <v>0</v>
      </c>
      <c r="AC25" s="56">
        <f t="shared" si="1"/>
        <v>0</v>
      </c>
      <c r="AD25" s="9"/>
    </row>
    <row r="26" spans="1:30" ht="20.25" customHeight="1" thickBot="1" x14ac:dyDescent="0.3">
      <c r="B26" s="62" t="s">
        <v>62</v>
      </c>
      <c r="C26" s="62"/>
      <c r="D26" s="63">
        <f t="shared" ref="D26:E26" si="5">SUM(D10:D25)</f>
        <v>382.16</v>
      </c>
      <c r="E26" s="63">
        <f t="shared" si="5"/>
        <v>384.28</v>
      </c>
      <c r="F26" s="63"/>
      <c r="G26" s="63">
        <f>SUM(G10:G25)</f>
        <v>766.44</v>
      </c>
      <c r="H26" s="64"/>
      <c r="I26" s="64"/>
      <c r="J26" s="65"/>
      <c r="K26" s="66">
        <f>SUM(K10:K25)</f>
        <v>812.10720000000003</v>
      </c>
      <c r="L26" s="67">
        <f>SUM(L10:L25)</f>
        <v>3146611</v>
      </c>
      <c r="N26" s="54"/>
      <c r="O26" s="68"/>
      <c r="P26" s="54"/>
      <c r="Q26" s="54"/>
      <c r="V26" s="625" t="s">
        <v>62</v>
      </c>
      <c r="W26" s="625"/>
      <c r="X26" s="626">
        <f>SUM(X10:X25)</f>
        <v>0</v>
      </c>
      <c r="Y26" s="626"/>
      <c r="Z26" s="627"/>
      <c r="AA26" s="628"/>
      <c r="AB26" s="69">
        <f>SUM(AB10:AB25)</f>
        <v>0</v>
      </c>
      <c r="AC26" s="70">
        <f>SUM(AC10:AC25)</f>
        <v>0</v>
      </c>
      <c r="AD26" s="9"/>
    </row>
    <row r="27" spans="1:30" ht="51.75" customHeight="1" x14ac:dyDescent="0.25">
      <c r="B27" s="62" t="s">
        <v>63</v>
      </c>
      <c r="C27" s="62"/>
      <c r="D27" s="71" t="s">
        <v>13</v>
      </c>
      <c r="E27" s="71" t="s">
        <v>14</v>
      </c>
      <c r="F27" s="27"/>
      <c r="G27" s="72" t="s">
        <v>64</v>
      </c>
      <c r="H27" s="73"/>
      <c r="I27" s="74" t="s">
        <v>65</v>
      </c>
      <c r="J27" s="74" t="s">
        <v>66</v>
      </c>
      <c r="K27" s="75" t="s">
        <v>67</v>
      </c>
      <c r="N27" s="54"/>
      <c r="O27" s="68"/>
      <c r="P27" s="54"/>
      <c r="Q27" s="54"/>
      <c r="V27" s="629" t="s">
        <v>63</v>
      </c>
      <c r="W27" s="629"/>
      <c r="X27" s="630" t="s">
        <v>64</v>
      </c>
      <c r="Y27" s="630"/>
      <c r="Z27" s="76" t="s">
        <v>65</v>
      </c>
      <c r="AA27" s="77" t="s">
        <v>66</v>
      </c>
      <c r="AB27" s="78" t="s">
        <v>67</v>
      </c>
      <c r="AC27" s="9"/>
      <c r="AD27" s="9"/>
    </row>
    <row r="28" spans="1:30" ht="15.75" customHeight="1" x14ac:dyDescent="0.25">
      <c r="A28" s="1" t="s">
        <v>68</v>
      </c>
      <c r="B28" s="631" t="s">
        <v>69</v>
      </c>
      <c r="C28" s="632"/>
      <c r="D28" s="13">
        <v>10.52</v>
      </c>
      <c r="E28" s="13">
        <v>10.58</v>
      </c>
      <c r="F28" s="79">
        <v>10.5</v>
      </c>
      <c r="G28" s="46">
        <f t="shared" ref="G28:G36" si="6">D28+E28</f>
        <v>21.1</v>
      </c>
      <c r="H28" s="80"/>
      <c r="I28" s="81" t="s">
        <v>70</v>
      </c>
      <c r="J28" s="82">
        <v>251</v>
      </c>
      <c r="K28" s="83">
        <v>1047</v>
      </c>
      <c r="L28" s="84">
        <f>ROUND(G28*K28,0)</f>
        <v>22092</v>
      </c>
      <c r="N28" s="85">
        <v>5101</v>
      </c>
      <c r="O28" s="54">
        <v>251</v>
      </c>
      <c r="P28" s="86"/>
      <c r="Q28" s="87"/>
      <c r="V28" s="637" t="s">
        <v>69</v>
      </c>
      <c r="W28" s="637"/>
      <c r="X28" s="638"/>
      <c r="Y28" s="638"/>
      <c r="Z28" s="88" t="s">
        <v>70</v>
      </c>
      <c r="AA28" s="89">
        <v>251</v>
      </c>
      <c r="AB28" s="90">
        <f>+K28</f>
        <v>1047</v>
      </c>
      <c r="AC28" s="91">
        <f t="shared" ref="AC28:AC36" si="7">ROUND(X28*AB28,0)</f>
        <v>0</v>
      </c>
      <c r="AD28" s="9"/>
    </row>
    <row r="29" spans="1:30" x14ac:dyDescent="0.25">
      <c r="A29" s="1" t="s">
        <v>71</v>
      </c>
      <c r="B29" s="633"/>
      <c r="C29" s="634"/>
      <c r="D29" s="13">
        <v>1.5</v>
      </c>
      <c r="E29" s="13">
        <v>1.5</v>
      </c>
      <c r="F29" s="92">
        <v>0</v>
      </c>
      <c r="G29" s="46">
        <f t="shared" si="6"/>
        <v>3</v>
      </c>
      <c r="H29" s="80"/>
      <c r="I29" s="82" t="s">
        <v>70</v>
      </c>
      <c r="J29" s="82">
        <v>252</v>
      </c>
      <c r="K29" s="83">
        <v>3380</v>
      </c>
      <c r="L29" s="84">
        <f t="shared" ref="L29:L36" si="8">ROUND(G29*K29,0)</f>
        <v>10140</v>
      </c>
      <c r="N29" s="85">
        <v>5101</v>
      </c>
      <c r="O29" s="54">
        <v>252</v>
      </c>
      <c r="P29" s="86"/>
      <c r="Q29" s="87"/>
      <c r="V29" s="637"/>
      <c r="W29" s="637"/>
      <c r="X29" s="638"/>
      <c r="Y29" s="638"/>
      <c r="Z29" s="89" t="s">
        <v>70</v>
      </c>
      <c r="AA29" s="89">
        <v>252</v>
      </c>
      <c r="AB29" s="90">
        <f t="shared" ref="AB29:AB36" si="9">+K29</f>
        <v>3380</v>
      </c>
      <c r="AC29" s="91">
        <f t="shared" si="7"/>
        <v>0</v>
      </c>
      <c r="AD29" s="9"/>
    </row>
    <row r="30" spans="1:30" x14ac:dyDescent="0.25">
      <c r="A30" s="1" t="s">
        <v>72</v>
      </c>
      <c r="B30" s="633"/>
      <c r="C30" s="634"/>
      <c r="D30" s="13">
        <v>0</v>
      </c>
      <c r="E30" s="13">
        <v>0</v>
      </c>
      <c r="F30" s="92">
        <v>0</v>
      </c>
      <c r="G30" s="46">
        <f t="shared" si="6"/>
        <v>0</v>
      </c>
      <c r="H30" s="80"/>
      <c r="I30" s="82" t="s">
        <v>70</v>
      </c>
      <c r="J30" s="82">
        <v>253</v>
      </c>
      <c r="K30" s="83">
        <v>6896</v>
      </c>
      <c r="L30" s="84">
        <f t="shared" si="8"/>
        <v>0</v>
      </c>
      <c r="N30" s="85">
        <v>5101</v>
      </c>
      <c r="O30" s="54">
        <v>253</v>
      </c>
      <c r="P30" s="86"/>
      <c r="Q30" s="68"/>
      <c r="V30" s="637"/>
      <c r="W30" s="637"/>
      <c r="X30" s="638"/>
      <c r="Y30" s="638"/>
      <c r="Z30" s="89" t="s">
        <v>70</v>
      </c>
      <c r="AA30" s="89">
        <v>253</v>
      </c>
      <c r="AB30" s="90">
        <f t="shared" si="9"/>
        <v>6896</v>
      </c>
      <c r="AC30" s="91">
        <f t="shared" si="7"/>
        <v>0</v>
      </c>
      <c r="AD30" s="9"/>
    </row>
    <row r="31" spans="1:30" x14ac:dyDescent="0.25">
      <c r="A31" s="1" t="s">
        <v>73</v>
      </c>
      <c r="B31" s="633"/>
      <c r="C31" s="634"/>
      <c r="D31" s="13">
        <v>24.49</v>
      </c>
      <c r="E31" s="13">
        <v>23.62</v>
      </c>
      <c r="F31" s="92">
        <v>19</v>
      </c>
      <c r="G31" s="46">
        <f t="shared" si="6"/>
        <v>48.11</v>
      </c>
      <c r="H31" s="80"/>
      <c r="I31" s="93" t="s">
        <v>74</v>
      </c>
      <c r="J31" s="82">
        <v>251</v>
      </c>
      <c r="K31" s="83">
        <v>1173</v>
      </c>
      <c r="L31" s="84">
        <f t="shared" si="8"/>
        <v>56433</v>
      </c>
      <c r="N31" s="85">
        <v>5102</v>
      </c>
      <c r="O31" s="54">
        <v>251</v>
      </c>
      <c r="P31" s="86"/>
      <c r="Q31" s="68"/>
      <c r="V31" s="637"/>
      <c r="W31" s="637"/>
      <c r="X31" s="638"/>
      <c r="Y31" s="638"/>
      <c r="Z31" s="94" t="s">
        <v>74</v>
      </c>
      <c r="AA31" s="89">
        <v>251</v>
      </c>
      <c r="AB31" s="90">
        <f t="shared" si="9"/>
        <v>1173</v>
      </c>
      <c r="AC31" s="91">
        <f t="shared" si="7"/>
        <v>0</v>
      </c>
      <c r="AD31" s="9"/>
    </row>
    <row r="32" spans="1:30" x14ac:dyDescent="0.25">
      <c r="A32" s="1" t="s">
        <v>75</v>
      </c>
      <c r="B32" s="633"/>
      <c r="C32" s="634"/>
      <c r="D32" s="13">
        <v>1.5</v>
      </c>
      <c r="E32" s="13">
        <v>1.5</v>
      </c>
      <c r="F32" s="92">
        <v>1</v>
      </c>
      <c r="G32" s="46">
        <f t="shared" si="6"/>
        <v>3</v>
      </c>
      <c r="H32" s="80"/>
      <c r="I32" s="93" t="s">
        <v>74</v>
      </c>
      <c r="J32" s="82">
        <v>252</v>
      </c>
      <c r="K32" s="83">
        <v>3506</v>
      </c>
      <c r="L32" s="84">
        <f t="shared" si="8"/>
        <v>10518</v>
      </c>
      <c r="N32" s="85">
        <v>5102</v>
      </c>
      <c r="O32" s="54">
        <v>252</v>
      </c>
      <c r="P32" s="86"/>
      <c r="Q32" s="54"/>
      <c r="V32" s="637"/>
      <c r="W32" s="637"/>
      <c r="X32" s="638"/>
      <c r="Y32" s="638"/>
      <c r="Z32" s="94" t="s">
        <v>74</v>
      </c>
      <c r="AA32" s="89">
        <v>252</v>
      </c>
      <c r="AB32" s="90">
        <f t="shared" si="9"/>
        <v>3506</v>
      </c>
      <c r="AC32" s="91">
        <f t="shared" si="7"/>
        <v>0</v>
      </c>
      <c r="AD32" s="9"/>
    </row>
    <row r="33" spans="1:30" x14ac:dyDescent="0.25">
      <c r="A33" s="1" t="s">
        <v>76</v>
      </c>
      <c r="B33" s="633"/>
      <c r="C33" s="634"/>
      <c r="D33" s="13">
        <v>0</v>
      </c>
      <c r="E33" s="13">
        <v>0</v>
      </c>
      <c r="F33" s="92">
        <v>0</v>
      </c>
      <c r="G33" s="46">
        <f t="shared" si="6"/>
        <v>0</v>
      </c>
      <c r="H33" s="80"/>
      <c r="I33" s="93" t="s">
        <v>74</v>
      </c>
      <c r="J33" s="82">
        <v>253</v>
      </c>
      <c r="K33" s="83">
        <v>7023</v>
      </c>
      <c r="L33" s="84">
        <f t="shared" si="8"/>
        <v>0</v>
      </c>
      <c r="N33" s="85">
        <v>5102</v>
      </c>
      <c r="O33" s="54">
        <v>253</v>
      </c>
      <c r="P33" s="86"/>
      <c r="Q33" s="87"/>
      <c r="V33" s="637"/>
      <c r="W33" s="637"/>
      <c r="X33" s="638"/>
      <c r="Y33" s="638"/>
      <c r="Z33" s="94" t="s">
        <v>74</v>
      </c>
      <c r="AA33" s="89">
        <v>253</v>
      </c>
      <c r="AB33" s="90">
        <f t="shared" si="9"/>
        <v>7023</v>
      </c>
      <c r="AC33" s="91">
        <f t="shared" si="7"/>
        <v>0</v>
      </c>
      <c r="AD33" s="9"/>
    </row>
    <row r="34" spans="1:30" x14ac:dyDescent="0.25">
      <c r="A34" s="1" t="s">
        <v>77</v>
      </c>
      <c r="B34" s="633"/>
      <c r="C34" s="634"/>
      <c r="D34" s="13">
        <v>0</v>
      </c>
      <c r="E34" s="13">
        <v>0</v>
      </c>
      <c r="F34" s="92">
        <v>0</v>
      </c>
      <c r="G34" s="46">
        <f t="shared" si="6"/>
        <v>0</v>
      </c>
      <c r="H34" s="80"/>
      <c r="I34" s="93" t="s">
        <v>78</v>
      </c>
      <c r="J34" s="82">
        <v>251</v>
      </c>
      <c r="K34" s="83">
        <v>835</v>
      </c>
      <c r="L34" s="84">
        <f t="shared" si="8"/>
        <v>0</v>
      </c>
      <c r="N34" s="85">
        <v>5103</v>
      </c>
      <c r="O34" s="54">
        <v>251</v>
      </c>
      <c r="P34" s="86"/>
      <c r="Q34" s="87"/>
      <c r="V34" s="637"/>
      <c r="W34" s="637"/>
      <c r="X34" s="638"/>
      <c r="Y34" s="638"/>
      <c r="Z34" s="94" t="s">
        <v>78</v>
      </c>
      <c r="AA34" s="89">
        <v>251</v>
      </c>
      <c r="AB34" s="90">
        <f t="shared" si="9"/>
        <v>835</v>
      </c>
      <c r="AC34" s="91">
        <f t="shared" si="7"/>
        <v>0</v>
      </c>
      <c r="AD34" s="9"/>
    </row>
    <row r="35" spans="1:30" x14ac:dyDescent="0.25">
      <c r="A35" s="1" t="s">
        <v>79</v>
      </c>
      <c r="B35" s="633"/>
      <c r="C35" s="634"/>
      <c r="D35" s="13">
        <v>0</v>
      </c>
      <c r="E35" s="13">
        <v>0</v>
      </c>
      <c r="F35" s="92">
        <v>0</v>
      </c>
      <c r="G35" s="46">
        <f t="shared" si="6"/>
        <v>0</v>
      </c>
      <c r="H35" s="80"/>
      <c r="I35" s="93" t="s">
        <v>78</v>
      </c>
      <c r="J35" s="82">
        <v>252</v>
      </c>
      <c r="K35" s="83">
        <v>3168</v>
      </c>
      <c r="L35" s="84">
        <f t="shared" si="8"/>
        <v>0</v>
      </c>
      <c r="N35" s="85">
        <v>5103</v>
      </c>
      <c r="O35" s="54">
        <v>252</v>
      </c>
      <c r="P35" s="86"/>
      <c r="Q35" s="95"/>
      <c r="V35" s="637"/>
      <c r="W35" s="637"/>
      <c r="X35" s="638"/>
      <c r="Y35" s="638"/>
      <c r="Z35" s="94" t="s">
        <v>78</v>
      </c>
      <c r="AA35" s="89">
        <v>252</v>
      </c>
      <c r="AB35" s="90">
        <f t="shared" si="9"/>
        <v>3168</v>
      </c>
      <c r="AC35" s="91">
        <f t="shared" si="7"/>
        <v>0</v>
      </c>
      <c r="AD35" s="9"/>
    </row>
    <row r="36" spans="1:30" ht="16.5" thickBot="1" x14ac:dyDescent="0.3">
      <c r="A36" s="1" t="s">
        <v>80</v>
      </c>
      <c r="B36" s="635"/>
      <c r="C36" s="636"/>
      <c r="D36" s="13">
        <v>0</v>
      </c>
      <c r="E36" s="13">
        <v>0</v>
      </c>
      <c r="F36" s="92">
        <v>0</v>
      </c>
      <c r="G36" s="46">
        <f t="shared" si="6"/>
        <v>0</v>
      </c>
      <c r="H36" s="80"/>
      <c r="I36" s="93" t="s">
        <v>78</v>
      </c>
      <c r="J36" s="82">
        <v>253</v>
      </c>
      <c r="K36" s="83">
        <v>6685</v>
      </c>
      <c r="L36" s="96">
        <f t="shared" si="8"/>
        <v>0</v>
      </c>
      <c r="N36" s="85">
        <v>5103</v>
      </c>
      <c r="O36" s="54">
        <v>253</v>
      </c>
      <c r="P36" s="86"/>
      <c r="Q36" s="97"/>
      <c r="V36" s="637"/>
      <c r="W36" s="637"/>
      <c r="X36" s="645"/>
      <c r="Y36" s="645"/>
      <c r="Z36" s="94" t="s">
        <v>78</v>
      </c>
      <c r="AA36" s="89">
        <v>253</v>
      </c>
      <c r="AB36" s="90">
        <f t="shared" si="9"/>
        <v>6685</v>
      </c>
      <c r="AC36" s="98">
        <f t="shared" si="7"/>
        <v>0</v>
      </c>
      <c r="AD36" s="9"/>
    </row>
    <row r="37" spans="1:30" ht="18.75" customHeight="1" x14ac:dyDescent="0.25">
      <c r="B37" s="13" t="s">
        <v>81</v>
      </c>
      <c r="C37" s="13"/>
      <c r="D37" s="63">
        <f t="shared" ref="D37:E37" si="10">SUM(D28:D36)</f>
        <v>38.01</v>
      </c>
      <c r="E37" s="63">
        <f t="shared" si="10"/>
        <v>37.200000000000003</v>
      </c>
      <c r="F37" s="63"/>
      <c r="G37" s="63">
        <f>SUM(G28:G36)</f>
        <v>75.210000000000008</v>
      </c>
      <c r="H37" s="64"/>
      <c r="I37" s="13" t="s">
        <v>82</v>
      </c>
      <c r="J37" s="13"/>
      <c r="K37" s="13"/>
      <c r="L37" s="50">
        <f>SUM(L28:L36)</f>
        <v>99183</v>
      </c>
      <c r="N37" s="54"/>
      <c r="O37" s="68"/>
      <c r="P37" s="54"/>
      <c r="Q37" s="54"/>
      <c r="V37" s="646" t="s">
        <v>81</v>
      </c>
      <c r="W37" s="646"/>
      <c r="X37" s="626">
        <f>SUM(X28:X36)</f>
        <v>0</v>
      </c>
      <c r="Y37" s="626"/>
      <c r="Z37" s="646" t="s">
        <v>82</v>
      </c>
      <c r="AA37" s="646"/>
      <c r="AB37" s="646"/>
      <c r="AC37" s="56">
        <f>SUM(AC28:AC36)</f>
        <v>0</v>
      </c>
      <c r="AD37" s="9"/>
    </row>
    <row r="38" spans="1:30" ht="30.75" customHeight="1" x14ac:dyDescent="0.25">
      <c r="B38" s="99" t="s">
        <v>83</v>
      </c>
      <c r="C38" s="99"/>
      <c r="D38" s="99"/>
      <c r="E38" s="99"/>
      <c r="F38" s="99"/>
      <c r="G38" s="99"/>
      <c r="H38" s="100"/>
      <c r="I38" s="99"/>
      <c r="J38" s="99"/>
      <c r="K38" s="99"/>
      <c r="L38" s="99"/>
      <c r="M38" s="101"/>
      <c r="N38" s="54"/>
      <c r="O38" s="68"/>
      <c r="P38" s="54"/>
      <c r="Q38" s="54"/>
      <c r="V38" s="639" t="s">
        <v>83</v>
      </c>
      <c r="W38" s="639"/>
      <c r="X38" s="639"/>
      <c r="Y38" s="639"/>
      <c r="Z38" s="639"/>
      <c r="AA38" s="639"/>
      <c r="AB38" s="639"/>
      <c r="AC38" s="639"/>
      <c r="AD38" s="102"/>
    </row>
    <row r="39" spans="1:30" ht="15.75" customHeight="1" x14ac:dyDescent="0.25">
      <c r="B39" s="103" t="s">
        <v>84</v>
      </c>
      <c r="C39" s="103"/>
      <c r="D39" s="103"/>
      <c r="E39" s="103"/>
      <c r="F39" s="103"/>
      <c r="G39" s="104">
        <v>34389540</v>
      </c>
      <c r="H39" s="104"/>
      <c r="I39" s="13" t="s">
        <v>85</v>
      </c>
      <c r="J39" s="13"/>
      <c r="K39" s="13"/>
      <c r="L39" s="13"/>
      <c r="O39" s="1"/>
      <c r="V39" s="640" t="s">
        <v>84</v>
      </c>
      <c r="W39" s="640"/>
      <c r="X39" s="641">
        <f>+G39</f>
        <v>34389540</v>
      </c>
      <c r="Y39" s="641"/>
      <c r="Z39" s="642" t="s">
        <v>85</v>
      </c>
      <c r="AA39" s="642"/>
      <c r="AB39" s="642"/>
      <c r="AC39" s="642"/>
      <c r="AD39" s="9"/>
    </row>
    <row r="40" spans="1:30" ht="15.75" customHeight="1" x14ac:dyDescent="0.25">
      <c r="B40" s="105" t="s">
        <v>86</v>
      </c>
      <c r="C40" s="105"/>
      <c r="D40" s="105"/>
      <c r="E40" s="105"/>
      <c r="F40" s="105"/>
      <c r="G40" s="106">
        <v>180284.81</v>
      </c>
      <c r="H40" s="106"/>
      <c r="I40" s="106"/>
      <c r="J40" s="106"/>
      <c r="K40" s="50">
        <f>ROUND(G39/G40,0)</f>
        <v>191</v>
      </c>
      <c r="L40" s="50">
        <f>ROUND(K40*$G$26,0)</f>
        <v>146390</v>
      </c>
      <c r="N40" s="107"/>
      <c r="O40" s="107"/>
      <c r="P40" s="107"/>
      <c r="Q40" s="107"/>
      <c r="V40" s="643" t="s">
        <v>86</v>
      </c>
      <c r="W40" s="643"/>
      <c r="X40" s="644">
        <f>+G40</f>
        <v>180284.81</v>
      </c>
      <c r="Y40" s="644"/>
      <c r="Z40" s="644"/>
      <c r="AA40" s="644"/>
      <c r="AB40" s="56">
        <f>ROUND(X39/X40,0)</f>
        <v>191</v>
      </c>
      <c r="AC40" s="56">
        <f>ROUND(AB40*$X$26,0)</f>
        <v>0</v>
      </c>
      <c r="AD40" s="9"/>
    </row>
    <row r="41" spans="1:30" ht="15.75" customHeight="1" x14ac:dyDescent="0.25">
      <c r="B41" s="108" t="s">
        <v>87</v>
      </c>
      <c r="C41" s="108"/>
      <c r="D41" s="108"/>
      <c r="E41" s="108"/>
      <c r="F41" s="108"/>
      <c r="G41" s="108"/>
      <c r="H41" s="108"/>
      <c r="I41" s="108"/>
      <c r="J41" s="108"/>
      <c r="K41" s="108"/>
      <c r="L41" s="108"/>
      <c r="N41" s="101"/>
      <c r="O41" s="109"/>
      <c r="P41" s="101"/>
      <c r="Q41" s="101"/>
      <c r="V41" s="652" t="s">
        <v>87</v>
      </c>
      <c r="W41" s="652"/>
      <c r="X41" s="652"/>
      <c r="Y41" s="652"/>
      <c r="Z41" s="652"/>
      <c r="AA41" s="652"/>
      <c r="AB41" s="652"/>
      <c r="AC41" s="652"/>
      <c r="AD41" s="9"/>
    </row>
    <row r="42" spans="1:30" ht="28.5" customHeight="1" x14ac:dyDescent="0.25">
      <c r="B42" s="99" t="s">
        <v>88</v>
      </c>
      <c r="C42" s="99"/>
      <c r="D42" s="99"/>
      <c r="E42" s="99"/>
      <c r="F42" s="99"/>
      <c r="G42" s="99"/>
      <c r="H42" s="99"/>
      <c r="I42" s="99"/>
      <c r="J42" s="99"/>
      <c r="K42" s="99"/>
      <c r="L42" s="99"/>
      <c r="M42" s="107"/>
      <c r="O42" s="1"/>
      <c r="V42" s="639" t="s">
        <v>88</v>
      </c>
      <c r="W42" s="639"/>
      <c r="X42" s="639"/>
      <c r="Y42" s="639"/>
      <c r="Z42" s="639"/>
      <c r="AA42" s="639"/>
      <c r="AB42" s="639"/>
      <c r="AC42" s="639"/>
      <c r="AD42" s="110"/>
    </row>
    <row r="43" spans="1:30" x14ac:dyDescent="0.25">
      <c r="B43" s="111" t="s">
        <v>89</v>
      </c>
      <c r="C43" s="111"/>
      <c r="D43" s="111"/>
      <c r="E43" s="111"/>
      <c r="F43" s="111"/>
      <c r="G43" s="111"/>
      <c r="H43" s="111"/>
      <c r="I43" s="111"/>
      <c r="J43" s="111"/>
      <c r="K43" s="111"/>
      <c r="L43" s="111"/>
      <c r="M43" s="112"/>
      <c r="N43" s="101"/>
      <c r="O43" s="101"/>
      <c r="P43" s="101"/>
      <c r="Q43" s="101"/>
      <c r="V43" s="653" t="s">
        <v>89</v>
      </c>
      <c r="W43" s="653"/>
      <c r="X43" s="653"/>
      <c r="Y43" s="653"/>
      <c r="Z43" s="653"/>
      <c r="AA43" s="653"/>
      <c r="AB43" s="653"/>
      <c r="AC43" s="653"/>
      <c r="AD43" s="113"/>
    </row>
    <row r="44" spans="1:30" ht="24" customHeight="1" x14ac:dyDescent="0.25">
      <c r="B44" s="62" t="s">
        <v>90</v>
      </c>
      <c r="C44" s="62"/>
      <c r="D44" s="62"/>
      <c r="E44" s="62"/>
      <c r="F44" s="62"/>
      <c r="G44" s="62"/>
      <c r="H44" s="62"/>
      <c r="I44" s="62"/>
      <c r="J44" s="62"/>
      <c r="K44" s="62"/>
      <c r="L44" s="114">
        <f>SUM(L26,L37,L40)</f>
        <v>3392184</v>
      </c>
      <c r="O44" s="1"/>
      <c r="V44" s="654" t="s">
        <v>90</v>
      </c>
      <c r="W44" s="654"/>
      <c r="X44" s="654"/>
      <c r="Y44" s="654"/>
      <c r="Z44" s="654"/>
      <c r="AA44" s="654"/>
      <c r="AB44" s="654"/>
      <c r="AC44" s="115">
        <f>SUM(AC26,AC37,AC40)</f>
        <v>0</v>
      </c>
      <c r="AD44" s="9"/>
    </row>
    <row r="45" spans="1:30" ht="30.75" customHeight="1" x14ac:dyDescent="0.25">
      <c r="B45" s="99" t="s">
        <v>91</v>
      </c>
      <c r="C45" s="99"/>
      <c r="D45" s="99"/>
      <c r="E45" s="99"/>
      <c r="F45" s="99"/>
      <c r="G45" s="99"/>
      <c r="H45" s="99"/>
      <c r="I45" s="99"/>
      <c r="J45" s="99"/>
      <c r="K45" s="99"/>
      <c r="L45" s="99"/>
      <c r="M45" s="116"/>
      <c r="O45" s="1"/>
      <c r="V45" s="639" t="s">
        <v>91</v>
      </c>
      <c r="W45" s="639"/>
      <c r="X45" s="639"/>
      <c r="Y45" s="639"/>
      <c r="Z45" s="639"/>
      <c r="AA45" s="639"/>
      <c r="AB45" s="639"/>
      <c r="AC45" s="639"/>
      <c r="AD45" s="117"/>
    </row>
    <row r="46" spans="1:30" ht="18.75" customHeight="1" x14ac:dyDescent="0.25">
      <c r="B46" s="1"/>
      <c r="C46" s="118" t="s">
        <v>92</v>
      </c>
      <c r="D46" s="118"/>
      <c r="E46" s="118"/>
      <c r="F46" s="118"/>
      <c r="G46" s="118" t="s">
        <v>93</v>
      </c>
      <c r="H46" s="119"/>
      <c r="I46" s="120" t="s">
        <v>94</v>
      </c>
      <c r="J46" s="121"/>
      <c r="K46" s="121"/>
      <c r="L46" s="121"/>
      <c r="M46" s="122"/>
      <c r="O46" s="1"/>
      <c r="V46" s="9"/>
      <c r="W46" s="123" t="s">
        <v>92</v>
      </c>
      <c r="X46" s="655" t="s">
        <v>95</v>
      </c>
      <c r="Y46" s="655"/>
      <c r="Z46" s="656" t="s">
        <v>94</v>
      </c>
      <c r="AA46" s="656"/>
      <c r="AB46" s="656"/>
      <c r="AC46" s="656"/>
      <c r="AD46" s="124"/>
    </row>
    <row r="47" spans="1:30" ht="18.75" customHeight="1" x14ac:dyDescent="0.25">
      <c r="B47" s="107" t="s">
        <v>96</v>
      </c>
      <c r="C47" s="125">
        <f>K10+K11+K16+K19+K22</f>
        <v>409.17720000000003</v>
      </c>
      <c r="D47" s="125"/>
      <c r="E47" s="125"/>
      <c r="F47" s="125"/>
      <c r="G47" s="126">
        <f>K7</f>
        <v>1.0326</v>
      </c>
      <c r="H47" s="126"/>
      <c r="I47" s="127">
        <v>1316.85</v>
      </c>
      <c r="J47" s="128" t="s">
        <v>97</v>
      </c>
      <c r="K47" s="129">
        <f>ROUND(C47*G47*I47,0)</f>
        <v>556391</v>
      </c>
      <c r="L47" s="130"/>
      <c r="O47" s="1"/>
      <c r="V47" s="110" t="s">
        <v>96</v>
      </c>
      <c r="W47" s="131">
        <f>AB10+AB11+AB16+AB19+AB22</f>
        <v>0</v>
      </c>
      <c r="X47" s="647">
        <f>AB7</f>
        <v>1.0326</v>
      </c>
      <c r="Y47" s="647"/>
      <c r="Z47" s="132">
        <f>+I47</f>
        <v>1316.85</v>
      </c>
      <c r="AA47" s="133" t="s">
        <v>97</v>
      </c>
      <c r="AB47" s="134">
        <f>ROUND(W47*X47*Z47,0)</f>
        <v>0</v>
      </c>
      <c r="AC47" s="135"/>
      <c r="AD47" s="9"/>
    </row>
    <row r="48" spans="1:30" ht="18" customHeight="1" x14ac:dyDescent="0.25">
      <c r="B48" s="136" t="s">
        <v>74</v>
      </c>
      <c r="C48" s="125">
        <f>K12+K13+K17+K20+K23</f>
        <v>402.93</v>
      </c>
      <c r="D48" s="125"/>
      <c r="E48" s="125"/>
      <c r="F48" s="125"/>
      <c r="G48" s="126">
        <f>K7</f>
        <v>1.0326</v>
      </c>
      <c r="H48" s="126"/>
      <c r="I48" s="127">
        <v>898.23</v>
      </c>
      <c r="J48" s="128" t="s">
        <v>97</v>
      </c>
      <c r="K48" s="129">
        <f>ROUND(C48*G48*I48,0)</f>
        <v>373723</v>
      </c>
      <c r="L48" s="62"/>
      <c r="O48" s="1"/>
      <c r="V48" s="137" t="s">
        <v>74</v>
      </c>
      <c r="W48" s="131">
        <f>AB12+AB13+AB17+AB20+AB23</f>
        <v>0</v>
      </c>
      <c r="X48" s="647">
        <f>AB7</f>
        <v>1.0326</v>
      </c>
      <c r="Y48" s="647"/>
      <c r="Z48" s="132">
        <f>+I48</f>
        <v>898.23</v>
      </c>
      <c r="AA48" s="133" t="s">
        <v>97</v>
      </c>
      <c r="AB48" s="134">
        <f>ROUND(W48*X48*Z48,0)</f>
        <v>0</v>
      </c>
      <c r="AC48" s="138"/>
      <c r="AD48" s="9"/>
    </row>
    <row r="49" spans="2:30" ht="19.5" customHeight="1" thickBot="1" x14ac:dyDescent="0.3">
      <c r="B49" s="139" t="s">
        <v>78</v>
      </c>
      <c r="C49" s="140">
        <f>K14+K15+K18+K21+K24+K25</f>
        <v>0</v>
      </c>
      <c r="D49" s="125"/>
      <c r="E49" s="125"/>
      <c r="F49" s="125"/>
      <c r="G49" s="126">
        <f>K7</f>
        <v>1.0326</v>
      </c>
      <c r="H49" s="126"/>
      <c r="I49" s="127">
        <v>900.39</v>
      </c>
      <c r="J49" s="128" t="s">
        <v>97</v>
      </c>
      <c r="K49" s="129">
        <f>ROUND(C49*G49*I49,0)</f>
        <v>0</v>
      </c>
      <c r="L49" s="62"/>
      <c r="M49" s="112"/>
      <c r="N49" s="141"/>
      <c r="O49" s="142"/>
      <c r="P49" s="101"/>
      <c r="Q49" s="143"/>
      <c r="V49" s="144" t="s">
        <v>78</v>
      </c>
      <c r="W49" s="145">
        <f>AB14+AB15+AB18+AB21+AB24+AB25</f>
        <v>0</v>
      </c>
      <c r="X49" s="647">
        <f>AB7</f>
        <v>1.0326</v>
      </c>
      <c r="Y49" s="647"/>
      <c r="Z49" s="132">
        <f>+I49</f>
        <v>900.39</v>
      </c>
      <c r="AA49" s="133" t="s">
        <v>97</v>
      </c>
      <c r="AB49" s="134">
        <f>ROUND(W49*X49*Z49,0)</f>
        <v>0</v>
      </c>
      <c r="AC49" s="138"/>
      <c r="AD49" s="113"/>
    </row>
    <row r="50" spans="2:30" ht="24" customHeight="1" thickBot="1" x14ac:dyDescent="0.3">
      <c r="B50" s="146" t="s">
        <v>98</v>
      </c>
      <c r="C50" s="147">
        <f>SUM(C47:C49)</f>
        <v>812.10720000000003</v>
      </c>
      <c r="D50" s="148"/>
      <c r="E50" s="149"/>
      <c r="F50" s="149"/>
      <c r="G50" s="150" t="s">
        <v>99</v>
      </c>
      <c r="H50" s="150"/>
      <c r="I50" s="150"/>
      <c r="J50" s="150"/>
      <c r="K50" s="150"/>
      <c r="L50" s="50">
        <f>IF(B2=75,0,K49+K48+K47)</f>
        <v>930114</v>
      </c>
      <c r="N50" s="3"/>
      <c r="O50" s="1"/>
      <c r="V50" s="151" t="s">
        <v>98</v>
      </c>
      <c r="W50" s="152">
        <f>SUM(W47:W49)</f>
        <v>0</v>
      </c>
      <c r="X50" s="648" t="s">
        <v>99</v>
      </c>
      <c r="Y50" s="649"/>
      <c r="Z50" s="649"/>
      <c r="AA50" s="649"/>
      <c r="AB50" s="649"/>
      <c r="AC50" s="56">
        <f>IF(V2=75,0,AB49+AB48+AB47)</f>
        <v>0</v>
      </c>
      <c r="AD50" s="9"/>
    </row>
    <row r="51" spans="2:30" ht="19.5" customHeight="1" x14ac:dyDescent="0.25">
      <c r="B51" s="153" t="s">
        <v>100</v>
      </c>
      <c r="C51" s="153"/>
      <c r="D51" s="153"/>
      <c r="E51" s="153"/>
      <c r="F51" s="153"/>
      <c r="G51" s="153"/>
      <c r="H51" s="153"/>
      <c r="I51" s="153"/>
      <c r="J51" s="153"/>
      <c r="K51" s="153"/>
      <c r="L51" s="153"/>
      <c r="M51" s="141"/>
      <c r="N51" s="101"/>
      <c r="O51" s="1"/>
      <c r="V51" s="650" t="s">
        <v>100</v>
      </c>
      <c r="W51" s="650"/>
      <c r="X51" s="650"/>
      <c r="Y51" s="650"/>
      <c r="Z51" s="650"/>
      <c r="AA51" s="650"/>
      <c r="AB51" s="650"/>
      <c r="AC51" s="650"/>
      <c r="AD51" s="154"/>
    </row>
    <row r="52" spans="2:30" ht="27.75" customHeight="1" x14ac:dyDescent="0.25">
      <c r="B52" s="13" t="s">
        <v>101</v>
      </c>
      <c r="C52" s="13"/>
      <c r="D52" s="13"/>
      <c r="E52" s="13"/>
      <c r="F52" s="13"/>
      <c r="G52" s="13"/>
      <c r="H52" s="13"/>
      <c r="I52" s="13"/>
      <c r="J52" s="13"/>
      <c r="K52" s="13"/>
      <c r="L52" s="13"/>
      <c r="O52" s="1"/>
      <c r="V52" s="651" t="s">
        <v>101</v>
      </c>
      <c r="W52" s="651"/>
      <c r="X52" s="651"/>
      <c r="Y52" s="651"/>
      <c r="Z52" s="651"/>
      <c r="AA52" s="651"/>
      <c r="AB52" s="651"/>
      <c r="AC52" s="651"/>
      <c r="AD52" s="9"/>
    </row>
    <row r="53" spans="2:30" x14ac:dyDescent="0.25">
      <c r="B53" s="13" t="s">
        <v>102</v>
      </c>
      <c r="C53" s="13"/>
      <c r="D53" s="13"/>
      <c r="E53" s="13"/>
      <c r="F53" s="13"/>
      <c r="G53" s="155">
        <f>K26</f>
        <v>812.10720000000003</v>
      </c>
      <c r="H53" s="57" t="s">
        <v>103</v>
      </c>
      <c r="I53" s="57"/>
      <c r="J53" s="156">
        <v>197823.77</v>
      </c>
      <c r="K53" s="156"/>
      <c r="L53" s="156"/>
      <c r="N53" s="3"/>
      <c r="O53" s="1"/>
      <c r="V53" s="657" t="s">
        <v>102</v>
      </c>
      <c r="W53" s="657"/>
      <c r="X53" s="157">
        <f>AB26</f>
        <v>0</v>
      </c>
      <c r="Y53" s="658" t="s">
        <v>103</v>
      </c>
      <c r="Z53" s="658"/>
      <c r="AA53" s="659">
        <f>+J53</f>
        <v>197823.77</v>
      </c>
      <c r="AB53" s="659"/>
      <c r="AC53" s="659"/>
      <c r="AD53" s="9"/>
    </row>
    <row r="54" spans="2:30" x14ac:dyDescent="0.25">
      <c r="B54" s="13" t="s">
        <v>104</v>
      </c>
      <c r="C54" s="13"/>
      <c r="D54" s="13"/>
      <c r="E54" s="13"/>
      <c r="F54" s="13"/>
      <c r="G54" s="13"/>
      <c r="H54" s="13"/>
      <c r="I54" s="13"/>
      <c r="J54" s="13"/>
      <c r="K54" s="158">
        <f>ROUND(G53/J53,6)</f>
        <v>4.1050000000000001E-3</v>
      </c>
      <c r="L54" s="158"/>
      <c r="N54" s="101"/>
      <c r="O54" s="1"/>
      <c r="V54" s="657" t="s">
        <v>104</v>
      </c>
      <c r="W54" s="657"/>
      <c r="X54" s="657"/>
      <c r="Y54" s="657"/>
      <c r="Z54" s="657"/>
      <c r="AA54" s="657"/>
      <c r="AB54" s="660">
        <f>ROUND(X53/AA53,6)</f>
        <v>0</v>
      </c>
      <c r="AC54" s="660"/>
      <c r="AD54" s="9"/>
    </row>
    <row r="55" spans="2:30" ht="24" customHeight="1" x14ac:dyDescent="0.25">
      <c r="B55" s="13" t="s">
        <v>105</v>
      </c>
      <c r="C55" s="13"/>
      <c r="D55" s="13"/>
      <c r="E55" s="13"/>
      <c r="F55" s="13"/>
      <c r="G55" s="13"/>
      <c r="H55" s="13"/>
      <c r="I55" s="13"/>
      <c r="J55" s="13"/>
      <c r="K55" s="13"/>
      <c r="L55" s="13"/>
      <c r="O55" s="1"/>
      <c r="V55" s="651" t="s">
        <v>105</v>
      </c>
      <c r="W55" s="651"/>
      <c r="X55" s="651"/>
      <c r="Y55" s="651"/>
      <c r="Z55" s="651"/>
      <c r="AA55" s="651"/>
      <c r="AB55" s="651"/>
      <c r="AC55" s="651"/>
      <c r="AD55" s="9"/>
    </row>
    <row r="56" spans="2:30" x14ac:dyDescent="0.25">
      <c r="B56" s="13" t="s">
        <v>106</v>
      </c>
      <c r="C56" s="13"/>
      <c r="D56" s="13"/>
      <c r="E56" s="13"/>
      <c r="F56" s="13"/>
      <c r="G56" s="159">
        <f>G26</f>
        <v>766.44</v>
      </c>
      <c r="H56" s="57" t="s">
        <v>107</v>
      </c>
      <c r="I56" s="57"/>
      <c r="J56" s="156">
        <f>+G40</f>
        <v>180284.81</v>
      </c>
      <c r="K56" s="156"/>
      <c r="L56" s="156"/>
      <c r="O56" s="1"/>
      <c r="V56" s="657" t="s">
        <v>106</v>
      </c>
      <c r="W56" s="657"/>
      <c r="X56" s="160">
        <f>X26</f>
        <v>0</v>
      </c>
      <c r="Y56" s="658" t="s">
        <v>107</v>
      </c>
      <c r="Z56" s="658"/>
      <c r="AA56" s="659">
        <f>+J56</f>
        <v>180284.81</v>
      </c>
      <c r="AB56" s="659"/>
      <c r="AC56" s="659"/>
      <c r="AD56" s="9"/>
    </row>
    <row r="57" spans="2:30" x14ac:dyDescent="0.25">
      <c r="B57" s="13" t="s">
        <v>108</v>
      </c>
      <c r="C57" s="13"/>
      <c r="D57" s="13"/>
      <c r="E57" s="13"/>
      <c r="F57" s="13"/>
      <c r="G57" s="13"/>
      <c r="H57" s="13"/>
      <c r="I57" s="13"/>
      <c r="J57" s="13"/>
      <c r="K57" s="158">
        <f>ROUND(G56/J56,6)</f>
        <v>4.2509999999999996E-3</v>
      </c>
      <c r="L57" s="158"/>
      <c r="O57" s="1"/>
      <c r="V57" s="657" t="s">
        <v>108</v>
      </c>
      <c r="W57" s="657"/>
      <c r="X57" s="657"/>
      <c r="Y57" s="657"/>
      <c r="Z57" s="657"/>
      <c r="AA57" s="657"/>
      <c r="AB57" s="660">
        <f>ROUND(X56/AA56,6)</f>
        <v>0</v>
      </c>
      <c r="AC57" s="660"/>
      <c r="AD57" s="9"/>
    </row>
    <row r="58" spans="2:30" ht="20.25" customHeight="1" x14ac:dyDescent="0.25">
      <c r="B58" s="161" t="s">
        <v>109</v>
      </c>
      <c r="C58" s="161"/>
      <c r="D58" s="161"/>
      <c r="E58" s="161"/>
      <c r="F58" s="161"/>
      <c r="G58" s="161"/>
      <c r="H58" s="161"/>
      <c r="I58" s="161"/>
      <c r="J58" s="161"/>
      <c r="K58" s="161"/>
      <c r="L58" s="161"/>
      <c r="N58" s="18"/>
      <c r="O58" s="18"/>
      <c r="V58" s="629" t="s">
        <v>110</v>
      </c>
      <c r="W58" s="629"/>
      <c r="X58" s="629"/>
      <c r="Y58" s="661">
        <f>X65+X64+X62+X61+X60</f>
        <v>4123852</v>
      </c>
      <c r="Z58" s="661"/>
      <c r="AA58" s="162" t="s">
        <v>111</v>
      </c>
      <c r="AB58" s="163">
        <f>AB54</f>
        <v>0</v>
      </c>
      <c r="AC58" s="56">
        <f>ROUND(Y58*AB58,0)</f>
        <v>0</v>
      </c>
      <c r="AD58" s="9"/>
    </row>
    <row r="59" spans="2:30" x14ac:dyDescent="0.25">
      <c r="B59" s="62" t="s">
        <v>110</v>
      </c>
      <c r="C59" s="62"/>
      <c r="D59" s="62"/>
      <c r="E59" s="62"/>
      <c r="F59" s="62"/>
      <c r="G59" s="62"/>
      <c r="H59" s="164" t="s">
        <v>22</v>
      </c>
      <c r="I59" s="129">
        <v>4123852</v>
      </c>
      <c r="J59" s="165" t="s">
        <v>111</v>
      </c>
      <c r="K59" s="166">
        <f>K54</f>
        <v>4.1050000000000001E-3</v>
      </c>
      <c r="L59" s="50">
        <f>ROUND(I59*K59,0)</f>
        <v>16928</v>
      </c>
      <c r="O59" s="1"/>
      <c r="P59" s="165"/>
      <c r="Q59" s="165"/>
      <c r="V59" s="662" t="s">
        <v>112</v>
      </c>
      <c r="W59" s="662"/>
      <c r="X59" s="662"/>
      <c r="Y59" s="662"/>
      <c r="Z59" s="662"/>
      <c r="AA59" s="662"/>
      <c r="AB59" s="662"/>
      <c r="AC59" s="662"/>
      <c r="AD59" s="9"/>
    </row>
    <row r="60" spans="2:30" x14ac:dyDescent="0.25">
      <c r="B60" s="62" t="s">
        <v>112</v>
      </c>
      <c r="C60" s="62"/>
      <c r="D60" s="62"/>
      <c r="E60" s="62"/>
      <c r="F60" s="62"/>
      <c r="G60" s="62"/>
      <c r="H60" s="62"/>
      <c r="I60" s="62"/>
      <c r="J60" s="62"/>
      <c r="K60" s="62"/>
      <c r="L60" s="62"/>
      <c r="O60" s="1"/>
      <c r="P60" s="165"/>
      <c r="Q60" s="165"/>
      <c r="V60" s="663" t="s">
        <v>113</v>
      </c>
      <c r="W60" s="663"/>
      <c r="X60" s="664">
        <f>+G61</f>
        <v>0</v>
      </c>
      <c r="Y60" s="664"/>
      <c r="Z60" s="664"/>
      <c r="AA60" s="664"/>
      <c r="AB60" s="664"/>
      <c r="AC60" s="664"/>
      <c r="AD60" s="9"/>
    </row>
    <row r="61" spans="2:30" ht="15" customHeight="1" x14ac:dyDescent="0.25">
      <c r="B61" s="167" t="s">
        <v>113</v>
      </c>
      <c r="C61" s="62"/>
      <c r="D61" s="62"/>
      <c r="E61" s="62"/>
      <c r="F61" s="62"/>
      <c r="G61" s="168">
        <v>0</v>
      </c>
      <c r="H61" s="168"/>
      <c r="I61" s="168"/>
      <c r="J61" s="168"/>
      <c r="K61" s="168"/>
      <c r="L61" s="168"/>
      <c r="O61" s="1"/>
      <c r="P61" s="165"/>
      <c r="Q61" s="165"/>
      <c r="V61" s="663" t="s">
        <v>114</v>
      </c>
      <c r="W61" s="663"/>
      <c r="X61" s="664">
        <f>+G62</f>
        <v>0</v>
      </c>
      <c r="Y61" s="664"/>
      <c r="Z61" s="664"/>
      <c r="AA61" s="664"/>
      <c r="AB61" s="664"/>
      <c r="AC61" s="664"/>
      <c r="AD61" s="9"/>
    </row>
    <row r="62" spans="2:30" ht="13.5" customHeight="1" x14ac:dyDescent="0.25">
      <c r="B62" s="167" t="s">
        <v>114</v>
      </c>
      <c r="C62" s="62"/>
      <c r="D62" s="62"/>
      <c r="E62" s="62"/>
      <c r="F62" s="62"/>
      <c r="G62" s="168">
        <v>0</v>
      </c>
      <c r="H62" s="168"/>
      <c r="I62" s="168"/>
      <c r="J62" s="168"/>
      <c r="K62" s="168"/>
      <c r="L62" s="168"/>
      <c r="N62" s="165"/>
      <c r="O62" s="165"/>
      <c r="P62" s="165"/>
      <c r="Q62" s="165"/>
      <c r="V62" s="663" t="s">
        <v>115</v>
      </c>
      <c r="W62" s="663"/>
      <c r="X62" s="664">
        <v>0</v>
      </c>
      <c r="Y62" s="664"/>
      <c r="Z62" s="664"/>
      <c r="AA62" s="664"/>
      <c r="AB62" s="664"/>
      <c r="AC62" s="664"/>
      <c r="AD62" s="9"/>
    </row>
    <row r="63" spans="2:30" ht="13.5" hidden="1" customHeight="1" x14ac:dyDescent="0.25">
      <c r="B63" s="62" t="s">
        <v>115</v>
      </c>
      <c r="C63" s="62"/>
      <c r="D63" s="62"/>
      <c r="E63" s="62"/>
      <c r="F63" s="62"/>
      <c r="G63" s="168">
        <v>0</v>
      </c>
      <c r="H63" s="168"/>
      <c r="I63" s="168"/>
      <c r="J63" s="168"/>
      <c r="K63" s="168"/>
      <c r="L63" s="168"/>
      <c r="O63" s="1"/>
      <c r="P63" s="165"/>
      <c r="Q63" s="165"/>
      <c r="V63" s="662" t="s">
        <v>116</v>
      </c>
      <c r="W63" s="662"/>
      <c r="X63" s="662"/>
      <c r="Y63" s="662"/>
      <c r="Z63" s="662"/>
      <c r="AA63" s="662"/>
      <c r="AB63" s="662"/>
      <c r="AC63" s="662"/>
      <c r="AD63" s="117"/>
    </row>
    <row r="64" spans="2:30" ht="13.5" customHeight="1" x14ac:dyDescent="0.25">
      <c r="B64" s="62" t="s">
        <v>116</v>
      </c>
      <c r="C64" s="62"/>
      <c r="D64" s="62"/>
      <c r="E64" s="62"/>
      <c r="F64" s="62"/>
      <c r="G64" s="62"/>
      <c r="H64" s="62"/>
      <c r="I64" s="62"/>
      <c r="J64" s="62"/>
      <c r="K64" s="62"/>
      <c r="L64" s="62"/>
      <c r="M64" s="116"/>
      <c r="N64" s="18"/>
      <c r="O64" s="1"/>
      <c r="V64" s="663" t="s">
        <v>117</v>
      </c>
      <c r="W64" s="663"/>
      <c r="X64" s="664">
        <f>+G65</f>
        <v>4123852</v>
      </c>
      <c r="Y64" s="664"/>
      <c r="Z64" s="664"/>
      <c r="AA64" s="664"/>
      <c r="AB64" s="664"/>
      <c r="AC64" s="664"/>
      <c r="AD64" s="9"/>
    </row>
    <row r="65" spans="1:30" ht="12.75" customHeight="1" x14ac:dyDescent="0.25">
      <c r="B65" s="167" t="s">
        <v>117</v>
      </c>
      <c r="C65" s="62"/>
      <c r="D65" s="62"/>
      <c r="E65" s="62"/>
      <c r="F65" s="62"/>
      <c r="G65" s="168">
        <f>+I59</f>
        <v>4123852</v>
      </c>
      <c r="H65" s="168"/>
      <c r="I65" s="168"/>
      <c r="J65" s="168"/>
      <c r="K65" s="168"/>
      <c r="L65" s="168"/>
      <c r="O65" s="1"/>
      <c r="V65" s="663" t="s">
        <v>118</v>
      </c>
      <c r="W65" s="663"/>
      <c r="X65" s="664">
        <f>+G66</f>
        <v>0</v>
      </c>
      <c r="Y65" s="664"/>
      <c r="Z65" s="664"/>
      <c r="AA65" s="664"/>
      <c r="AB65" s="664"/>
      <c r="AC65" s="664"/>
      <c r="AD65" s="20"/>
    </row>
    <row r="66" spans="1:30" ht="15" customHeight="1" x14ac:dyDescent="0.25">
      <c r="B66" s="167" t="s">
        <v>118</v>
      </c>
      <c r="C66" s="62"/>
      <c r="D66" s="62"/>
      <c r="E66" s="62"/>
      <c r="F66" s="62"/>
      <c r="G66" s="168">
        <v>0</v>
      </c>
      <c r="H66" s="168"/>
      <c r="I66" s="168"/>
      <c r="J66" s="168"/>
      <c r="K66" s="168"/>
      <c r="L66" s="168"/>
      <c r="M66" s="18"/>
      <c r="N66" s="3"/>
      <c r="O66" s="169"/>
      <c r="P66" s="169"/>
      <c r="Q66" s="169"/>
      <c r="V66" s="651" t="s">
        <v>119</v>
      </c>
      <c r="W66" s="651"/>
      <c r="X66" s="651"/>
      <c r="Y66" s="661">
        <f>+I67</f>
        <v>96774526</v>
      </c>
      <c r="Z66" s="661"/>
      <c r="AA66" s="162" t="s">
        <v>111</v>
      </c>
      <c r="AB66" s="163">
        <f>AB54</f>
        <v>0</v>
      </c>
      <c r="AC66" s="56">
        <f>ROUND(Y66*AB66,0)</f>
        <v>0</v>
      </c>
      <c r="AD66" s="9"/>
    </row>
    <row r="67" spans="1:30" ht="20.25" customHeight="1" x14ac:dyDescent="0.25">
      <c r="B67" s="13" t="s">
        <v>119</v>
      </c>
      <c r="C67" s="13"/>
      <c r="D67" s="13"/>
      <c r="E67" s="13"/>
      <c r="F67" s="13"/>
      <c r="H67" s="164" t="s">
        <v>25</v>
      </c>
      <c r="I67" s="129">
        <v>96774526</v>
      </c>
      <c r="J67" s="165" t="s">
        <v>111</v>
      </c>
      <c r="K67" s="166">
        <f>K54</f>
        <v>4.1050000000000001E-3</v>
      </c>
      <c r="L67" s="50">
        <f>ROUND(I67*K67,0)</f>
        <v>397259</v>
      </c>
      <c r="O67" s="1"/>
      <c r="V67" s="651" t="s">
        <v>120</v>
      </c>
      <c r="W67" s="651"/>
      <c r="X67" s="651"/>
      <c r="Y67" s="651"/>
      <c r="Z67" s="651"/>
      <c r="AA67" s="651"/>
      <c r="AB67" s="651"/>
      <c r="AC67" s="651"/>
      <c r="AD67" s="9"/>
    </row>
    <row r="68" spans="1:30" ht="20.25" customHeight="1" x14ac:dyDescent="0.25">
      <c r="B68" s="13" t="s">
        <v>120</v>
      </c>
      <c r="C68" s="13"/>
      <c r="D68" s="13"/>
      <c r="E68" s="13"/>
      <c r="F68" s="13"/>
      <c r="H68" s="13"/>
      <c r="I68" s="13"/>
      <c r="J68" s="82"/>
      <c r="K68" s="13"/>
      <c r="L68" s="13"/>
      <c r="O68" s="1"/>
      <c r="V68" s="667" t="s">
        <v>121</v>
      </c>
      <c r="W68" s="667"/>
      <c r="X68" s="667"/>
      <c r="Y68" s="661">
        <f>+I69</f>
        <v>0</v>
      </c>
      <c r="Z68" s="661"/>
      <c r="AA68" s="162" t="s">
        <v>111</v>
      </c>
      <c r="AB68" s="163">
        <f>AB57</f>
        <v>0</v>
      </c>
      <c r="AC68" s="56">
        <f>ROUND(Y68*AB68,0)</f>
        <v>0</v>
      </c>
      <c r="AD68" s="9"/>
    </row>
    <row r="69" spans="1:30" ht="15" customHeight="1" x14ac:dyDescent="0.25">
      <c r="B69" s="170" t="s">
        <v>121</v>
      </c>
      <c r="C69" s="13"/>
      <c r="D69" s="13"/>
      <c r="E69" s="13"/>
      <c r="F69" s="13"/>
      <c r="H69" s="164" t="s">
        <v>23</v>
      </c>
      <c r="I69" s="129">
        <v>0</v>
      </c>
      <c r="J69" s="165" t="s">
        <v>111</v>
      </c>
      <c r="K69" s="166">
        <f>K57</f>
        <v>4.2509999999999996E-3</v>
      </c>
      <c r="L69" s="50">
        <f>ROUND(I69*K69,0)</f>
        <v>0</v>
      </c>
      <c r="O69" s="1"/>
      <c r="V69" s="651" t="s">
        <v>122</v>
      </c>
      <c r="W69" s="651"/>
      <c r="X69" s="651"/>
      <c r="Y69" s="668">
        <f>+I70</f>
        <v>-3460775</v>
      </c>
      <c r="Z69" s="668"/>
      <c r="AA69" s="162" t="s">
        <v>111</v>
      </c>
      <c r="AB69" s="163">
        <f>AB54</f>
        <v>0</v>
      </c>
      <c r="AC69" s="56">
        <f>ROUND(Y69*AB69,0)</f>
        <v>0</v>
      </c>
      <c r="AD69" s="9"/>
    </row>
    <row r="70" spans="1:30" ht="20.25" customHeight="1" x14ac:dyDescent="0.25">
      <c r="B70" s="13" t="s">
        <v>122</v>
      </c>
      <c r="C70" s="13"/>
      <c r="D70" s="13"/>
      <c r="E70" s="13"/>
      <c r="F70" s="13"/>
      <c r="H70" s="164" t="s">
        <v>22</v>
      </c>
      <c r="I70" s="129">
        <v>-3460775</v>
      </c>
      <c r="J70" s="165" t="s">
        <v>111</v>
      </c>
      <c r="K70" s="166">
        <f>K54</f>
        <v>4.1050000000000001E-3</v>
      </c>
      <c r="L70" s="50">
        <f>ROUND(I70*K70,0)</f>
        <v>-14206</v>
      </c>
      <c r="O70" s="1"/>
      <c r="V70" s="651" t="s">
        <v>123</v>
      </c>
      <c r="W70" s="651"/>
      <c r="X70" s="651"/>
      <c r="Y70" s="665">
        <f>+I71</f>
        <v>1874788</v>
      </c>
      <c r="Z70" s="665"/>
      <c r="AA70" s="162" t="s">
        <v>111</v>
      </c>
      <c r="AB70" s="163">
        <f>AB54</f>
        <v>0</v>
      </c>
      <c r="AC70" s="56">
        <f>ROUND(Y70*AB70,0)</f>
        <v>0</v>
      </c>
      <c r="AD70" s="9"/>
    </row>
    <row r="71" spans="1:30" ht="20.25" customHeight="1" x14ac:dyDescent="0.25">
      <c r="B71" s="13" t="s">
        <v>123</v>
      </c>
      <c r="C71" s="13"/>
      <c r="D71" s="13"/>
      <c r="E71" s="13"/>
      <c r="F71" s="13"/>
      <c r="H71" s="164" t="s">
        <v>22</v>
      </c>
      <c r="I71" s="129">
        <v>1874788</v>
      </c>
      <c r="J71" s="165" t="s">
        <v>111</v>
      </c>
      <c r="K71" s="166">
        <f>K54</f>
        <v>4.1050000000000001E-3</v>
      </c>
      <c r="L71" s="50">
        <f>ROUND(I71*K71,0)</f>
        <v>7696</v>
      </c>
      <c r="O71" s="1"/>
      <c r="V71" s="651" t="s">
        <v>124</v>
      </c>
      <c r="W71" s="651"/>
      <c r="X71" s="651"/>
      <c r="Y71" s="665">
        <f>+I72</f>
        <v>14223298</v>
      </c>
      <c r="Z71" s="665"/>
      <c r="AA71" s="162" t="s">
        <v>111</v>
      </c>
      <c r="AB71" s="163">
        <f>AB57</f>
        <v>0</v>
      </c>
      <c r="AC71" s="56">
        <f>ROUND(Y71*AB71,0)</f>
        <v>0</v>
      </c>
      <c r="AD71" s="9"/>
    </row>
    <row r="72" spans="1:30" ht="21" customHeight="1" x14ac:dyDescent="0.25">
      <c r="B72" s="13" t="s">
        <v>124</v>
      </c>
      <c r="C72" s="13"/>
      <c r="D72" s="13"/>
      <c r="E72" s="13"/>
      <c r="F72" s="13"/>
      <c r="H72" s="164" t="s">
        <v>23</v>
      </c>
      <c r="I72" s="171">
        <v>14223298</v>
      </c>
      <c r="J72" s="165" t="s">
        <v>111</v>
      </c>
      <c r="K72" s="166">
        <f>K57</f>
        <v>4.2509999999999996E-3</v>
      </c>
      <c r="L72" s="50">
        <f>ROUND(I72*K72,0)</f>
        <v>60463</v>
      </c>
      <c r="O72" s="1"/>
      <c r="V72" s="623" t="s">
        <v>125</v>
      </c>
      <c r="W72" s="623"/>
      <c r="X72" s="623"/>
      <c r="Y72" s="623"/>
      <c r="Z72" s="623"/>
      <c r="AA72" s="623"/>
      <c r="AB72" s="623"/>
      <c r="AC72" s="60"/>
      <c r="AD72" s="9"/>
    </row>
    <row r="73" spans="1:30" ht="17.25" customHeight="1" x14ac:dyDescent="0.25">
      <c r="B73" s="13" t="s">
        <v>125</v>
      </c>
      <c r="C73" s="13"/>
      <c r="D73" s="13"/>
      <c r="E73" s="13"/>
      <c r="F73" s="13"/>
      <c r="H73" s="13"/>
      <c r="I73" s="13"/>
      <c r="J73" s="82"/>
      <c r="K73" s="13"/>
      <c r="L73" s="59"/>
      <c r="O73" s="1"/>
      <c r="V73" s="651" t="s">
        <v>126</v>
      </c>
      <c r="W73" s="651"/>
      <c r="X73" s="651"/>
      <c r="Y73" s="651"/>
      <c r="Z73" s="651"/>
      <c r="AA73" s="651"/>
      <c r="AB73" s="651"/>
      <c r="AC73" s="651"/>
      <c r="AD73" s="9"/>
    </row>
    <row r="74" spans="1:30" ht="31.5" x14ac:dyDescent="0.25">
      <c r="B74" s="13" t="s">
        <v>126</v>
      </c>
      <c r="C74" s="13"/>
      <c r="D74" s="27" t="s">
        <v>13</v>
      </c>
      <c r="E74" s="27" t="s">
        <v>14</v>
      </c>
      <c r="F74" s="27"/>
      <c r="H74" s="164" t="s">
        <v>26</v>
      </c>
      <c r="I74" s="172"/>
      <c r="J74" s="164"/>
      <c r="K74" s="172"/>
      <c r="L74" s="112"/>
      <c r="O74" s="1"/>
      <c r="V74" s="666" t="s">
        <v>127</v>
      </c>
      <c r="W74" s="666"/>
      <c r="X74" s="173" t="s">
        <v>128</v>
      </c>
      <c r="Y74" s="174"/>
      <c r="Z74" s="175">
        <f>+I75</f>
        <v>364.5</v>
      </c>
      <c r="AA74" s="176" t="s">
        <v>129</v>
      </c>
      <c r="AB74" s="177">
        <f>+K75</f>
        <v>361</v>
      </c>
      <c r="AC74" s="56">
        <f>ROUND(AB74*Z74,0)</f>
        <v>131585</v>
      </c>
      <c r="AD74" s="9"/>
    </row>
    <row r="75" spans="1:30" ht="19.5" customHeight="1" x14ac:dyDescent="0.25">
      <c r="A75" s="1" t="s">
        <v>130</v>
      </c>
      <c r="B75" s="178" t="s">
        <v>127</v>
      </c>
      <c r="C75" s="179" t="s">
        <v>128</v>
      </c>
      <c r="D75" s="178">
        <v>336</v>
      </c>
      <c r="E75" s="178">
        <v>393</v>
      </c>
      <c r="F75" s="178">
        <v>0</v>
      </c>
      <c r="G75" s="180">
        <f>IF(E75=0,D75,E75)</f>
        <v>393</v>
      </c>
      <c r="H75" s="181"/>
      <c r="I75" s="182">
        <f>AVERAGE(G75,D75)</f>
        <v>364.5</v>
      </c>
      <c r="J75" s="183" t="s">
        <v>129</v>
      </c>
      <c r="K75" s="184">
        <v>361</v>
      </c>
      <c r="L75" s="50">
        <f>ROUND(K75*I75,0)</f>
        <v>131585</v>
      </c>
      <c r="N75" s="1">
        <v>7802</v>
      </c>
      <c r="O75" s="1">
        <v>0</v>
      </c>
      <c r="V75" s="666" t="s">
        <v>127</v>
      </c>
      <c r="W75" s="666"/>
      <c r="X75" s="173" t="s">
        <v>131</v>
      </c>
      <c r="Y75" s="185"/>
      <c r="Z75" s="186">
        <f>+I76</f>
        <v>0</v>
      </c>
      <c r="AA75" s="176" t="s">
        <v>129</v>
      </c>
      <c r="AB75" s="187">
        <f>+K76</f>
        <v>1358</v>
      </c>
      <c r="AC75" s="56">
        <f>ROUND(AB75*Z75,0)</f>
        <v>0</v>
      </c>
      <c r="AD75" s="9"/>
    </row>
    <row r="76" spans="1:30" ht="19.5" customHeight="1" x14ac:dyDescent="0.25">
      <c r="A76" s="1" t="s">
        <v>132</v>
      </c>
      <c r="B76" s="178" t="s">
        <v>127</v>
      </c>
      <c r="C76" s="179" t="s">
        <v>131</v>
      </c>
      <c r="D76" s="178">
        <v>0</v>
      </c>
      <c r="E76" s="178">
        <v>0</v>
      </c>
      <c r="F76" s="178">
        <v>0</v>
      </c>
      <c r="G76" s="180">
        <f>IF(E76=0,D76,E76)</f>
        <v>0</v>
      </c>
      <c r="H76" s="181"/>
      <c r="I76" s="182">
        <f>AVERAGE(G76,D76)</f>
        <v>0</v>
      </c>
      <c r="J76" s="183" t="s">
        <v>129</v>
      </c>
      <c r="K76" s="188">
        <v>1358</v>
      </c>
      <c r="L76" s="50">
        <f>ROUND(K76*I76,0)</f>
        <v>0</v>
      </c>
      <c r="N76" s="1">
        <v>7802</v>
      </c>
      <c r="O76" s="1">
        <v>110</v>
      </c>
      <c r="V76" s="651" t="s">
        <v>133</v>
      </c>
      <c r="W76" s="651"/>
      <c r="X76" s="651"/>
      <c r="Y76" s="661">
        <f>+I77</f>
        <v>33305823</v>
      </c>
      <c r="Z76" s="661"/>
      <c r="AA76" s="176" t="s">
        <v>129</v>
      </c>
      <c r="AB76" s="163">
        <f>AB54</f>
        <v>0</v>
      </c>
      <c r="AC76" s="56">
        <f>ROUND(Y76*AB76,0)</f>
        <v>0</v>
      </c>
      <c r="AD76" s="9"/>
    </row>
    <row r="77" spans="1:30" ht="26.25" customHeight="1" x14ac:dyDescent="0.25">
      <c r="B77" s="13" t="s">
        <v>133</v>
      </c>
      <c r="C77" s="13"/>
      <c r="D77" s="13"/>
      <c r="E77" s="13"/>
      <c r="F77" s="13"/>
      <c r="H77" s="164" t="s">
        <v>134</v>
      </c>
      <c r="I77" s="189">
        <v>33305823</v>
      </c>
      <c r="J77" s="165" t="s">
        <v>111</v>
      </c>
      <c r="K77" s="166">
        <f>K54</f>
        <v>4.1050000000000001E-3</v>
      </c>
      <c r="L77" s="50">
        <f>ROUND(I77*K77,0)</f>
        <v>136720</v>
      </c>
      <c r="O77" s="1"/>
      <c r="V77" s="651" t="str">
        <f>+B78</f>
        <v>15.  Additional Allocation (WFTE share)</v>
      </c>
      <c r="W77" s="651"/>
      <c r="X77" s="651"/>
      <c r="Y77" s="661">
        <f>+I78</f>
        <v>680688</v>
      </c>
      <c r="Z77" s="661"/>
      <c r="AA77" s="176" t="s">
        <v>129</v>
      </c>
      <c r="AB77" s="163">
        <f>AB54</f>
        <v>0</v>
      </c>
      <c r="AC77" s="56">
        <f>ROUND(Y77*AB77,0)</f>
        <v>0</v>
      </c>
      <c r="AD77" s="9"/>
    </row>
    <row r="78" spans="1:30" ht="26.25" customHeight="1" x14ac:dyDescent="0.25">
      <c r="B78" s="669" t="s">
        <v>135</v>
      </c>
      <c r="C78" s="669"/>
      <c r="D78" s="669"/>
      <c r="E78" s="13"/>
      <c r="F78" s="13"/>
      <c r="H78" s="164" t="s">
        <v>136</v>
      </c>
      <c r="I78" s="190">
        <v>680688</v>
      </c>
      <c r="J78" s="165" t="s">
        <v>111</v>
      </c>
      <c r="K78" s="166">
        <f>K54</f>
        <v>4.1050000000000001E-3</v>
      </c>
      <c r="L78" s="50">
        <f>ROUND(I78*K78,0)</f>
        <v>2794</v>
      </c>
      <c r="O78" s="1"/>
      <c r="V78" s="651" t="str">
        <f t="shared" ref="V78:V79" si="11">+B79</f>
        <v>16.  Florida Teachers Lead Program Stipend</v>
      </c>
      <c r="W78" s="651"/>
      <c r="X78" s="651"/>
      <c r="Y78" s="191"/>
      <c r="Z78" s="191"/>
      <c r="AA78" s="191"/>
      <c r="AB78" s="191"/>
      <c r="AC78" s="134"/>
      <c r="AD78" s="9"/>
    </row>
    <row r="79" spans="1:30" ht="21" customHeight="1" x14ac:dyDescent="0.25">
      <c r="B79" s="669" t="s">
        <v>137</v>
      </c>
      <c r="C79" s="669"/>
      <c r="D79" s="669"/>
      <c r="E79" s="13"/>
      <c r="F79" s="13"/>
      <c r="H79" s="164"/>
      <c r="I79" s="172"/>
      <c r="J79" s="172"/>
      <c r="K79" s="172"/>
      <c r="L79" s="129"/>
      <c r="N79" s="192"/>
      <c r="O79" s="1"/>
      <c r="Q79" s="164"/>
      <c r="V79" s="651" t="str">
        <f t="shared" si="11"/>
        <v>17.  Food Service Allocation</v>
      </c>
      <c r="W79" s="651"/>
      <c r="X79" s="651"/>
      <c r="Y79" s="191"/>
      <c r="Z79" s="191"/>
      <c r="AA79" s="191"/>
      <c r="AB79" s="191"/>
      <c r="AC79" s="193"/>
      <c r="AD79" s="9"/>
    </row>
    <row r="80" spans="1:30" ht="21" customHeight="1" x14ac:dyDescent="0.25">
      <c r="B80" s="669" t="s">
        <v>138</v>
      </c>
      <c r="C80" s="669"/>
      <c r="D80" s="669"/>
      <c r="E80" s="13"/>
      <c r="F80" s="13"/>
      <c r="H80" s="194" t="s">
        <v>139</v>
      </c>
      <c r="I80" s="195"/>
      <c r="J80" s="195"/>
      <c r="K80" s="195"/>
      <c r="L80" s="196"/>
      <c r="N80" s="197"/>
      <c r="O80" s="1"/>
      <c r="Q80" s="164"/>
      <c r="V80" s="191"/>
      <c r="W80" s="191"/>
      <c r="X80" s="191"/>
      <c r="Y80" s="191"/>
      <c r="Z80" s="191"/>
      <c r="AA80" s="191"/>
      <c r="AB80" s="191"/>
      <c r="AC80" s="193"/>
      <c r="AD80" s="9"/>
    </row>
    <row r="81" spans="1:30" ht="21" customHeight="1" thickBot="1" x14ac:dyDescent="0.3">
      <c r="B81" s="13"/>
      <c r="C81" s="13"/>
      <c r="D81" s="13"/>
      <c r="E81" s="13"/>
      <c r="F81" s="13"/>
      <c r="G81" s="13"/>
      <c r="H81" s="13"/>
      <c r="I81" s="13"/>
      <c r="J81" s="13"/>
      <c r="K81" s="13"/>
      <c r="L81" s="196"/>
      <c r="M81" s="198"/>
      <c r="N81" s="197"/>
      <c r="O81" s="1"/>
      <c r="Q81" s="164"/>
      <c r="V81" s="191" t="s">
        <v>140</v>
      </c>
      <c r="W81" s="191"/>
      <c r="X81" s="191"/>
      <c r="Y81" s="191"/>
      <c r="Z81" s="191"/>
      <c r="AA81" s="191"/>
      <c r="AB81" s="191"/>
      <c r="AC81" s="199">
        <f>SUM(AC44:AC80)</f>
        <v>131585</v>
      </c>
      <c r="AD81" s="200"/>
    </row>
    <row r="82" spans="1:30" ht="22.5" customHeight="1" thickTop="1" thickBot="1" x14ac:dyDescent="0.3">
      <c r="B82" s="13" t="s">
        <v>141</v>
      </c>
      <c r="C82" s="13"/>
      <c r="D82" s="13"/>
      <c r="E82" s="13"/>
      <c r="F82" s="13"/>
      <c r="G82" s="13"/>
      <c r="H82" s="13"/>
      <c r="I82" s="13"/>
      <c r="J82" s="13"/>
      <c r="K82" s="13"/>
      <c r="L82" s="201">
        <f>SUM(L44:L81)</f>
        <v>5061537</v>
      </c>
      <c r="M82" s="202"/>
      <c r="N82" s="203"/>
      <c r="O82" s="1"/>
      <c r="Q82" s="164"/>
      <c r="V82" s="191"/>
      <c r="W82" s="191"/>
      <c r="X82" s="191"/>
      <c r="Y82" s="191"/>
      <c r="Z82" s="191"/>
      <c r="AA82" s="191"/>
      <c r="AB82" s="191"/>
      <c r="AC82" s="204"/>
      <c r="AD82" s="200"/>
    </row>
    <row r="83" spans="1:30" ht="27.75" customHeight="1" thickTop="1" x14ac:dyDescent="0.25">
      <c r="B83" s="13" t="s">
        <v>142</v>
      </c>
      <c r="C83" s="13"/>
      <c r="D83" s="13"/>
      <c r="E83" s="13"/>
      <c r="F83" s="13"/>
      <c r="G83" s="13"/>
      <c r="H83" s="13"/>
      <c r="I83" s="13"/>
      <c r="J83" s="13"/>
      <c r="K83" s="82" t="s">
        <v>143</v>
      </c>
      <c r="L83" s="205" t="s">
        <v>144</v>
      </c>
      <c r="M83" s="202"/>
      <c r="N83" s="203"/>
      <c r="O83" s="1"/>
      <c r="Q83" s="164"/>
      <c r="V83" s="9" t="s">
        <v>145</v>
      </c>
      <c r="W83" s="9"/>
      <c r="X83" s="9"/>
      <c r="Y83" s="9"/>
      <c r="Z83" s="9"/>
      <c r="AA83" s="9"/>
      <c r="AB83" s="9"/>
      <c r="AC83" s="9"/>
      <c r="AD83" s="206"/>
    </row>
    <row r="84" spans="1:30" ht="18.75" customHeight="1" thickBot="1" x14ac:dyDescent="0.3">
      <c r="B84" s="13" t="s">
        <v>146</v>
      </c>
      <c r="C84" s="13"/>
      <c r="D84" s="13"/>
      <c r="E84" s="13"/>
      <c r="F84" s="13"/>
      <c r="G84" s="13"/>
      <c r="H84" s="13"/>
      <c r="I84" s="13"/>
      <c r="J84" s="13"/>
      <c r="K84" s="207" t="str">
        <f>IF(G26=0,"",IF((G11+G13+SUM(G15:G21))/G26&gt;0.75,1,""))</f>
        <v/>
      </c>
      <c r="L84" s="201">
        <f>'3385'!AC81</f>
        <v>131585</v>
      </c>
      <c r="M84" s="202"/>
      <c r="N84" s="203"/>
      <c r="O84" s="1"/>
      <c r="Q84" s="164"/>
      <c r="V84" s="208" t="s">
        <v>147</v>
      </c>
      <c r="W84" s="208"/>
      <c r="X84" s="208"/>
      <c r="Y84" s="208"/>
      <c r="Z84" s="208"/>
      <c r="AA84" s="208"/>
      <c r="AB84" s="208"/>
      <c r="AC84" s="208"/>
      <c r="AD84" s="9"/>
    </row>
    <row r="85" spans="1:30" ht="18.75" customHeight="1" thickTop="1" x14ac:dyDescent="0.25">
      <c r="B85" s="13"/>
      <c r="C85" s="13"/>
      <c r="D85" s="13"/>
      <c r="E85" s="13"/>
      <c r="F85" s="13"/>
      <c r="G85" s="13"/>
      <c r="H85" s="13"/>
      <c r="I85" s="13"/>
      <c r="J85" s="13"/>
      <c r="M85" s="202"/>
      <c r="N85" s="203"/>
      <c r="O85" s="1"/>
      <c r="Q85" s="164"/>
      <c r="V85" s="208" t="s">
        <v>148</v>
      </c>
      <c r="W85" s="208"/>
      <c r="X85" s="208"/>
      <c r="Y85" s="208"/>
      <c r="Z85" s="208"/>
      <c r="AA85" s="208"/>
      <c r="AB85" s="208"/>
      <c r="AC85" s="208"/>
      <c r="AD85" s="206"/>
    </row>
    <row r="86" spans="1:30" ht="18.75" customHeight="1" x14ac:dyDescent="0.25">
      <c r="B86" s="2" t="s">
        <v>149</v>
      </c>
      <c r="C86" s="13"/>
      <c r="D86" s="13"/>
      <c r="E86" s="13"/>
      <c r="F86" s="13"/>
      <c r="G86" s="13"/>
      <c r="H86" s="13"/>
      <c r="I86" s="13"/>
      <c r="J86" s="209" t="s">
        <v>150</v>
      </c>
      <c r="K86" s="210">
        <f>IF(K84=1,L84,L82)</f>
        <v>5061537</v>
      </c>
      <c r="L86" s="211">
        <f>IF(G26=0,0,IF(G26&gt;250,-(((250/G26)*K86)*IF(M86="H",0.02,0.05)),IF(M86="H",-0.02*K86,-0.05*K86)))</f>
        <v>-82549.465711601704</v>
      </c>
      <c r="M86" s="212" t="str">
        <f>IF(B123="2801","H",IF(B123="2911","H",IF(B123="3382","H"," ")))</f>
        <v xml:space="preserve"> </v>
      </c>
      <c r="N86" s="203"/>
      <c r="O86" s="1"/>
      <c r="Q86" s="164"/>
      <c r="V86" s="208" t="s">
        <v>151</v>
      </c>
      <c r="W86" s="208"/>
      <c r="X86" s="208"/>
      <c r="Y86" s="208"/>
      <c r="Z86" s="208"/>
      <c r="AA86" s="208"/>
      <c r="AB86" s="208"/>
      <c r="AC86" s="208"/>
      <c r="AD86" s="206"/>
    </row>
    <row r="87" spans="1:30" ht="18.75" customHeight="1" x14ac:dyDescent="0.25">
      <c r="B87" s="2" t="s">
        <v>152</v>
      </c>
      <c r="C87" s="13"/>
      <c r="D87" s="13"/>
      <c r="E87" s="13"/>
      <c r="F87" s="13"/>
      <c r="G87" s="13"/>
      <c r="H87" s="13"/>
      <c r="I87" s="13"/>
      <c r="J87" s="13"/>
      <c r="K87" s="213"/>
      <c r="L87" s="205">
        <f>L82+L86</f>
        <v>4978987.534288398</v>
      </c>
      <c r="M87" s="202"/>
      <c r="N87" s="203"/>
      <c r="O87" s="1"/>
      <c r="Q87" s="164"/>
      <c r="V87" s="198"/>
      <c r="W87" s="198"/>
      <c r="X87" s="198"/>
      <c r="Y87" s="198"/>
      <c r="Z87" s="198"/>
      <c r="AA87" s="198"/>
      <c r="AB87" s="198"/>
      <c r="AC87" s="198"/>
      <c r="AD87" s="214"/>
    </row>
    <row r="88" spans="1:30" x14ac:dyDescent="0.25">
      <c r="V88" s="198"/>
      <c r="W88" s="198"/>
      <c r="X88" s="198"/>
      <c r="Y88" s="198"/>
      <c r="Z88" s="198"/>
      <c r="AA88" s="198"/>
      <c r="AB88" s="198"/>
      <c r="AC88" s="198"/>
      <c r="AD88" s="215"/>
    </row>
    <row r="89" spans="1:30" ht="18.75" customHeight="1" x14ac:dyDescent="0.25">
      <c r="A89" s="1" t="s">
        <v>153</v>
      </c>
      <c r="B89" s="13" t="s">
        <v>154</v>
      </c>
      <c r="C89" s="13"/>
      <c r="D89" s="13">
        <v>2442817</v>
      </c>
      <c r="E89" s="13">
        <v>440439</v>
      </c>
      <c r="F89" s="13">
        <v>4204483</v>
      </c>
      <c r="G89" s="13"/>
      <c r="H89" s="13"/>
      <c r="I89" s="13"/>
      <c r="J89" s="13"/>
      <c r="K89" s="213"/>
      <c r="L89" s="84">
        <f>-F89-425215</f>
        <v>-4629698</v>
      </c>
      <c r="M89" s="202"/>
      <c r="N89" s="203"/>
      <c r="O89" s="1"/>
      <c r="Q89" s="164"/>
      <c r="V89" s="198">
        <v>2801</v>
      </c>
      <c r="W89" s="198"/>
      <c r="X89" s="198"/>
      <c r="Y89" s="198"/>
      <c r="Z89" s="198"/>
      <c r="AA89" s="198"/>
      <c r="AB89" s="198"/>
      <c r="AC89" s="198"/>
      <c r="AD89" s="214"/>
    </row>
    <row r="90" spans="1:30" ht="18.75" customHeight="1" x14ac:dyDescent="0.25">
      <c r="B90" s="13" t="s">
        <v>155</v>
      </c>
      <c r="C90" s="13"/>
      <c r="D90" s="13"/>
      <c r="E90" s="13"/>
      <c r="F90" s="13"/>
      <c r="G90" s="13"/>
      <c r="H90" s="13"/>
      <c r="I90" s="13"/>
      <c r="J90" s="13"/>
      <c r="K90" s="213"/>
      <c r="L90" s="205">
        <f>L87+L89</f>
        <v>349289.53428839799</v>
      </c>
      <c r="M90" s="202"/>
      <c r="N90" s="203"/>
      <c r="O90" s="1"/>
      <c r="Q90" s="164"/>
      <c r="V90" s="198">
        <v>2911</v>
      </c>
      <c r="W90" s="216"/>
      <c r="X90" s="216"/>
      <c r="Y90" s="216"/>
      <c r="Z90" s="216"/>
      <c r="AA90" s="216"/>
      <c r="AB90" s="216"/>
      <c r="AC90" s="216"/>
      <c r="AD90" s="214"/>
    </row>
    <row r="91" spans="1:30" ht="18.75" customHeight="1" x14ac:dyDescent="0.25">
      <c r="B91" s="13" t="s">
        <v>156</v>
      </c>
      <c r="C91" s="13"/>
      <c r="D91" s="13"/>
      <c r="E91" s="13"/>
      <c r="F91" s="13"/>
      <c r="G91" s="13"/>
      <c r="H91" s="13"/>
      <c r="I91" s="13"/>
      <c r="J91" s="13"/>
      <c r="K91" s="213"/>
      <c r="L91" s="205">
        <v>1</v>
      </c>
      <c r="M91" s="202"/>
      <c r="N91" s="203"/>
      <c r="O91" s="1"/>
      <c r="Q91" s="164"/>
      <c r="V91" s="198">
        <v>3382</v>
      </c>
      <c r="W91" s="216"/>
      <c r="X91" s="216"/>
      <c r="Y91" s="216"/>
      <c r="Z91" s="216"/>
      <c r="AA91" s="216"/>
      <c r="AB91" s="216"/>
      <c r="AC91" s="216"/>
      <c r="AD91" s="214"/>
    </row>
    <row r="92" spans="1:30" ht="18.75" customHeight="1" thickBot="1" x14ac:dyDescent="0.3">
      <c r="B92" s="13" t="s">
        <v>157</v>
      </c>
      <c r="C92" s="13"/>
      <c r="D92" s="13"/>
      <c r="E92" s="13"/>
      <c r="F92" s="13"/>
      <c r="G92" s="13"/>
      <c r="H92" s="13"/>
      <c r="I92" s="13"/>
      <c r="J92" s="13"/>
      <c r="K92" s="213"/>
      <c r="L92" s="217">
        <f>L90/L91</f>
        <v>349289.53428839799</v>
      </c>
      <c r="M92" s="202"/>
      <c r="N92" s="203"/>
      <c r="O92" s="1"/>
      <c r="Q92" s="164"/>
      <c r="V92" s="218"/>
      <c r="W92" s="218"/>
      <c r="X92" s="218"/>
      <c r="Y92" s="218"/>
      <c r="Z92" s="218"/>
      <c r="AA92" s="218"/>
      <c r="AB92" s="218"/>
      <c r="AC92" s="218"/>
      <c r="AD92" s="219"/>
    </row>
    <row r="93" spans="1:30" ht="18.75" customHeight="1" thickTop="1" x14ac:dyDescent="0.25">
      <c r="N93" s="219"/>
      <c r="O93" s="220"/>
      <c r="P93" s="219"/>
      <c r="Q93" s="219"/>
      <c r="V93" s="218"/>
      <c r="W93" s="218"/>
      <c r="X93" s="218"/>
      <c r="Y93" s="218"/>
      <c r="Z93" s="218"/>
      <c r="AA93" s="218"/>
      <c r="AB93" s="218"/>
      <c r="AC93" s="218"/>
      <c r="AD93" s="214"/>
    </row>
    <row r="94" spans="1:30" ht="18.75" customHeight="1" thickBot="1" x14ac:dyDescent="0.3">
      <c r="B94" s="221" t="s">
        <v>158</v>
      </c>
      <c r="C94" s="13"/>
      <c r="D94" s="13"/>
      <c r="E94" s="13"/>
      <c r="G94" s="13"/>
      <c r="H94" s="13"/>
      <c r="I94" s="13"/>
      <c r="J94" s="13"/>
      <c r="L94" s="222">
        <f>IF(M86="H",(K86*0.02)+L86,(K86*0.05)+L86)</f>
        <v>170527.38428839832</v>
      </c>
      <c r="M94" s="202"/>
      <c r="V94" s="223"/>
      <c r="W94" s="223"/>
      <c r="X94" s="223"/>
      <c r="Y94" s="223"/>
      <c r="Z94" s="223"/>
      <c r="AA94" s="223"/>
      <c r="AB94" s="223"/>
      <c r="AC94" s="223"/>
      <c r="AD94" s="214"/>
    </row>
    <row r="95" spans="1:30" ht="21.75" customHeight="1" thickTop="1" x14ac:dyDescent="0.25">
      <c r="B95" s="224" t="s">
        <v>159</v>
      </c>
      <c r="C95" s="224"/>
      <c r="D95" s="224"/>
      <c r="E95" s="224"/>
      <c r="F95" s="224"/>
      <c r="G95" s="224"/>
      <c r="H95" s="224"/>
      <c r="I95" s="224"/>
      <c r="J95" s="224"/>
      <c r="K95" s="224"/>
      <c r="L95" s="224"/>
      <c r="M95" s="219"/>
      <c r="V95" s="223"/>
      <c r="W95" s="223"/>
      <c r="X95" s="223"/>
      <c r="Y95" s="223"/>
      <c r="Z95" s="223"/>
      <c r="AA95" s="223"/>
      <c r="AB95" s="223"/>
      <c r="AC95" s="223"/>
      <c r="AD95" s="214"/>
    </row>
    <row r="96" spans="1:30" x14ac:dyDescent="0.25">
      <c r="B96" s="225"/>
      <c r="V96" s="223"/>
      <c r="W96" s="223"/>
      <c r="X96" s="223"/>
      <c r="Y96" s="223"/>
      <c r="Z96" s="223"/>
      <c r="AA96" s="223"/>
      <c r="AB96" s="223"/>
      <c r="AC96" s="223"/>
      <c r="AD96" s="219"/>
    </row>
    <row r="97" spans="2:30" x14ac:dyDescent="0.25">
      <c r="B97" s="225"/>
      <c r="V97" s="223"/>
      <c r="W97" s="223"/>
      <c r="X97" s="223"/>
      <c r="Y97" s="223"/>
      <c r="Z97" s="223"/>
      <c r="AA97" s="223"/>
      <c r="AB97" s="223"/>
      <c r="AC97" s="223"/>
      <c r="AD97" s="219"/>
    </row>
    <row r="98" spans="2:30" hidden="1" x14ac:dyDescent="0.25">
      <c r="B98" s="226" t="s">
        <v>160</v>
      </c>
      <c r="C98" s="227"/>
      <c r="V98" s="228"/>
      <c r="W98" s="228"/>
      <c r="X98" s="228"/>
      <c r="Y98" s="228"/>
      <c r="Z98" s="228"/>
      <c r="AA98" s="228"/>
      <c r="AB98" s="228"/>
      <c r="AC98" s="228"/>
    </row>
    <row r="99" spans="2:30" hidden="1" x14ac:dyDescent="0.25">
      <c r="B99" s="229"/>
      <c r="C99" s="227"/>
      <c r="V99" s="225"/>
      <c r="W99" s="13"/>
      <c r="X99" s="13"/>
      <c r="Y99" s="13"/>
      <c r="Z99" s="13"/>
      <c r="AA99" s="13"/>
      <c r="AB99" s="13"/>
      <c r="AC99" s="13"/>
    </row>
    <row r="100" spans="2:30" hidden="1" x14ac:dyDescent="0.25">
      <c r="B100" s="230" t="s">
        <v>161</v>
      </c>
      <c r="C100" s="226" t="s">
        <v>162</v>
      </c>
      <c r="V100" s="225"/>
    </row>
    <row r="101" spans="2:30" hidden="1" x14ac:dyDescent="0.25">
      <c r="B101" s="230" t="s">
        <v>163</v>
      </c>
      <c r="C101" s="226" t="s">
        <v>164</v>
      </c>
      <c r="V101" s="225"/>
    </row>
    <row r="102" spans="2:30" hidden="1" x14ac:dyDescent="0.25">
      <c r="B102" s="230" t="s">
        <v>165</v>
      </c>
      <c r="C102" s="226" t="s">
        <v>166</v>
      </c>
      <c r="V102" s="225"/>
      <c r="W102" s="231"/>
      <c r="X102" s="231"/>
      <c r="Y102" s="231"/>
      <c r="Z102" s="231"/>
      <c r="AA102" s="231"/>
      <c r="AB102" s="231"/>
      <c r="AC102" s="231"/>
      <c r="AD102" s="231"/>
    </row>
    <row r="103" spans="2:30" hidden="1" x14ac:dyDescent="0.25">
      <c r="B103" s="230" t="s">
        <v>167</v>
      </c>
      <c r="C103" s="226" t="s">
        <v>168</v>
      </c>
      <c r="V103" s="225"/>
    </row>
    <row r="104" spans="2:30" hidden="1" x14ac:dyDescent="0.25">
      <c r="B104" s="232"/>
      <c r="C104" s="226" t="s">
        <v>169</v>
      </c>
      <c r="V104" s="225"/>
    </row>
    <row r="105" spans="2:30" hidden="1" x14ac:dyDescent="0.25">
      <c r="B105" s="230" t="s">
        <v>170</v>
      </c>
      <c r="C105" s="226" t="s">
        <v>171</v>
      </c>
      <c r="V105" s="225"/>
    </row>
    <row r="106" spans="2:30" hidden="1" x14ac:dyDescent="0.25">
      <c r="B106" s="230" t="s">
        <v>172</v>
      </c>
      <c r="C106" s="226" t="s">
        <v>173</v>
      </c>
      <c r="V106" s="225"/>
    </row>
    <row r="107" spans="2:30" hidden="1" x14ac:dyDescent="0.25">
      <c r="B107" s="230" t="s">
        <v>268</v>
      </c>
      <c r="C107" s="226" t="s">
        <v>175</v>
      </c>
      <c r="V107" s="225"/>
    </row>
    <row r="108" spans="2:30" hidden="1" x14ac:dyDescent="0.25">
      <c r="B108" s="230" t="s">
        <v>176</v>
      </c>
      <c r="C108" s="226" t="s">
        <v>177</v>
      </c>
      <c r="V108" s="225"/>
    </row>
    <row r="109" spans="2:30" hidden="1" x14ac:dyDescent="0.25">
      <c r="B109" s="230" t="s">
        <v>178</v>
      </c>
      <c r="C109" s="226" t="s">
        <v>179</v>
      </c>
      <c r="V109" s="225"/>
    </row>
    <row r="110" spans="2:30" hidden="1" x14ac:dyDescent="0.25">
      <c r="B110" s="232"/>
      <c r="C110" s="226"/>
      <c r="V110" s="225"/>
    </row>
    <row r="111" spans="2:30" hidden="1" x14ac:dyDescent="0.25">
      <c r="B111" s="230" t="s">
        <v>180</v>
      </c>
      <c r="C111" s="226" t="s">
        <v>181</v>
      </c>
      <c r="V111" s="225"/>
    </row>
    <row r="112" spans="2:30" hidden="1" x14ac:dyDescent="0.25">
      <c r="B112" s="230" t="s">
        <v>180</v>
      </c>
      <c r="C112" s="226" t="s">
        <v>182</v>
      </c>
    </row>
    <row r="113" spans="2:3" hidden="1" x14ac:dyDescent="0.25">
      <c r="B113" s="230" t="s">
        <v>183</v>
      </c>
      <c r="C113" s="226" t="s">
        <v>184</v>
      </c>
    </row>
    <row r="114" spans="2:3" hidden="1" x14ac:dyDescent="0.25">
      <c r="B114" s="230" t="s">
        <v>185</v>
      </c>
      <c r="C114" s="226" t="s">
        <v>186</v>
      </c>
    </row>
    <row r="115" spans="2:3" hidden="1" x14ac:dyDescent="0.25">
      <c r="B115" s="230" t="s">
        <v>183</v>
      </c>
      <c r="C115" s="226" t="s">
        <v>187</v>
      </c>
    </row>
    <row r="116" spans="2:3" hidden="1" x14ac:dyDescent="0.25">
      <c r="B116" s="230" t="s">
        <v>188</v>
      </c>
      <c r="C116" s="226" t="s">
        <v>189</v>
      </c>
    </row>
    <row r="117" spans="2:3" hidden="1" x14ac:dyDescent="0.25">
      <c r="B117" s="230" t="s">
        <v>190</v>
      </c>
      <c r="C117" s="226" t="s">
        <v>191</v>
      </c>
    </row>
    <row r="118" spans="2:3" hidden="1" x14ac:dyDescent="0.25">
      <c r="B118" s="232" t="s">
        <v>192</v>
      </c>
      <c r="C118" s="226" t="s">
        <v>193</v>
      </c>
    </row>
    <row r="119" spans="2:3" hidden="1" x14ac:dyDescent="0.25">
      <c r="B119" s="232"/>
      <c r="C119" s="226"/>
    </row>
    <row r="120" spans="2:3" hidden="1" x14ac:dyDescent="0.25">
      <c r="B120" s="230" t="s">
        <v>161</v>
      </c>
      <c r="C120" s="226" t="s">
        <v>194</v>
      </c>
    </row>
    <row r="121" spans="2:3" hidden="1" x14ac:dyDescent="0.25">
      <c r="B121" s="230" t="s">
        <v>195</v>
      </c>
      <c r="C121" s="226" t="s">
        <v>196</v>
      </c>
    </row>
    <row r="122" spans="2:3" hidden="1" x14ac:dyDescent="0.25">
      <c r="B122" s="230" t="s">
        <v>197</v>
      </c>
      <c r="C122" s="226" t="s">
        <v>198</v>
      </c>
    </row>
    <row r="123" spans="2:3" hidden="1" x14ac:dyDescent="0.25">
      <c r="B123" s="230" t="s">
        <v>269</v>
      </c>
      <c r="C123" s="226" t="s">
        <v>200</v>
      </c>
    </row>
    <row r="124" spans="2:3" hidden="1" x14ac:dyDescent="0.25">
      <c r="B124" s="230" t="s">
        <v>270</v>
      </c>
      <c r="C124" s="226" t="s">
        <v>202</v>
      </c>
    </row>
    <row r="125" spans="2:3" hidden="1" x14ac:dyDescent="0.25">
      <c r="B125" s="230" t="s">
        <v>203</v>
      </c>
      <c r="C125" s="226" t="s">
        <v>204</v>
      </c>
    </row>
    <row r="126" spans="2:3" hidden="1" x14ac:dyDescent="0.25">
      <c r="B126" s="230" t="s">
        <v>203</v>
      </c>
      <c r="C126" s="226" t="s">
        <v>205</v>
      </c>
    </row>
    <row r="127" spans="2:3" hidden="1" x14ac:dyDescent="0.25">
      <c r="B127" s="230" t="s">
        <v>203</v>
      </c>
      <c r="C127" s="226" t="s">
        <v>206</v>
      </c>
    </row>
    <row r="128" spans="2:3" hidden="1" x14ac:dyDescent="0.25">
      <c r="B128" s="230" t="s">
        <v>203</v>
      </c>
      <c r="C128" s="226" t="s">
        <v>207</v>
      </c>
    </row>
    <row r="129" spans="2:3" hidden="1" x14ac:dyDescent="0.25">
      <c r="B129" s="230" t="s">
        <v>167</v>
      </c>
      <c r="C129" s="226" t="s">
        <v>208</v>
      </c>
    </row>
    <row r="130" spans="2:3" hidden="1" x14ac:dyDescent="0.25">
      <c r="B130" s="230" t="s">
        <v>209</v>
      </c>
      <c r="C130" s="226" t="s">
        <v>210</v>
      </c>
    </row>
    <row r="131" spans="2:3" hidden="1" x14ac:dyDescent="0.25">
      <c r="B131" s="230" t="s">
        <v>203</v>
      </c>
      <c r="C131" s="226" t="s">
        <v>211</v>
      </c>
    </row>
    <row r="132" spans="2:3" hidden="1" x14ac:dyDescent="0.25">
      <c r="B132" s="226"/>
      <c r="C132" s="226"/>
    </row>
    <row r="133" spans="2:3" hidden="1" x14ac:dyDescent="0.25">
      <c r="B133" s="226"/>
      <c r="C133" s="226"/>
    </row>
    <row r="134" spans="2:3" hidden="1" x14ac:dyDescent="0.25">
      <c r="B134" s="232"/>
      <c r="C134" s="232"/>
    </row>
    <row r="135" spans="2:3" hidden="1" x14ac:dyDescent="0.25">
      <c r="B135" s="232">
        <f>NvsElapsedTime</f>
        <v>1.15740767796524E-5</v>
      </c>
      <c r="C135" s="232"/>
    </row>
    <row r="136" spans="2:3" hidden="1" x14ac:dyDescent="0.25">
      <c r="B136" s="233">
        <f>NvsEndTime</f>
        <v>41754.487893518497</v>
      </c>
      <c r="C136" s="233" t="s">
        <v>212</v>
      </c>
    </row>
    <row r="137" spans="2:3" x14ac:dyDescent="0.25">
      <c r="B137" s="226"/>
      <c r="C137" s="234"/>
    </row>
    <row r="138" spans="2:3" x14ac:dyDescent="0.25">
      <c r="B138" s="226"/>
      <c r="C138" s="226"/>
    </row>
    <row r="139" spans="2:3" x14ac:dyDescent="0.25">
      <c r="B139" s="226"/>
      <c r="C139" s="226"/>
    </row>
    <row r="140" spans="2:3" x14ac:dyDescent="0.25">
      <c r="B140" s="226"/>
      <c r="C140" s="226"/>
    </row>
    <row r="141" spans="2:3" x14ac:dyDescent="0.25">
      <c r="B141" s="226"/>
      <c r="C141" s="226"/>
    </row>
    <row r="142" spans="2:3" x14ac:dyDescent="0.25">
      <c r="B142" s="226"/>
      <c r="C142" s="226"/>
    </row>
    <row r="143" spans="2:3" x14ac:dyDescent="0.25">
      <c r="B143" s="226"/>
      <c r="C143" s="226"/>
    </row>
    <row r="144" spans="2:3" x14ac:dyDescent="0.25">
      <c r="B144" s="226"/>
      <c r="C144" s="226"/>
    </row>
    <row r="145" spans="2:3" x14ac:dyDescent="0.25">
      <c r="B145" s="226"/>
      <c r="C145" s="226"/>
    </row>
    <row r="146" spans="2:3" x14ac:dyDescent="0.25">
      <c r="B146" s="226"/>
      <c r="C146" s="226"/>
    </row>
    <row r="147" spans="2:3" x14ac:dyDescent="0.25">
      <c r="B147" s="226"/>
      <c r="C147" s="226"/>
    </row>
    <row r="148" spans="2:3" x14ac:dyDescent="0.25">
      <c r="B148" s="226"/>
      <c r="C148" s="226"/>
    </row>
    <row r="149" spans="2:3" x14ac:dyDescent="0.25">
      <c r="B149" s="226"/>
      <c r="C149" s="226"/>
    </row>
    <row r="150" spans="2:3" x14ac:dyDescent="0.25">
      <c r="B150" s="226"/>
      <c r="C150" s="226"/>
    </row>
    <row r="151" spans="2:3" x14ac:dyDescent="0.25">
      <c r="B151" s="226"/>
      <c r="C151" s="226"/>
    </row>
  </sheetData>
  <mergeCells count="151">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9:W9"/>
    <mergeCell ref="X9:Y9"/>
    <mergeCell ref="Z9:AA9"/>
    <mergeCell ref="V10:W10"/>
    <mergeCell ref="X10:Y10"/>
    <mergeCell ref="Z10:AA10"/>
    <mergeCell ref="V7:W7"/>
    <mergeCell ref="X7:Y7"/>
    <mergeCell ref="Z7:AA7"/>
    <mergeCell ref="AB7:AC7"/>
    <mergeCell ref="V8:W8"/>
    <mergeCell ref="X8:Y8"/>
    <mergeCell ref="Z8:AA8"/>
    <mergeCell ref="W2:AC2"/>
    <mergeCell ref="V3:AC3"/>
    <mergeCell ref="V4:AC4"/>
    <mergeCell ref="V5:W5"/>
    <mergeCell ref="X5:Y5"/>
    <mergeCell ref="V6:AC6"/>
  </mergeCells>
  <printOptions horizontalCentered="1"/>
  <pageMargins left="0" right="0" top="0.67" bottom="0.2" header="0.25" footer="0.196850393700787"/>
  <pageSetup scale="63" fitToWidth="2" fitToHeight="2" orientation="portrait" horizontalDpi="4294967295" verticalDpi="4294967295" r:id="rId1"/>
  <headerFooter alignWithMargins="0">
    <oddHeader>&amp;L&amp;8&amp;F
&amp;D &amp;T</oddHeader>
    <oddFooter>&amp;C&amp;P</oddFooter>
  </headerFooter>
  <rowBreaks count="1" manualBreakCount="1">
    <brk id="51" max="16383"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D151"/>
  <sheetViews>
    <sheetView topLeftCell="B2" zoomScale="70" zoomScaleNormal="70" workbookViewId="0">
      <selection activeCell="L2" sqref="L1:L2"/>
    </sheetView>
  </sheetViews>
  <sheetFormatPr defaultColWidth="8.7109375" defaultRowHeight="15.75" x14ac:dyDescent="0.25"/>
  <cols>
    <col min="1" max="1" width="11.28515625" style="1" hidden="1" customWidth="1"/>
    <col min="2" max="2" width="10.28515625" style="2" customWidth="1"/>
    <col min="3" max="3" width="29" style="1" customWidth="1"/>
    <col min="4" max="5" width="12.28515625" style="1" customWidth="1"/>
    <col min="6" max="6" width="12.28515625" style="1" hidden="1" customWidth="1"/>
    <col min="7" max="7" width="17.42578125" style="1" customWidth="1"/>
    <col min="8" max="8" width="6.7109375" style="1" customWidth="1"/>
    <col min="9" max="9" width="14.5703125" style="1" customWidth="1"/>
    <col min="10" max="10" width="12.85546875" style="1" customWidth="1"/>
    <col min="11" max="11" width="16.42578125" style="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28515625" style="1" customWidth="1"/>
    <col min="18" max="18" width="8.85546875" style="1"/>
    <col min="19" max="21" width="0" style="1" hidden="1" customWidth="1"/>
    <col min="22" max="23" width="8.85546875" style="1"/>
    <col min="24" max="24" width="12.7109375" style="1" customWidth="1"/>
    <col min="25" max="27" width="8.85546875" style="1"/>
    <col min="28" max="28" width="13.140625" style="1" bestFit="1" customWidth="1"/>
    <col min="29" max="16384" width="8.7109375" style="1"/>
  </cols>
  <sheetData>
    <row r="1" spans="1:30" ht="15.6"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7"/>
      <c r="N2" s="3"/>
      <c r="O2" s="1"/>
      <c r="V2" s="8">
        <f>'3385 June Final'!B2</f>
        <v>50</v>
      </c>
      <c r="W2" s="606" t="s">
        <v>4</v>
      </c>
      <c r="X2" s="607"/>
      <c r="Y2" s="608"/>
      <c r="Z2" s="608"/>
      <c r="AA2" s="608"/>
      <c r="AB2" s="608"/>
      <c r="AC2" s="608"/>
      <c r="AD2" s="9"/>
    </row>
    <row r="3" spans="1:30" ht="20.25" x14ac:dyDescent="0.3">
      <c r="B3" s="10" t="str">
        <f>"Revenue Estimate Worksheet for "&amp;B124</f>
        <v>Revenue Estimate Worksheet for Bright Futures Academy</v>
      </c>
      <c r="C3" s="11"/>
      <c r="D3" s="11"/>
      <c r="E3" s="11"/>
      <c r="F3" s="11"/>
      <c r="G3" s="11"/>
      <c r="H3" s="11"/>
      <c r="I3" s="11"/>
      <c r="J3" s="11"/>
      <c r="K3" s="11"/>
      <c r="L3" s="11"/>
      <c r="M3" s="10"/>
      <c r="N3" s="10"/>
      <c r="O3" s="10"/>
      <c r="P3" s="10"/>
      <c r="Q3" s="10"/>
      <c r="V3" s="609" t="s">
        <v>5</v>
      </c>
      <c r="W3" s="609"/>
      <c r="X3" s="609"/>
      <c r="Y3" s="609"/>
      <c r="Z3" s="609"/>
      <c r="AA3" s="609"/>
      <c r="AB3" s="609"/>
      <c r="AC3" s="609"/>
      <c r="AD3" s="12"/>
    </row>
    <row r="4" spans="1:30" ht="18.75" x14ac:dyDescent="0.3">
      <c r="B4" s="2" t="s">
        <v>6</v>
      </c>
      <c r="C4" s="13"/>
      <c r="D4" s="13"/>
      <c r="E4" s="13"/>
      <c r="F4" s="13"/>
      <c r="G4" s="13"/>
      <c r="H4" s="13"/>
      <c r="I4" s="13"/>
      <c r="J4" s="13"/>
      <c r="K4" s="13"/>
      <c r="L4" s="13"/>
      <c r="M4" s="14"/>
      <c r="N4" s="14"/>
      <c r="O4" s="14"/>
      <c r="P4" s="14"/>
      <c r="Q4" s="14"/>
      <c r="V4" s="610" t="str">
        <f>+Based_on_the_Second_Calculation_of_the_FEFP_2010_11</f>
        <v>Based on the Fourth Calculation of the FEFP 2013-14</v>
      </c>
      <c r="W4" s="610"/>
      <c r="X4" s="610"/>
      <c r="Y4" s="610"/>
      <c r="Z4" s="610"/>
      <c r="AA4" s="610"/>
      <c r="AB4" s="610"/>
      <c r="AC4" s="610"/>
      <c r="AD4" s="15"/>
    </row>
    <row r="5" spans="1:30" ht="18.75" customHeight="1" x14ac:dyDescent="0.25">
      <c r="B5" s="16" t="s">
        <v>7</v>
      </c>
      <c r="C5" s="16"/>
      <c r="D5" s="16"/>
      <c r="E5" s="16"/>
      <c r="F5" s="16"/>
      <c r="G5" s="17" t="s">
        <v>8</v>
      </c>
      <c r="H5" s="17"/>
      <c r="I5" s="17"/>
      <c r="J5" s="17"/>
      <c r="K5" s="17"/>
      <c r="L5" s="17"/>
      <c r="M5" s="18"/>
      <c r="N5" s="18"/>
      <c r="O5" s="18"/>
      <c r="P5" s="18"/>
      <c r="Q5" s="18"/>
      <c r="V5" s="611" t="s">
        <v>7</v>
      </c>
      <c r="W5" s="611"/>
      <c r="X5" s="612" t="s">
        <v>8</v>
      </c>
      <c r="Y5" s="612"/>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613" t="s">
        <v>9</v>
      </c>
      <c r="W6" s="613"/>
      <c r="X6" s="613"/>
      <c r="Y6" s="613"/>
      <c r="Z6" s="613"/>
      <c r="AA6" s="613"/>
      <c r="AB6" s="613"/>
      <c r="AC6" s="613"/>
      <c r="AD6" s="22"/>
    </row>
    <row r="7" spans="1:30" ht="18" customHeight="1" x14ac:dyDescent="0.25">
      <c r="B7" s="23" t="s">
        <v>10</v>
      </c>
      <c r="C7" s="23"/>
      <c r="D7" s="23"/>
      <c r="E7" s="23"/>
      <c r="F7" s="23"/>
      <c r="G7" s="24">
        <v>3752.3</v>
      </c>
      <c r="H7" s="24"/>
      <c r="I7" s="23" t="s">
        <v>11</v>
      </c>
      <c r="J7" s="23"/>
      <c r="K7" s="25">
        <v>1.0326</v>
      </c>
      <c r="L7" s="25"/>
      <c r="O7" s="1"/>
      <c r="V7" s="620" t="s">
        <v>10</v>
      </c>
      <c r="W7" s="620"/>
      <c r="X7" s="621">
        <f>'3385 June Final'!G7</f>
        <v>3752.3</v>
      </c>
      <c r="Y7" s="621"/>
      <c r="Z7" s="622" t="s">
        <v>11</v>
      </c>
      <c r="AA7" s="622"/>
      <c r="AB7" s="602">
        <f>+K7</f>
        <v>1.0326</v>
      </c>
      <c r="AC7" s="602"/>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603" t="s">
        <v>12</v>
      </c>
      <c r="W8" s="603"/>
      <c r="X8" s="604" t="s">
        <v>15</v>
      </c>
      <c r="Y8" s="604"/>
      <c r="Z8" s="605" t="s">
        <v>16</v>
      </c>
      <c r="AA8" s="605"/>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614" t="s">
        <v>22</v>
      </c>
      <c r="W9" s="614"/>
      <c r="X9" s="615" t="s">
        <v>23</v>
      </c>
      <c r="Y9" s="615"/>
      <c r="Z9" s="616" t="s">
        <v>24</v>
      </c>
      <c r="AA9" s="616"/>
      <c r="AB9" s="43" t="s">
        <v>25</v>
      </c>
      <c r="AC9" s="44" t="s">
        <v>26</v>
      </c>
      <c r="AD9" s="9"/>
    </row>
    <row r="10" spans="1:30" x14ac:dyDescent="0.25">
      <c r="A10" s="1" t="s">
        <v>27</v>
      </c>
      <c r="B10" s="45" t="s">
        <v>28</v>
      </c>
      <c r="C10" s="45"/>
      <c r="D10" s="45">
        <v>163.53</v>
      </c>
      <c r="E10" s="45">
        <v>164.45</v>
      </c>
      <c r="F10" s="45">
        <v>214.2</v>
      </c>
      <c r="G10" s="46">
        <f t="shared" ref="G10:G25" si="0">D10+E10</f>
        <v>327.98</v>
      </c>
      <c r="H10" s="47"/>
      <c r="I10" s="48">
        <v>1.125</v>
      </c>
      <c r="J10" s="48"/>
      <c r="K10" s="49">
        <f t="shared" ref="K10:K25" si="1">ROUND(G10*I10,4)</f>
        <v>368.97750000000002</v>
      </c>
      <c r="L10" s="50">
        <f t="shared" ref="L10:L25" si="2">ROUND(ROUND(K10*$G$7,4)*($K$7),0)</f>
        <v>1429649</v>
      </c>
      <c r="N10" s="51">
        <v>5101</v>
      </c>
      <c r="O10" s="52">
        <v>101</v>
      </c>
      <c r="P10" s="53"/>
      <c r="Q10" s="54"/>
      <c r="V10" s="617" t="s">
        <v>28</v>
      </c>
      <c r="W10" s="617"/>
      <c r="X10" s="618">
        <f>IF('3385 June Final'!K$84=1,'3385 June Final'!G10,0)</f>
        <v>0</v>
      </c>
      <c r="Y10" s="618"/>
      <c r="Z10" s="619">
        <v>1</v>
      </c>
      <c r="AA10" s="619"/>
      <c r="AB10" s="55">
        <f t="shared" ref="AB10:AB25" si="3">ROUND(X10*Z10,4)</f>
        <v>0</v>
      </c>
      <c r="AC10" s="56">
        <f t="shared" ref="AC10:AC25" si="4">ROUND(ROUND(AB10*$X$7,4)*($AB$7),0)</f>
        <v>0</v>
      </c>
      <c r="AD10" s="9">
        <v>1</v>
      </c>
    </row>
    <row r="11" spans="1:30" x14ac:dyDescent="0.25">
      <c r="A11" s="1" t="s">
        <v>29</v>
      </c>
      <c r="B11" s="13" t="s">
        <v>30</v>
      </c>
      <c r="C11" s="13"/>
      <c r="D11" s="13">
        <v>12.01</v>
      </c>
      <c r="E11" s="13">
        <v>12.08</v>
      </c>
      <c r="F11" s="13">
        <v>15.85</v>
      </c>
      <c r="G11" s="46">
        <f t="shared" si="0"/>
        <v>24.09</v>
      </c>
      <c r="H11" s="47"/>
      <c r="I11" s="57">
        <f>I10</f>
        <v>1.125</v>
      </c>
      <c r="J11" s="57"/>
      <c r="K11" s="49">
        <f t="shared" si="1"/>
        <v>27.101299999999998</v>
      </c>
      <c r="L11" s="50">
        <f t="shared" si="2"/>
        <v>105007</v>
      </c>
      <c r="M11" s="1" t="str">
        <f>IF(ROUND(G11,2)=ROUND(SUM(G28:G30),2)," ","CHECK 2. PK-3 Lines Below")</f>
        <v xml:space="preserve"> </v>
      </c>
      <c r="N11" s="51">
        <v>5101</v>
      </c>
      <c r="O11" s="58" t="s">
        <v>31</v>
      </c>
      <c r="P11" s="53"/>
      <c r="Q11" s="54"/>
      <c r="V11" s="623" t="s">
        <v>30</v>
      </c>
      <c r="W11" s="623"/>
      <c r="X11" s="618">
        <f>IF('3385 June Final'!K$84=1,'3385 June Final'!G11,0)</f>
        <v>0</v>
      </c>
      <c r="Y11" s="618"/>
      <c r="Z11" s="624">
        <v>1</v>
      </c>
      <c r="AA11" s="624"/>
      <c r="AB11" s="55">
        <f t="shared" si="3"/>
        <v>0</v>
      </c>
      <c r="AC11" s="56">
        <f t="shared" si="4"/>
        <v>0</v>
      </c>
      <c r="AD11" s="9"/>
    </row>
    <row r="12" spans="1:30" x14ac:dyDescent="0.25">
      <c r="A12" s="1" t="s">
        <v>32</v>
      </c>
      <c r="B12" s="13" t="s">
        <v>33</v>
      </c>
      <c r="C12" s="13"/>
      <c r="D12" s="13">
        <v>174.65</v>
      </c>
      <c r="E12" s="13">
        <v>177.18</v>
      </c>
      <c r="F12" s="13">
        <v>226.58</v>
      </c>
      <c r="G12" s="46">
        <f t="shared" si="0"/>
        <v>351.83000000000004</v>
      </c>
      <c r="H12" s="47"/>
      <c r="I12" s="57">
        <v>1</v>
      </c>
      <c r="J12" s="57"/>
      <c r="K12" s="49">
        <f t="shared" si="1"/>
        <v>351.83</v>
      </c>
      <c r="L12" s="50">
        <f t="shared" si="2"/>
        <v>1363209</v>
      </c>
      <c r="N12" s="51">
        <v>5102</v>
      </c>
      <c r="O12" s="52">
        <v>102</v>
      </c>
      <c r="P12" s="53"/>
      <c r="Q12" s="54"/>
      <c r="V12" s="623" t="s">
        <v>33</v>
      </c>
      <c r="W12" s="623"/>
      <c r="X12" s="618">
        <f>IF('3385 June Final'!K$84=1,'3385 June Final'!G12,0)</f>
        <v>0</v>
      </c>
      <c r="Y12" s="618"/>
      <c r="Z12" s="624">
        <v>1</v>
      </c>
      <c r="AA12" s="624"/>
      <c r="AB12" s="55">
        <f t="shared" si="3"/>
        <v>0</v>
      </c>
      <c r="AC12" s="56">
        <f t="shared" si="4"/>
        <v>0</v>
      </c>
      <c r="AD12" s="9"/>
    </row>
    <row r="13" spans="1:30" x14ac:dyDescent="0.25">
      <c r="A13" s="1" t="s">
        <v>34</v>
      </c>
      <c r="B13" s="13" t="s">
        <v>35</v>
      </c>
      <c r="C13" s="13"/>
      <c r="D13" s="13">
        <v>26</v>
      </c>
      <c r="E13" s="13">
        <v>25.11</v>
      </c>
      <c r="F13" s="13">
        <v>34.799999999999997</v>
      </c>
      <c r="G13" s="46">
        <f t="shared" si="0"/>
        <v>51.11</v>
      </c>
      <c r="H13" s="47"/>
      <c r="I13" s="57">
        <f>I12</f>
        <v>1</v>
      </c>
      <c r="J13" s="57"/>
      <c r="K13" s="49">
        <f t="shared" si="1"/>
        <v>51.11</v>
      </c>
      <c r="L13" s="50">
        <f t="shared" si="2"/>
        <v>198032</v>
      </c>
      <c r="M13" s="1" t="str">
        <f>IF(ROUND(G13,2)=ROUND(SUM(G31:G33),2)," ","CHECK 2. PK-3 Lines Below")</f>
        <v xml:space="preserve"> </v>
      </c>
      <c r="N13" s="51">
        <v>5102</v>
      </c>
      <c r="O13" s="58" t="s">
        <v>36</v>
      </c>
      <c r="P13" s="53"/>
      <c r="Q13" s="54"/>
      <c r="V13" s="623" t="s">
        <v>35</v>
      </c>
      <c r="W13" s="623"/>
      <c r="X13" s="618">
        <f>IF('3385 June Final'!K$84=1,'3385 June Final'!G13,0)</f>
        <v>0</v>
      </c>
      <c r="Y13" s="618"/>
      <c r="Z13" s="624">
        <v>1</v>
      </c>
      <c r="AA13" s="624"/>
      <c r="AB13" s="55">
        <f t="shared" si="3"/>
        <v>0</v>
      </c>
      <c r="AC13" s="56">
        <f t="shared" si="4"/>
        <v>0</v>
      </c>
      <c r="AD13" s="9"/>
    </row>
    <row r="14" spans="1:30" x14ac:dyDescent="0.25">
      <c r="A14" s="1" t="s">
        <v>37</v>
      </c>
      <c r="B14" s="13" t="s">
        <v>38</v>
      </c>
      <c r="C14" s="13"/>
      <c r="D14" s="13">
        <v>0</v>
      </c>
      <c r="E14" s="13">
        <v>0</v>
      </c>
      <c r="F14" s="13">
        <v>0</v>
      </c>
      <c r="G14" s="46">
        <f t="shared" si="0"/>
        <v>0</v>
      </c>
      <c r="H14" s="47"/>
      <c r="I14" s="57">
        <v>1.0109999999999999</v>
      </c>
      <c r="J14" s="57"/>
      <c r="K14" s="49">
        <f t="shared" si="1"/>
        <v>0</v>
      </c>
      <c r="L14" s="50">
        <f t="shared" si="2"/>
        <v>0</v>
      </c>
      <c r="N14" s="51">
        <v>5103</v>
      </c>
      <c r="O14" s="52">
        <v>103</v>
      </c>
      <c r="P14" s="53"/>
      <c r="Q14" s="54"/>
      <c r="V14" s="623" t="s">
        <v>38</v>
      </c>
      <c r="W14" s="623"/>
      <c r="X14" s="618">
        <f>IF('3385 June Final'!K$84=1,'3385 June Final'!G14,0)</f>
        <v>0</v>
      </c>
      <c r="Y14" s="618"/>
      <c r="Z14" s="624">
        <v>1</v>
      </c>
      <c r="AA14" s="624"/>
      <c r="AB14" s="55">
        <f t="shared" si="3"/>
        <v>0</v>
      </c>
      <c r="AC14" s="56">
        <f t="shared" si="4"/>
        <v>0</v>
      </c>
      <c r="AD14" s="9"/>
    </row>
    <row r="15" spans="1:30" x14ac:dyDescent="0.25">
      <c r="A15" s="1" t="s">
        <v>39</v>
      </c>
      <c r="B15" s="13" t="s">
        <v>40</v>
      </c>
      <c r="C15" s="13"/>
      <c r="D15" s="13">
        <v>0</v>
      </c>
      <c r="E15" s="13">
        <v>0</v>
      </c>
      <c r="F15" s="13">
        <v>0</v>
      </c>
      <c r="G15" s="46">
        <f t="shared" si="0"/>
        <v>0</v>
      </c>
      <c r="H15" s="47"/>
      <c r="I15" s="57">
        <f>I14</f>
        <v>1.0109999999999999</v>
      </c>
      <c r="J15" s="57"/>
      <c r="K15" s="49">
        <f t="shared" si="1"/>
        <v>0</v>
      </c>
      <c r="L15" s="59">
        <f t="shared" si="2"/>
        <v>0</v>
      </c>
      <c r="M15" s="1" t="str">
        <f>IF(ROUND(G15,2)=ROUND(SUM(G34:G36),2)," ","CHECK 2. PK-3 Lines Below")</f>
        <v xml:space="preserve"> </v>
      </c>
      <c r="N15" s="51">
        <v>5103</v>
      </c>
      <c r="O15" s="58" t="s">
        <v>41</v>
      </c>
      <c r="P15" s="53"/>
      <c r="Q15" s="54"/>
      <c r="V15" s="623" t="s">
        <v>40</v>
      </c>
      <c r="W15" s="623"/>
      <c r="X15" s="618">
        <f>IF('3385 June Final'!K$84=1,'3385 June Final'!G15,0)</f>
        <v>0</v>
      </c>
      <c r="Y15" s="618"/>
      <c r="Z15" s="624">
        <v>1</v>
      </c>
      <c r="AA15" s="624"/>
      <c r="AB15" s="55">
        <f t="shared" si="3"/>
        <v>0</v>
      </c>
      <c r="AC15" s="60">
        <f t="shared" si="4"/>
        <v>0</v>
      </c>
      <c r="AD15" s="9"/>
    </row>
    <row r="16" spans="1:30" x14ac:dyDescent="0.25">
      <c r="A16" s="1" t="s">
        <v>42</v>
      </c>
      <c r="B16" s="13" t="s">
        <v>43</v>
      </c>
      <c r="C16" s="13"/>
      <c r="D16" s="13">
        <v>0</v>
      </c>
      <c r="E16" s="13">
        <v>0</v>
      </c>
      <c r="F16" s="13">
        <v>0</v>
      </c>
      <c r="G16" s="46">
        <f t="shared" si="0"/>
        <v>0</v>
      </c>
      <c r="H16" s="47"/>
      <c r="I16" s="57">
        <v>3.5579999999999998</v>
      </c>
      <c r="J16" s="57"/>
      <c r="K16" s="49">
        <f t="shared" si="1"/>
        <v>0</v>
      </c>
      <c r="L16" s="50">
        <f t="shared" si="2"/>
        <v>0</v>
      </c>
      <c r="N16" s="51">
        <v>5101</v>
      </c>
      <c r="O16" s="53">
        <v>254</v>
      </c>
      <c r="P16" s="53"/>
      <c r="Q16" s="54"/>
      <c r="V16" s="623" t="s">
        <v>43</v>
      </c>
      <c r="W16" s="623"/>
      <c r="X16" s="618">
        <f>IF('3385 June Final'!K$84=1,'3385 June Final'!G16,0)</f>
        <v>0</v>
      </c>
      <c r="Y16" s="618"/>
      <c r="Z16" s="624">
        <v>1</v>
      </c>
      <c r="AA16" s="624"/>
      <c r="AB16" s="55">
        <f t="shared" si="3"/>
        <v>0</v>
      </c>
      <c r="AC16" s="56">
        <f t="shared" si="4"/>
        <v>0</v>
      </c>
      <c r="AD16" s="9"/>
    </row>
    <row r="17" spans="1:30" x14ac:dyDescent="0.25">
      <c r="A17" s="1" t="s">
        <v>44</v>
      </c>
      <c r="B17" s="13" t="s">
        <v>45</v>
      </c>
      <c r="C17" s="13"/>
      <c r="D17" s="13">
        <v>0</v>
      </c>
      <c r="E17" s="13">
        <v>0</v>
      </c>
      <c r="F17" s="13">
        <v>0</v>
      </c>
      <c r="G17" s="46">
        <f t="shared" si="0"/>
        <v>0</v>
      </c>
      <c r="H17" s="47"/>
      <c r="I17" s="57">
        <f>I16</f>
        <v>3.5579999999999998</v>
      </c>
      <c r="J17" s="57"/>
      <c r="K17" s="49">
        <f t="shared" si="1"/>
        <v>0</v>
      </c>
      <c r="L17" s="50">
        <f t="shared" si="2"/>
        <v>0</v>
      </c>
      <c r="N17" s="51">
        <v>5102</v>
      </c>
      <c r="O17" s="54">
        <v>254</v>
      </c>
      <c r="P17" s="53"/>
      <c r="Q17" s="54"/>
      <c r="V17" s="623" t="s">
        <v>45</v>
      </c>
      <c r="W17" s="623"/>
      <c r="X17" s="618">
        <f>IF('3385 June Final'!K$84=1,'3385 June Final'!G17,0)</f>
        <v>0</v>
      </c>
      <c r="Y17" s="618"/>
      <c r="Z17" s="624">
        <v>1</v>
      </c>
      <c r="AA17" s="624"/>
      <c r="AB17" s="55">
        <f t="shared" si="3"/>
        <v>0</v>
      </c>
      <c r="AC17" s="56">
        <f t="shared" si="4"/>
        <v>0</v>
      </c>
      <c r="AD17" s="9"/>
    </row>
    <row r="18" spans="1:30" x14ac:dyDescent="0.25">
      <c r="A18" s="1" t="s">
        <v>46</v>
      </c>
      <c r="B18" s="13" t="s">
        <v>47</v>
      </c>
      <c r="C18" s="13"/>
      <c r="D18" s="13">
        <v>0</v>
      </c>
      <c r="E18" s="13">
        <v>0</v>
      </c>
      <c r="F18" s="13">
        <v>0</v>
      </c>
      <c r="G18" s="46">
        <f t="shared" si="0"/>
        <v>0</v>
      </c>
      <c r="H18" s="47"/>
      <c r="I18" s="57">
        <f>I17</f>
        <v>3.5579999999999998</v>
      </c>
      <c r="J18" s="57"/>
      <c r="K18" s="49">
        <f t="shared" si="1"/>
        <v>0</v>
      </c>
      <c r="L18" s="50">
        <f t="shared" si="2"/>
        <v>0</v>
      </c>
      <c r="N18" s="51">
        <v>5103</v>
      </c>
      <c r="O18" s="54">
        <v>254</v>
      </c>
      <c r="P18" s="53"/>
      <c r="Q18" s="54"/>
      <c r="V18" s="623" t="s">
        <v>47</v>
      </c>
      <c r="W18" s="623"/>
      <c r="X18" s="618">
        <f>IF('3385 June Final'!K$84=1,'3385 June Final'!G18,0)</f>
        <v>0</v>
      </c>
      <c r="Y18" s="618"/>
      <c r="Z18" s="624">
        <v>1</v>
      </c>
      <c r="AA18" s="624"/>
      <c r="AB18" s="55">
        <f t="shared" si="3"/>
        <v>0</v>
      </c>
      <c r="AC18" s="56">
        <f t="shared" si="4"/>
        <v>0</v>
      </c>
      <c r="AD18" s="9"/>
    </row>
    <row r="19" spans="1:30" ht="15" customHeight="1" x14ac:dyDescent="0.25">
      <c r="A19" s="1" t="s">
        <v>48</v>
      </c>
      <c r="B19" s="13" t="s">
        <v>49</v>
      </c>
      <c r="C19" s="13"/>
      <c r="D19" s="13">
        <v>0</v>
      </c>
      <c r="E19" s="13">
        <v>0</v>
      </c>
      <c r="F19" s="13">
        <v>0</v>
      </c>
      <c r="G19" s="46">
        <f t="shared" si="0"/>
        <v>0</v>
      </c>
      <c r="H19" s="47"/>
      <c r="I19" s="57">
        <v>5.0890000000000004</v>
      </c>
      <c r="J19" s="57"/>
      <c r="K19" s="49">
        <f t="shared" si="1"/>
        <v>0</v>
      </c>
      <c r="L19" s="50">
        <f t="shared" si="2"/>
        <v>0</v>
      </c>
      <c r="N19" s="51">
        <v>5101</v>
      </c>
      <c r="O19" s="53">
        <v>255</v>
      </c>
      <c r="P19" s="53"/>
      <c r="Q19" s="54"/>
      <c r="V19" s="623" t="s">
        <v>49</v>
      </c>
      <c r="W19" s="623"/>
      <c r="X19" s="618">
        <f>IF('3385 June Final'!K$84=1,'3385 June Final'!G19,0)</f>
        <v>0</v>
      </c>
      <c r="Y19" s="618"/>
      <c r="Z19" s="624">
        <v>1</v>
      </c>
      <c r="AA19" s="624"/>
      <c r="AB19" s="55">
        <f t="shared" si="3"/>
        <v>0</v>
      </c>
      <c r="AC19" s="56">
        <f t="shared" si="4"/>
        <v>0</v>
      </c>
      <c r="AD19" s="9"/>
    </row>
    <row r="20" spans="1:30" ht="15" customHeight="1" x14ac:dyDescent="0.25">
      <c r="A20" s="1" t="s">
        <v>50</v>
      </c>
      <c r="B20" s="13" t="s">
        <v>51</v>
      </c>
      <c r="C20" s="13"/>
      <c r="D20" s="13">
        <v>0</v>
      </c>
      <c r="E20" s="13">
        <v>0</v>
      </c>
      <c r="F20" s="13">
        <v>0</v>
      </c>
      <c r="G20" s="46">
        <f t="shared" si="0"/>
        <v>0</v>
      </c>
      <c r="H20" s="47"/>
      <c r="I20" s="57">
        <f>I19</f>
        <v>5.0890000000000004</v>
      </c>
      <c r="J20" s="57"/>
      <c r="K20" s="49">
        <f t="shared" si="1"/>
        <v>0</v>
      </c>
      <c r="L20" s="50">
        <f t="shared" si="2"/>
        <v>0</v>
      </c>
      <c r="N20" s="51">
        <v>5102</v>
      </c>
      <c r="O20" s="54">
        <v>255</v>
      </c>
      <c r="P20" s="53"/>
      <c r="Q20" s="54"/>
      <c r="V20" s="623" t="s">
        <v>51</v>
      </c>
      <c r="W20" s="623"/>
      <c r="X20" s="618">
        <f>IF('3385 June Final'!K$84=1,'3385 June Final'!G20,0)</f>
        <v>0</v>
      </c>
      <c r="Y20" s="618"/>
      <c r="Z20" s="624">
        <v>1</v>
      </c>
      <c r="AA20" s="624"/>
      <c r="AB20" s="55">
        <f t="shared" si="3"/>
        <v>0</v>
      </c>
      <c r="AC20" s="56">
        <f t="shared" si="4"/>
        <v>0</v>
      </c>
      <c r="AD20" s="9"/>
    </row>
    <row r="21" spans="1:30" ht="15" customHeight="1" x14ac:dyDescent="0.25">
      <c r="A21" s="1" t="s">
        <v>52</v>
      </c>
      <c r="B21" s="13" t="s">
        <v>53</v>
      </c>
      <c r="C21" s="13"/>
      <c r="D21" s="13">
        <v>0</v>
      </c>
      <c r="E21" s="13">
        <v>0</v>
      </c>
      <c r="F21" s="13">
        <v>0</v>
      </c>
      <c r="G21" s="46">
        <f t="shared" si="0"/>
        <v>0</v>
      </c>
      <c r="H21" s="47"/>
      <c r="I21" s="57">
        <f>I20</f>
        <v>5.0890000000000004</v>
      </c>
      <c r="J21" s="57"/>
      <c r="K21" s="49">
        <f t="shared" si="1"/>
        <v>0</v>
      </c>
      <c r="L21" s="50">
        <f t="shared" si="2"/>
        <v>0</v>
      </c>
      <c r="N21" s="51">
        <v>5103</v>
      </c>
      <c r="O21" s="54">
        <v>255</v>
      </c>
      <c r="P21" s="53"/>
      <c r="Q21" s="54"/>
      <c r="V21" s="623" t="s">
        <v>53</v>
      </c>
      <c r="W21" s="623"/>
      <c r="X21" s="618">
        <f>IF('3385 June Final'!K$84=1,'3385 June Final'!G21,0)</f>
        <v>0</v>
      </c>
      <c r="Y21" s="618"/>
      <c r="Z21" s="624">
        <v>1</v>
      </c>
      <c r="AA21" s="624"/>
      <c r="AB21" s="55">
        <f t="shared" si="3"/>
        <v>0</v>
      </c>
      <c r="AC21" s="56">
        <f t="shared" si="4"/>
        <v>0</v>
      </c>
      <c r="AD21" s="9"/>
    </row>
    <row r="22" spans="1:30" x14ac:dyDescent="0.25">
      <c r="A22" s="1" t="s">
        <v>54</v>
      </c>
      <c r="B22" s="13" t="s">
        <v>55</v>
      </c>
      <c r="C22" s="13"/>
      <c r="D22" s="13">
        <v>4.6500000000000004</v>
      </c>
      <c r="E22" s="13">
        <v>4.2300000000000004</v>
      </c>
      <c r="F22" s="13">
        <v>7.75</v>
      </c>
      <c r="G22" s="46">
        <f t="shared" si="0"/>
        <v>8.8800000000000008</v>
      </c>
      <c r="H22" s="47"/>
      <c r="I22" s="57">
        <v>1.145</v>
      </c>
      <c r="J22" s="57"/>
      <c r="K22" s="49">
        <f t="shared" si="1"/>
        <v>10.1676</v>
      </c>
      <c r="L22" s="50">
        <f t="shared" si="2"/>
        <v>39396</v>
      </c>
      <c r="N22" s="51">
        <v>5101</v>
      </c>
      <c r="O22" s="52">
        <v>130</v>
      </c>
      <c r="P22" s="53"/>
      <c r="Q22" s="54"/>
      <c r="V22" s="623" t="s">
        <v>55</v>
      </c>
      <c r="W22" s="623"/>
      <c r="X22" s="618">
        <f>IF('3385 June Final'!K$84=1,'3385 June Final'!G22,0)</f>
        <v>0</v>
      </c>
      <c r="Y22" s="618"/>
      <c r="Z22" s="624">
        <v>1</v>
      </c>
      <c r="AA22" s="624"/>
      <c r="AB22" s="55">
        <f t="shared" si="3"/>
        <v>0</v>
      </c>
      <c r="AC22" s="56">
        <f t="shared" si="4"/>
        <v>0</v>
      </c>
      <c r="AD22" s="9"/>
    </row>
    <row r="23" spans="1:30" x14ac:dyDescent="0.25">
      <c r="A23" s="1" t="s">
        <v>56</v>
      </c>
      <c r="B23" s="13" t="s">
        <v>57</v>
      </c>
      <c r="C23" s="13"/>
      <c r="D23" s="13">
        <v>1.31</v>
      </c>
      <c r="E23" s="13">
        <v>1.23</v>
      </c>
      <c r="F23" s="13">
        <v>0</v>
      </c>
      <c r="G23" s="46">
        <f t="shared" si="0"/>
        <v>2.54</v>
      </c>
      <c r="H23" s="47"/>
      <c r="I23" s="57">
        <f>I22</f>
        <v>1.145</v>
      </c>
      <c r="J23" s="57"/>
      <c r="K23" s="49">
        <f t="shared" si="1"/>
        <v>2.9083000000000001</v>
      </c>
      <c r="L23" s="50">
        <f t="shared" si="2"/>
        <v>11269</v>
      </c>
      <c r="N23" s="51">
        <v>5102</v>
      </c>
      <c r="O23" s="52">
        <v>130</v>
      </c>
      <c r="P23" s="53"/>
      <c r="Q23" s="54"/>
      <c r="V23" s="623" t="s">
        <v>57</v>
      </c>
      <c r="W23" s="623"/>
      <c r="X23" s="618">
        <f>IF('3385 June Final'!K$84=1,'3385 June Final'!G23,0)</f>
        <v>0</v>
      </c>
      <c r="Y23" s="618"/>
      <c r="Z23" s="624">
        <v>1</v>
      </c>
      <c r="AA23" s="624"/>
      <c r="AB23" s="55">
        <f t="shared" si="3"/>
        <v>0</v>
      </c>
      <c r="AC23" s="56">
        <f t="shared" si="4"/>
        <v>0</v>
      </c>
      <c r="AD23" s="9"/>
    </row>
    <row r="24" spans="1:30" x14ac:dyDescent="0.25">
      <c r="A24" s="1" t="s">
        <v>58</v>
      </c>
      <c r="B24" s="13" t="s">
        <v>59</v>
      </c>
      <c r="C24" s="13"/>
      <c r="D24" s="13">
        <v>0</v>
      </c>
      <c r="E24" s="13">
        <v>0</v>
      </c>
      <c r="F24" s="13">
        <v>0</v>
      </c>
      <c r="G24" s="46">
        <f t="shared" si="0"/>
        <v>0</v>
      </c>
      <c r="H24" s="47"/>
      <c r="I24" s="57">
        <f>I23</f>
        <v>1.145</v>
      </c>
      <c r="J24" s="57"/>
      <c r="K24" s="49">
        <f t="shared" si="1"/>
        <v>0</v>
      </c>
      <c r="L24" s="50">
        <f t="shared" si="2"/>
        <v>0</v>
      </c>
      <c r="N24" s="51">
        <v>5103</v>
      </c>
      <c r="O24" s="52">
        <v>130</v>
      </c>
      <c r="P24" s="53"/>
      <c r="Q24" s="54"/>
      <c r="V24" s="623" t="s">
        <v>59</v>
      </c>
      <c r="W24" s="623"/>
      <c r="X24" s="618">
        <f>IF('3385 June Final'!K$84=1,'3385 June Final'!G24,0)</f>
        <v>0</v>
      </c>
      <c r="Y24" s="618"/>
      <c r="Z24" s="624">
        <v>1</v>
      </c>
      <c r="AA24" s="624"/>
      <c r="AB24" s="55">
        <f t="shared" si="3"/>
        <v>0</v>
      </c>
      <c r="AC24" s="56">
        <f t="shared" si="4"/>
        <v>0</v>
      </c>
      <c r="AD24" s="9"/>
    </row>
    <row r="25" spans="1:30" ht="16.5" thickBot="1" x14ac:dyDescent="0.3">
      <c r="A25" s="1" t="s">
        <v>60</v>
      </c>
      <c r="B25" s="13" t="s">
        <v>61</v>
      </c>
      <c r="C25" s="13"/>
      <c r="D25" s="13">
        <v>0</v>
      </c>
      <c r="E25" s="13">
        <v>0</v>
      </c>
      <c r="F25" s="13">
        <v>0</v>
      </c>
      <c r="G25" s="46">
        <f t="shared" si="0"/>
        <v>0</v>
      </c>
      <c r="H25" s="47"/>
      <c r="I25" s="57">
        <v>1.0109999999999999</v>
      </c>
      <c r="J25" s="57"/>
      <c r="K25" s="49">
        <f t="shared" si="1"/>
        <v>0</v>
      </c>
      <c r="L25" s="50">
        <f t="shared" si="2"/>
        <v>0</v>
      </c>
      <c r="N25" s="51">
        <v>5310</v>
      </c>
      <c r="O25" s="52">
        <v>300</v>
      </c>
      <c r="P25" s="53"/>
      <c r="Q25" s="54"/>
      <c r="V25" s="623" t="s">
        <v>61</v>
      </c>
      <c r="W25" s="623"/>
      <c r="X25" s="618">
        <f>IF('3385 June Final'!K$84=1,'3385 June Final'!G25,0)</f>
        <v>0</v>
      </c>
      <c r="Y25" s="618"/>
      <c r="Z25" s="624">
        <v>1</v>
      </c>
      <c r="AA25" s="624"/>
      <c r="AB25" s="55">
        <f t="shared" si="3"/>
        <v>0</v>
      </c>
      <c r="AC25" s="56">
        <f t="shared" si="4"/>
        <v>0</v>
      </c>
      <c r="AD25" s="9"/>
    </row>
    <row r="26" spans="1:30" ht="20.25" customHeight="1" thickBot="1" x14ac:dyDescent="0.3">
      <c r="B26" s="62" t="s">
        <v>62</v>
      </c>
      <c r="C26" s="62"/>
      <c r="D26" s="63">
        <f>SUM(D10:D25)</f>
        <v>382.15</v>
      </c>
      <c r="E26" s="63">
        <f>SUM(E10:E25)</f>
        <v>384.28000000000009</v>
      </c>
      <c r="F26" s="63"/>
      <c r="G26" s="63">
        <f>SUM(G10:G25)</f>
        <v>766.43000000000006</v>
      </c>
      <c r="H26" s="64"/>
      <c r="I26" s="64"/>
      <c r="J26" s="65"/>
      <c r="K26" s="66">
        <f>SUM(K10:K25)</f>
        <v>812.09469999999999</v>
      </c>
      <c r="L26" s="67">
        <f>SUM(L10:L25)</f>
        <v>3146562</v>
      </c>
      <c r="N26" s="54"/>
      <c r="O26" s="68"/>
      <c r="P26" s="54"/>
      <c r="Q26" s="54"/>
      <c r="V26" s="625" t="s">
        <v>62</v>
      </c>
      <c r="W26" s="625"/>
      <c r="X26" s="626">
        <f>SUM(X10:X25)</f>
        <v>0</v>
      </c>
      <c r="Y26" s="626"/>
      <c r="Z26" s="627"/>
      <c r="AA26" s="628"/>
      <c r="AB26" s="69">
        <f>SUM(AB10:AB25)</f>
        <v>0</v>
      </c>
      <c r="AC26" s="70">
        <f>SUM(AC10:AC25)</f>
        <v>0</v>
      </c>
      <c r="AD26" s="9"/>
    </row>
    <row r="27" spans="1:30" ht="51.75" customHeight="1" x14ac:dyDescent="0.25">
      <c r="B27" s="62" t="s">
        <v>63</v>
      </c>
      <c r="C27" s="62"/>
      <c r="D27" s="71" t="s">
        <v>13</v>
      </c>
      <c r="E27" s="71" t="s">
        <v>14</v>
      </c>
      <c r="F27" s="27"/>
      <c r="G27" s="72" t="s">
        <v>64</v>
      </c>
      <c r="H27" s="73"/>
      <c r="I27" s="74" t="s">
        <v>65</v>
      </c>
      <c r="J27" s="74" t="s">
        <v>66</v>
      </c>
      <c r="K27" s="75" t="s">
        <v>67</v>
      </c>
      <c r="N27" s="54"/>
      <c r="O27" s="68"/>
      <c r="P27" s="54"/>
      <c r="Q27" s="54"/>
      <c r="V27" s="629" t="s">
        <v>63</v>
      </c>
      <c r="W27" s="629"/>
      <c r="X27" s="630" t="s">
        <v>64</v>
      </c>
      <c r="Y27" s="630"/>
      <c r="Z27" s="76" t="s">
        <v>65</v>
      </c>
      <c r="AA27" s="77" t="s">
        <v>66</v>
      </c>
      <c r="AB27" s="78" t="s">
        <v>67</v>
      </c>
      <c r="AC27" s="9"/>
      <c r="AD27" s="9"/>
    </row>
    <row r="28" spans="1:30" ht="15.75" customHeight="1" x14ac:dyDescent="0.25">
      <c r="A28" s="1" t="s">
        <v>68</v>
      </c>
      <c r="B28" s="631" t="s">
        <v>69</v>
      </c>
      <c r="C28" s="632"/>
      <c r="D28" s="578">
        <v>10.52</v>
      </c>
      <c r="E28" s="578">
        <v>10.58</v>
      </c>
      <c r="F28" s="79">
        <v>10.5</v>
      </c>
      <c r="G28" s="46">
        <f t="shared" ref="G28:G36" si="5">D28+E28</f>
        <v>21.1</v>
      </c>
      <c r="H28" s="80"/>
      <c r="I28" s="81" t="s">
        <v>70</v>
      </c>
      <c r="J28" s="82">
        <v>251</v>
      </c>
      <c r="K28" s="83">
        <v>1047</v>
      </c>
      <c r="L28" s="84">
        <f t="shared" ref="L28:L36" si="6">ROUND(G28*K28,0)</f>
        <v>22092</v>
      </c>
      <c r="N28" s="337">
        <v>5101</v>
      </c>
      <c r="O28" s="54">
        <v>251</v>
      </c>
      <c r="P28" s="86"/>
      <c r="Q28" s="87"/>
      <c r="V28" s="637" t="s">
        <v>69</v>
      </c>
      <c r="W28" s="637"/>
      <c r="X28" s="638"/>
      <c r="Y28" s="638"/>
      <c r="Z28" s="88" t="s">
        <v>70</v>
      </c>
      <c r="AA28" s="330">
        <v>251</v>
      </c>
      <c r="AB28" s="90">
        <f t="shared" ref="AB28:AB36" si="7">+K28</f>
        <v>1047</v>
      </c>
      <c r="AC28" s="91">
        <f t="shared" ref="AC28:AC36" si="8">ROUND(X28*AB28,0)</f>
        <v>0</v>
      </c>
      <c r="AD28" s="9"/>
    </row>
    <row r="29" spans="1:30" x14ac:dyDescent="0.25">
      <c r="A29" s="1" t="s">
        <v>71</v>
      </c>
      <c r="B29" s="633"/>
      <c r="C29" s="634"/>
      <c r="D29" s="578">
        <v>1.49</v>
      </c>
      <c r="E29" s="578">
        <v>1.5</v>
      </c>
      <c r="F29" s="92">
        <v>0</v>
      </c>
      <c r="G29" s="46">
        <f t="shared" si="5"/>
        <v>2.99</v>
      </c>
      <c r="H29" s="80"/>
      <c r="I29" s="82" t="s">
        <v>70</v>
      </c>
      <c r="J29" s="82">
        <v>252</v>
      </c>
      <c r="K29" s="83">
        <v>3380</v>
      </c>
      <c r="L29" s="84">
        <f t="shared" si="6"/>
        <v>10106</v>
      </c>
      <c r="N29" s="337">
        <v>5101</v>
      </c>
      <c r="O29" s="54">
        <v>252</v>
      </c>
      <c r="P29" s="86"/>
      <c r="Q29" s="87"/>
      <c r="V29" s="637"/>
      <c r="W29" s="637"/>
      <c r="X29" s="638"/>
      <c r="Y29" s="638"/>
      <c r="Z29" s="330" t="s">
        <v>70</v>
      </c>
      <c r="AA29" s="330">
        <v>252</v>
      </c>
      <c r="AB29" s="90">
        <f t="shared" si="7"/>
        <v>3380</v>
      </c>
      <c r="AC29" s="91">
        <f t="shared" si="8"/>
        <v>0</v>
      </c>
      <c r="AD29" s="9"/>
    </row>
    <row r="30" spans="1:30" x14ac:dyDescent="0.25">
      <c r="A30" s="1" t="s">
        <v>72</v>
      </c>
      <c r="B30" s="633"/>
      <c r="C30" s="634"/>
      <c r="D30" s="578">
        <v>0</v>
      </c>
      <c r="E30" s="578">
        <v>0</v>
      </c>
      <c r="F30" s="92">
        <v>0</v>
      </c>
      <c r="G30" s="46">
        <f t="shared" si="5"/>
        <v>0</v>
      </c>
      <c r="H30" s="80"/>
      <c r="I30" s="82" t="s">
        <v>70</v>
      </c>
      <c r="J30" s="82">
        <v>253</v>
      </c>
      <c r="K30" s="83">
        <v>6896</v>
      </c>
      <c r="L30" s="84">
        <f t="shared" si="6"/>
        <v>0</v>
      </c>
      <c r="N30" s="337">
        <v>5101</v>
      </c>
      <c r="O30" s="54">
        <v>253</v>
      </c>
      <c r="P30" s="86"/>
      <c r="Q30" s="68"/>
      <c r="V30" s="637"/>
      <c r="W30" s="637"/>
      <c r="X30" s="638"/>
      <c r="Y30" s="638"/>
      <c r="Z30" s="330" t="s">
        <v>70</v>
      </c>
      <c r="AA30" s="330">
        <v>253</v>
      </c>
      <c r="AB30" s="90">
        <f t="shared" si="7"/>
        <v>6896</v>
      </c>
      <c r="AC30" s="91">
        <f t="shared" si="8"/>
        <v>0</v>
      </c>
      <c r="AD30" s="9"/>
    </row>
    <row r="31" spans="1:30" x14ac:dyDescent="0.25">
      <c r="A31" s="1" t="s">
        <v>73</v>
      </c>
      <c r="B31" s="633"/>
      <c r="C31" s="634"/>
      <c r="D31" s="578">
        <v>24.5</v>
      </c>
      <c r="E31" s="578">
        <v>23.61</v>
      </c>
      <c r="F31" s="92">
        <v>19</v>
      </c>
      <c r="G31" s="46">
        <f t="shared" si="5"/>
        <v>48.11</v>
      </c>
      <c r="H31" s="80"/>
      <c r="I31" s="93" t="s">
        <v>74</v>
      </c>
      <c r="J31" s="82">
        <v>251</v>
      </c>
      <c r="K31" s="83">
        <v>1173</v>
      </c>
      <c r="L31" s="84">
        <f t="shared" si="6"/>
        <v>56433</v>
      </c>
      <c r="N31" s="337">
        <v>5102</v>
      </c>
      <c r="O31" s="54">
        <v>251</v>
      </c>
      <c r="P31" s="86"/>
      <c r="Q31" s="68"/>
      <c r="V31" s="637"/>
      <c r="W31" s="637"/>
      <c r="X31" s="638"/>
      <c r="Y31" s="638"/>
      <c r="Z31" s="94" t="s">
        <v>74</v>
      </c>
      <c r="AA31" s="330">
        <v>251</v>
      </c>
      <c r="AB31" s="90">
        <f t="shared" si="7"/>
        <v>1173</v>
      </c>
      <c r="AC31" s="91">
        <f t="shared" si="8"/>
        <v>0</v>
      </c>
      <c r="AD31" s="9"/>
    </row>
    <row r="32" spans="1:30" x14ac:dyDescent="0.25">
      <c r="A32" s="1" t="s">
        <v>75</v>
      </c>
      <c r="B32" s="633"/>
      <c r="C32" s="634"/>
      <c r="D32" s="578">
        <v>1.5</v>
      </c>
      <c r="E32" s="578">
        <v>1.5</v>
      </c>
      <c r="F32" s="92">
        <v>1</v>
      </c>
      <c r="G32" s="46">
        <f t="shared" si="5"/>
        <v>3</v>
      </c>
      <c r="H32" s="80"/>
      <c r="I32" s="93" t="s">
        <v>74</v>
      </c>
      <c r="J32" s="82">
        <v>252</v>
      </c>
      <c r="K32" s="83">
        <v>3506</v>
      </c>
      <c r="L32" s="84">
        <f t="shared" si="6"/>
        <v>10518</v>
      </c>
      <c r="N32" s="337">
        <v>5102</v>
      </c>
      <c r="O32" s="54">
        <v>252</v>
      </c>
      <c r="P32" s="86"/>
      <c r="Q32" s="54"/>
      <c r="V32" s="637"/>
      <c r="W32" s="637"/>
      <c r="X32" s="638"/>
      <c r="Y32" s="638"/>
      <c r="Z32" s="94" t="s">
        <v>74</v>
      </c>
      <c r="AA32" s="330">
        <v>252</v>
      </c>
      <c r="AB32" s="90">
        <f t="shared" si="7"/>
        <v>3506</v>
      </c>
      <c r="AC32" s="91">
        <f t="shared" si="8"/>
        <v>0</v>
      </c>
      <c r="AD32" s="9"/>
    </row>
    <row r="33" spans="1:30" x14ac:dyDescent="0.25">
      <c r="A33" s="1" t="s">
        <v>76</v>
      </c>
      <c r="B33" s="633"/>
      <c r="C33" s="634"/>
      <c r="D33" s="13">
        <v>0</v>
      </c>
      <c r="E33" s="13">
        <v>0</v>
      </c>
      <c r="F33" s="92">
        <v>0</v>
      </c>
      <c r="G33" s="46">
        <f t="shared" si="5"/>
        <v>0</v>
      </c>
      <c r="H33" s="80"/>
      <c r="I33" s="93" t="s">
        <v>74</v>
      </c>
      <c r="J33" s="82">
        <v>253</v>
      </c>
      <c r="K33" s="83">
        <v>7023</v>
      </c>
      <c r="L33" s="84">
        <f t="shared" si="6"/>
        <v>0</v>
      </c>
      <c r="N33" s="337">
        <v>5102</v>
      </c>
      <c r="O33" s="54">
        <v>253</v>
      </c>
      <c r="P33" s="86"/>
      <c r="Q33" s="87"/>
      <c r="V33" s="637"/>
      <c r="W33" s="637"/>
      <c r="X33" s="638"/>
      <c r="Y33" s="638"/>
      <c r="Z33" s="94" t="s">
        <v>74</v>
      </c>
      <c r="AA33" s="330">
        <v>253</v>
      </c>
      <c r="AB33" s="90">
        <f t="shared" si="7"/>
        <v>7023</v>
      </c>
      <c r="AC33" s="91">
        <f t="shared" si="8"/>
        <v>0</v>
      </c>
      <c r="AD33" s="9"/>
    </row>
    <row r="34" spans="1:30" x14ac:dyDescent="0.25">
      <c r="A34" s="1" t="s">
        <v>77</v>
      </c>
      <c r="B34" s="633"/>
      <c r="C34" s="634"/>
      <c r="D34" s="13">
        <v>0</v>
      </c>
      <c r="E34" s="13">
        <v>0</v>
      </c>
      <c r="F34" s="92">
        <v>0</v>
      </c>
      <c r="G34" s="46">
        <f t="shared" si="5"/>
        <v>0</v>
      </c>
      <c r="H34" s="80"/>
      <c r="I34" s="93" t="s">
        <v>78</v>
      </c>
      <c r="J34" s="82">
        <v>251</v>
      </c>
      <c r="K34" s="83">
        <v>835</v>
      </c>
      <c r="L34" s="84">
        <f t="shared" si="6"/>
        <v>0</v>
      </c>
      <c r="N34" s="337">
        <v>5103</v>
      </c>
      <c r="O34" s="54">
        <v>251</v>
      </c>
      <c r="P34" s="86"/>
      <c r="Q34" s="87"/>
      <c r="V34" s="637"/>
      <c r="W34" s="637"/>
      <c r="X34" s="638"/>
      <c r="Y34" s="638"/>
      <c r="Z34" s="94" t="s">
        <v>78</v>
      </c>
      <c r="AA34" s="330">
        <v>251</v>
      </c>
      <c r="AB34" s="90">
        <f t="shared" si="7"/>
        <v>835</v>
      </c>
      <c r="AC34" s="91">
        <f t="shared" si="8"/>
        <v>0</v>
      </c>
      <c r="AD34" s="9"/>
    </row>
    <row r="35" spans="1:30" x14ac:dyDescent="0.25">
      <c r="A35" s="1" t="s">
        <v>79</v>
      </c>
      <c r="B35" s="633"/>
      <c r="C35" s="634"/>
      <c r="D35" s="13">
        <v>0</v>
      </c>
      <c r="E35" s="13">
        <v>0</v>
      </c>
      <c r="F35" s="92">
        <v>0</v>
      </c>
      <c r="G35" s="46">
        <f t="shared" si="5"/>
        <v>0</v>
      </c>
      <c r="H35" s="80"/>
      <c r="I35" s="93" t="s">
        <v>78</v>
      </c>
      <c r="J35" s="82">
        <v>252</v>
      </c>
      <c r="K35" s="83">
        <v>3168</v>
      </c>
      <c r="L35" s="84">
        <f t="shared" si="6"/>
        <v>0</v>
      </c>
      <c r="N35" s="337">
        <v>5103</v>
      </c>
      <c r="O35" s="54">
        <v>252</v>
      </c>
      <c r="P35" s="86"/>
      <c r="Q35" s="95"/>
      <c r="V35" s="637"/>
      <c r="W35" s="637"/>
      <c r="X35" s="638"/>
      <c r="Y35" s="638"/>
      <c r="Z35" s="94" t="s">
        <v>78</v>
      </c>
      <c r="AA35" s="330">
        <v>252</v>
      </c>
      <c r="AB35" s="90">
        <f t="shared" si="7"/>
        <v>3168</v>
      </c>
      <c r="AC35" s="91">
        <f t="shared" si="8"/>
        <v>0</v>
      </c>
      <c r="AD35" s="9"/>
    </row>
    <row r="36" spans="1:30" ht="16.5" thickBot="1" x14ac:dyDescent="0.3">
      <c r="A36" s="1" t="s">
        <v>80</v>
      </c>
      <c r="B36" s="635"/>
      <c r="C36" s="636"/>
      <c r="D36" s="13">
        <v>0</v>
      </c>
      <c r="E36" s="13">
        <v>0</v>
      </c>
      <c r="F36" s="92">
        <v>0</v>
      </c>
      <c r="G36" s="46">
        <f t="shared" si="5"/>
        <v>0</v>
      </c>
      <c r="H36" s="80"/>
      <c r="I36" s="93" t="s">
        <v>78</v>
      </c>
      <c r="J36" s="82">
        <v>253</v>
      </c>
      <c r="K36" s="83">
        <v>6685</v>
      </c>
      <c r="L36" s="96">
        <f t="shared" si="6"/>
        <v>0</v>
      </c>
      <c r="N36" s="337">
        <v>5103</v>
      </c>
      <c r="O36" s="54">
        <v>253</v>
      </c>
      <c r="P36" s="86"/>
      <c r="Q36" s="97"/>
      <c r="V36" s="637"/>
      <c r="W36" s="637"/>
      <c r="X36" s="645"/>
      <c r="Y36" s="645"/>
      <c r="Z36" s="94" t="s">
        <v>78</v>
      </c>
      <c r="AA36" s="330">
        <v>253</v>
      </c>
      <c r="AB36" s="90">
        <f t="shared" si="7"/>
        <v>6685</v>
      </c>
      <c r="AC36" s="98">
        <f t="shared" si="8"/>
        <v>0</v>
      </c>
      <c r="AD36" s="9"/>
    </row>
    <row r="37" spans="1:30" ht="18.75" customHeight="1" x14ac:dyDescent="0.25">
      <c r="B37" s="13" t="s">
        <v>81</v>
      </c>
      <c r="C37" s="13"/>
      <c r="D37" s="63">
        <f>SUM(D28:D36)</f>
        <v>38.01</v>
      </c>
      <c r="E37" s="63">
        <f>SUM(E28:E36)</f>
        <v>37.19</v>
      </c>
      <c r="F37" s="63"/>
      <c r="G37" s="63">
        <f>SUM(G28:G36)</f>
        <v>75.2</v>
      </c>
      <c r="H37" s="64"/>
      <c r="I37" s="13" t="s">
        <v>82</v>
      </c>
      <c r="J37" s="13"/>
      <c r="K37" s="13"/>
      <c r="L37" s="50">
        <f>SUM(L28:L36)</f>
        <v>99149</v>
      </c>
      <c r="N37" s="54"/>
      <c r="O37" s="68"/>
      <c r="P37" s="54"/>
      <c r="Q37" s="54"/>
      <c r="V37" s="646" t="s">
        <v>81</v>
      </c>
      <c r="W37" s="646"/>
      <c r="X37" s="626">
        <f>SUM(X28:X36)</f>
        <v>0</v>
      </c>
      <c r="Y37" s="626"/>
      <c r="Z37" s="646" t="s">
        <v>82</v>
      </c>
      <c r="AA37" s="646"/>
      <c r="AB37" s="646"/>
      <c r="AC37" s="56">
        <f>SUM(AC28:AC36)</f>
        <v>0</v>
      </c>
      <c r="AD37" s="9"/>
    </row>
    <row r="38" spans="1:30" ht="30.75" customHeight="1" x14ac:dyDescent="0.25">
      <c r="B38" s="99" t="s">
        <v>83</v>
      </c>
      <c r="C38" s="99"/>
      <c r="D38" s="99"/>
      <c r="E38" s="99"/>
      <c r="F38" s="99"/>
      <c r="G38" s="99"/>
      <c r="H38" s="100"/>
      <c r="I38" s="99"/>
      <c r="J38" s="99"/>
      <c r="K38" s="99"/>
      <c r="L38" s="99"/>
      <c r="M38" s="101"/>
      <c r="N38" s="54"/>
      <c r="O38" s="68"/>
      <c r="P38" s="54"/>
      <c r="Q38" s="54"/>
      <c r="V38" s="639" t="s">
        <v>83</v>
      </c>
      <c r="W38" s="639"/>
      <c r="X38" s="639"/>
      <c r="Y38" s="639"/>
      <c r="Z38" s="639"/>
      <c r="AA38" s="639"/>
      <c r="AB38" s="639"/>
      <c r="AC38" s="639"/>
      <c r="AD38" s="102"/>
    </row>
    <row r="39" spans="1:30" ht="15.75" customHeight="1" x14ac:dyDescent="0.25">
      <c r="B39" s="103" t="s">
        <v>84</v>
      </c>
      <c r="C39" s="103"/>
      <c r="D39" s="103"/>
      <c r="E39" s="103"/>
      <c r="F39" s="103"/>
      <c r="G39" s="104">
        <v>34389540</v>
      </c>
      <c r="H39" s="104"/>
      <c r="I39" s="13" t="s">
        <v>85</v>
      </c>
      <c r="J39" s="13"/>
      <c r="K39" s="13"/>
      <c r="L39" s="13"/>
      <c r="O39" s="1"/>
      <c r="V39" s="640" t="s">
        <v>84</v>
      </c>
      <c r="W39" s="640"/>
      <c r="X39" s="641">
        <f>+G39</f>
        <v>34389540</v>
      </c>
      <c r="Y39" s="641"/>
      <c r="Z39" s="642" t="s">
        <v>85</v>
      </c>
      <c r="AA39" s="642"/>
      <c r="AB39" s="642"/>
      <c r="AC39" s="642"/>
      <c r="AD39" s="9"/>
    </row>
    <row r="40" spans="1:30" ht="15.75" customHeight="1" x14ac:dyDescent="0.25">
      <c r="B40" s="105" t="s">
        <v>86</v>
      </c>
      <c r="C40" s="105"/>
      <c r="D40" s="105"/>
      <c r="E40" s="105"/>
      <c r="F40" s="105"/>
      <c r="G40" s="106">
        <v>180284.81</v>
      </c>
      <c r="H40" s="106"/>
      <c r="I40" s="106"/>
      <c r="J40" s="106"/>
      <c r="K40" s="50">
        <f>ROUND(G39/G40,0)</f>
        <v>191</v>
      </c>
      <c r="L40" s="50">
        <f>ROUND(K40*$G$26,0)</f>
        <v>146388</v>
      </c>
      <c r="N40" s="107"/>
      <c r="O40" s="107"/>
      <c r="P40" s="107"/>
      <c r="Q40" s="107"/>
      <c r="V40" s="643" t="s">
        <v>86</v>
      </c>
      <c r="W40" s="643"/>
      <c r="X40" s="644">
        <f>+G40</f>
        <v>180284.81</v>
      </c>
      <c r="Y40" s="644"/>
      <c r="Z40" s="644"/>
      <c r="AA40" s="644"/>
      <c r="AB40" s="56">
        <f>ROUND(X39/X40,0)</f>
        <v>191</v>
      </c>
      <c r="AC40" s="56">
        <f>ROUND(AB40*$X$26,0)</f>
        <v>0</v>
      </c>
      <c r="AD40" s="9"/>
    </row>
    <row r="41" spans="1:30" ht="15.75" customHeight="1" x14ac:dyDescent="0.25">
      <c r="B41" s="108" t="s">
        <v>87</v>
      </c>
      <c r="C41" s="108"/>
      <c r="D41" s="108"/>
      <c r="E41" s="108"/>
      <c r="F41" s="108"/>
      <c r="G41" s="108"/>
      <c r="H41" s="108"/>
      <c r="I41" s="108"/>
      <c r="J41" s="108"/>
      <c r="K41" s="108"/>
      <c r="L41" s="108"/>
      <c r="N41" s="101"/>
      <c r="O41" s="109"/>
      <c r="P41" s="101"/>
      <c r="Q41" s="101"/>
      <c r="V41" s="652" t="s">
        <v>87</v>
      </c>
      <c r="W41" s="652"/>
      <c r="X41" s="652"/>
      <c r="Y41" s="652"/>
      <c r="Z41" s="652"/>
      <c r="AA41" s="652"/>
      <c r="AB41" s="652"/>
      <c r="AC41" s="652"/>
      <c r="AD41" s="9"/>
    </row>
    <row r="42" spans="1:30" ht="28.5" customHeight="1" x14ac:dyDescent="0.25">
      <c r="B42" s="99" t="s">
        <v>88</v>
      </c>
      <c r="C42" s="99"/>
      <c r="D42" s="99"/>
      <c r="E42" s="99"/>
      <c r="F42" s="99"/>
      <c r="G42" s="99"/>
      <c r="H42" s="99"/>
      <c r="I42" s="99"/>
      <c r="J42" s="99"/>
      <c r="K42" s="99"/>
      <c r="L42" s="99"/>
      <c r="M42" s="107"/>
      <c r="O42" s="1"/>
      <c r="V42" s="639" t="s">
        <v>88</v>
      </c>
      <c r="W42" s="639"/>
      <c r="X42" s="639"/>
      <c r="Y42" s="639"/>
      <c r="Z42" s="639"/>
      <c r="AA42" s="639"/>
      <c r="AB42" s="639"/>
      <c r="AC42" s="639"/>
      <c r="AD42" s="334"/>
    </row>
    <row r="43" spans="1:30" x14ac:dyDescent="0.25">
      <c r="B43" s="111" t="s">
        <v>89</v>
      </c>
      <c r="C43" s="111"/>
      <c r="D43" s="111"/>
      <c r="E43" s="111"/>
      <c r="F43" s="111"/>
      <c r="G43" s="111"/>
      <c r="H43" s="111"/>
      <c r="I43" s="111"/>
      <c r="J43" s="111"/>
      <c r="K43" s="111"/>
      <c r="L43" s="111"/>
      <c r="M43" s="112"/>
      <c r="N43" s="101"/>
      <c r="O43" s="101"/>
      <c r="P43" s="101"/>
      <c r="Q43" s="101"/>
      <c r="V43" s="653" t="s">
        <v>89</v>
      </c>
      <c r="W43" s="653"/>
      <c r="X43" s="653"/>
      <c r="Y43" s="653"/>
      <c r="Z43" s="653"/>
      <c r="AA43" s="653"/>
      <c r="AB43" s="653"/>
      <c r="AC43" s="653"/>
      <c r="AD43" s="113"/>
    </row>
    <row r="44" spans="1:30" ht="24" customHeight="1" x14ac:dyDescent="0.25">
      <c r="B44" s="62" t="s">
        <v>90</v>
      </c>
      <c r="C44" s="62"/>
      <c r="D44" s="62"/>
      <c r="E44" s="62"/>
      <c r="F44" s="62"/>
      <c r="G44" s="62"/>
      <c r="H44" s="62"/>
      <c r="I44" s="62"/>
      <c r="J44" s="62"/>
      <c r="K44" s="62"/>
      <c r="L44" s="114">
        <f>SUM(L26,L37,L40)</f>
        <v>3392099</v>
      </c>
      <c r="O44" s="1"/>
      <c r="V44" s="654" t="s">
        <v>90</v>
      </c>
      <c r="W44" s="654"/>
      <c r="X44" s="654"/>
      <c r="Y44" s="654"/>
      <c r="Z44" s="654"/>
      <c r="AA44" s="654"/>
      <c r="AB44" s="654"/>
      <c r="AC44" s="115">
        <f>SUM(AC26,AC37,AC40)</f>
        <v>0</v>
      </c>
      <c r="AD44" s="9"/>
    </row>
    <row r="45" spans="1:30" ht="30.75" customHeight="1" x14ac:dyDescent="0.25">
      <c r="B45" s="99" t="s">
        <v>91</v>
      </c>
      <c r="C45" s="99"/>
      <c r="D45" s="99"/>
      <c r="E45" s="99"/>
      <c r="F45" s="99"/>
      <c r="G45" s="99"/>
      <c r="H45" s="99"/>
      <c r="I45" s="99"/>
      <c r="J45" s="99"/>
      <c r="K45" s="99"/>
      <c r="L45" s="99"/>
      <c r="M45" s="116"/>
      <c r="O45" s="1"/>
      <c r="V45" s="639" t="s">
        <v>91</v>
      </c>
      <c r="W45" s="639"/>
      <c r="X45" s="639"/>
      <c r="Y45" s="639"/>
      <c r="Z45" s="639"/>
      <c r="AA45" s="639"/>
      <c r="AB45" s="639"/>
      <c r="AC45" s="639"/>
      <c r="AD45" s="333"/>
    </row>
    <row r="46" spans="1:30" ht="18.75" customHeight="1" x14ac:dyDescent="0.25">
      <c r="B46" s="1"/>
      <c r="C46" s="118" t="s">
        <v>92</v>
      </c>
      <c r="D46" s="118"/>
      <c r="E46" s="118"/>
      <c r="F46" s="118"/>
      <c r="G46" s="118" t="s">
        <v>93</v>
      </c>
      <c r="H46" s="119"/>
      <c r="I46" s="120" t="s">
        <v>94</v>
      </c>
      <c r="J46" s="121"/>
      <c r="K46" s="121"/>
      <c r="L46" s="121"/>
      <c r="M46" s="122"/>
      <c r="O46" s="1"/>
      <c r="V46" s="9"/>
      <c r="W46" s="336" t="s">
        <v>92</v>
      </c>
      <c r="X46" s="655" t="s">
        <v>95</v>
      </c>
      <c r="Y46" s="655"/>
      <c r="Z46" s="656" t="s">
        <v>94</v>
      </c>
      <c r="AA46" s="656"/>
      <c r="AB46" s="656"/>
      <c r="AC46" s="656"/>
      <c r="AD46" s="124"/>
    </row>
    <row r="47" spans="1:30" ht="18.75" customHeight="1" x14ac:dyDescent="0.25">
      <c r="B47" s="107" t="s">
        <v>96</v>
      </c>
      <c r="C47" s="125">
        <f>K10+K11+K16+K19+K22</f>
        <v>406.24639999999999</v>
      </c>
      <c r="D47" s="125"/>
      <c r="E47" s="125"/>
      <c r="F47" s="125"/>
      <c r="G47" s="126">
        <f>K7</f>
        <v>1.0326</v>
      </c>
      <c r="H47" s="126"/>
      <c r="I47" s="127">
        <v>1316.85</v>
      </c>
      <c r="J47" s="128" t="s">
        <v>97</v>
      </c>
      <c r="K47" s="129">
        <f>ROUND(C47*G47*I47,0)</f>
        <v>552405</v>
      </c>
      <c r="L47" s="130"/>
      <c r="O47" s="1"/>
      <c r="V47" s="334" t="s">
        <v>96</v>
      </c>
      <c r="W47" s="131">
        <f>AB10+AB11+AB16+AB19+AB22</f>
        <v>0</v>
      </c>
      <c r="X47" s="647">
        <f>AB7</f>
        <v>1.0326</v>
      </c>
      <c r="Y47" s="647"/>
      <c r="Z47" s="132">
        <f>+I47</f>
        <v>1316.85</v>
      </c>
      <c r="AA47" s="133" t="s">
        <v>97</v>
      </c>
      <c r="AB47" s="134">
        <f>ROUND(W47*X47*Z47,0)</f>
        <v>0</v>
      </c>
      <c r="AC47" s="135"/>
      <c r="AD47" s="9"/>
    </row>
    <row r="48" spans="1:30" ht="18" customHeight="1" x14ac:dyDescent="0.25">
      <c r="B48" s="136" t="s">
        <v>74</v>
      </c>
      <c r="C48" s="125">
        <f>K12+K13+K17+K20+K23</f>
        <v>405.84829999999999</v>
      </c>
      <c r="D48" s="125"/>
      <c r="E48" s="125"/>
      <c r="F48" s="125"/>
      <c r="G48" s="126">
        <f>K7</f>
        <v>1.0326</v>
      </c>
      <c r="H48" s="126"/>
      <c r="I48" s="127">
        <v>898.23</v>
      </c>
      <c r="J48" s="128" t="s">
        <v>97</v>
      </c>
      <c r="K48" s="129">
        <f>ROUND(C48*G48*I48,0)</f>
        <v>376429</v>
      </c>
      <c r="L48" s="62"/>
      <c r="O48" s="1"/>
      <c r="V48" s="137" t="s">
        <v>74</v>
      </c>
      <c r="W48" s="131">
        <f>AB12+AB13+AB17+AB20+AB23</f>
        <v>0</v>
      </c>
      <c r="X48" s="647">
        <f>AB7</f>
        <v>1.0326</v>
      </c>
      <c r="Y48" s="647"/>
      <c r="Z48" s="132">
        <f>+I48</f>
        <v>898.23</v>
      </c>
      <c r="AA48" s="133" t="s">
        <v>97</v>
      </c>
      <c r="AB48" s="134">
        <f>ROUND(W48*X48*Z48,0)</f>
        <v>0</v>
      </c>
      <c r="AC48" s="138"/>
      <c r="AD48" s="9"/>
    </row>
    <row r="49" spans="2:30" ht="19.5" customHeight="1" thickBot="1" x14ac:dyDescent="0.3">
      <c r="B49" s="139" t="s">
        <v>78</v>
      </c>
      <c r="C49" s="140">
        <f>K14+K15+K18+K21+K24+K25</f>
        <v>0</v>
      </c>
      <c r="D49" s="125"/>
      <c r="E49" s="125"/>
      <c r="F49" s="125"/>
      <c r="G49" s="126">
        <f>K7</f>
        <v>1.0326</v>
      </c>
      <c r="H49" s="126"/>
      <c r="I49" s="127">
        <v>900.39</v>
      </c>
      <c r="J49" s="128" t="s">
        <v>97</v>
      </c>
      <c r="K49" s="129">
        <f>ROUND(C49*G49*I49,0)</f>
        <v>0</v>
      </c>
      <c r="L49" s="62"/>
      <c r="M49" s="112"/>
      <c r="N49" s="141"/>
      <c r="O49" s="142"/>
      <c r="P49" s="101"/>
      <c r="Q49" s="143"/>
      <c r="V49" s="144" t="s">
        <v>78</v>
      </c>
      <c r="W49" s="145">
        <f>AB14+AB15+AB18+AB21+AB24+AB25</f>
        <v>0</v>
      </c>
      <c r="X49" s="647">
        <f>AB7</f>
        <v>1.0326</v>
      </c>
      <c r="Y49" s="647"/>
      <c r="Z49" s="132">
        <f>+I49</f>
        <v>900.39</v>
      </c>
      <c r="AA49" s="133" t="s">
        <v>97</v>
      </c>
      <c r="AB49" s="134">
        <f>ROUND(W49*X49*Z49,0)</f>
        <v>0</v>
      </c>
      <c r="AC49" s="138"/>
      <c r="AD49" s="113"/>
    </row>
    <row r="50" spans="2:30" ht="24" customHeight="1" thickBot="1" x14ac:dyDescent="0.3">
      <c r="B50" s="146" t="s">
        <v>98</v>
      </c>
      <c r="C50" s="147">
        <f>SUM(C47:C49)</f>
        <v>812.09469999999999</v>
      </c>
      <c r="D50" s="148"/>
      <c r="E50" s="149"/>
      <c r="F50" s="149"/>
      <c r="G50" s="150" t="s">
        <v>99</v>
      </c>
      <c r="H50" s="150"/>
      <c r="I50" s="150"/>
      <c r="J50" s="150"/>
      <c r="K50" s="150"/>
      <c r="L50" s="50">
        <f>IF(B2=75,0,K49+K48+K47)</f>
        <v>928834</v>
      </c>
      <c r="N50" s="3"/>
      <c r="O50" s="1"/>
      <c r="V50" s="335" t="s">
        <v>98</v>
      </c>
      <c r="W50" s="152">
        <f>SUM(W47:W49)</f>
        <v>0</v>
      </c>
      <c r="X50" s="648" t="s">
        <v>99</v>
      </c>
      <c r="Y50" s="649"/>
      <c r="Z50" s="649"/>
      <c r="AA50" s="649"/>
      <c r="AB50" s="649"/>
      <c r="AC50" s="56">
        <f>IF(V2=75,0,AB49+AB48+AB47)</f>
        <v>0</v>
      </c>
      <c r="AD50" s="9"/>
    </row>
    <row r="51" spans="2:30" ht="19.5" customHeight="1" x14ac:dyDescent="0.25">
      <c r="B51" s="153" t="s">
        <v>100</v>
      </c>
      <c r="C51" s="153"/>
      <c r="D51" s="153"/>
      <c r="E51" s="153"/>
      <c r="F51" s="153"/>
      <c r="G51" s="153"/>
      <c r="H51" s="153"/>
      <c r="I51" s="153"/>
      <c r="J51" s="153"/>
      <c r="K51" s="153"/>
      <c r="L51" s="153"/>
      <c r="M51" s="141"/>
      <c r="N51" s="101"/>
      <c r="O51" s="1"/>
      <c r="V51" s="650" t="s">
        <v>100</v>
      </c>
      <c r="W51" s="650"/>
      <c r="X51" s="650"/>
      <c r="Y51" s="650"/>
      <c r="Z51" s="650"/>
      <c r="AA51" s="650"/>
      <c r="AB51" s="650"/>
      <c r="AC51" s="650"/>
      <c r="AD51" s="154"/>
    </row>
    <row r="52" spans="2:30" ht="27.75" customHeight="1" x14ac:dyDescent="0.25">
      <c r="B52" s="13" t="s">
        <v>101</v>
      </c>
      <c r="C52" s="13"/>
      <c r="D52" s="13"/>
      <c r="E52" s="13"/>
      <c r="F52" s="13"/>
      <c r="G52" s="13"/>
      <c r="H52" s="13"/>
      <c r="I52" s="13"/>
      <c r="J52" s="13"/>
      <c r="K52" s="13"/>
      <c r="L52" s="13"/>
      <c r="O52" s="1"/>
      <c r="V52" s="651" t="s">
        <v>101</v>
      </c>
      <c r="W52" s="651"/>
      <c r="X52" s="651"/>
      <c r="Y52" s="651"/>
      <c r="Z52" s="651"/>
      <c r="AA52" s="651"/>
      <c r="AB52" s="651"/>
      <c r="AC52" s="651"/>
      <c r="AD52" s="9"/>
    </row>
    <row r="53" spans="2:30" x14ac:dyDescent="0.25">
      <c r="B53" s="13" t="s">
        <v>102</v>
      </c>
      <c r="C53" s="13"/>
      <c r="D53" s="13"/>
      <c r="E53" s="13"/>
      <c r="F53" s="13"/>
      <c r="G53" s="155">
        <f>K26</f>
        <v>812.09469999999999</v>
      </c>
      <c r="H53" s="57" t="s">
        <v>103</v>
      </c>
      <c r="I53" s="57"/>
      <c r="J53" s="156">
        <v>197823.77</v>
      </c>
      <c r="K53" s="156"/>
      <c r="L53" s="156"/>
      <c r="N53" s="3"/>
      <c r="O53" s="1"/>
      <c r="V53" s="657" t="s">
        <v>102</v>
      </c>
      <c r="W53" s="657"/>
      <c r="X53" s="157">
        <f>AB26</f>
        <v>0</v>
      </c>
      <c r="Y53" s="658" t="s">
        <v>103</v>
      </c>
      <c r="Z53" s="658"/>
      <c r="AA53" s="659">
        <f>+J53</f>
        <v>197823.77</v>
      </c>
      <c r="AB53" s="659"/>
      <c r="AC53" s="659"/>
      <c r="AD53" s="9"/>
    </row>
    <row r="54" spans="2:30" x14ac:dyDescent="0.25">
      <c r="B54" s="13" t="s">
        <v>104</v>
      </c>
      <c r="C54" s="13"/>
      <c r="D54" s="13"/>
      <c r="E54" s="13"/>
      <c r="F54" s="13"/>
      <c r="G54" s="13"/>
      <c r="H54" s="13"/>
      <c r="I54" s="13"/>
      <c r="J54" s="13"/>
      <c r="K54" s="158">
        <f>ROUND(G53/J53,6)</f>
        <v>4.1050000000000001E-3</v>
      </c>
      <c r="L54" s="158"/>
      <c r="N54" s="101"/>
      <c r="O54" s="1"/>
      <c r="V54" s="657" t="s">
        <v>104</v>
      </c>
      <c r="W54" s="657"/>
      <c r="X54" s="657"/>
      <c r="Y54" s="657"/>
      <c r="Z54" s="657"/>
      <c r="AA54" s="657"/>
      <c r="AB54" s="660">
        <f>ROUND(X53/AA53,6)</f>
        <v>0</v>
      </c>
      <c r="AC54" s="660"/>
      <c r="AD54" s="9"/>
    </row>
    <row r="55" spans="2:30" ht="24" customHeight="1" x14ac:dyDescent="0.25">
      <c r="B55" s="13" t="s">
        <v>105</v>
      </c>
      <c r="C55" s="13"/>
      <c r="D55" s="13"/>
      <c r="E55" s="13"/>
      <c r="F55" s="13"/>
      <c r="G55" s="13"/>
      <c r="H55" s="13"/>
      <c r="I55" s="13"/>
      <c r="J55" s="13"/>
      <c r="K55" s="13"/>
      <c r="L55" s="13"/>
      <c r="O55" s="1"/>
      <c r="V55" s="651" t="s">
        <v>105</v>
      </c>
      <c r="W55" s="651"/>
      <c r="X55" s="651"/>
      <c r="Y55" s="651"/>
      <c r="Z55" s="651"/>
      <c r="AA55" s="651"/>
      <c r="AB55" s="651"/>
      <c r="AC55" s="651"/>
      <c r="AD55" s="9"/>
    </row>
    <row r="56" spans="2:30" x14ac:dyDescent="0.25">
      <c r="B56" s="13" t="s">
        <v>106</v>
      </c>
      <c r="C56" s="13"/>
      <c r="D56" s="13"/>
      <c r="E56" s="13"/>
      <c r="F56" s="13"/>
      <c r="G56" s="159">
        <f>G26</f>
        <v>766.43000000000006</v>
      </c>
      <c r="H56" s="57" t="s">
        <v>107</v>
      </c>
      <c r="I56" s="57"/>
      <c r="J56" s="156">
        <f>+G40</f>
        <v>180284.81</v>
      </c>
      <c r="K56" s="156"/>
      <c r="L56" s="156"/>
      <c r="O56" s="1"/>
      <c r="V56" s="657" t="s">
        <v>106</v>
      </c>
      <c r="W56" s="657"/>
      <c r="X56" s="160">
        <f>X26</f>
        <v>0</v>
      </c>
      <c r="Y56" s="658" t="s">
        <v>107</v>
      </c>
      <c r="Z56" s="658"/>
      <c r="AA56" s="659">
        <f>+J56</f>
        <v>180284.81</v>
      </c>
      <c r="AB56" s="659"/>
      <c r="AC56" s="659"/>
      <c r="AD56" s="9"/>
    </row>
    <row r="57" spans="2:30" x14ac:dyDescent="0.25">
      <c r="B57" s="13" t="s">
        <v>108</v>
      </c>
      <c r="C57" s="13"/>
      <c r="D57" s="13"/>
      <c r="E57" s="13"/>
      <c r="F57" s="13"/>
      <c r="G57" s="13"/>
      <c r="H57" s="13"/>
      <c r="I57" s="13"/>
      <c r="J57" s="13"/>
      <c r="K57" s="158">
        <f>ROUND(G56/J56,6)</f>
        <v>4.2509999999999996E-3</v>
      </c>
      <c r="L57" s="158"/>
      <c r="O57" s="1"/>
      <c r="V57" s="657" t="s">
        <v>108</v>
      </c>
      <c r="W57" s="657"/>
      <c r="X57" s="657"/>
      <c r="Y57" s="657"/>
      <c r="Z57" s="657"/>
      <c r="AA57" s="657"/>
      <c r="AB57" s="660">
        <f>ROUND(X56/AA56,6)</f>
        <v>0</v>
      </c>
      <c r="AC57" s="660"/>
      <c r="AD57" s="9"/>
    </row>
    <row r="58" spans="2:30" ht="20.25" customHeight="1" x14ac:dyDescent="0.25">
      <c r="B58" s="161" t="s">
        <v>109</v>
      </c>
      <c r="C58" s="161"/>
      <c r="D58" s="161"/>
      <c r="E58" s="161"/>
      <c r="F58" s="161"/>
      <c r="G58" s="161"/>
      <c r="H58" s="161"/>
      <c r="I58" s="161"/>
      <c r="J58" s="161"/>
      <c r="K58" s="161"/>
      <c r="L58" s="161"/>
      <c r="N58" s="18"/>
      <c r="O58" s="18"/>
      <c r="V58" s="629" t="s">
        <v>110</v>
      </c>
      <c r="W58" s="629"/>
      <c r="X58" s="629"/>
      <c r="Y58" s="661">
        <f>X65+X64+X62+X61+X60</f>
        <v>4123852</v>
      </c>
      <c r="Z58" s="661"/>
      <c r="AA58" s="332" t="s">
        <v>111</v>
      </c>
      <c r="AB58" s="163">
        <f>AB54</f>
        <v>0</v>
      </c>
      <c r="AC58" s="56">
        <f>ROUND(Y58*AB58,0)</f>
        <v>0</v>
      </c>
      <c r="AD58" s="9"/>
    </row>
    <row r="59" spans="2:30" x14ac:dyDescent="0.25">
      <c r="B59" s="62" t="s">
        <v>110</v>
      </c>
      <c r="C59" s="62"/>
      <c r="D59" s="62"/>
      <c r="E59" s="62"/>
      <c r="F59" s="62"/>
      <c r="G59" s="62"/>
      <c r="H59" s="164" t="s">
        <v>22</v>
      </c>
      <c r="I59" s="129">
        <v>4123852</v>
      </c>
      <c r="J59" s="165" t="s">
        <v>111</v>
      </c>
      <c r="K59" s="166">
        <f>K54</f>
        <v>4.1050000000000001E-3</v>
      </c>
      <c r="L59" s="50">
        <f>ROUND(I59*K59,0)</f>
        <v>16928</v>
      </c>
      <c r="O59" s="1"/>
      <c r="P59" s="165"/>
      <c r="Q59" s="165"/>
      <c r="V59" s="662" t="s">
        <v>112</v>
      </c>
      <c r="W59" s="662"/>
      <c r="X59" s="662"/>
      <c r="Y59" s="662"/>
      <c r="Z59" s="662"/>
      <c r="AA59" s="662"/>
      <c r="AB59" s="662"/>
      <c r="AC59" s="662"/>
      <c r="AD59" s="9"/>
    </row>
    <row r="60" spans="2:30" x14ac:dyDescent="0.25">
      <c r="B60" s="62" t="s">
        <v>112</v>
      </c>
      <c r="C60" s="62"/>
      <c r="D60" s="62"/>
      <c r="E60" s="62"/>
      <c r="F60" s="62"/>
      <c r="G60" s="62"/>
      <c r="H60" s="62"/>
      <c r="I60" s="62"/>
      <c r="J60" s="62"/>
      <c r="K60" s="62"/>
      <c r="L60" s="62"/>
      <c r="O60" s="1"/>
      <c r="P60" s="165"/>
      <c r="Q60" s="165"/>
      <c r="V60" s="663" t="s">
        <v>113</v>
      </c>
      <c r="W60" s="663"/>
      <c r="X60" s="664">
        <f>+G61</f>
        <v>0</v>
      </c>
      <c r="Y60" s="664"/>
      <c r="Z60" s="664"/>
      <c r="AA60" s="664"/>
      <c r="AB60" s="664"/>
      <c r="AC60" s="664"/>
      <c r="AD60" s="9"/>
    </row>
    <row r="61" spans="2:30" ht="15" customHeight="1" x14ac:dyDescent="0.25">
      <c r="B61" s="167" t="s">
        <v>113</v>
      </c>
      <c r="C61" s="62"/>
      <c r="D61" s="62"/>
      <c r="E61" s="62"/>
      <c r="F61" s="62"/>
      <c r="G61" s="168">
        <v>0</v>
      </c>
      <c r="H61" s="168"/>
      <c r="I61" s="168"/>
      <c r="J61" s="168"/>
      <c r="K61" s="168"/>
      <c r="L61" s="168"/>
      <c r="O61" s="1"/>
      <c r="P61" s="165"/>
      <c r="Q61" s="165"/>
      <c r="V61" s="663" t="s">
        <v>114</v>
      </c>
      <c r="W61" s="663"/>
      <c r="X61" s="664">
        <f>+G62</f>
        <v>0</v>
      </c>
      <c r="Y61" s="664"/>
      <c r="Z61" s="664"/>
      <c r="AA61" s="664"/>
      <c r="AB61" s="664"/>
      <c r="AC61" s="664"/>
      <c r="AD61" s="9"/>
    </row>
    <row r="62" spans="2:30" ht="13.5" customHeight="1" x14ac:dyDescent="0.25">
      <c r="B62" s="167" t="s">
        <v>114</v>
      </c>
      <c r="C62" s="62"/>
      <c r="D62" s="62"/>
      <c r="E62" s="62"/>
      <c r="F62" s="62"/>
      <c r="G62" s="168">
        <v>0</v>
      </c>
      <c r="H62" s="168"/>
      <c r="I62" s="168"/>
      <c r="J62" s="168"/>
      <c r="K62" s="168"/>
      <c r="L62" s="168"/>
      <c r="N62" s="165"/>
      <c r="O62" s="165"/>
      <c r="P62" s="165"/>
      <c r="Q62" s="165"/>
      <c r="V62" s="663" t="s">
        <v>115</v>
      </c>
      <c r="W62" s="663"/>
      <c r="X62" s="664">
        <v>0</v>
      </c>
      <c r="Y62" s="664"/>
      <c r="Z62" s="664"/>
      <c r="AA62" s="664"/>
      <c r="AB62" s="664"/>
      <c r="AC62" s="664"/>
      <c r="AD62" s="9"/>
    </row>
    <row r="63" spans="2:30" ht="13.5" hidden="1" customHeight="1" x14ac:dyDescent="0.25">
      <c r="B63" s="62" t="s">
        <v>115</v>
      </c>
      <c r="C63" s="62"/>
      <c r="D63" s="62"/>
      <c r="E63" s="62"/>
      <c r="F63" s="62"/>
      <c r="G63" s="168">
        <v>0</v>
      </c>
      <c r="H63" s="168"/>
      <c r="I63" s="168"/>
      <c r="J63" s="168"/>
      <c r="K63" s="168"/>
      <c r="L63" s="168"/>
      <c r="O63" s="1"/>
      <c r="P63" s="165"/>
      <c r="Q63" s="165"/>
      <c r="V63" s="662" t="s">
        <v>116</v>
      </c>
      <c r="W63" s="662"/>
      <c r="X63" s="662"/>
      <c r="Y63" s="662"/>
      <c r="Z63" s="662"/>
      <c r="AA63" s="662"/>
      <c r="AB63" s="662"/>
      <c r="AC63" s="662"/>
      <c r="AD63" s="333"/>
    </row>
    <row r="64" spans="2:30" ht="13.5" customHeight="1" x14ac:dyDescent="0.25">
      <c r="B64" s="62" t="s">
        <v>116</v>
      </c>
      <c r="C64" s="62"/>
      <c r="D64" s="62"/>
      <c r="E64" s="62"/>
      <c r="F64" s="62"/>
      <c r="G64" s="62"/>
      <c r="H64" s="62"/>
      <c r="I64" s="62"/>
      <c r="J64" s="62"/>
      <c r="K64" s="62"/>
      <c r="L64" s="62"/>
      <c r="M64" s="116"/>
      <c r="N64" s="18"/>
      <c r="O64" s="1"/>
      <c r="V64" s="663" t="s">
        <v>117</v>
      </c>
      <c r="W64" s="663"/>
      <c r="X64" s="664">
        <f>+G65</f>
        <v>4123852</v>
      </c>
      <c r="Y64" s="664"/>
      <c r="Z64" s="664"/>
      <c r="AA64" s="664"/>
      <c r="AB64" s="664"/>
      <c r="AC64" s="664"/>
      <c r="AD64" s="9"/>
    </row>
    <row r="65" spans="1:30" ht="12.75" customHeight="1" x14ac:dyDescent="0.25">
      <c r="B65" s="167" t="s">
        <v>117</v>
      </c>
      <c r="C65" s="62"/>
      <c r="D65" s="62"/>
      <c r="E65" s="62"/>
      <c r="F65" s="62"/>
      <c r="G65" s="168">
        <f>+I59</f>
        <v>4123852</v>
      </c>
      <c r="H65" s="168"/>
      <c r="I65" s="168"/>
      <c r="J65" s="168"/>
      <c r="K65" s="168"/>
      <c r="L65" s="168"/>
      <c r="O65" s="1"/>
      <c r="V65" s="663" t="s">
        <v>118</v>
      </c>
      <c r="W65" s="663"/>
      <c r="X65" s="664">
        <f>+G66</f>
        <v>0</v>
      </c>
      <c r="Y65" s="664"/>
      <c r="Z65" s="664"/>
      <c r="AA65" s="664"/>
      <c r="AB65" s="664"/>
      <c r="AC65" s="664"/>
      <c r="AD65" s="20"/>
    </row>
    <row r="66" spans="1:30" ht="15" customHeight="1" x14ac:dyDescent="0.25">
      <c r="B66" s="167" t="s">
        <v>118</v>
      </c>
      <c r="C66" s="62"/>
      <c r="D66" s="62"/>
      <c r="E66" s="62"/>
      <c r="F66" s="62"/>
      <c r="G66" s="168">
        <v>0</v>
      </c>
      <c r="H66" s="168"/>
      <c r="I66" s="168"/>
      <c r="J66" s="168"/>
      <c r="K66" s="168"/>
      <c r="L66" s="168"/>
      <c r="M66" s="18"/>
      <c r="N66" s="3"/>
      <c r="O66" s="169"/>
      <c r="P66" s="169"/>
      <c r="Q66" s="169"/>
      <c r="V66" s="651" t="s">
        <v>119</v>
      </c>
      <c r="W66" s="651"/>
      <c r="X66" s="651"/>
      <c r="Y66" s="661">
        <f>+I67</f>
        <v>96774526</v>
      </c>
      <c r="Z66" s="661"/>
      <c r="AA66" s="332" t="s">
        <v>111</v>
      </c>
      <c r="AB66" s="163">
        <f>AB54</f>
        <v>0</v>
      </c>
      <c r="AC66" s="56">
        <f>ROUND(Y66*AB66,0)</f>
        <v>0</v>
      </c>
      <c r="AD66" s="9"/>
    </row>
    <row r="67" spans="1:30" ht="20.25" customHeight="1" x14ac:dyDescent="0.25">
      <c r="B67" s="13" t="s">
        <v>119</v>
      </c>
      <c r="C67" s="13"/>
      <c r="D67" s="13"/>
      <c r="E67" s="13"/>
      <c r="F67" s="13"/>
      <c r="H67" s="164" t="s">
        <v>25</v>
      </c>
      <c r="I67" s="129">
        <v>96774526</v>
      </c>
      <c r="J67" s="165" t="s">
        <v>111</v>
      </c>
      <c r="K67" s="166">
        <f>K54</f>
        <v>4.1050000000000001E-3</v>
      </c>
      <c r="L67" s="50">
        <f>ROUND(I67*K67,0)</f>
        <v>397259</v>
      </c>
      <c r="O67" s="1"/>
      <c r="V67" s="651" t="s">
        <v>120</v>
      </c>
      <c r="W67" s="651"/>
      <c r="X67" s="651"/>
      <c r="Y67" s="651"/>
      <c r="Z67" s="651"/>
      <c r="AA67" s="651"/>
      <c r="AB67" s="651"/>
      <c r="AC67" s="651"/>
      <c r="AD67" s="9"/>
    </row>
    <row r="68" spans="1:30" ht="20.25" customHeight="1" x14ac:dyDescent="0.25">
      <c r="B68" s="13" t="s">
        <v>120</v>
      </c>
      <c r="C68" s="13"/>
      <c r="D68" s="13"/>
      <c r="E68" s="13"/>
      <c r="F68" s="13"/>
      <c r="H68" s="13"/>
      <c r="I68" s="13"/>
      <c r="J68" s="82"/>
      <c r="K68" s="13"/>
      <c r="L68" s="13"/>
      <c r="O68" s="1"/>
      <c r="V68" s="667" t="s">
        <v>121</v>
      </c>
      <c r="W68" s="667"/>
      <c r="X68" s="667"/>
      <c r="Y68" s="661">
        <f>+I69</f>
        <v>0</v>
      </c>
      <c r="Z68" s="661"/>
      <c r="AA68" s="332" t="s">
        <v>111</v>
      </c>
      <c r="AB68" s="163">
        <f>AB57</f>
        <v>0</v>
      </c>
      <c r="AC68" s="56">
        <f>ROUND(Y68*AB68,0)</f>
        <v>0</v>
      </c>
      <c r="AD68" s="9"/>
    </row>
    <row r="69" spans="1:30" ht="15" customHeight="1" x14ac:dyDescent="0.25">
      <c r="B69" s="170" t="s">
        <v>121</v>
      </c>
      <c r="C69" s="13"/>
      <c r="D69" s="13"/>
      <c r="E69" s="13"/>
      <c r="F69" s="13"/>
      <c r="H69" s="164" t="s">
        <v>23</v>
      </c>
      <c r="I69" s="129">
        <v>0</v>
      </c>
      <c r="J69" s="165" t="s">
        <v>111</v>
      </c>
      <c r="K69" s="166">
        <f>K57</f>
        <v>4.2509999999999996E-3</v>
      </c>
      <c r="L69" s="50">
        <f>ROUND(I69*K69,0)</f>
        <v>0</v>
      </c>
      <c r="O69" s="1"/>
      <c r="V69" s="651" t="s">
        <v>122</v>
      </c>
      <c r="W69" s="651"/>
      <c r="X69" s="651"/>
      <c r="Y69" s="668">
        <f>+I70</f>
        <v>-3460775</v>
      </c>
      <c r="Z69" s="668"/>
      <c r="AA69" s="332" t="s">
        <v>111</v>
      </c>
      <c r="AB69" s="163">
        <f>AB54</f>
        <v>0</v>
      </c>
      <c r="AC69" s="56">
        <f>ROUND(Y69*AB69,0)</f>
        <v>0</v>
      </c>
      <c r="AD69" s="9"/>
    </row>
    <row r="70" spans="1:30" ht="20.25" customHeight="1" x14ac:dyDescent="0.25">
      <c r="B70" s="13" t="s">
        <v>122</v>
      </c>
      <c r="C70" s="13"/>
      <c r="D70" s="13"/>
      <c r="E70" s="13"/>
      <c r="F70" s="13"/>
      <c r="H70" s="164" t="s">
        <v>22</v>
      </c>
      <c r="I70" s="129">
        <v>-3460775</v>
      </c>
      <c r="J70" s="165" t="s">
        <v>111</v>
      </c>
      <c r="K70" s="166">
        <f>K54</f>
        <v>4.1050000000000001E-3</v>
      </c>
      <c r="L70" s="50">
        <f>ROUND(I70*K70,0)</f>
        <v>-14206</v>
      </c>
      <c r="O70" s="1"/>
      <c r="V70" s="651" t="s">
        <v>123</v>
      </c>
      <c r="W70" s="651"/>
      <c r="X70" s="651"/>
      <c r="Y70" s="665">
        <f>+I71</f>
        <v>1874788</v>
      </c>
      <c r="Z70" s="665"/>
      <c r="AA70" s="332" t="s">
        <v>111</v>
      </c>
      <c r="AB70" s="163">
        <f>AB54</f>
        <v>0</v>
      </c>
      <c r="AC70" s="56">
        <f>ROUND(Y70*AB70,0)</f>
        <v>0</v>
      </c>
      <c r="AD70" s="9"/>
    </row>
    <row r="71" spans="1:30" ht="20.25" customHeight="1" x14ac:dyDescent="0.25">
      <c r="B71" s="13" t="s">
        <v>123</v>
      </c>
      <c r="C71" s="13"/>
      <c r="D71" s="13"/>
      <c r="E71" s="13"/>
      <c r="F71" s="13"/>
      <c r="H71" s="164" t="s">
        <v>22</v>
      </c>
      <c r="I71" s="129">
        <v>1874788</v>
      </c>
      <c r="J71" s="165" t="s">
        <v>111</v>
      </c>
      <c r="K71" s="166">
        <f>K54</f>
        <v>4.1050000000000001E-3</v>
      </c>
      <c r="L71" s="50">
        <f>ROUND(I71*K71,0)</f>
        <v>7696</v>
      </c>
      <c r="O71" s="1"/>
      <c r="V71" s="651" t="s">
        <v>124</v>
      </c>
      <c r="W71" s="651"/>
      <c r="X71" s="651"/>
      <c r="Y71" s="665">
        <f>+I72</f>
        <v>14223298</v>
      </c>
      <c r="Z71" s="665"/>
      <c r="AA71" s="332" t="s">
        <v>111</v>
      </c>
      <c r="AB71" s="163">
        <f>AB57</f>
        <v>0</v>
      </c>
      <c r="AC71" s="56">
        <f>ROUND(Y71*AB71,0)</f>
        <v>0</v>
      </c>
      <c r="AD71" s="9"/>
    </row>
    <row r="72" spans="1:30" ht="21" customHeight="1" x14ac:dyDescent="0.25">
      <c r="B72" s="13" t="s">
        <v>124</v>
      </c>
      <c r="C72" s="13"/>
      <c r="D72" s="13"/>
      <c r="E72" s="13"/>
      <c r="F72" s="13"/>
      <c r="H72" s="164" t="s">
        <v>23</v>
      </c>
      <c r="I72" s="171">
        <v>14223298</v>
      </c>
      <c r="J72" s="165" t="s">
        <v>111</v>
      </c>
      <c r="K72" s="166">
        <f>K57</f>
        <v>4.2509999999999996E-3</v>
      </c>
      <c r="L72" s="50">
        <f>ROUND(I72*K72,0)</f>
        <v>60463</v>
      </c>
      <c r="O72" s="1"/>
      <c r="V72" s="623" t="s">
        <v>125</v>
      </c>
      <c r="W72" s="623"/>
      <c r="X72" s="623"/>
      <c r="Y72" s="623"/>
      <c r="Z72" s="623"/>
      <c r="AA72" s="623"/>
      <c r="AB72" s="623"/>
      <c r="AC72" s="60"/>
      <c r="AD72" s="9"/>
    </row>
    <row r="73" spans="1:30" ht="17.25" customHeight="1" x14ac:dyDescent="0.25">
      <c r="B73" s="13" t="s">
        <v>125</v>
      </c>
      <c r="C73" s="13"/>
      <c r="D73" s="13"/>
      <c r="E73" s="13"/>
      <c r="F73" s="13"/>
      <c r="H73" s="13"/>
      <c r="I73" s="13"/>
      <c r="J73" s="82"/>
      <c r="K73" s="13"/>
      <c r="L73" s="59"/>
      <c r="O73" s="1"/>
      <c r="V73" s="651" t="s">
        <v>126</v>
      </c>
      <c r="W73" s="651"/>
      <c r="X73" s="651"/>
      <c r="Y73" s="651"/>
      <c r="Z73" s="651"/>
      <c r="AA73" s="651"/>
      <c r="AB73" s="651"/>
      <c r="AC73" s="651"/>
      <c r="AD73" s="9"/>
    </row>
    <row r="74" spans="1:30" ht="31.5" x14ac:dyDescent="0.25">
      <c r="B74" s="13" t="s">
        <v>126</v>
      </c>
      <c r="C74" s="13"/>
      <c r="D74" s="27" t="s">
        <v>13</v>
      </c>
      <c r="E74" s="27" t="s">
        <v>14</v>
      </c>
      <c r="F74" s="27"/>
      <c r="H74" s="164" t="s">
        <v>26</v>
      </c>
      <c r="I74" s="172"/>
      <c r="J74" s="164"/>
      <c r="K74" s="172"/>
      <c r="L74" s="112"/>
      <c r="O74" s="1"/>
      <c r="V74" s="666" t="s">
        <v>127</v>
      </c>
      <c r="W74" s="666"/>
      <c r="X74" s="173" t="s">
        <v>128</v>
      </c>
      <c r="Y74" s="174"/>
      <c r="Z74" s="175">
        <f>+I75</f>
        <v>364.5</v>
      </c>
      <c r="AA74" s="331" t="s">
        <v>129</v>
      </c>
      <c r="AB74" s="177">
        <f>+K75</f>
        <v>361</v>
      </c>
      <c r="AC74" s="56">
        <f>ROUND(AB74*Z74,0)</f>
        <v>131585</v>
      </c>
      <c r="AD74" s="9"/>
    </row>
    <row r="75" spans="1:30" ht="19.5" customHeight="1" x14ac:dyDescent="0.25">
      <c r="A75" s="1" t="s">
        <v>130</v>
      </c>
      <c r="B75" s="178" t="s">
        <v>127</v>
      </c>
      <c r="C75" s="179" t="s">
        <v>128</v>
      </c>
      <c r="D75" s="178">
        <v>336</v>
      </c>
      <c r="E75" s="178">
        <v>393</v>
      </c>
      <c r="F75" s="178">
        <v>0</v>
      </c>
      <c r="G75" s="180">
        <f>IF(E75=0,D75,E75)</f>
        <v>393</v>
      </c>
      <c r="H75" s="181"/>
      <c r="I75" s="182">
        <f>AVERAGE(G75,D75)</f>
        <v>364.5</v>
      </c>
      <c r="J75" s="183" t="s">
        <v>129</v>
      </c>
      <c r="K75" s="184">
        <v>361</v>
      </c>
      <c r="L75" s="50">
        <f>ROUND(K75*I75,0)</f>
        <v>131585</v>
      </c>
      <c r="N75" s="1">
        <v>7802</v>
      </c>
      <c r="O75" s="1">
        <v>0</v>
      </c>
      <c r="V75" s="666" t="s">
        <v>127</v>
      </c>
      <c r="W75" s="666"/>
      <c r="X75" s="173" t="s">
        <v>131</v>
      </c>
      <c r="Y75" s="185"/>
      <c r="Z75" s="186">
        <f>+I76</f>
        <v>0</v>
      </c>
      <c r="AA75" s="331" t="s">
        <v>129</v>
      </c>
      <c r="AB75" s="187">
        <f>+K76</f>
        <v>1358</v>
      </c>
      <c r="AC75" s="56">
        <f>ROUND(AB75*Z75,0)</f>
        <v>0</v>
      </c>
      <c r="AD75" s="9"/>
    </row>
    <row r="76" spans="1:30" ht="19.5" customHeight="1" x14ac:dyDescent="0.25">
      <c r="A76" s="1" t="s">
        <v>132</v>
      </c>
      <c r="B76" s="178" t="s">
        <v>127</v>
      </c>
      <c r="C76" s="179" t="s">
        <v>131</v>
      </c>
      <c r="D76" s="178">
        <v>0</v>
      </c>
      <c r="E76" s="178">
        <v>0</v>
      </c>
      <c r="F76" s="178">
        <v>0</v>
      </c>
      <c r="G76" s="180">
        <f>IF(E76=0,D76,E76)</f>
        <v>0</v>
      </c>
      <c r="H76" s="181"/>
      <c r="I76" s="182">
        <f>AVERAGE(G76,D76)</f>
        <v>0</v>
      </c>
      <c r="J76" s="183" t="s">
        <v>129</v>
      </c>
      <c r="K76" s="188">
        <v>1358</v>
      </c>
      <c r="L76" s="50">
        <f>ROUND(K76*I76,0)</f>
        <v>0</v>
      </c>
      <c r="N76" s="1">
        <v>7802</v>
      </c>
      <c r="O76" s="1">
        <v>110</v>
      </c>
      <c r="V76" s="651" t="s">
        <v>133</v>
      </c>
      <c r="W76" s="651"/>
      <c r="X76" s="651"/>
      <c r="Y76" s="661">
        <f>+I77</f>
        <v>33305823</v>
      </c>
      <c r="Z76" s="661"/>
      <c r="AA76" s="331" t="s">
        <v>129</v>
      </c>
      <c r="AB76" s="163">
        <f>AB54</f>
        <v>0</v>
      </c>
      <c r="AC76" s="56">
        <f>ROUND(Y76*AB76,0)</f>
        <v>0</v>
      </c>
      <c r="AD76" s="9"/>
    </row>
    <row r="77" spans="1:30" ht="26.25" customHeight="1" x14ac:dyDescent="0.25">
      <c r="B77" s="13" t="s">
        <v>133</v>
      </c>
      <c r="C77" s="13"/>
      <c r="D77" s="13"/>
      <c r="E77" s="13"/>
      <c r="F77" s="13"/>
      <c r="H77" s="164" t="s">
        <v>134</v>
      </c>
      <c r="I77" s="189">
        <v>33305823</v>
      </c>
      <c r="J77" s="165" t="s">
        <v>111</v>
      </c>
      <c r="K77" s="166">
        <f>K54</f>
        <v>4.1050000000000001E-3</v>
      </c>
      <c r="L77" s="50">
        <f>ROUND(I77*K77,0)</f>
        <v>136720</v>
      </c>
      <c r="O77" s="1"/>
      <c r="V77" s="651" t="str">
        <f>+B78</f>
        <v>15.  Additional Allocation (WFTE share)</v>
      </c>
      <c r="W77" s="651"/>
      <c r="X77" s="651"/>
      <c r="Y77" s="661">
        <f>+I78</f>
        <v>680688</v>
      </c>
      <c r="Z77" s="661"/>
      <c r="AA77" s="331" t="s">
        <v>129</v>
      </c>
      <c r="AB77" s="163">
        <f>AB54</f>
        <v>0</v>
      </c>
      <c r="AC77" s="56">
        <f>ROUND(Y77*AB77,0)</f>
        <v>0</v>
      </c>
      <c r="AD77" s="9"/>
    </row>
    <row r="78" spans="1:30" ht="26.25" customHeight="1" x14ac:dyDescent="0.25">
      <c r="B78" s="669" t="s">
        <v>135</v>
      </c>
      <c r="C78" s="669"/>
      <c r="D78" s="669"/>
      <c r="E78" s="13"/>
      <c r="F78" s="13"/>
      <c r="H78" s="164" t="s">
        <v>136</v>
      </c>
      <c r="I78" s="190">
        <v>680688</v>
      </c>
      <c r="J78" s="165" t="s">
        <v>111</v>
      </c>
      <c r="K78" s="166">
        <f>K54</f>
        <v>4.1050000000000001E-3</v>
      </c>
      <c r="L78" s="50">
        <f>ROUND(I78*K78,0)</f>
        <v>2794</v>
      </c>
      <c r="O78" s="1"/>
      <c r="V78" s="651" t="str">
        <f>+B79</f>
        <v>16.  Florida Teachers Lead Program Stipend</v>
      </c>
      <c r="W78" s="651"/>
      <c r="X78" s="651"/>
      <c r="Y78" s="191"/>
      <c r="Z78" s="191"/>
      <c r="AA78" s="191"/>
      <c r="AB78" s="191"/>
      <c r="AC78" s="134"/>
      <c r="AD78" s="9"/>
    </row>
    <row r="79" spans="1:30" ht="21" customHeight="1" x14ac:dyDescent="0.25">
      <c r="B79" s="669" t="s">
        <v>137</v>
      </c>
      <c r="C79" s="669"/>
      <c r="D79" s="669"/>
      <c r="E79" s="13"/>
      <c r="F79" s="13"/>
      <c r="H79" s="164"/>
      <c r="I79" s="172"/>
      <c r="J79" s="172"/>
      <c r="K79" s="172"/>
      <c r="L79" s="129"/>
      <c r="N79" s="192"/>
      <c r="O79" s="1"/>
      <c r="Q79" s="164"/>
      <c r="V79" s="651" t="str">
        <f>+B80</f>
        <v>17.  Food Service Allocation</v>
      </c>
      <c r="W79" s="651"/>
      <c r="X79" s="651"/>
      <c r="Y79" s="191"/>
      <c r="Z79" s="191"/>
      <c r="AA79" s="191"/>
      <c r="AB79" s="191"/>
      <c r="AC79" s="193"/>
      <c r="AD79" s="9"/>
    </row>
    <row r="80" spans="1:30" ht="21" customHeight="1" x14ac:dyDescent="0.25">
      <c r="B80" s="669" t="s">
        <v>138</v>
      </c>
      <c r="C80" s="669"/>
      <c r="D80" s="669"/>
      <c r="E80" s="13"/>
      <c r="F80" s="13"/>
      <c r="H80" s="194" t="s">
        <v>139</v>
      </c>
      <c r="I80" s="195"/>
      <c r="J80" s="195"/>
      <c r="K80" s="195"/>
      <c r="L80" s="196"/>
      <c r="N80" s="197"/>
      <c r="O80" s="1"/>
      <c r="Q80" s="164"/>
      <c r="V80" s="191"/>
      <c r="W80" s="191"/>
      <c r="X80" s="191"/>
      <c r="Y80" s="191"/>
      <c r="Z80" s="191"/>
      <c r="AA80" s="191"/>
      <c r="AB80" s="191"/>
      <c r="AC80" s="193"/>
      <c r="AD80" s="9"/>
    </row>
    <row r="81" spans="1:30" ht="21" customHeight="1" thickBot="1" x14ac:dyDescent="0.3">
      <c r="B81" s="13"/>
      <c r="C81" s="13"/>
      <c r="D81" s="13"/>
      <c r="E81" s="13"/>
      <c r="F81" s="13"/>
      <c r="G81" s="13"/>
      <c r="H81" s="13"/>
      <c r="I81" s="13"/>
      <c r="J81" s="13"/>
      <c r="K81" s="13"/>
      <c r="L81" s="196"/>
      <c r="M81" s="198"/>
      <c r="N81" s="197"/>
      <c r="O81" s="1"/>
      <c r="Q81" s="164"/>
      <c r="V81" s="191" t="s">
        <v>140</v>
      </c>
      <c r="W81" s="191"/>
      <c r="X81" s="191"/>
      <c r="Y81" s="191"/>
      <c r="Z81" s="191"/>
      <c r="AA81" s="191"/>
      <c r="AB81" s="191"/>
      <c r="AC81" s="199">
        <f>SUM(AC44:AC80)</f>
        <v>131585</v>
      </c>
      <c r="AD81" s="200"/>
    </row>
    <row r="82" spans="1:30" ht="22.5" customHeight="1" thickTop="1" thickBot="1" x14ac:dyDescent="0.3">
      <c r="B82" s="13" t="s">
        <v>141</v>
      </c>
      <c r="C82" s="13"/>
      <c r="D82" s="13"/>
      <c r="E82" s="13"/>
      <c r="F82" s="13"/>
      <c r="G82" s="13"/>
      <c r="H82" s="13"/>
      <c r="I82" s="13"/>
      <c r="J82" s="13"/>
      <c r="K82" s="13"/>
      <c r="L82" s="201">
        <f>SUM(L44:L81)</f>
        <v>5060172</v>
      </c>
      <c r="M82" s="202"/>
      <c r="N82" s="203"/>
      <c r="O82" s="1"/>
      <c r="Q82" s="164"/>
      <c r="V82" s="191"/>
      <c r="W82" s="191"/>
      <c r="X82" s="191"/>
      <c r="Y82" s="191"/>
      <c r="Z82" s="191"/>
      <c r="AA82" s="191"/>
      <c r="AB82" s="191"/>
      <c r="AC82" s="204"/>
      <c r="AD82" s="200"/>
    </row>
    <row r="83" spans="1:30" ht="27.75" customHeight="1" thickTop="1" x14ac:dyDescent="0.25">
      <c r="B83" s="13" t="s">
        <v>142</v>
      </c>
      <c r="C83" s="13"/>
      <c r="D83" s="13"/>
      <c r="E83" s="13"/>
      <c r="F83" s="13"/>
      <c r="G83" s="13"/>
      <c r="H83" s="13"/>
      <c r="I83" s="13"/>
      <c r="J83" s="13"/>
      <c r="K83" s="82" t="s">
        <v>143</v>
      </c>
      <c r="L83" s="205" t="s">
        <v>144</v>
      </c>
      <c r="M83" s="202"/>
      <c r="N83" s="203"/>
      <c r="O83" s="1"/>
      <c r="Q83" s="164"/>
      <c r="V83" s="9" t="s">
        <v>145</v>
      </c>
      <c r="W83" s="9"/>
      <c r="X83" s="9"/>
      <c r="Y83" s="9"/>
      <c r="Z83" s="9"/>
      <c r="AA83" s="9"/>
      <c r="AB83" s="9"/>
      <c r="AC83" s="9"/>
      <c r="AD83" s="206"/>
    </row>
    <row r="84" spans="1:30" ht="18.75" customHeight="1" thickBot="1" x14ac:dyDescent="0.3">
      <c r="B84" s="13" t="s">
        <v>146</v>
      </c>
      <c r="C84" s="13"/>
      <c r="D84" s="13"/>
      <c r="E84" s="13"/>
      <c r="F84" s="13"/>
      <c r="G84" s="13"/>
      <c r="H84" s="13"/>
      <c r="I84" s="13"/>
      <c r="J84" s="13"/>
      <c r="K84" s="207" t="str">
        <f>IF(G26=0,"",IF((G11+G13+SUM(G15:G21))/G26&gt;0.75,1,""))</f>
        <v/>
      </c>
      <c r="L84" s="201">
        <f>'3385 June Final'!AC81</f>
        <v>131585</v>
      </c>
      <c r="M84" s="202"/>
      <c r="N84" s="203"/>
      <c r="O84" s="1"/>
      <c r="Q84" s="164"/>
      <c r="V84" s="208" t="s">
        <v>147</v>
      </c>
      <c r="W84" s="208"/>
      <c r="X84" s="208"/>
      <c r="Y84" s="208"/>
      <c r="Z84" s="208"/>
      <c r="AA84" s="208"/>
      <c r="AB84" s="208"/>
      <c r="AC84" s="208"/>
      <c r="AD84" s="9"/>
    </row>
    <row r="85" spans="1:30" ht="18.75" customHeight="1" thickTop="1" x14ac:dyDescent="0.25">
      <c r="B85" s="13"/>
      <c r="C85" s="13"/>
      <c r="D85" s="13"/>
      <c r="E85" s="13"/>
      <c r="F85" s="13"/>
      <c r="G85" s="13"/>
      <c r="H85" s="13"/>
      <c r="I85" s="13"/>
      <c r="J85" s="13"/>
      <c r="M85" s="202"/>
      <c r="N85" s="203"/>
      <c r="O85" s="1"/>
      <c r="Q85" s="164"/>
      <c r="V85" s="208" t="s">
        <v>148</v>
      </c>
      <c r="W85" s="208"/>
      <c r="X85" s="208"/>
      <c r="Y85" s="208"/>
      <c r="Z85" s="208"/>
      <c r="AA85" s="208"/>
      <c r="AB85" s="208"/>
      <c r="AC85" s="208"/>
      <c r="AD85" s="206"/>
    </row>
    <row r="86" spans="1:30" ht="18.75" customHeight="1" x14ac:dyDescent="0.25">
      <c r="B86" s="2" t="s">
        <v>149</v>
      </c>
      <c r="C86" s="13"/>
      <c r="D86" s="13"/>
      <c r="E86" s="13"/>
      <c r="F86" s="13"/>
      <c r="G86" s="13"/>
      <c r="H86" s="13"/>
      <c r="I86" s="13"/>
      <c r="J86" s="209" t="s">
        <v>150</v>
      </c>
      <c r="K86" s="210">
        <f>IF(K84=1,L84,L82)</f>
        <v>5060172</v>
      </c>
      <c r="L86" s="211">
        <f>IF(G26=0,0,IF(G26&gt;250,-(((250/G26)*K86)*IF(M86="H",0.02,0.05)),IF(M86="H",-0.02*K86,-0.05*K86)))</f>
        <v>-82528.280469188307</v>
      </c>
      <c r="M86" s="212" t="str">
        <f>IF(B123="2801","H",IF(B123="2911","H",IF(B123="3382","H"," ")))</f>
        <v xml:space="preserve"> </v>
      </c>
      <c r="N86" s="203"/>
      <c r="O86" s="1"/>
      <c r="Q86" s="164"/>
      <c r="V86" s="208" t="s">
        <v>151</v>
      </c>
      <c r="W86" s="208"/>
      <c r="X86" s="208"/>
      <c r="Y86" s="208"/>
      <c r="Z86" s="208"/>
      <c r="AA86" s="208"/>
      <c r="AB86" s="208"/>
      <c r="AC86" s="208"/>
      <c r="AD86" s="206"/>
    </row>
    <row r="87" spans="1:30" ht="18.75" customHeight="1" x14ac:dyDescent="0.25">
      <c r="B87" s="2" t="s">
        <v>152</v>
      </c>
      <c r="C87" s="13"/>
      <c r="D87" s="13"/>
      <c r="E87" s="13"/>
      <c r="F87" s="13"/>
      <c r="G87" s="13"/>
      <c r="H87" s="13"/>
      <c r="I87" s="13"/>
      <c r="J87" s="13"/>
      <c r="K87" s="213"/>
      <c r="L87" s="205">
        <f>L82+L86</f>
        <v>4977643.7195308115</v>
      </c>
      <c r="M87" s="202"/>
      <c r="N87" s="203"/>
      <c r="O87" s="1"/>
      <c r="Q87" s="164"/>
      <c r="V87" s="198"/>
      <c r="W87" s="198"/>
      <c r="X87" s="198"/>
      <c r="Y87" s="198"/>
      <c r="Z87" s="198"/>
      <c r="AA87" s="198"/>
      <c r="AB87" s="198"/>
      <c r="AC87" s="198"/>
      <c r="AD87" s="214"/>
    </row>
    <row r="88" spans="1:30" x14ac:dyDescent="0.25">
      <c r="V88" s="198"/>
      <c r="W88" s="198"/>
      <c r="X88" s="198"/>
      <c r="Y88" s="198"/>
      <c r="Z88" s="198"/>
      <c r="AA88" s="198"/>
      <c r="AB88" s="198"/>
      <c r="AC88" s="198"/>
      <c r="AD88" s="215"/>
    </row>
    <row r="89" spans="1:30" ht="18.75" customHeight="1" x14ac:dyDescent="0.25">
      <c r="A89" s="1" t="s">
        <v>153</v>
      </c>
      <c r="B89" s="13" t="s">
        <v>154</v>
      </c>
      <c r="C89" s="13"/>
      <c r="D89" s="13">
        <v>2442817</v>
      </c>
      <c r="E89" s="13">
        <v>440439</v>
      </c>
      <c r="F89" s="13">
        <v>4204483</v>
      </c>
      <c r="G89" s="13"/>
      <c r="H89" s="13"/>
      <c r="I89" s="13"/>
      <c r="J89" s="13"/>
      <c r="K89" s="213"/>
      <c r="L89" s="84">
        <v>-4978987.5342883999</v>
      </c>
      <c r="M89" s="202"/>
      <c r="N89" s="203"/>
      <c r="O89" s="1"/>
      <c r="Q89" s="164"/>
      <c r="V89" s="198">
        <v>2801</v>
      </c>
      <c r="W89" s="198"/>
      <c r="X89" s="198"/>
      <c r="Y89" s="198"/>
      <c r="Z89" s="198"/>
      <c r="AA89" s="198"/>
      <c r="AB89" s="198"/>
      <c r="AC89" s="198"/>
      <c r="AD89" s="214"/>
    </row>
    <row r="90" spans="1:30" ht="18.75" customHeight="1" x14ac:dyDescent="0.25">
      <c r="B90" s="13" t="s">
        <v>155</v>
      </c>
      <c r="C90" s="13"/>
      <c r="D90" s="13"/>
      <c r="E90" s="13"/>
      <c r="F90" s="13"/>
      <c r="G90" s="13"/>
      <c r="H90" s="13"/>
      <c r="I90" s="13"/>
      <c r="J90" s="13"/>
      <c r="K90" s="213"/>
      <c r="L90" s="205">
        <f>L87+L89</f>
        <v>-1343.8147575883195</v>
      </c>
      <c r="M90" s="202"/>
      <c r="N90" s="203"/>
      <c r="O90" s="1"/>
      <c r="Q90" s="164"/>
      <c r="V90" s="198">
        <v>2911</v>
      </c>
      <c r="W90" s="216"/>
      <c r="X90" s="216"/>
      <c r="Y90" s="216"/>
      <c r="Z90" s="216"/>
      <c r="AA90" s="216"/>
      <c r="AB90" s="216"/>
      <c r="AC90" s="216"/>
      <c r="AD90" s="214"/>
    </row>
    <row r="91" spans="1:30" ht="18.75" customHeight="1" x14ac:dyDescent="0.25">
      <c r="B91" s="13" t="s">
        <v>156</v>
      </c>
      <c r="C91" s="13"/>
      <c r="D91" s="13"/>
      <c r="E91" s="13"/>
      <c r="F91" s="13"/>
      <c r="G91" s="13"/>
      <c r="H91" s="13"/>
      <c r="I91" s="13"/>
      <c r="J91" s="13"/>
      <c r="K91" s="213"/>
      <c r="L91" s="205">
        <v>1</v>
      </c>
      <c r="M91" s="202"/>
      <c r="N91" s="203"/>
      <c r="O91" s="1"/>
      <c r="Q91" s="164"/>
      <c r="V91" s="198">
        <v>3382</v>
      </c>
      <c r="W91" s="216"/>
      <c r="X91" s="216"/>
      <c r="Y91" s="216"/>
      <c r="Z91" s="216"/>
      <c r="AA91" s="216"/>
      <c r="AB91" s="216"/>
      <c r="AC91" s="216"/>
      <c r="AD91" s="214"/>
    </row>
    <row r="92" spans="1:30" ht="18.75" customHeight="1" thickBot="1" x14ac:dyDescent="0.3">
      <c r="B92" s="13" t="s">
        <v>434</v>
      </c>
      <c r="C92" s="13"/>
      <c r="D92" s="13"/>
      <c r="E92" s="13"/>
      <c r="F92" s="13"/>
      <c r="G92" s="13"/>
      <c r="H92" s="13"/>
      <c r="I92" s="13"/>
      <c r="J92" s="13"/>
      <c r="K92" s="213"/>
      <c r="L92" s="217">
        <f>L90/L91</f>
        <v>-1343.8147575883195</v>
      </c>
      <c r="M92" s="202"/>
      <c r="N92" s="203"/>
      <c r="O92" s="1"/>
      <c r="Q92" s="164"/>
      <c r="V92" s="218"/>
      <c r="W92" s="218"/>
      <c r="X92" s="218"/>
      <c r="Y92" s="218"/>
      <c r="Z92" s="218"/>
      <c r="AA92" s="218"/>
      <c r="AB92" s="218"/>
      <c r="AC92" s="218"/>
      <c r="AD92" s="219"/>
    </row>
    <row r="93" spans="1:30" ht="18.75" customHeight="1" thickTop="1" x14ac:dyDescent="0.25">
      <c r="N93" s="219"/>
      <c r="O93" s="220"/>
      <c r="P93" s="219"/>
      <c r="Q93" s="219"/>
      <c r="V93" s="218"/>
      <c r="W93" s="218"/>
      <c r="X93" s="218"/>
      <c r="Y93" s="218"/>
      <c r="Z93" s="218"/>
      <c r="AA93" s="218"/>
      <c r="AB93" s="218"/>
      <c r="AC93" s="218"/>
      <c r="AD93" s="214"/>
    </row>
    <row r="94" spans="1:30" ht="18.75" customHeight="1" thickBot="1" x14ac:dyDescent="0.3">
      <c r="B94" s="221" t="s">
        <v>158</v>
      </c>
      <c r="C94" s="13"/>
      <c r="D94" s="13"/>
      <c r="E94" s="13"/>
      <c r="G94" s="13"/>
      <c r="H94" s="13"/>
      <c r="I94" s="13"/>
      <c r="J94" s="13"/>
      <c r="L94" s="222">
        <v>0</v>
      </c>
      <c r="M94" s="202"/>
      <c r="V94" s="223"/>
      <c r="W94" s="223"/>
      <c r="X94" s="223"/>
      <c r="Y94" s="223"/>
      <c r="Z94" s="223"/>
      <c r="AA94" s="223"/>
      <c r="AB94" s="223"/>
      <c r="AC94" s="223"/>
      <c r="AD94" s="214"/>
    </row>
    <row r="95" spans="1:30" ht="21.75" customHeight="1" thickTop="1" x14ac:dyDescent="0.25">
      <c r="B95" s="224" t="s">
        <v>159</v>
      </c>
      <c r="C95" s="224"/>
      <c r="D95" s="224"/>
      <c r="E95" s="224"/>
      <c r="F95" s="224"/>
      <c r="G95" s="224"/>
      <c r="H95" s="224"/>
      <c r="I95" s="224"/>
      <c r="J95" s="224"/>
      <c r="K95" s="224"/>
      <c r="L95" s="224"/>
      <c r="M95" s="219"/>
      <c r="V95" s="223"/>
      <c r="W95" s="223"/>
      <c r="X95" s="223"/>
      <c r="Y95" s="223"/>
      <c r="Z95" s="223"/>
      <c r="AA95" s="223"/>
      <c r="AB95" s="223"/>
      <c r="AC95" s="223"/>
      <c r="AD95" s="214"/>
    </row>
    <row r="96" spans="1:30" x14ac:dyDescent="0.25">
      <c r="B96" s="225"/>
      <c r="V96" s="223"/>
      <c r="W96" s="223"/>
      <c r="X96" s="223"/>
      <c r="Y96" s="223"/>
      <c r="Z96" s="223"/>
      <c r="AA96" s="223"/>
      <c r="AB96" s="223"/>
      <c r="AC96" s="223"/>
      <c r="AD96" s="219"/>
    </row>
    <row r="97" spans="2:30" x14ac:dyDescent="0.25">
      <c r="B97" s="225"/>
      <c r="V97" s="223"/>
      <c r="W97" s="223"/>
      <c r="X97" s="223"/>
      <c r="Y97" s="223"/>
      <c r="Z97" s="223"/>
      <c r="AA97" s="223"/>
      <c r="AB97" s="223"/>
      <c r="AC97" s="223"/>
      <c r="AD97" s="219"/>
    </row>
    <row r="98" spans="2:30" hidden="1" x14ac:dyDescent="0.25">
      <c r="B98" s="226" t="s">
        <v>160</v>
      </c>
      <c r="C98" s="227"/>
      <c r="V98" s="228"/>
      <c r="W98" s="228"/>
      <c r="X98" s="228"/>
      <c r="Y98" s="228"/>
      <c r="Z98" s="228"/>
      <c r="AA98" s="228"/>
      <c r="AB98" s="228"/>
      <c r="AC98" s="228"/>
    </row>
    <row r="99" spans="2:30" hidden="1" x14ac:dyDescent="0.25">
      <c r="B99" s="229"/>
      <c r="C99" s="227"/>
      <c r="V99" s="225"/>
      <c r="W99" s="13"/>
      <c r="X99" s="13"/>
      <c r="Y99" s="13"/>
      <c r="Z99" s="13"/>
      <c r="AA99" s="13"/>
      <c r="AB99" s="13"/>
      <c r="AC99" s="13"/>
    </row>
    <row r="100" spans="2:30" hidden="1" x14ac:dyDescent="0.25">
      <c r="B100" s="230" t="s">
        <v>161</v>
      </c>
      <c r="C100" s="226" t="s">
        <v>162</v>
      </c>
      <c r="V100" s="225"/>
    </row>
    <row r="101" spans="2:30" hidden="1" x14ac:dyDescent="0.25">
      <c r="B101" s="230" t="s">
        <v>163</v>
      </c>
      <c r="C101" s="226" t="s">
        <v>164</v>
      </c>
      <c r="V101" s="225"/>
    </row>
    <row r="102" spans="2:30" hidden="1" x14ac:dyDescent="0.25">
      <c r="B102" s="230" t="s">
        <v>165</v>
      </c>
      <c r="C102" s="226" t="s">
        <v>166</v>
      </c>
      <c r="V102" s="225"/>
      <c r="W102" s="231"/>
      <c r="X102" s="231"/>
      <c r="Y102" s="231"/>
      <c r="Z102" s="231"/>
      <c r="AA102" s="231"/>
      <c r="AB102" s="231"/>
      <c r="AC102" s="231"/>
      <c r="AD102" s="231"/>
    </row>
    <row r="103" spans="2:30" hidden="1" x14ac:dyDescent="0.25">
      <c r="B103" s="230" t="s">
        <v>167</v>
      </c>
      <c r="C103" s="226" t="s">
        <v>168</v>
      </c>
      <c r="V103" s="225"/>
    </row>
    <row r="104" spans="2:30" hidden="1" x14ac:dyDescent="0.25">
      <c r="B104" s="232"/>
      <c r="C104" s="226" t="s">
        <v>169</v>
      </c>
      <c r="V104" s="225"/>
    </row>
    <row r="105" spans="2:30" hidden="1" x14ac:dyDescent="0.25">
      <c r="B105" s="230" t="s">
        <v>170</v>
      </c>
      <c r="C105" s="226" t="s">
        <v>171</v>
      </c>
      <c r="V105" s="225"/>
    </row>
    <row r="106" spans="2:30" hidden="1" x14ac:dyDescent="0.25">
      <c r="B106" s="230" t="s">
        <v>172</v>
      </c>
      <c r="C106" s="226" t="s">
        <v>173</v>
      </c>
      <c r="V106" s="225"/>
    </row>
    <row r="107" spans="2:30" hidden="1" x14ac:dyDescent="0.25">
      <c r="B107" s="230" t="s">
        <v>268</v>
      </c>
      <c r="C107" s="226" t="s">
        <v>175</v>
      </c>
      <c r="V107" s="225"/>
    </row>
    <row r="108" spans="2:30" hidden="1" x14ac:dyDescent="0.25">
      <c r="B108" s="230" t="s">
        <v>176</v>
      </c>
      <c r="C108" s="226" t="s">
        <v>177</v>
      </c>
      <c r="V108" s="225"/>
    </row>
    <row r="109" spans="2:30" hidden="1" x14ac:dyDescent="0.25">
      <c r="B109" s="230" t="s">
        <v>178</v>
      </c>
      <c r="C109" s="226" t="s">
        <v>179</v>
      </c>
      <c r="V109" s="225"/>
    </row>
    <row r="110" spans="2:30" hidden="1" x14ac:dyDescent="0.25">
      <c r="B110" s="232"/>
      <c r="C110" s="226"/>
      <c r="V110" s="225"/>
    </row>
    <row r="111" spans="2:30" hidden="1" x14ac:dyDescent="0.25">
      <c r="B111" s="230" t="s">
        <v>180</v>
      </c>
      <c r="C111" s="226" t="s">
        <v>181</v>
      </c>
      <c r="V111" s="225"/>
    </row>
    <row r="112" spans="2:30" hidden="1" x14ac:dyDescent="0.25">
      <c r="B112" s="230" t="s">
        <v>180</v>
      </c>
      <c r="C112" s="226" t="s">
        <v>182</v>
      </c>
    </row>
    <row r="113" spans="2:3" hidden="1" x14ac:dyDescent="0.25">
      <c r="B113" s="230" t="s">
        <v>183</v>
      </c>
      <c r="C113" s="226" t="s">
        <v>184</v>
      </c>
    </row>
    <row r="114" spans="2:3" hidden="1" x14ac:dyDescent="0.25">
      <c r="B114" s="230" t="s">
        <v>185</v>
      </c>
      <c r="C114" s="226" t="s">
        <v>186</v>
      </c>
    </row>
    <row r="115" spans="2:3" hidden="1" x14ac:dyDescent="0.25">
      <c r="B115" s="230" t="s">
        <v>183</v>
      </c>
      <c r="C115" s="226" t="s">
        <v>187</v>
      </c>
    </row>
    <row r="116" spans="2:3" hidden="1" x14ac:dyDescent="0.25">
      <c r="B116" s="230" t="s">
        <v>188</v>
      </c>
      <c r="C116" s="226" t="s">
        <v>189</v>
      </c>
    </row>
    <row r="117" spans="2:3" hidden="1" x14ac:dyDescent="0.25">
      <c r="B117" s="230" t="s">
        <v>190</v>
      </c>
      <c r="C117" s="226" t="s">
        <v>191</v>
      </c>
    </row>
    <row r="118" spans="2:3" hidden="1" x14ac:dyDescent="0.25">
      <c r="B118" s="232" t="s">
        <v>192</v>
      </c>
      <c r="C118" s="226" t="s">
        <v>193</v>
      </c>
    </row>
    <row r="119" spans="2:3" hidden="1" x14ac:dyDescent="0.25">
      <c r="B119" s="232"/>
      <c r="C119" s="226"/>
    </row>
    <row r="120" spans="2:3" hidden="1" x14ac:dyDescent="0.25">
      <c r="B120" s="230" t="s">
        <v>161</v>
      </c>
      <c r="C120" s="226" t="s">
        <v>194</v>
      </c>
    </row>
    <row r="121" spans="2:3" hidden="1" x14ac:dyDescent="0.25">
      <c r="B121" s="230" t="s">
        <v>195</v>
      </c>
      <c r="C121" s="226" t="s">
        <v>196</v>
      </c>
    </row>
    <row r="122" spans="2:3" hidden="1" x14ac:dyDescent="0.25">
      <c r="B122" s="230" t="s">
        <v>197</v>
      </c>
      <c r="C122" s="226" t="s">
        <v>198</v>
      </c>
    </row>
    <row r="123" spans="2:3" hidden="1" x14ac:dyDescent="0.25">
      <c r="B123" s="230" t="s">
        <v>269</v>
      </c>
      <c r="C123" s="226" t="s">
        <v>200</v>
      </c>
    </row>
    <row r="124" spans="2:3" hidden="1" x14ac:dyDescent="0.25">
      <c r="B124" s="230" t="s">
        <v>270</v>
      </c>
      <c r="C124" s="226" t="s">
        <v>202</v>
      </c>
    </row>
    <row r="125" spans="2:3" hidden="1" x14ac:dyDescent="0.25">
      <c r="B125" s="230" t="s">
        <v>203</v>
      </c>
      <c r="C125" s="226" t="s">
        <v>204</v>
      </c>
    </row>
    <row r="126" spans="2:3" hidden="1" x14ac:dyDescent="0.25">
      <c r="B126" s="230" t="s">
        <v>203</v>
      </c>
      <c r="C126" s="226" t="s">
        <v>205</v>
      </c>
    </row>
    <row r="127" spans="2:3" hidden="1" x14ac:dyDescent="0.25">
      <c r="B127" s="230" t="s">
        <v>203</v>
      </c>
      <c r="C127" s="226" t="s">
        <v>206</v>
      </c>
    </row>
    <row r="128" spans="2:3" hidden="1" x14ac:dyDescent="0.25">
      <c r="B128" s="230" t="s">
        <v>203</v>
      </c>
      <c r="C128" s="226" t="s">
        <v>207</v>
      </c>
    </row>
    <row r="129" spans="2:3" hidden="1" x14ac:dyDescent="0.25">
      <c r="B129" s="230" t="s">
        <v>167</v>
      </c>
      <c r="C129" s="226" t="s">
        <v>208</v>
      </c>
    </row>
    <row r="130" spans="2:3" hidden="1" x14ac:dyDescent="0.25">
      <c r="B130" s="230" t="s">
        <v>209</v>
      </c>
      <c r="C130" s="226" t="s">
        <v>210</v>
      </c>
    </row>
    <row r="131" spans="2:3" hidden="1" x14ac:dyDescent="0.25">
      <c r="B131" s="230" t="s">
        <v>203</v>
      </c>
      <c r="C131" s="226" t="s">
        <v>211</v>
      </c>
    </row>
    <row r="132" spans="2:3" hidden="1" x14ac:dyDescent="0.25">
      <c r="B132" s="226"/>
      <c r="C132" s="226"/>
    </row>
    <row r="133" spans="2:3" hidden="1" x14ac:dyDescent="0.25">
      <c r="B133" s="226"/>
      <c r="C133" s="226"/>
    </row>
    <row r="134" spans="2:3" hidden="1" x14ac:dyDescent="0.25">
      <c r="B134" s="232"/>
      <c r="C134" s="232"/>
    </row>
    <row r="135" spans="2:3" hidden="1" x14ac:dyDescent="0.25">
      <c r="B135" s="232">
        <f>NvsElapsedTime</f>
        <v>1.15740767796524E-5</v>
      </c>
      <c r="C135" s="232"/>
    </row>
    <row r="136" spans="2:3" hidden="1" x14ac:dyDescent="0.25">
      <c r="B136" s="233">
        <f>NvsEndTime</f>
        <v>41754.487893518497</v>
      </c>
      <c r="C136" s="233" t="s">
        <v>212</v>
      </c>
    </row>
    <row r="137" spans="2:3" x14ac:dyDescent="0.25">
      <c r="B137" s="226"/>
      <c r="C137" s="234"/>
    </row>
    <row r="138" spans="2:3" x14ac:dyDescent="0.25">
      <c r="B138" s="226"/>
      <c r="C138" s="226"/>
    </row>
    <row r="139" spans="2:3" x14ac:dyDescent="0.25">
      <c r="B139" s="226"/>
      <c r="C139" s="226"/>
    </row>
    <row r="140" spans="2:3" x14ac:dyDescent="0.25">
      <c r="B140" s="226"/>
      <c r="C140" s="226"/>
    </row>
    <row r="141" spans="2:3" x14ac:dyDescent="0.25">
      <c r="B141" s="226"/>
      <c r="C141" s="226"/>
    </row>
    <row r="142" spans="2:3" x14ac:dyDescent="0.25">
      <c r="B142" s="226"/>
      <c r="C142" s="226"/>
    </row>
    <row r="143" spans="2:3" x14ac:dyDescent="0.25">
      <c r="B143" s="226"/>
      <c r="C143" s="226"/>
    </row>
    <row r="144" spans="2:3" x14ac:dyDescent="0.25">
      <c r="B144" s="226"/>
      <c r="C144" s="226"/>
    </row>
    <row r="145" spans="2:3" x14ac:dyDescent="0.25">
      <c r="B145" s="226"/>
      <c r="C145" s="226"/>
    </row>
    <row r="146" spans="2:3" x14ac:dyDescent="0.25">
      <c r="B146" s="226"/>
      <c r="C146" s="226"/>
    </row>
    <row r="147" spans="2:3" x14ac:dyDescent="0.25">
      <c r="B147" s="226"/>
      <c r="C147" s="226"/>
    </row>
    <row r="148" spans="2:3" x14ac:dyDescent="0.25">
      <c r="B148" s="226"/>
      <c r="C148" s="226"/>
    </row>
    <row r="149" spans="2:3" x14ac:dyDescent="0.25">
      <c r="B149" s="226"/>
      <c r="C149" s="226"/>
    </row>
    <row r="150" spans="2:3" x14ac:dyDescent="0.25">
      <c r="B150" s="226"/>
      <c r="C150" s="226"/>
    </row>
    <row r="151" spans="2:3" x14ac:dyDescent="0.25">
      <c r="B151" s="226"/>
      <c r="C151" s="226"/>
    </row>
  </sheetData>
  <mergeCells count="151">
    <mergeCell ref="B80:D80"/>
    <mergeCell ref="V76:X76"/>
    <mergeCell ref="Y76:Z76"/>
    <mergeCell ref="V77:X77"/>
    <mergeCell ref="Y77:Z77"/>
    <mergeCell ref="B78:D78"/>
    <mergeCell ref="V78:X78"/>
    <mergeCell ref="V70:X70"/>
    <mergeCell ref="Y70:Z70"/>
    <mergeCell ref="V71:X71"/>
    <mergeCell ref="Y71:Z71"/>
    <mergeCell ref="V72:AB72"/>
    <mergeCell ref="V73:AC73"/>
    <mergeCell ref="V74:W74"/>
    <mergeCell ref="V75:W75"/>
    <mergeCell ref="B79:D79"/>
    <mergeCell ref="V79:X79"/>
    <mergeCell ref="V65:W65"/>
    <mergeCell ref="X65:AC65"/>
    <mergeCell ref="V66:X66"/>
    <mergeCell ref="Y66:Z66"/>
    <mergeCell ref="V67:AC67"/>
    <mergeCell ref="V68:X68"/>
    <mergeCell ref="Y68:Z68"/>
    <mergeCell ref="V69:X69"/>
    <mergeCell ref="Y69:Z69"/>
    <mergeCell ref="V60:W60"/>
    <mergeCell ref="X60:AC60"/>
    <mergeCell ref="V61:W61"/>
    <mergeCell ref="X61:AC61"/>
    <mergeCell ref="V62:W62"/>
    <mergeCell ref="X62:AC62"/>
    <mergeCell ref="V63:AC63"/>
    <mergeCell ref="V64:W64"/>
    <mergeCell ref="X64:AC64"/>
    <mergeCell ref="V55:AC55"/>
    <mergeCell ref="V56:W56"/>
    <mergeCell ref="Y56:Z56"/>
    <mergeCell ref="AA56:AC56"/>
    <mergeCell ref="V57:AA57"/>
    <mergeCell ref="AB57:AC57"/>
    <mergeCell ref="V58:X58"/>
    <mergeCell ref="Y58:Z58"/>
    <mergeCell ref="V59:AC59"/>
    <mergeCell ref="X49:Y49"/>
    <mergeCell ref="X50:AB50"/>
    <mergeCell ref="V51:AC51"/>
    <mergeCell ref="V52:AC52"/>
    <mergeCell ref="V53:W53"/>
    <mergeCell ref="Y53:Z53"/>
    <mergeCell ref="AA53:AC53"/>
    <mergeCell ref="V54:AA54"/>
    <mergeCell ref="AB54:AC54"/>
    <mergeCell ref="V41:AC41"/>
    <mergeCell ref="V42:AC42"/>
    <mergeCell ref="V43:AC43"/>
    <mergeCell ref="V44:AB44"/>
    <mergeCell ref="V45:AC45"/>
    <mergeCell ref="X46:Y46"/>
    <mergeCell ref="Z46:AC46"/>
    <mergeCell ref="X47:Y47"/>
    <mergeCell ref="X48:Y48"/>
    <mergeCell ref="V37:W37"/>
    <mergeCell ref="X37:Y37"/>
    <mergeCell ref="Z37:AB37"/>
    <mergeCell ref="V38:AC38"/>
    <mergeCell ref="V39:W39"/>
    <mergeCell ref="X39:Y39"/>
    <mergeCell ref="Z39:AC39"/>
    <mergeCell ref="V40:W40"/>
    <mergeCell ref="X40:AA40"/>
    <mergeCell ref="V26:W26"/>
    <mergeCell ref="X26:Y26"/>
    <mergeCell ref="Z26:AA26"/>
    <mergeCell ref="V27:W27"/>
    <mergeCell ref="X27:Y27"/>
    <mergeCell ref="B28:C36"/>
    <mergeCell ref="V28:W36"/>
    <mergeCell ref="X28:Y28"/>
    <mergeCell ref="X29:Y29"/>
    <mergeCell ref="X30:Y30"/>
    <mergeCell ref="X31:Y31"/>
    <mergeCell ref="X32:Y32"/>
    <mergeCell ref="X33:Y33"/>
    <mergeCell ref="X34:Y34"/>
    <mergeCell ref="X35:Y35"/>
    <mergeCell ref="X36:Y36"/>
    <mergeCell ref="V23:W23"/>
    <mergeCell ref="X23:Y23"/>
    <mergeCell ref="Z23:AA23"/>
    <mergeCell ref="V24:W24"/>
    <mergeCell ref="X24:Y24"/>
    <mergeCell ref="Z24:AA24"/>
    <mergeCell ref="V25:W25"/>
    <mergeCell ref="X25:Y25"/>
    <mergeCell ref="Z25:AA25"/>
    <mergeCell ref="V20:W20"/>
    <mergeCell ref="X20:Y20"/>
    <mergeCell ref="Z20:AA20"/>
    <mergeCell ref="V21:W21"/>
    <mergeCell ref="X21:Y21"/>
    <mergeCell ref="Z21:AA21"/>
    <mergeCell ref="V22:W22"/>
    <mergeCell ref="X22:Y22"/>
    <mergeCell ref="Z22:AA22"/>
    <mergeCell ref="V17:W17"/>
    <mergeCell ref="X17:Y17"/>
    <mergeCell ref="Z17:AA17"/>
    <mergeCell ref="V18:W18"/>
    <mergeCell ref="X18:Y18"/>
    <mergeCell ref="Z18:AA18"/>
    <mergeCell ref="V19:W19"/>
    <mergeCell ref="X19:Y19"/>
    <mergeCell ref="Z19:AA19"/>
    <mergeCell ref="V14:W14"/>
    <mergeCell ref="X14:Y14"/>
    <mergeCell ref="Z14:AA14"/>
    <mergeCell ref="V15:W15"/>
    <mergeCell ref="X15:Y15"/>
    <mergeCell ref="Z15:AA15"/>
    <mergeCell ref="V16:W16"/>
    <mergeCell ref="X16:Y16"/>
    <mergeCell ref="Z16:AA16"/>
    <mergeCell ref="V11:W11"/>
    <mergeCell ref="X11:Y11"/>
    <mergeCell ref="Z11:AA11"/>
    <mergeCell ref="V12:W12"/>
    <mergeCell ref="X12:Y12"/>
    <mergeCell ref="Z12:AA12"/>
    <mergeCell ref="V13:W13"/>
    <mergeCell ref="X13:Y13"/>
    <mergeCell ref="Z13:AA13"/>
    <mergeCell ref="V8:W8"/>
    <mergeCell ref="X8:Y8"/>
    <mergeCell ref="Z8:AA8"/>
    <mergeCell ref="V9:W9"/>
    <mergeCell ref="X9:Y9"/>
    <mergeCell ref="Z9:AA9"/>
    <mergeCell ref="V10:W10"/>
    <mergeCell ref="X10:Y10"/>
    <mergeCell ref="Z10:AA10"/>
    <mergeCell ref="W2:AC2"/>
    <mergeCell ref="V3:AC3"/>
    <mergeCell ref="V4:AC4"/>
    <mergeCell ref="V5:W5"/>
    <mergeCell ref="X5:Y5"/>
    <mergeCell ref="V6:AC6"/>
    <mergeCell ref="V7:W7"/>
    <mergeCell ref="X7:Y7"/>
    <mergeCell ref="Z7:AA7"/>
    <mergeCell ref="AB7:AC7"/>
  </mergeCells>
  <printOptions horizontalCentered="1"/>
  <pageMargins left="0" right="0" top="0.67" bottom="0.2" header="0.25" footer="0.196850393700787"/>
  <pageSetup scale="63" fitToWidth="2" fitToHeight="2" orientation="portrait" horizontalDpi="4294967295" verticalDpi="4294967295" r:id="rId1"/>
  <headerFooter alignWithMargins="0">
    <oddHeader>&amp;L&amp;8&amp;F
&amp;D &amp;T</oddHeader>
    <oddFooter>&amp;C&amp;P</oddFooter>
  </headerFooter>
  <rowBreaks count="1" manualBreakCount="1">
    <brk id="51" max="16383" man="1"/>
  </row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AD151"/>
  <sheetViews>
    <sheetView topLeftCell="B59" zoomScale="70" zoomScaleNormal="70" workbookViewId="0">
      <selection activeCell="B2" sqref="B2"/>
    </sheetView>
  </sheetViews>
  <sheetFormatPr defaultColWidth="8.85546875" defaultRowHeight="15.75" x14ac:dyDescent="0.25"/>
  <cols>
    <col min="1" max="1" width="11.28515625" style="1" hidden="1" customWidth="1"/>
    <col min="2" max="2" width="10.28515625" style="2" customWidth="1"/>
    <col min="3" max="3" width="29" style="1" customWidth="1"/>
    <col min="4" max="5" width="12.28515625" style="1" customWidth="1"/>
    <col min="6" max="6" width="12.28515625" style="1" hidden="1" customWidth="1"/>
    <col min="7" max="7" width="15.28515625" style="1" customWidth="1"/>
    <col min="8" max="8" width="6.7109375" style="1" customWidth="1"/>
    <col min="9" max="9" width="12.5703125" style="1" customWidth="1"/>
    <col min="10" max="10" width="12.85546875" style="1" customWidth="1"/>
    <col min="11" max="11" width="13" style="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28515625" style="1" customWidth="1"/>
    <col min="18" max="18" width="8.85546875" style="1"/>
    <col min="19" max="21" width="0" style="1" hidden="1" customWidth="1"/>
    <col min="22" max="23" width="8.85546875" style="1"/>
    <col min="24" max="24" width="12.7109375" style="1" customWidth="1"/>
    <col min="25" max="27" width="8.85546875" style="1"/>
    <col min="28" max="28" width="13.140625" style="1" bestFit="1" customWidth="1"/>
    <col min="29" max="16384" width="8.85546875" style="1"/>
  </cols>
  <sheetData>
    <row r="1" spans="1:30" ht="15.6"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7"/>
      <c r="N2" s="3"/>
      <c r="O2" s="1"/>
      <c r="V2" s="8">
        <f>'3386'!B2</f>
        <v>50</v>
      </c>
      <c r="W2" s="606" t="s">
        <v>4</v>
      </c>
      <c r="X2" s="607"/>
      <c r="Y2" s="608"/>
      <c r="Z2" s="608"/>
      <c r="AA2" s="608"/>
      <c r="AB2" s="608"/>
      <c r="AC2" s="608"/>
      <c r="AD2" s="9"/>
    </row>
    <row r="3" spans="1:30" ht="20.25" x14ac:dyDescent="0.3">
      <c r="B3" s="10" t="str">
        <f>"Revenue Estimate Worksheet for "&amp;B124</f>
        <v>Revenue Estimate Worksheet for Toussaint Louverture Arts</v>
      </c>
      <c r="C3" s="11"/>
      <c r="D3" s="11"/>
      <c r="E3" s="11"/>
      <c r="F3" s="11"/>
      <c r="G3" s="11"/>
      <c r="H3" s="11"/>
      <c r="I3" s="11"/>
      <c r="J3" s="11"/>
      <c r="K3" s="11"/>
      <c r="L3" s="11"/>
      <c r="M3" s="10"/>
      <c r="N3" s="10"/>
      <c r="O3" s="10"/>
      <c r="P3" s="10"/>
      <c r="Q3" s="10"/>
      <c r="V3" s="609" t="s">
        <v>5</v>
      </c>
      <c r="W3" s="609"/>
      <c r="X3" s="609"/>
      <c r="Y3" s="609"/>
      <c r="Z3" s="609"/>
      <c r="AA3" s="609"/>
      <c r="AB3" s="609"/>
      <c r="AC3" s="609"/>
      <c r="AD3" s="12"/>
    </row>
    <row r="4" spans="1:30" ht="18.75" x14ac:dyDescent="0.3">
      <c r="B4" s="2" t="s">
        <v>6</v>
      </c>
      <c r="C4" s="13"/>
      <c r="D4" s="13"/>
      <c r="E4" s="13"/>
      <c r="F4" s="13"/>
      <c r="G4" s="13"/>
      <c r="H4" s="13"/>
      <c r="I4" s="13"/>
      <c r="J4" s="13"/>
      <c r="K4" s="13"/>
      <c r="L4" s="13"/>
      <c r="M4" s="14"/>
      <c r="N4" s="14"/>
      <c r="O4" s="14"/>
      <c r="P4" s="14"/>
      <c r="Q4" s="14"/>
      <c r="V4" s="610" t="str">
        <f>+Based_on_the_Second_Calculation_of_the_FEFP_2010_11</f>
        <v>Based on the Fourth Calculation of the FEFP 2013-14</v>
      </c>
      <c r="W4" s="610"/>
      <c r="X4" s="610"/>
      <c r="Y4" s="610"/>
      <c r="Z4" s="610"/>
      <c r="AA4" s="610"/>
      <c r="AB4" s="610"/>
      <c r="AC4" s="610"/>
      <c r="AD4" s="15"/>
    </row>
    <row r="5" spans="1:30" ht="18.75" customHeight="1" x14ac:dyDescent="0.25">
      <c r="B5" s="16" t="s">
        <v>7</v>
      </c>
      <c r="C5" s="16"/>
      <c r="D5" s="16"/>
      <c r="E5" s="16"/>
      <c r="F5" s="16"/>
      <c r="G5" s="17" t="s">
        <v>8</v>
      </c>
      <c r="H5" s="17"/>
      <c r="I5" s="17"/>
      <c r="J5" s="17"/>
      <c r="K5" s="17"/>
      <c r="L5" s="17"/>
      <c r="M5" s="18"/>
      <c r="N5" s="18"/>
      <c r="O5" s="18"/>
      <c r="P5" s="18"/>
      <c r="Q5" s="18"/>
      <c r="V5" s="611" t="s">
        <v>7</v>
      </c>
      <c r="W5" s="611"/>
      <c r="X5" s="612" t="s">
        <v>8</v>
      </c>
      <c r="Y5" s="612"/>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613" t="s">
        <v>9</v>
      </c>
      <c r="W6" s="613"/>
      <c r="X6" s="613"/>
      <c r="Y6" s="613"/>
      <c r="Z6" s="613"/>
      <c r="AA6" s="613"/>
      <c r="AB6" s="613"/>
      <c r="AC6" s="613"/>
      <c r="AD6" s="22"/>
    </row>
    <row r="7" spans="1:30" ht="18" customHeight="1" x14ac:dyDescent="0.25">
      <c r="B7" s="23" t="s">
        <v>10</v>
      </c>
      <c r="C7" s="23"/>
      <c r="D7" s="23"/>
      <c r="E7" s="23"/>
      <c r="F7" s="23"/>
      <c r="G7" s="24">
        <v>3752.3</v>
      </c>
      <c r="H7" s="24"/>
      <c r="I7" s="23" t="s">
        <v>11</v>
      </c>
      <c r="J7" s="23"/>
      <c r="K7" s="25">
        <v>1.0326</v>
      </c>
      <c r="L7" s="25"/>
      <c r="O7" s="1"/>
      <c r="V7" s="620" t="s">
        <v>10</v>
      </c>
      <c r="W7" s="620"/>
      <c r="X7" s="621">
        <f>'3386'!G7</f>
        <v>3752.3</v>
      </c>
      <c r="Y7" s="621"/>
      <c r="Z7" s="622" t="s">
        <v>11</v>
      </c>
      <c r="AA7" s="622"/>
      <c r="AB7" s="602">
        <f>+K7</f>
        <v>1.0326</v>
      </c>
      <c r="AC7" s="602"/>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603" t="s">
        <v>12</v>
      </c>
      <c r="W8" s="603"/>
      <c r="X8" s="604" t="s">
        <v>15</v>
      </c>
      <c r="Y8" s="604"/>
      <c r="Z8" s="605" t="s">
        <v>16</v>
      </c>
      <c r="AA8" s="605"/>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614" t="s">
        <v>22</v>
      </c>
      <c r="W9" s="614"/>
      <c r="X9" s="615" t="s">
        <v>23</v>
      </c>
      <c r="Y9" s="615"/>
      <c r="Z9" s="616" t="s">
        <v>24</v>
      </c>
      <c r="AA9" s="616"/>
      <c r="AB9" s="43" t="s">
        <v>25</v>
      </c>
      <c r="AC9" s="44" t="s">
        <v>26</v>
      </c>
      <c r="AD9" s="9"/>
    </row>
    <row r="10" spans="1:30" x14ac:dyDescent="0.25">
      <c r="A10" s="1" t="s">
        <v>27</v>
      </c>
      <c r="B10" s="45" t="s">
        <v>28</v>
      </c>
      <c r="C10" s="45"/>
      <c r="D10" s="45">
        <v>0</v>
      </c>
      <c r="E10" s="45">
        <v>0</v>
      </c>
      <c r="F10" s="45">
        <v>0</v>
      </c>
      <c r="G10" s="46">
        <f>D10+E10</f>
        <v>0</v>
      </c>
      <c r="H10" s="47"/>
      <c r="I10" s="48">
        <v>1.125</v>
      </c>
      <c r="J10" s="48"/>
      <c r="K10" s="49">
        <f>ROUND(G10*I10,4)</f>
        <v>0</v>
      </c>
      <c r="L10" s="50">
        <f>ROUND(ROUND(K10*$G$7,4)*($K$7),0)</f>
        <v>0</v>
      </c>
      <c r="N10" s="51">
        <v>5101</v>
      </c>
      <c r="O10" s="52">
        <v>101</v>
      </c>
      <c r="P10" s="53"/>
      <c r="Q10" s="54"/>
      <c r="V10" s="617" t="s">
        <v>28</v>
      </c>
      <c r="W10" s="617"/>
      <c r="X10" s="618">
        <f>IF('3386'!K$84=1,'3386'!G10,0)</f>
        <v>0</v>
      </c>
      <c r="Y10" s="618"/>
      <c r="Z10" s="619">
        <v>1</v>
      </c>
      <c r="AA10" s="619"/>
      <c r="AB10" s="55">
        <f t="shared" ref="AB10:AB25" si="0">ROUND(X10*Z10,4)</f>
        <v>0</v>
      </c>
      <c r="AC10" s="56">
        <f t="shared" ref="AC10:AC25" si="1">ROUND(ROUND(AB10*$X$7,4)*($AB$7),0)</f>
        <v>0</v>
      </c>
      <c r="AD10" s="9">
        <v>1</v>
      </c>
    </row>
    <row r="11" spans="1:30" x14ac:dyDescent="0.25">
      <c r="A11" s="1" t="s">
        <v>29</v>
      </c>
      <c r="B11" s="13" t="s">
        <v>30</v>
      </c>
      <c r="C11" s="13"/>
      <c r="D11" s="13">
        <v>0</v>
      </c>
      <c r="E11" s="13">
        <v>0</v>
      </c>
      <c r="F11" s="13">
        <v>0</v>
      </c>
      <c r="G11" s="46">
        <f t="shared" ref="G11:G25" si="2">D11+E11</f>
        <v>0</v>
      </c>
      <c r="H11" s="47"/>
      <c r="I11" s="57">
        <f>I10</f>
        <v>1.125</v>
      </c>
      <c r="J11" s="57"/>
      <c r="K11" s="49">
        <f t="shared" ref="K11:K25" si="3">ROUND(G11*I11,4)</f>
        <v>0</v>
      </c>
      <c r="L11" s="50">
        <f t="shared" ref="L11:L25" si="4">ROUND(ROUND(K11*$G$7,4)*($K$7),0)</f>
        <v>0</v>
      </c>
      <c r="M11" s="1" t="str">
        <f>IF(ROUND(G11,2)=ROUND(SUM(G28:G30),2)," ","CHECK 2. PK-3 Lines Below")</f>
        <v xml:space="preserve"> </v>
      </c>
      <c r="N11" s="51">
        <v>5101</v>
      </c>
      <c r="O11" s="58" t="s">
        <v>31</v>
      </c>
      <c r="P11" s="53"/>
      <c r="Q11" s="54"/>
      <c r="V11" s="623" t="s">
        <v>30</v>
      </c>
      <c r="W11" s="623"/>
      <c r="X11" s="618">
        <f>IF('3386'!K$84=1,'3386'!G11,0)</f>
        <v>0</v>
      </c>
      <c r="Y11" s="618"/>
      <c r="Z11" s="624">
        <v>1</v>
      </c>
      <c r="AA11" s="624"/>
      <c r="AB11" s="55">
        <f t="shared" si="0"/>
        <v>0</v>
      </c>
      <c r="AC11" s="56">
        <f t="shared" si="1"/>
        <v>0</v>
      </c>
      <c r="AD11" s="9"/>
    </row>
    <row r="12" spans="1:30" x14ac:dyDescent="0.25">
      <c r="A12" s="1" t="s">
        <v>32</v>
      </c>
      <c r="B12" s="13" t="s">
        <v>33</v>
      </c>
      <c r="C12" s="13"/>
      <c r="D12" s="13">
        <v>0</v>
      </c>
      <c r="E12" s="13">
        <v>0</v>
      </c>
      <c r="F12" s="13">
        <v>0</v>
      </c>
      <c r="G12" s="46">
        <f t="shared" si="2"/>
        <v>0</v>
      </c>
      <c r="H12" s="47"/>
      <c r="I12" s="57">
        <v>1</v>
      </c>
      <c r="J12" s="57"/>
      <c r="K12" s="49">
        <f t="shared" si="3"/>
        <v>0</v>
      </c>
      <c r="L12" s="50">
        <f t="shared" si="4"/>
        <v>0</v>
      </c>
      <c r="N12" s="51">
        <v>5102</v>
      </c>
      <c r="O12" s="52">
        <v>102</v>
      </c>
      <c r="P12" s="53"/>
      <c r="Q12" s="54"/>
      <c r="V12" s="623" t="s">
        <v>33</v>
      </c>
      <c r="W12" s="623"/>
      <c r="X12" s="618">
        <f>IF('3386'!K$84=1,'3386'!G12,0)</f>
        <v>0</v>
      </c>
      <c r="Y12" s="618"/>
      <c r="Z12" s="624">
        <v>1</v>
      </c>
      <c r="AA12" s="624"/>
      <c r="AB12" s="55">
        <f t="shared" si="0"/>
        <v>0</v>
      </c>
      <c r="AC12" s="56">
        <f t="shared" si="1"/>
        <v>0</v>
      </c>
      <c r="AD12" s="9"/>
    </row>
    <row r="13" spans="1:30" x14ac:dyDescent="0.25">
      <c r="A13" s="1" t="s">
        <v>34</v>
      </c>
      <c r="B13" s="13" t="s">
        <v>35</v>
      </c>
      <c r="C13" s="13"/>
      <c r="D13" s="13">
        <v>0</v>
      </c>
      <c r="E13" s="13">
        <v>0</v>
      </c>
      <c r="F13" s="13">
        <v>0</v>
      </c>
      <c r="G13" s="46">
        <f t="shared" si="2"/>
        <v>0</v>
      </c>
      <c r="H13" s="47"/>
      <c r="I13" s="57">
        <f>I12</f>
        <v>1</v>
      </c>
      <c r="J13" s="57"/>
      <c r="K13" s="49">
        <f t="shared" si="3"/>
        <v>0</v>
      </c>
      <c r="L13" s="50">
        <f t="shared" si="4"/>
        <v>0</v>
      </c>
      <c r="M13" s="1" t="str">
        <f>IF(ROUND(G13,2)=ROUND(SUM(G31:G33),2)," ","CHECK 2. PK-3 Lines Below")</f>
        <v xml:space="preserve"> </v>
      </c>
      <c r="N13" s="51">
        <v>5102</v>
      </c>
      <c r="O13" s="58" t="s">
        <v>36</v>
      </c>
      <c r="P13" s="53"/>
      <c r="Q13" s="54"/>
      <c r="V13" s="623" t="s">
        <v>35</v>
      </c>
      <c r="W13" s="623"/>
      <c r="X13" s="618">
        <f>IF('3386'!K$84=1,'3386'!G13,0)</f>
        <v>0</v>
      </c>
      <c r="Y13" s="618"/>
      <c r="Z13" s="624">
        <v>1</v>
      </c>
      <c r="AA13" s="624"/>
      <c r="AB13" s="55">
        <f t="shared" si="0"/>
        <v>0</v>
      </c>
      <c r="AC13" s="56">
        <f t="shared" si="1"/>
        <v>0</v>
      </c>
      <c r="AD13" s="9"/>
    </row>
    <row r="14" spans="1:30" x14ac:dyDescent="0.25">
      <c r="A14" s="1" t="s">
        <v>37</v>
      </c>
      <c r="B14" s="13" t="s">
        <v>38</v>
      </c>
      <c r="C14" s="13"/>
      <c r="D14" s="13">
        <v>26.55</v>
      </c>
      <c r="E14" s="13">
        <v>24.75</v>
      </c>
      <c r="F14" s="13">
        <v>27.63</v>
      </c>
      <c r="G14" s="46">
        <f t="shared" si="2"/>
        <v>51.3</v>
      </c>
      <c r="H14" s="47"/>
      <c r="I14" s="57">
        <v>1.0109999999999999</v>
      </c>
      <c r="J14" s="57"/>
      <c r="K14" s="49">
        <f t="shared" si="3"/>
        <v>51.8643</v>
      </c>
      <c r="L14" s="50">
        <f t="shared" si="4"/>
        <v>200955</v>
      </c>
      <c r="N14" s="51">
        <v>5103</v>
      </c>
      <c r="O14" s="52">
        <v>103</v>
      </c>
      <c r="P14" s="53"/>
      <c r="Q14" s="54"/>
      <c r="V14" s="623" t="s">
        <v>38</v>
      </c>
      <c r="W14" s="623"/>
      <c r="X14" s="618">
        <f>IF('3386'!K$84=1,'3386'!G14,0)</f>
        <v>0</v>
      </c>
      <c r="Y14" s="618"/>
      <c r="Z14" s="624">
        <v>1</v>
      </c>
      <c r="AA14" s="624"/>
      <c r="AB14" s="55">
        <f t="shared" si="0"/>
        <v>0</v>
      </c>
      <c r="AC14" s="56">
        <f t="shared" si="1"/>
        <v>0</v>
      </c>
      <c r="AD14" s="9"/>
    </row>
    <row r="15" spans="1:30" x14ac:dyDescent="0.25">
      <c r="A15" s="1" t="s">
        <v>39</v>
      </c>
      <c r="B15" s="13" t="s">
        <v>40</v>
      </c>
      <c r="C15" s="13"/>
      <c r="D15" s="13">
        <v>2.33</v>
      </c>
      <c r="E15" s="13">
        <v>2.65</v>
      </c>
      <c r="F15" s="13">
        <v>2.5</v>
      </c>
      <c r="G15" s="46">
        <f t="shared" si="2"/>
        <v>4.9800000000000004</v>
      </c>
      <c r="H15" s="47"/>
      <c r="I15" s="57">
        <f>I14</f>
        <v>1.0109999999999999</v>
      </c>
      <c r="J15" s="57"/>
      <c r="K15" s="49">
        <f t="shared" si="3"/>
        <v>5.0347999999999997</v>
      </c>
      <c r="L15" s="59">
        <f t="shared" si="4"/>
        <v>19508</v>
      </c>
      <c r="M15" s="1" t="str">
        <f>IF(ROUND(G15,2)=ROUND(SUM(G34:G36),2)," ","CHECK 2. PK-3 Lines Below")</f>
        <v xml:space="preserve"> </v>
      </c>
      <c r="N15" s="51">
        <v>5103</v>
      </c>
      <c r="O15" s="58" t="s">
        <v>41</v>
      </c>
      <c r="P15" s="53"/>
      <c r="Q15" s="54"/>
      <c r="V15" s="623" t="s">
        <v>40</v>
      </c>
      <c r="W15" s="623"/>
      <c r="X15" s="618">
        <f>IF('3386'!K$84=1,'3386'!G15,0)</f>
        <v>0</v>
      </c>
      <c r="Y15" s="618"/>
      <c r="Z15" s="624">
        <v>1</v>
      </c>
      <c r="AA15" s="624"/>
      <c r="AB15" s="55">
        <f t="shared" si="0"/>
        <v>0</v>
      </c>
      <c r="AC15" s="60">
        <f t="shared" si="1"/>
        <v>0</v>
      </c>
      <c r="AD15" s="9"/>
    </row>
    <row r="16" spans="1:30" x14ac:dyDescent="0.25">
      <c r="A16" s="1" t="s">
        <v>42</v>
      </c>
      <c r="B16" s="13" t="s">
        <v>43</v>
      </c>
      <c r="C16" s="13"/>
      <c r="D16" s="13">
        <v>0</v>
      </c>
      <c r="E16" s="13">
        <v>0</v>
      </c>
      <c r="F16" s="13">
        <v>0</v>
      </c>
      <c r="G16" s="46">
        <f t="shared" si="2"/>
        <v>0</v>
      </c>
      <c r="H16" s="47"/>
      <c r="I16" s="57">
        <v>3.5579999999999998</v>
      </c>
      <c r="J16" s="57"/>
      <c r="K16" s="49">
        <f t="shared" si="3"/>
        <v>0</v>
      </c>
      <c r="L16" s="50">
        <f t="shared" si="4"/>
        <v>0</v>
      </c>
      <c r="N16" s="51">
        <v>5101</v>
      </c>
      <c r="O16" s="53">
        <v>254</v>
      </c>
      <c r="P16" s="53"/>
      <c r="Q16" s="54"/>
      <c r="V16" s="623" t="s">
        <v>43</v>
      </c>
      <c r="W16" s="623"/>
      <c r="X16" s="618">
        <f>IF('3386'!K$84=1,'3386'!G16,0)</f>
        <v>0</v>
      </c>
      <c r="Y16" s="618"/>
      <c r="Z16" s="624">
        <v>1</v>
      </c>
      <c r="AA16" s="624"/>
      <c r="AB16" s="55">
        <f t="shared" si="0"/>
        <v>0</v>
      </c>
      <c r="AC16" s="56">
        <f t="shared" si="1"/>
        <v>0</v>
      </c>
      <c r="AD16" s="9"/>
    </row>
    <row r="17" spans="1:30" x14ac:dyDescent="0.25">
      <c r="A17" s="1" t="s">
        <v>44</v>
      </c>
      <c r="B17" s="13" t="s">
        <v>45</v>
      </c>
      <c r="C17" s="13"/>
      <c r="D17" s="13">
        <v>0</v>
      </c>
      <c r="E17" s="13">
        <v>0</v>
      </c>
      <c r="F17" s="13">
        <v>0</v>
      </c>
      <c r="G17" s="46">
        <f t="shared" si="2"/>
        <v>0</v>
      </c>
      <c r="H17" s="47"/>
      <c r="I17" s="57">
        <f>I16</f>
        <v>3.5579999999999998</v>
      </c>
      <c r="J17" s="57"/>
      <c r="K17" s="49">
        <f t="shared" si="3"/>
        <v>0</v>
      </c>
      <c r="L17" s="50">
        <f t="shared" si="4"/>
        <v>0</v>
      </c>
      <c r="N17" s="51">
        <v>5102</v>
      </c>
      <c r="O17" s="54">
        <v>254</v>
      </c>
      <c r="P17" s="53"/>
      <c r="Q17" s="54"/>
      <c r="V17" s="623" t="s">
        <v>45</v>
      </c>
      <c r="W17" s="623"/>
      <c r="X17" s="618">
        <f>IF('3386'!K$84=1,'3386'!G17,0)</f>
        <v>0</v>
      </c>
      <c r="Y17" s="618"/>
      <c r="Z17" s="624">
        <v>1</v>
      </c>
      <c r="AA17" s="624"/>
      <c r="AB17" s="55">
        <f t="shared" si="0"/>
        <v>0</v>
      </c>
      <c r="AC17" s="56">
        <f t="shared" si="1"/>
        <v>0</v>
      </c>
      <c r="AD17" s="9"/>
    </row>
    <row r="18" spans="1:30" x14ac:dyDescent="0.25">
      <c r="A18" s="1" t="s">
        <v>46</v>
      </c>
      <c r="B18" s="13" t="s">
        <v>47</v>
      </c>
      <c r="C18" s="13"/>
      <c r="D18" s="13">
        <v>0</v>
      </c>
      <c r="E18" s="13">
        <v>0</v>
      </c>
      <c r="F18" s="13">
        <v>0</v>
      </c>
      <c r="G18" s="46">
        <f t="shared" si="2"/>
        <v>0</v>
      </c>
      <c r="H18" s="47"/>
      <c r="I18" s="57">
        <f>I17</f>
        <v>3.5579999999999998</v>
      </c>
      <c r="J18" s="57"/>
      <c r="K18" s="49">
        <f t="shared" si="3"/>
        <v>0</v>
      </c>
      <c r="L18" s="50">
        <f t="shared" si="4"/>
        <v>0</v>
      </c>
      <c r="N18" s="51">
        <v>5103</v>
      </c>
      <c r="O18" s="54">
        <v>254</v>
      </c>
      <c r="P18" s="53"/>
      <c r="Q18" s="54"/>
      <c r="V18" s="623" t="s">
        <v>47</v>
      </c>
      <c r="W18" s="623"/>
      <c r="X18" s="618">
        <f>IF('3386'!K$84=1,'3386'!G18,0)</f>
        <v>0</v>
      </c>
      <c r="Y18" s="618"/>
      <c r="Z18" s="624">
        <v>1</v>
      </c>
      <c r="AA18" s="624"/>
      <c r="AB18" s="55">
        <f t="shared" si="0"/>
        <v>0</v>
      </c>
      <c r="AC18" s="56">
        <f t="shared" si="1"/>
        <v>0</v>
      </c>
      <c r="AD18" s="9"/>
    </row>
    <row r="19" spans="1:30" ht="15" customHeight="1" x14ac:dyDescent="0.25">
      <c r="A19" s="1" t="s">
        <v>48</v>
      </c>
      <c r="B19" s="13" t="s">
        <v>49</v>
      </c>
      <c r="C19" s="13"/>
      <c r="D19" s="13">
        <v>0</v>
      </c>
      <c r="E19" s="13">
        <v>0</v>
      </c>
      <c r="F19" s="13">
        <v>0</v>
      </c>
      <c r="G19" s="46">
        <f t="shared" si="2"/>
        <v>0</v>
      </c>
      <c r="H19" s="47"/>
      <c r="I19" s="57">
        <v>5.0890000000000004</v>
      </c>
      <c r="J19" s="57"/>
      <c r="K19" s="49">
        <f t="shared" si="3"/>
        <v>0</v>
      </c>
      <c r="L19" s="50">
        <f t="shared" si="4"/>
        <v>0</v>
      </c>
      <c r="N19" s="51">
        <v>5101</v>
      </c>
      <c r="O19" s="53">
        <v>255</v>
      </c>
      <c r="P19" s="53"/>
      <c r="Q19" s="54"/>
      <c r="V19" s="623" t="s">
        <v>49</v>
      </c>
      <c r="W19" s="623"/>
      <c r="X19" s="618">
        <f>IF('3386'!K$84=1,'3386'!G19,0)</f>
        <v>0</v>
      </c>
      <c r="Y19" s="618"/>
      <c r="Z19" s="624">
        <v>1</v>
      </c>
      <c r="AA19" s="624"/>
      <c r="AB19" s="55">
        <f t="shared" si="0"/>
        <v>0</v>
      </c>
      <c r="AC19" s="56">
        <f t="shared" si="1"/>
        <v>0</v>
      </c>
      <c r="AD19" s="9"/>
    </row>
    <row r="20" spans="1:30" ht="15" customHeight="1" x14ac:dyDescent="0.25">
      <c r="A20" s="1" t="s">
        <v>50</v>
      </c>
      <c r="B20" s="13" t="s">
        <v>51</v>
      </c>
      <c r="C20" s="13"/>
      <c r="D20" s="13">
        <v>0</v>
      </c>
      <c r="E20" s="13">
        <v>0</v>
      </c>
      <c r="F20" s="13">
        <v>0</v>
      </c>
      <c r="G20" s="46">
        <f t="shared" si="2"/>
        <v>0</v>
      </c>
      <c r="H20" s="47"/>
      <c r="I20" s="57">
        <f>I19</f>
        <v>5.0890000000000004</v>
      </c>
      <c r="J20" s="57"/>
      <c r="K20" s="49">
        <f t="shared" si="3"/>
        <v>0</v>
      </c>
      <c r="L20" s="50">
        <f t="shared" si="4"/>
        <v>0</v>
      </c>
      <c r="N20" s="51">
        <v>5102</v>
      </c>
      <c r="O20" s="54">
        <v>255</v>
      </c>
      <c r="P20" s="53"/>
      <c r="Q20" s="54"/>
      <c r="V20" s="623" t="s">
        <v>51</v>
      </c>
      <c r="W20" s="623"/>
      <c r="X20" s="618">
        <f>IF('3386'!K$84=1,'3386'!G20,0)</f>
        <v>0</v>
      </c>
      <c r="Y20" s="618"/>
      <c r="Z20" s="624">
        <v>1</v>
      </c>
      <c r="AA20" s="624"/>
      <c r="AB20" s="55">
        <f t="shared" si="0"/>
        <v>0</v>
      </c>
      <c r="AC20" s="56">
        <f t="shared" si="1"/>
        <v>0</v>
      </c>
      <c r="AD20" s="9"/>
    </row>
    <row r="21" spans="1:30" ht="15" customHeight="1" x14ac:dyDescent="0.25">
      <c r="A21" s="1" t="s">
        <v>52</v>
      </c>
      <c r="B21" s="13" t="s">
        <v>53</v>
      </c>
      <c r="C21" s="13"/>
      <c r="D21" s="13">
        <v>0</v>
      </c>
      <c r="E21" s="13">
        <v>0</v>
      </c>
      <c r="F21" s="13">
        <v>0</v>
      </c>
      <c r="G21" s="46">
        <f t="shared" si="2"/>
        <v>0</v>
      </c>
      <c r="H21" s="47"/>
      <c r="I21" s="57">
        <f>I20</f>
        <v>5.0890000000000004</v>
      </c>
      <c r="J21" s="57"/>
      <c r="K21" s="49">
        <f t="shared" si="3"/>
        <v>0</v>
      </c>
      <c r="L21" s="50">
        <f t="shared" si="4"/>
        <v>0</v>
      </c>
      <c r="N21" s="51">
        <v>5103</v>
      </c>
      <c r="O21" s="54">
        <v>255</v>
      </c>
      <c r="P21" s="53"/>
      <c r="Q21" s="54"/>
      <c r="V21" s="623" t="s">
        <v>53</v>
      </c>
      <c r="W21" s="623"/>
      <c r="X21" s="618">
        <f>IF('3386'!K$84=1,'3386'!G21,0)</f>
        <v>0</v>
      </c>
      <c r="Y21" s="618"/>
      <c r="Z21" s="624">
        <v>1</v>
      </c>
      <c r="AA21" s="624"/>
      <c r="AB21" s="55">
        <f t="shared" si="0"/>
        <v>0</v>
      </c>
      <c r="AC21" s="56">
        <f t="shared" si="1"/>
        <v>0</v>
      </c>
      <c r="AD21" s="9"/>
    </row>
    <row r="22" spans="1:30" x14ac:dyDescent="0.25">
      <c r="A22" s="1" t="s">
        <v>54</v>
      </c>
      <c r="B22" s="13" t="s">
        <v>55</v>
      </c>
      <c r="C22" s="13"/>
      <c r="D22" s="13">
        <v>0</v>
      </c>
      <c r="E22" s="13">
        <v>0</v>
      </c>
      <c r="F22" s="13">
        <v>0</v>
      </c>
      <c r="G22" s="46">
        <f t="shared" si="2"/>
        <v>0</v>
      </c>
      <c r="H22" s="47"/>
      <c r="I22" s="57">
        <v>1.145</v>
      </c>
      <c r="J22" s="57"/>
      <c r="K22" s="49">
        <f t="shared" si="3"/>
        <v>0</v>
      </c>
      <c r="L22" s="50">
        <f t="shared" si="4"/>
        <v>0</v>
      </c>
      <c r="N22" s="51">
        <v>5101</v>
      </c>
      <c r="O22" s="52">
        <v>130</v>
      </c>
      <c r="P22" s="53"/>
      <c r="Q22" s="54"/>
      <c r="V22" s="623" t="s">
        <v>55</v>
      </c>
      <c r="W22" s="623"/>
      <c r="X22" s="618">
        <f>IF('3386'!K$84=1,'3386'!G22,0)</f>
        <v>0</v>
      </c>
      <c r="Y22" s="618"/>
      <c r="Z22" s="624">
        <v>1</v>
      </c>
      <c r="AA22" s="624"/>
      <c r="AB22" s="55">
        <f t="shared" si="0"/>
        <v>0</v>
      </c>
      <c r="AC22" s="56">
        <f t="shared" si="1"/>
        <v>0</v>
      </c>
      <c r="AD22" s="9"/>
    </row>
    <row r="23" spans="1:30" x14ac:dyDescent="0.25">
      <c r="A23" s="1" t="s">
        <v>56</v>
      </c>
      <c r="B23" s="13" t="s">
        <v>57</v>
      </c>
      <c r="C23" s="13"/>
      <c r="D23" s="13">
        <v>0</v>
      </c>
      <c r="E23" s="13">
        <v>0</v>
      </c>
      <c r="F23" s="13">
        <v>0</v>
      </c>
      <c r="G23" s="46">
        <f t="shared" si="2"/>
        <v>0</v>
      </c>
      <c r="H23" s="47"/>
      <c r="I23" s="57">
        <f>I22</f>
        <v>1.145</v>
      </c>
      <c r="J23" s="57"/>
      <c r="K23" s="49">
        <f t="shared" si="3"/>
        <v>0</v>
      </c>
      <c r="L23" s="50">
        <f t="shared" si="4"/>
        <v>0</v>
      </c>
      <c r="N23" s="51">
        <v>5102</v>
      </c>
      <c r="O23" s="52">
        <v>130</v>
      </c>
      <c r="P23" s="53"/>
      <c r="Q23" s="54"/>
      <c r="V23" s="623" t="s">
        <v>57</v>
      </c>
      <c r="W23" s="623"/>
      <c r="X23" s="618">
        <f>IF('3386'!K$84=1,'3386'!G23,0)</f>
        <v>0</v>
      </c>
      <c r="Y23" s="618"/>
      <c r="Z23" s="624">
        <v>1</v>
      </c>
      <c r="AA23" s="624"/>
      <c r="AB23" s="55">
        <f t="shared" si="0"/>
        <v>0</v>
      </c>
      <c r="AC23" s="56">
        <f t="shared" si="1"/>
        <v>0</v>
      </c>
      <c r="AD23" s="9"/>
    </row>
    <row r="24" spans="1:30" x14ac:dyDescent="0.25">
      <c r="A24" s="1" t="s">
        <v>58</v>
      </c>
      <c r="B24" s="13" t="s">
        <v>59</v>
      </c>
      <c r="C24" s="13"/>
      <c r="D24" s="13">
        <v>70.28</v>
      </c>
      <c r="E24" s="13">
        <v>64.11</v>
      </c>
      <c r="F24" s="13">
        <v>71.92</v>
      </c>
      <c r="G24" s="46">
        <f t="shared" si="2"/>
        <v>134.38999999999999</v>
      </c>
      <c r="H24" s="47"/>
      <c r="I24" s="57">
        <f>I23</f>
        <v>1.145</v>
      </c>
      <c r="J24" s="57"/>
      <c r="K24" s="49">
        <f t="shared" si="3"/>
        <v>153.8766</v>
      </c>
      <c r="L24" s="50">
        <f t="shared" si="4"/>
        <v>596214</v>
      </c>
      <c r="N24" s="51">
        <v>5103</v>
      </c>
      <c r="O24" s="52">
        <v>130</v>
      </c>
      <c r="P24" s="53"/>
      <c r="Q24" s="54"/>
      <c r="V24" s="623" t="s">
        <v>59</v>
      </c>
      <c r="W24" s="623"/>
      <c r="X24" s="618">
        <f>IF('3386'!K$84=1,'3386'!G24,0)</f>
        <v>0</v>
      </c>
      <c r="Y24" s="618"/>
      <c r="Z24" s="624">
        <v>1</v>
      </c>
      <c r="AA24" s="624"/>
      <c r="AB24" s="55">
        <f t="shared" si="0"/>
        <v>0</v>
      </c>
      <c r="AC24" s="56">
        <f t="shared" si="1"/>
        <v>0</v>
      </c>
      <c r="AD24" s="9"/>
    </row>
    <row r="25" spans="1:30" ht="16.5" thickBot="1" x14ac:dyDescent="0.3">
      <c r="A25" s="1" t="s">
        <v>60</v>
      </c>
      <c r="B25" s="13" t="s">
        <v>61</v>
      </c>
      <c r="C25" s="13"/>
      <c r="D25" s="13">
        <v>1.56</v>
      </c>
      <c r="E25" s="13">
        <v>2.71</v>
      </c>
      <c r="F25" s="13">
        <v>1.67</v>
      </c>
      <c r="G25" s="46">
        <f t="shared" si="2"/>
        <v>4.2699999999999996</v>
      </c>
      <c r="H25" s="47"/>
      <c r="I25" s="57">
        <v>1.0109999999999999</v>
      </c>
      <c r="J25" s="57"/>
      <c r="K25" s="49">
        <f t="shared" si="3"/>
        <v>4.3170000000000002</v>
      </c>
      <c r="L25" s="50">
        <f t="shared" si="4"/>
        <v>16727</v>
      </c>
      <c r="N25" s="51">
        <v>5310</v>
      </c>
      <c r="O25" s="52">
        <v>300</v>
      </c>
      <c r="P25" s="53"/>
      <c r="Q25" s="54"/>
      <c r="V25" s="623" t="s">
        <v>61</v>
      </c>
      <c r="W25" s="623"/>
      <c r="X25" s="618">
        <f>IF('3386'!K$84=1,'3386'!G25,0)</f>
        <v>0</v>
      </c>
      <c r="Y25" s="618"/>
      <c r="Z25" s="624">
        <v>1</v>
      </c>
      <c r="AA25" s="624"/>
      <c r="AB25" s="55">
        <f t="shared" si="0"/>
        <v>0</v>
      </c>
      <c r="AC25" s="56">
        <f t="shared" si="1"/>
        <v>0</v>
      </c>
      <c r="AD25" s="9"/>
    </row>
    <row r="26" spans="1:30" ht="20.25" customHeight="1" thickBot="1" x14ac:dyDescent="0.3">
      <c r="B26" s="62" t="s">
        <v>62</v>
      </c>
      <c r="C26" s="62"/>
      <c r="D26" s="63">
        <f t="shared" ref="D26:E26" si="5">SUM(D10:D25)</f>
        <v>100.72</v>
      </c>
      <c r="E26" s="63">
        <f t="shared" si="5"/>
        <v>94.219999999999985</v>
      </c>
      <c r="F26" s="63"/>
      <c r="G26" s="63">
        <f>SUM(G10:G25)</f>
        <v>194.94</v>
      </c>
      <c r="H26" s="64"/>
      <c r="I26" s="64"/>
      <c r="J26" s="65"/>
      <c r="K26" s="66">
        <f>SUM(K10:K25)</f>
        <v>215.09270000000001</v>
      </c>
      <c r="L26" s="67">
        <f>SUM(L10:L25)</f>
        <v>833404</v>
      </c>
      <c r="N26" s="54"/>
      <c r="O26" s="68"/>
      <c r="P26" s="54"/>
      <c r="Q26" s="54"/>
      <c r="V26" s="625" t="s">
        <v>62</v>
      </c>
      <c r="W26" s="625"/>
      <c r="X26" s="626">
        <f>SUM(X10:X25)</f>
        <v>0</v>
      </c>
      <c r="Y26" s="626"/>
      <c r="Z26" s="627"/>
      <c r="AA26" s="628"/>
      <c r="AB26" s="69">
        <f>SUM(AB10:AB25)</f>
        <v>0</v>
      </c>
      <c r="AC26" s="70">
        <f>SUM(AC10:AC25)</f>
        <v>0</v>
      </c>
      <c r="AD26" s="9"/>
    </row>
    <row r="27" spans="1:30" ht="51.75" customHeight="1" x14ac:dyDescent="0.25">
      <c r="B27" s="62" t="s">
        <v>63</v>
      </c>
      <c r="C27" s="62"/>
      <c r="D27" s="71" t="s">
        <v>13</v>
      </c>
      <c r="E27" s="71" t="s">
        <v>14</v>
      </c>
      <c r="F27" s="27"/>
      <c r="G27" s="72" t="s">
        <v>64</v>
      </c>
      <c r="H27" s="73"/>
      <c r="I27" s="74" t="s">
        <v>65</v>
      </c>
      <c r="J27" s="74" t="s">
        <v>66</v>
      </c>
      <c r="K27" s="75" t="s">
        <v>67</v>
      </c>
      <c r="N27" s="54"/>
      <c r="O27" s="68"/>
      <c r="P27" s="54"/>
      <c r="Q27" s="54"/>
      <c r="V27" s="629" t="s">
        <v>63</v>
      </c>
      <c r="W27" s="629"/>
      <c r="X27" s="630" t="s">
        <v>64</v>
      </c>
      <c r="Y27" s="630"/>
      <c r="Z27" s="76" t="s">
        <v>65</v>
      </c>
      <c r="AA27" s="77" t="s">
        <v>66</v>
      </c>
      <c r="AB27" s="78" t="s">
        <v>67</v>
      </c>
      <c r="AC27" s="9"/>
      <c r="AD27" s="9"/>
    </row>
    <row r="28" spans="1:30" ht="15.75" customHeight="1" x14ac:dyDescent="0.25">
      <c r="A28" s="1" t="s">
        <v>68</v>
      </c>
      <c r="B28" s="631" t="s">
        <v>69</v>
      </c>
      <c r="C28" s="632"/>
      <c r="D28" s="13">
        <v>0</v>
      </c>
      <c r="E28" s="13">
        <v>0</v>
      </c>
      <c r="F28" s="79">
        <v>0</v>
      </c>
      <c r="G28" s="46">
        <f t="shared" ref="G28:G36" si="6">D28+E28</f>
        <v>0</v>
      </c>
      <c r="H28" s="80"/>
      <c r="I28" s="81" t="s">
        <v>70</v>
      </c>
      <c r="J28" s="82">
        <v>251</v>
      </c>
      <c r="K28" s="83">
        <v>1047</v>
      </c>
      <c r="L28" s="84">
        <f>ROUND(G28*K28,0)</f>
        <v>0</v>
      </c>
      <c r="N28" s="85">
        <v>5101</v>
      </c>
      <c r="O28" s="54">
        <v>251</v>
      </c>
      <c r="P28" s="86"/>
      <c r="Q28" s="87"/>
      <c r="V28" s="637" t="s">
        <v>69</v>
      </c>
      <c r="W28" s="637"/>
      <c r="X28" s="638"/>
      <c r="Y28" s="638"/>
      <c r="Z28" s="88" t="s">
        <v>70</v>
      </c>
      <c r="AA28" s="89">
        <v>251</v>
      </c>
      <c r="AB28" s="90">
        <f>+K28</f>
        <v>1047</v>
      </c>
      <c r="AC28" s="91">
        <f t="shared" ref="AC28:AC36" si="7">ROUND(X28*AB28,0)</f>
        <v>0</v>
      </c>
      <c r="AD28" s="9"/>
    </row>
    <row r="29" spans="1:30" x14ac:dyDescent="0.25">
      <c r="A29" s="1" t="s">
        <v>71</v>
      </c>
      <c r="B29" s="633"/>
      <c r="C29" s="634"/>
      <c r="D29" s="13">
        <v>0</v>
      </c>
      <c r="E29" s="13">
        <v>0</v>
      </c>
      <c r="F29" s="92">
        <v>0</v>
      </c>
      <c r="G29" s="46">
        <f t="shared" si="6"/>
        <v>0</v>
      </c>
      <c r="H29" s="80"/>
      <c r="I29" s="82" t="s">
        <v>70</v>
      </c>
      <c r="J29" s="82">
        <v>252</v>
      </c>
      <c r="K29" s="83">
        <v>3380</v>
      </c>
      <c r="L29" s="84">
        <f t="shared" ref="L29:L36" si="8">ROUND(G29*K29,0)</f>
        <v>0</v>
      </c>
      <c r="N29" s="85">
        <v>5101</v>
      </c>
      <c r="O29" s="54">
        <v>252</v>
      </c>
      <c r="P29" s="86"/>
      <c r="Q29" s="87"/>
      <c r="V29" s="637"/>
      <c r="W29" s="637"/>
      <c r="X29" s="638"/>
      <c r="Y29" s="638"/>
      <c r="Z29" s="89" t="s">
        <v>70</v>
      </c>
      <c r="AA29" s="89">
        <v>252</v>
      </c>
      <c r="AB29" s="90">
        <f t="shared" ref="AB29:AB36" si="9">+K29</f>
        <v>3380</v>
      </c>
      <c r="AC29" s="91">
        <f t="shared" si="7"/>
        <v>0</v>
      </c>
      <c r="AD29" s="9"/>
    </row>
    <row r="30" spans="1:30" x14ac:dyDescent="0.25">
      <c r="A30" s="1" t="s">
        <v>72</v>
      </c>
      <c r="B30" s="633"/>
      <c r="C30" s="634"/>
      <c r="D30" s="13">
        <v>0</v>
      </c>
      <c r="E30" s="13">
        <v>0</v>
      </c>
      <c r="F30" s="92">
        <v>0</v>
      </c>
      <c r="G30" s="46">
        <f t="shared" si="6"/>
        <v>0</v>
      </c>
      <c r="H30" s="80"/>
      <c r="I30" s="82" t="s">
        <v>70</v>
      </c>
      <c r="J30" s="82">
        <v>253</v>
      </c>
      <c r="K30" s="83">
        <v>6896</v>
      </c>
      <c r="L30" s="84">
        <f t="shared" si="8"/>
        <v>0</v>
      </c>
      <c r="N30" s="85">
        <v>5101</v>
      </c>
      <c r="O30" s="54">
        <v>253</v>
      </c>
      <c r="P30" s="86"/>
      <c r="Q30" s="68"/>
      <c r="V30" s="637"/>
      <c r="W30" s="637"/>
      <c r="X30" s="638"/>
      <c r="Y30" s="638"/>
      <c r="Z30" s="89" t="s">
        <v>70</v>
      </c>
      <c r="AA30" s="89">
        <v>253</v>
      </c>
      <c r="AB30" s="90">
        <f t="shared" si="9"/>
        <v>6896</v>
      </c>
      <c r="AC30" s="91">
        <f t="shared" si="7"/>
        <v>0</v>
      </c>
      <c r="AD30" s="9"/>
    </row>
    <row r="31" spans="1:30" x14ac:dyDescent="0.25">
      <c r="A31" s="1" t="s">
        <v>73</v>
      </c>
      <c r="B31" s="633"/>
      <c r="C31" s="634"/>
      <c r="D31" s="13">
        <v>0</v>
      </c>
      <c r="E31" s="13">
        <v>0</v>
      </c>
      <c r="F31" s="92">
        <v>0</v>
      </c>
      <c r="G31" s="46">
        <f t="shared" si="6"/>
        <v>0</v>
      </c>
      <c r="H31" s="80"/>
      <c r="I31" s="93" t="s">
        <v>74</v>
      </c>
      <c r="J31" s="82">
        <v>251</v>
      </c>
      <c r="K31" s="83">
        <v>1173</v>
      </c>
      <c r="L31" s="84">
        <f t="shared" si="8"/>
        <v>0</v>
      </c>
      <c r="N31" s="85">
        <v>5102</v>
      </c>
      <c r="O31" s="54">
        <v>251</v>
      </c>
      <c r="P31" s="86"/>
      <c r="Q31" s="68"/>
      <c r="V31" s="637"/>
      <c r="W31" s="637"/>
      <c r="X31" s="638"/>
      <c r="Y31" s="638"/>
      <c r="Z31" s="94" t="s">
        <v>74</v>
      </c>
      <c r="AA31" s="89">
        <v>251</v>
      </c>
      <c r="AB31" s="90">
        <f t="shared" si="9"/>
        <v>1173</v>
      </c>
      <c r="AC31" s="91">
        <f t="shared" si="7"/>
        <v>0</v>
      </c>
      <c r="AD31" s="9"/>
    </row>
    <row r="32" spans="1:30" x14ac:dyDescent="0.25">
      <c r="A32" s="1" t="s">
        <v>75</v>
      </c>
      <c r="B32" s="633"/>
      <c r="C32" s="634"/>
      <c r="D32" s="13">
        <v>0</v>
      </c>
      <c r="E32" s="13">
        <v>0</v>
      </c>
      <c r="F32" s="92">
        <v>0</v>
      </c>
      <c r="G32" s="46">
        <f t="shared" si="6"/>
        <v>0</v>
      </c>
      <c r="H32" s="80"/>
      <c r="I32" s="93" t="s">
        <v>74</v>
      </c>
      <c r="J32" s="82">
        <v>252</v>
      </c>
      <c r="K32" s="83">
        <v>3506</v>
      </c>
      <c r="L32" s="84">
        <f t="shared" si="8"/>
        <v>0</v>
      </c>
      <c r="N32" s="85">
        <v>5102</v>
      </c>
      <c r="O32" s="54">
        <v>252</v>
      </c>
      <c r="P32" s="86"/>
      <c r="Q32" s="54"/>
      <c r="V32" s="637"/>
      <c r="W32" s="637"/>
      <c r="X32" s="638"/>
      <c r="Y32" s="638"/>
      <c r="Z32" s="94" t="s">
        <v>74</v>
      </c>
      <c r="AA32" s="89">
        <v>252</v>
      </c>
      <c r="AB32" s="90">
        <f t="shared" si="9"/>
        <v>3506</v>
      </c>
      <c r="AC32" s="91">
        <f t="shared" si="7"/>
        <v>0</v>
      </c>
      <c r="AD32" s="9"/>
    </row>
    <row r="33" spans="1:30" x14ac:dyDescent="0.25">
      <c r="A33" s="1" t="s">
        <v>76</v>
      </c>
      <c r="B33" s="633"/>
      <c r="C33" s="634"/>
      <c r="D33" s="13">
        <v>0</v>
      </c>
      <c r="E33" s="13">
        <v>0</v>
      </c>
      <c r="F33" s="92">
        <v>0</v>
      </c>
      <c r="G33" s="46">
        <f t="shared" si="6"/>
        <v>0</v>
      </c>
      <c r="H33" s="80"/>
      <c r="I33" s="93" t="s">
        <v>74</v>
      </c>
      <c r="J33" s="82">
        <v>253</v>
      </c>
      <c r="K33" s="83">
        <v>7023</v>
      </c>
      <c r="L33" s="84">
        <f t="shared" si="8"/>
        <v>0</v>
      </c>
      <c r="N33" s="85">
        <v>5102</v>
      </c>
      <c r="O33" s="54">
        <v>253</v>
      </c>
      <c r="P33" s="86"/>
      <c r="Q33" s="87"/>
      <c r="V33" s="637"/>
      <c r="W33" s="637"/>
      <c r="X33" s="638"/>
      <c r="Y33" s="638"/>
      <c r="Z33" s="94" t="s">
        <v>74</v>
      </c>
      <c r="AA33" s="89">
        <v>253</v>
      </c>
      <c r="AB33" s="90">
        <f t="shared" si="9"/>
        <v>7023</v>
      </c>
      <c r="AC33" s="91">
        <f t="shared" si="7"/>
        <v>0</v>
      </c>
      <c r="AD33" s="9"/>
    </row>
    <row r="34" spans="1:30" x14ac:dyDescent="0.25">
      <c r="A34" s="1" t="s">
        <v>77</v>
      </c>
      <c r="B34" s="633"/>
      <c r="C34" s="634"/>
      <c r="D34" s="13">
        <v>2.33</v>
      </c>
      <c r="E34" s="13">
        <v>2.65</v>
      </c>
      <c r="F34" s="92">
        <v>0.5</v>
      </c>
      <c r="G34" s="46">
        <f t="shared" si="6"/>
        <v>4.9800000000000004</v>
      </c>
      <c r="H34" s="80"/>
      <c r="I34" s="93" t="s">
        <v>78</v>
      </c>
      <c r="J34" s="82">
        <v>251</v>
      </c>
      <c r="K34" s="83">
        <v>835</v>
      </c>
      <c r="L34" s="84">
        <f t="shared" si="8"/>
        <v>4158</v>
      </c>
      <c r="N34" s="85">
        <v>5103</v>
      </c>
      <c r="O34" s="54">
        <v>251</v>
      </c>
      <c r="P34" s="86"/>
      <c r="Q34" s="87"/>
      <c r="V34" s="637"/>
      <c r="W34" s="637"/>
      <c r="X34" s="638"/>
      <c r="Y34" s="638"/>
      <c r="Z34" s="94" t="s">
        <v>78</v>
      </c>
      <c r="AA34" s="89">
        <v>251</v>
      </c>
      <c r="AB34" s="90">
        <f t="shared" si="9"/>
        <v>835</v>
      </c>
      <c r="AC34" s="91">
        <f t="shared" si="7"/>
        <v>0</v>
      </c>
      <c r="AD34" s="9"/>
    </row>
    <row r="35" spans="1:30" x14ac:dyDescent="0.25">
      <c r="A35" s="1" t="s">
        <v>79</v>
      </c>
      <c r="B35" s="633"/>
      <c r="C35" s="634"/>
      <c r="D35" s="13">
        <v>0</v>
      </c>
      <c r="E35" s="13">
        <v>0</v>
      </c>
      <c r="F35" s="92">
        <v>1</v>
      </c>
      <c r="G35" s="46">
        <f t="shared" si="6"/>
        <v>0</v>
      </c>
      <c r="H35" s="80"/>
      <c r="I35" s="93" t="s">
        <v>78</v>
      </c>
      <c r="J35" s="82">
        <v>252</v>
      </c>
      <c r="K35" s="83">
        <v>3168</v>
      </c>
      <c r="L35" s="84">
        <f t="shared" si="8"/>
        <v>0</v>
      </c>
      <c r="N35" s="85">
        <v>5103</v>
      </c>
      <c r="O35" s="54">
        <v>252</v>
      </c>
      <c r="P35" s="86"/>
      <c r="Q35" s="95"/>
      <c r="V35" s="637"/>
      <c r="W35" s="637"/>
      <c r="X35" s="638"/>
      <c r="Y35" s="638"/>
      <c r="Z35" s="94" t="s">
        <v>78</v>
      </c>
      <c r="AA35" s="89">
        <v>252</v>
      </c>
      <c r="AB35" s="90">
        <f t="shared" si="9"/>
        <v>3168</v>
      </c>
      <c r="AC35" s="91">
        <f t="shared" si="7"/>
        <v>0</v>
      </c>
      <c r="AD35" s="9"/>
    </row>
    <row r="36" spans="1:30" ht="16.5" thickBot="1" x14ac:dyDescent="0.3">
      <c r="A36" s="1" t="s">
        <v>80</v>
      </c>
      <c r="B36" s="635"/>
      <c r="C36" s="636"/>
      <c r="D36" s="13">
        <v>0</v>
      </c>
      <c r="E36" s="13">
        <v>0</v>
      </c>
      <c r="F36" s="92">
        <v>0</v>
      </c>
      <c r="G36" s="46">
        <f t="shared" si="6"/>
        <v>0</v>
      </c>
      <c r="H36" s="80"/>
      <c r="I36" s="93" t="s">
        <v>78</v>
      </c>
      <c r="J36" s="82">
        <v>253</v>
      </c>
      <c r="K36" s="83">
        <v>6685</v>
      </c>
      <c r="L36" s="96">
        <f t="shared" si="8"/>
        <v>0</v>
      </c>
      <c r="N36" s="85">
        <v>5103</v>
      </c>
      <c r="O36" s="54">
        <v>253</v>
      </c>
      <c r="P36" s="86"/>
      <c r="Q36" s="97"/>
      <c r="V36" s="637"/>
      <c r="W36" s="637"/>
      <c r="X36" s="645"/>
      <c r="Y36" s="645"/>
      <c r="Z36" s="94" t="s">
        <v>78</v>
      </c>
      <c r="AA36" s="89">
        <v>253</v>
      </c>
      <c r="AB36" s="90">
        <f t="shared" si="9"/>
        <v>6685</v>
      </c>
      <c r="AC36" s="98">
        <f t="shared" si="7"/>
        <v>0</v>
      </c>
      <c r="AD36" s="9"/>
    </row>
    <row r="37" spans="1:30" ht="18.75" customHeight="1" x14ac:dyDescent="0.25">
      <c r="B37" s="13" t="s">
        <v>81</v>
      </c>
      <c r="C37" s="13"/>
      <c r="D37" s="63">
        <f t="shared" ref="D37:E37" si="10">SUM(D28:D36)</f>
        <v>2.33</v>
      </c>
      <c r="E37" s="63">
        <f t="shared" si="10"/>
        <v>2.65</v>
      </c>
      <c r="F37" s="63"/>
      <c r="G37" s="63">
        <f>SUM(G28:G36)</f>
        <v>4.9800000000000004</v>
      </c>
      <c r="H37" s="64"/>
      <c r="I37" s="13" t="s">
        <v>82</v>
      </c>
      <c r="J37" s="13"/>
      <c r="K37" s="13"/>
      <c r="L37" s="50">
        <f>SUM(L28:L36)</f>
        <v>4158</v>
      </c>
      <c r="N37" s="54"/>
      <c r="O37" s="68"/>
      <c r="P37" s="54"/>
      <c r="Q37" s="54"/>
      <c r="V37" s="646" t="s">
        <v>81</v>
      </c>
      <c r="W37" s="646"/>
      <c r="X37" s="626">
        <f>SUM(X28:X36)</f>
        <v>0</v>
      </c>
      <c r="Y37" s="626"/>
      <c r="Z37" s="646" t="s">
        <v>82</v>
      </c>
      <c r="AA37" s="646"/>
      <c r="AB37" s="646"/>
      <c r="AC37" s="56">
        <f>SUM(AC28:AC36)</f>
        <v>0</v>
      </c>
      <c r="AD37" s="9"/>
    </row>
    <row r="38" spans="1:30" ht="30.75" customHeight="1" x14ac:dyDescent="0.25">
      <c r="B38" s="99" t="s">
        <v>83</v>
      </c>
      <c r="C38" s="99"/>
      <c r="D38" s="99"/>
      <c r="E38" s="99"/>
      <c r="F38" s="99"/>
      <c r="G38" s="99"/>
      <c r="H38" s="100"/>
      <c r="I38" s="99"/>
      <c r="J38" s="99"/>
      <c r="K38" s="99"/>
      <c r="L38" s="99"/>
      <c r="M38" s="101"/>
      <c r="N38" s="54"/>
      <c r="O38" s="68"/>
      <c r="P38" s="54"/>
      <c r="Q38" s="54"/>
      <c r="V38" s="639" t="s">
        <v>83</v>
      </c>
      <c r="W38" s="639"/>
      <c r="X38" s="639"/>
      <c r="Y38" s="639"/>
      <c r="Z38" s="639"/>
      <c r="AA38" s="639"/>
      <c r="AB38" s="639"/>
      <c r="AC38" s="639"/>
      <c r="AD38" s="102"/>
    </row>
    <row r="39" spans="1:30" ht="15.75" customHeight="1" x14ac:dyDescent="0.25">
      <c r="B39" s="103" t="s">
        <v>84</v>
      </c>
      <c r="C39" s="103"/>
      <c r="D39" s="103"/>
      <c r="E39" s="103"/>
      <c r="F39" s="103"/>
      <c r="G39" s="104">
        <v>34389540</v>
      </c>
      <c r="H39" s="104"/>
      <c r="I39" s="13" t="s">
        <v>85</v>
      </c>
      <c r="J39" s="13"/>
      <c r="K39" s="13"/>
      <c r="L39" s="13"/>
      <c r="O39" s="1"/>
      <c r="V39" s="640" t="s">
        <v>84</v>
      </c>
      <c r="W39" s="640"/>
      <c r="X39" s="641">
        <f>+G39</f>
        <v>34389540</v>
      </c>
      <c r="Y39" s="641"/>
      <c r="Z39" s="642" t="s">
        <v>85</v>
      </c>
      <c r="AA39" s="642"/>
      <c r="AB39" s="642"/>
      <c r="AC39" s="642"/>
      <c r="AD39" s="9"/>
    </row>
    <row r="40" spans="1:30" ht="15.75" customHeight="1" x14ac:dyDescent="0.25">
      <c r="B40" s="105" t="s">
        <v>86</v>
      </c>
      <c r="C40" s="105"/>
      <c r="D40" s="105"/>
      <c r="E40" s="105"/>
      <c r="F40" s="105"/>
      <c r="G40" s="106">
        <v>180284.81</v>
      </c>
      <c r="H40" s="106"/>
      <c r="I40" s="106"/>
      <c r="J40" s="106"/>
      <c r="K40" s="50">
        <f>ROUND(G39/G40,0)</f>
        <v>191</v>
      </c>
      <c r="L40" s="50">
        <f>ROUND(K40*$G$26,0)</f>
        <v>37234</v>
      </c>
      <c r="N40" s="107"/>
      <c r="O40" s="107"/>
      <c r="P40" s="107"/>
      <c r="Q40" s="107"/>
      <c r="V40" s="643" t="s">
        <v>86</v>
      </c>
      <c r="W40" s="643"/>
      <c r="X40" s="644">
        <f>+G40</f>
        <v>180284.81</v>
      </c>
      <c r="Y40" s="644"/>
      <c r="Z40" s="644"/>
      <c r="AA40" s="644"/>
      <c r="AB40" s="56">
        <f>ROUND(X39/X40,0)</f>
        <v>191</v>
      </c>
      <c r="AC40" s="56">
        <f>ROUND(AB40*$X$26,0)</f>
        <v>0</v>
      </c>
      <c r="AD40" s="9"/>
    </row>
    <row r="41" spans="1:30" ht="15.75" customHeight="1" x14ac:dyDescent="0.25">
      <c r="B41" s="108" t="s">
        <v>87</v>
      </c>
      <c r="C41" s="108"/>
      <c r="D41" s="108"/>
      <c r="E41" s="108"/>
      <c r="F41" s="108"/>
      <c r="G41" s="108"/>
      <c r="H41" s="108"/>
      <c r="I41" s="108"/>
      <c r="J41" s="108"/>
      <c r="K41" s="108"/>
      <c r="L41" s="108"/>
      <c r="N41" s="101"/>
      <c r="O41" s="109"/>
      <c r="P41" s="101"/>
      <c r="Q41" s="101"/>
      <c r="V41" s="652" t="s">
        <v>87</v>
      </c>
      <c r="W41" s="652"/>
      <c r="X41" s="652"/>
      <c r="Y41" s="652"/>
      <c r="Z41" s="652"/>
      <c r="AA41" s="652"/>
      <c r="AB41" s="652"/>
      <c r="AC41" s="652"/>
      <c r="AD41" s="9"/>
    </row>
    <row r="42" spans="1:30" ht="28.5" customHeight="1" x14ac:dyDescent="0.25">
      <c r="B42" s="99" t="s">
        <v>88</v>
      </c>
      <c r="C42" s="99"/>
      <c r="D42" s="99"/>
      <c r="E42" s="99"/>
      <c r="F42" s="99"/>
      <c r="G42" s="99"/>
      <c r="H42" s="99"/>
      <c r="I42" s="99"/>
      <c r="J42" s="99"/>
      <c r="K42" s="99"/>
      <c r="L42" s="99"/>
      <c r="M42" s="107"/>
      <c r="O42" s="1"/>
      <c r="V42" s="639" t="s">
        <v>88</v>
      </c>
      <c r="W42" s="639"/>
      <c r="X42" s="639"/>
      <c r="Y42" s="639"/>
      <c r="Z42" s="639"/>
      <c r="AA42" s="639"/>
      <c r="AB42" s="639"/>
      <c r="AC42" s="639"/>
      <c r="AD42" s="110"/>
    </row>
    <row r="43" spans="1:30" x14ac:dyDescent="0.25">
      <c r="B43" s="111" t="s">
        <v>89</v>
      </c>
      <c r="C43" s="111"/>
      <c r="D43" s="111"/>
      <c r="E43" s="111"/>
      <c r="F43" s="111"/>
      <c r="G43" s="111"/>
      <c r="H43" s="111"/>
      <c r="I43" s="111"/>
      <c r="J43" s="111"/>
      <c r="K43" s="111"/>
      <c r="L43" s="111"/>
      <c r="M43" s="112"/>
      <c r="N43" s="101"/>
      <c r="O43" s="101"/>
      <c r="P43" s="101"/>
      <c r="Q43" s="101"/>
      <c r="V43" s="653" t="s">
        <v>89</v>
      </c>
      <c r="W43" s="653"/>
      <c r="X43" s="653"/>
      <c r="Y43" s="653"/>
      <c r="Z43" s="653"/>
      <c r="AA43" s="653"/>
      <c r="AB43" s="653"/>
      <c r="AC43" s="653"/>
      <c r="AD43" s="113"/>
    </row>
    <row r="44" spans="1:30" ht="24" customHeight="1" x14ac:dyDescent="0.25">
      <c r="B44" s="62" t="s">
        <v>90</v>
      </c>
      <c r="C44" s="62"/>
      <c r="D44" s="62"/>
      <c r="E44" s="62"/>
      <c r="F44" s="62"/>
      <c r="G44" s="62"/>
      <c r="H44" s="62"/>
      <c r="I44" s="62"/>
      <c r="J44" s="62"/>
      <c r="K44" s="62"/>
      <c r="L44" s="114">
        <f>SUM(L26,L37,L40)</f>
        <v>874796</v>
      </c>
      <c r="O44" s="1"/>
      <c r="V44" s="654" t="s">
        <v>90</v>
      </c>
      <c r="W44" s="654"/>
      <c r="X44" s="654"/>
      <c r="Y44" s="654"/>
      <c r="Z44" s="654"/>
      <c r="AA44" s="654"/>
      <c r="AB44" s="654"/>
      <c r="AC44" s="115">
        <f>SUM(AC26,AC37,AC40)</f>
        <v>0</v>
      </c>
      <c r="AD44" s="9"/>
    </row>
    <row r="45" spans="1:30" ht="30.75" customHeight="1" x14ac:dyDescent="0.25">
      <c r="B45" s="99" t="s">
        <v>91</v>
      </c>
      <c r="C45" s="99"/>
      <c r="D45" s="99"/>
      <c r="E45" s="99"/>
      <c r="F45" s="99"/>
      <c r="G45" s="99"/>
      <c r="H45" s="99"/>
      <c r="I45" s="99"/>
      <c r="J45" s="99"/>
      <c r="K45" s="99"/>
      <c r="L45" s="99"/>
      <c r="M45" s="116"/>
      <c r="O45" s="1"/>
      <c r="V45" s="639" t="s">
        <v>91</v>
      </c>
      <c r="W45" s="639"/>
      <c r="X45" s="639"/>
      <c r="Y45" s="639"/>
      <c r="Z45" s="639"/>
      <c r="AA45" s="639"/>
      <c r="AB45" s="639"/>
      <c r="AC45" s="639"/>
      <c r="AD45" s="117"/>
    </row>
    <row r="46" spans="1:30" ht="18.75" customHeight="1" x14ac:dyDescent="0.25">
      <c r="B46" s="1"/>
      <c r="C46" s="118" t="s">
        <v>92</v>
      </c>
      <c r="D46" s="118"/>
      <c r="E46" s="118"/>
      <c r="F46" s="118"/>
      <c r="G46" s="118" t="s">
        <v>93</v>
      </c>
      <c r="H46" s="119"/>
      <c r="I46" s="120" t="s">
        <v>94</v>
      </c>
      <c r="J46" s="121"/>
      <c r="K46" s="121"/>
      <c r="L46" s="121"/>
      <c r="M46" s="122"/>
      <c r="O46" s="1"/>
      <c r="V46" s="9"/>
      <c r="W46" s="123" t="s">
        <v>92</v>
      </c>
      <c r="X46" s="655" t="s">
        <v>95</v>
      </c>
      <c r="Y46" s="655"/>
      <c r="Z46" s="656" t="s">
        <v>94</v>
      </c>
      <c r="AA46" s="656"/>
      <c r="AB46" s="656"/>
      <c r="AC46" s="656"/>
      <c r="AD46" s="124"/>
    </row>
    <row r="47" spans="1:30" ht="18.75" customHeight="1" x14ac:dyDescent="0.25">
      <c r="B47" s="107" t="s">
        <v>96</v>
      </c>
      <c r="C47" s="125">
        <f>K10+K11+K16+K19+K22</f>
        <v>0</v>
      </c>
      <c r="D47" s="125"/>
      <c r="E47" s="125"/>
      <c r="F47" s="125"/>
      <c r="G47" s="126">
        <f>K7</f>
        <v>1.0326</v>
      </c>
      <c r="H47" s="126"/>
      <c r="I47" s="127">
        <v>1316.85</v>
      </c>
      <c r="J47" s="128" t="s">
        <v>97</v>
      </c>
      <c r="K47" s="129">
        <f>ROUND(C47*G47*I47,0)</f>
        <v>0</v>
      </c>
      <c r="L47" s="130"/>
      <c r="O47" s="1"/>
      <c r="V47" s="110" t="s">
        <v>96</v>
      </c>
      <c r="W47" s="131">
        <f>AB10+AB11+AB16+AB19+AB22</f>
        <v>0</v>
      </c>
      <c r="X47" s="647">
        <f>AB7</f>
        <v>1.0326</v>
      </c>
      <c r="Y47" s="647"/>
      <c r="Z47" s="132">
        <f>+I47</f>
        <v>1316.85</v>
      </c>
      <c r="AA47" s="133" t="s">
        <v>97</v>
      </c>
      <c r="AB47" s="134">
        <f>ROUND(W47*X47*Z47,0)</f>
        <v>0</v>
      </c>
      <c r="AC47" s="135"/>
      <c r="AD47" s="9"/>
    </row>
    <row r="48" spans="1:30" ht="18" customHeight="1" x14ac:dyDescent="0.25">
      <c r="B48" s="136" t="s">
        <v>74</v>
      </c>
      <c r="C48" s="125">
        <f>K12+K13+K17+K20+K23</f>
        <v>0</v>
      </c>
      <c r="D48" s="125"/>
      <c r="E48" s="125"/>
      <c r="F48" s="125"/>
      <c r="G48" s="126">
        <f>K7</f>
        <v>1.0326</v>
      </c>
      <c r="H48" s="126"/>
      <c r="I48" s="127">
        <v>898.23</v>
      </c>
      <c r="J48" s="128" t="s">
        <v>97</v>
      </c>
      <c r="K48" s="129">
        <f>ROUND(C48*G48*I48,0)</f>
        <v>0</v>
      </c>
      <c r="L48" s="62"/>
      <c r="O48" s="1"/>
      <c r="V48" s="137" t="s">
        <v>74</v>
      </c>
      <c r="W48" s="131">
        <f>AB12+AB13+AB17+AB20+AB23</f>
        <v>0</v>
      </c>
      <c r="X48" s="647">
        <f>AB7</f>
        <v>1.0326</v>
      </c>
      <c r="Y48" s="647"/>
      <c r="Z48" s="132">
        <f>+I48</f>
        <v>898.23</v>
      </c>
      <c r="AA48" s="133" t="s">
        <v>97</v>
      </c>
      <c r="AB48" s="134">
        <f>ROUND(W48*X48*Z48,0)</f>
        <v>0</v>
      </c>
      <c r="AC48" s="138"/>
      <c r="AD48" s="9"/>
    </row>
    <row r="49" spans="2:30" ht="19.5" customHeight="1" thickBot="1" x14ac:dyDescent="0.3">
      <c r="B49" s="139" t="s">
        <v>78</v>
      </c>
      <c r="C49" s="140">
        <f>K14+K15+K18+K21+K24+K25</f>
        <v>215.09270000000001</v>
      </c>
      <c r="D49" s="125"/>
      <c r="E49" s="125"/>
      <c r="F49" s="125"/>
      <c r="G49" s="126">
        <f>K7</f>
        <v>1.0326</v>
      </c>
      <c r="H49" s="126"/>
      <c r="I49" s="127">
        <v>900.39</v>
      </c>
      <c r="J49" s="128" t="s">
        <v>97</v>
      </c>
      <c r="K49" s="129">
        <f>ROUND(C49*G49*I49,0)</f>
        <v>199981</v>
      </c>
      <c r="L49" s="62"/>
      <c r="M49" s="112"/>
      <c r="N49" s="141"/>
      <c r="O49" s="142"/>
      <c r="P49" s="101"/>
      <c r="Q49" s="143"/>
      <c r="V49" s="144" t="s">
        <v>78</v>
      </c>
      <c r="W49" s="145">
        <f>AB14+AB15+AB18+AB21+AB24+AB25</f>
        <v>0</v>
      </c>
      <c r="X49" s="647">
        <f>AB7</f>
        <v>1.0326</v>
      </c>
      <c r="Y49" s="647"/>
      <c r="Z49" s="132">
        <f>+I49</f>
        <v>900.39</v>
      </c>
      <c r="AA49" s="133" t="s">
        <v>97</v>
      </c>
      <c r="AB49" s="134">
        <f>ROUND(W49*X49*Z49,0)</f>
        <v>0</v>
      </c>
      <c r="AC49" s="138"/>
      <c r="AD49" s="113"/>
    </row>
    <row r="50" spans="2:30" ht="24" customHeight="1" thickBot="1" x14ac:dyDescent="0.3">
      <c r="B50" s="146" t="s">
        <v>98</v>
      </c>
      <c r="C50" s="147">
        <f>SUM(C47:C49)</f>
        <v>215.09270000000001</v>
      </c>
      <c r="D50" s="148"/>
      <c r="E50" s="149"/>
      <c r="F50" s="149"/>
      <c r="G50" s="150" t="s">
        <v>99</v>
      </c>
      <c r="H50" s="150"/>
      <c r="I50" s="150"/>
      <c r="J50" s="150"/>
      <c r="K50" s="150"/>
      <c r="L50" s="50">
        <f>IF(B2=75,0,K49+K48+K47)</f>
        <v>199981</v>
      </c>
      <c r="N50" s="3"/>
      <c r="O50" s="1"/>
      <c r="V50" s="151" t="s">
        <v>98</v>
      </c>
      <c r="W50" s="152">
        <f>SUM(W47:W49)</f>
        <v>0</v>
      </c>
      <c r="X50" s="648" t="s">
        <v>99</v>
      </c>
      <c r="Y50" s="649"/>
      <c r="Z50" s="649"/>
      <c r="AA50" s="649"/>
      <c r="AB50" s="649"/>
      <c r="AC50" s="56">
        <f>IF(V2=75,0,AB49+AB48+AB47)</f>
        <v>0</v>
      </c>
      <c r="AD50" s="9"/>
    </row>
    <row r="51" spans="2:30" ht="19.5" customHeight="1" x14ac:dyDescent="0.25">
      <c r="B51" s="153" t="s">
        <v>100</v>
      </c>
      <c r="C51" s="153"/>
      <c r="D51" s="153"/>
      <c r="E51" s="153"/>
      <c r="F51" s="153"/>
      <c r="G51" s="153"/>
      <c r="H51" s="153"/>
      <c r="I51" s="153"/>
      <c r="J51" s="153"/>
      <c r="K51" s="153"/>
      <c r="L51" s="153"/>
      <c r="M51" s="141"/>
      <c r="N51" s="101"/>
      <c r="O51" s="1"/>
      <c r="V51" s="650" t="s">
        <v>100</v>
      </c>
      <c r="W51" s="650"/>
      <c r="X51" s="650"/>
      <c r="Y51" s="650"/>
      <c r="Z51" s="650"/>
      <c r="AA51" s="650"/>
      <c r="AB51" s="650"/>
      <c r="AC51" s="650"/>
      <c r="AD51" s="154"/>
    </row>
    <row r="52" spans="2:30" ht="27.75" customHeight="1" x14ac:dyDescent="0.25">
      <c r="B52" s="13" t="s">
        <v>101</v>
      </c>
      <c r="C52" s="13"/>
      <c r="D52" s="13"/>
      <c r="E52" s="13"/>
      <c r="F52" s="13"/>
      <c r="G52" s="13"/>
      <c r="H52" s="13"/>
      <c r="I52" s="13"/>
      <c r="J52" s="13"/>
      <c r="K52" s="13"/>
      <c r="L52" s="13"/>
      <c r="O52" s="1"/>
      <c r="V52" s="651" t="s">
        <v>101</v>
      </c>
      <c r="W52" s="651"/>
      <c r="X52" s="651"/>
      <c r="Y52" s="651"/>
      <c r="Z52" s="651"/>
      <c r="AA52" s="651"/>
      <c r="AB52" s="651"/>
      <c r="AC52" s="651"/>
      <c r="AD52" s="9"/>
    </row>
    <row r="53" spans="2:30" x14ac:dyDescent="0.25">
      <c r="B53" s="13" t="s">
        <v>102</v>
      </c>
      <c r="C53" s="13"/>
      <c r="D53" s="13"/>
      <c r="E53" s="13"/>
      <c r="F53" s="13"/>
      <c r="G53" s="155">
        <f>K26</f>
        <v>215.09270000000001</v>
      </c>
      <c r="H53" s="57" t="s">
        <v>103</v>
      </c>
      <c r="I53" s="57"/>
      <c r="J53" s="156">
        <v>197823.77</v>
      </c>
      <c r="K53" s="156"/>
      <c r="L53" s="156"/>
      <c r="N53" s="3"/>
      <c r="O53" s="1"/>
      <c r="V53" s="657" t="s">
        <v>102</v>
      </c>
      <c r="W53" s="657"/>
      <c r="X53" s="157">
        <f>AB26</f>
        <v>0</v>
      </c>
      <c r="Y53" s="658" t="s">
        <v>103</v>
      </c>
      <c r="Z53" s="658"/>
      <c r="AA53" s="659">
        <f>+J53</f>
        <v>197823.77</v>
      </c>
      <c r="AB53" s="659"/>
      <c r="AC53" s="659"/>
      <c r="AD53" s="9"/>
    </row>
    <row r="54" spans="2:30" x14ac:dyDescent="0.25">
      <c r="B54" s="13" t="s">
        <v>104</v>
      </c>
      <c r="C54" s="13"/>
      <c r="D54" s="13"/>
      <c r="E54" s="13"/>
      <c r="F54" s="13"/>
      <c r="G54" s="13"/>
      <c r="H54" s="13"/>
      <c r="I54" s="13"/>
      <c r="J54" s="13"/>
      <c r="K54" s="158">
        <f>ROUND(G53/J53,6)</f>
        <v>1.0870000000000001E-3</v>
      </c>
      <c r="L54" s="158"/>
      <c r="N54" s="101"/>
      <c r="O54" s="1"/>
      <c r="V54" s="657" t="s">
        <v>104</v>
      </c>
      <c r="W54" s="657"/>
      <c r="X54" s="657"/>
      <c r="Y54" s="657"/>
      <c r="Z54" s="657"/>
      <c r="AA54" s="657"/>
      <c r="AB54" s="660">
        <f>ROUND(X53/AA53,6)</f>
        <v>0</v>
      </c>
      <c r="AC54" s="660"/>
      <c r="AD54" s="9"/>
    </row>
    <row r="55" spans="2:30" ht="24" customHeight="1" x14ac:dyDescent="0.25">
      <c r="B55" s="13" t="s">
        <v>105</v>
      </c>
      <c r="C55" s="13"/>
      <c r="D55" s="13"/>
      <c r="E55" s="13"/>
      <c r="F55" s="13"/>
      <c r="G55" s="13"/>
      <c r="H55" s="13"/>
      <c r="I55" s="13"/>
      <c r="J55" s="13"/>
      <c r="K55" s="13"/>
      <c r="L55" s="13"/>
      <c r="O55" s="1"/>
      <c r="V55" s="651" t="s">
        <v>105</v>
      </c>
      <c r="W55" s="651"/>
      <c r="X55" s="651"/>
      <c r="Y55" s="651"/>
      <c r="Z55" s="651"/>
      <c r="AA55" s="651"/>
      <c r="AB55" s="651"/>
      <c r="AC55" s="651"/>
      <c r="AD55" s="9"/>
    </row>
    <row r="56" spans="2:30" x14ac:dyDescent="0.25">
      <c r="B56" s="13" t="s">
        <v>106</v>
      </c>
      <c r="C56" s="13"/>
      <c r="D56" s="13"/>
      <c r="E56" s="13"/>
      <c r="F56" s="13"/>
      <c r="G56" s="159">
        <f>G26</f>
        <v>194.94</v>
      </c>
      <c r="H56" s="57" t="s">
        <v>107</v>
      </c>
      <c r="I56" s="57"/>
      <c r="J56" s="156">
        <f>+G40</f>
        <v>180284.81</v>
      </c>
      <c r="K56" s="156"/>
      <c r="L56" s="156"/>
      <c r="O56" s="1"/>
      <c r="V56" s="657" t="s">
        <v>106</v>
      </c>
      <c r="W56" s="657"/>
      <c r="X56" s="160">
        <f>X26</f>
        <v>0</v>
      </c>
      <c r="Y56" s="658" t="s">
        <v>107</v>
      </c>
      <c r="Z56" s="658"/>
      <c r="AA56" s="659">
        <f>+J56</f>
        <v>180284.81</v>
      </c>
      <c r="AB56" s="659"/>
      <c r="AC56" s="659"/>
      <c r="AD56" s="9"/>
    </row>
    <row r="57" spans="2:30" x14ac:dyDescent="0.25">
      <c r="B57" s="13" t="s">
        <v>108</v>
      </c>
      <c r="C57" s="13"/>
      <c r="D57" s="13"/>
      <c r="E57" s="13"/>
      <c r="F57" s="13"/>
      <c r="G57" s="13"/>
      <c r="H57" s="13"/>
      <c r="I57" s="13"/>
      <c r="J57" s="13"/>
      <c r="K57" s="158">
        <f>ROUND(G56/J56,6)</f>
        <v>1.0809999999999999E-3</v>
      </c>
      <c r="L57" s="158"/>
      <c r="O57" s="1"/>
      <c r="V57" s="657" t="s">
        <v>108</v>
      </c>
      <c r="W57" s="657"/>
      <c r="X57" s="657"/>
      <c r="Y57" s="657"/>
      <c r="Z57" s="657"/>
      <c r="AA57" s="657"/>
      <c r="AB57" s="660">
        <f>ROUND(X56/AA56,6)</f>
        <v>0</v>
      </c>
      <c r="AC57" s="660"/>
      <c r="AD57" s="9"/>
    </row>
    <row r="58" spans="2:30" ht="20.25" customHeight="1" x14ac:dyDescent="0.25">
      <c r="B58" s="161" t="s">
        <v>109</v>
      </c>
      <c r="C58" s="161"/>
      <c r="D58" s="161"/>
      <c r="E58" s="161"/>
      <c r="F58" s="161"/>
      <c r="G58" s="161"/>
      <c r="H58" s="161"/>
      <c r="I58" s="161"/>
      <c r="J58" s="161"/>
      <c r="K58" s="161"/>
      <c r="L58" s="161"/>
      <c r="N58" s="18"/>
      <c r="O58" s="18"/>
      <c r="V58" s="629" t="s">
        <v>110</v>
      </c>
      <c r="W58" s="629"/>
      <c r="X58" s="629"/>
      <c r="Y58" s="661">
        <f>X65+X64+X62+X61+X60</f>
        <v>4123852</v>
      </c>
      <c r="Z58" s="661"/>
      <c r="AA58" s="162" t="s">
        <v>111</v>
      </c>
      <c r="AB58" s="163">
        <f>AB54</f>
        <v>0</v>
      </c>
      <c r="AC58" s="56">
        <f>ROUND(Y58*AB58,0)</f>
        <v>0</v>
      </c>
      <c r="AD58" s="9"/>
    </row>
    <row r="59" spans="2:30" x14ac:dyDescent="0.25">
      <c r="B59" s="62" t="s">
        <v>110</v>
      </c>
      <c r="C59" s="62"/>
      <c r="D59" s="62"/>
      <c r="E59" s="62"/>
      <c r="F59" s="62"/>
      <c r="G59" s="62"/>
      <c r="H59" s="164" t="s">
        <v>22</v>
      </c>
      <c r="I59" s="129">
        <v>4123852</v>
      </c>
      <c r="J59" s="165" t="s">
        <v>111</v>
      </c>
      <c r="K59" s="166">
        <f>K54</f>
        <v>1.0870000000000001E-3</v>
      </c>
      <c r="L59" s="50">
        <f>ROUND(I59*K59,0)</f>
        <v>4483</v>
      </c>
      <c r="O59" s="1"/>
      <c r="P59" s="165"/>
      <c r="Q59" s="165"/>
      <c r="V59" s="662" t="s">
        <v>112</v>
      </c>
      <c r="W59" s="662"/>
      <c r="X59" s="662"/>
      <c r="Y59" s="662"/>
      <c r="Z59" s="662"/>
      <c r="AA59" s="662"/>
      <c r="AB59" s="662"/>
      <c r="AC59" s="662"/>
      <c r="AD59" s="9"/>
    </row>
    <row r="60" spans="2:30" x14ac:dyDescent="0.25">
      <c r="B60" s="62" t="s">
        <v>112</v>
      </c>
      <c r="C60" s="62"/>
      <c r="D60" s="62"/>
      <c r="E60" s="62"/>
      <c r="F60" s="62"/>
      <c r="G60" s="62"/>
      <c r="H60" s="62"/>
      <c r="I60" s="62"/>
      <c r="J60" s="62"/>
      <c r="K60" s="62"/>
      <c r="L60" s="62"/>
      <c r="O60" s="1"/>
      <c r="P60" s="165"/>
      <c r="Q60" s="165"/>
      <c r="V60" s="663" t="s">
        <v>113</v>
      </c>
      <c r="W60" s="663"/>
      <c r="X60" s="664">
        <f>+G61</f>
        <v>0</v>
      </c>
      <c r="Y60" s="664"/>
      <c r="Z60" s="664"/>
      <c r="AA60" s="664"/>
      <c r="AB60" s="664"/>
      <c r="AC60" s="664"/>
      <c r="AD60" s="9"/>
    </row>
    <row r="61" spans="2:30" ht="15" customHeight="1" x14ac:dyDescent="0.25">
      <c r="B61" s="167" t="s">
        <v>113</v>
      </c>
      <c r="C61" s="62"/>
      <c r="D61" s="62"/>
      <c r="E61" s="62"/>
      <c r="F61" s="62"/>
      <c r="G61" s="168">
        <v>0</v>
      </c>
      <c r="H61" s="168"/>
      <c r="I61" s="168"/>
      <c r="J61" s="168"/>
      <c r="K61" s="168"/>
      <c r="L61" s="168"/>
      <c r="O61" s="1"/>
      <c r="P61" s="165"/>
      <c r="Q61" s="165"/>
      <c r="V61" s="663" t="s">
        <v>114</v>
      </c>
      <c r="W61" s="663"/>
      <c r="X61" s="664">
        <f>+G62</f>
        <v>0</v>
      </c>
      <c r="Y61" s="664"/>
      <c r="Z61" s="664"/>
      <c r="AA61" s="664"/>
      <c r="AB61" s="664"/>
      <c r="AC61" s="664"/>
      <c r="AD61" s="9"/>
    </row>
    <row r="62" spans="2:30" ht="13.5" customHeight="1" x14ac:dyDescent="0.25">
      <c r="B62" s="167" t="s">
        <v>114</v>
      </c>
      <c r="C62" s="62"/>
      <c r="D62" s="62"/>
      <c r="E62" s="62"/>
      <c r="F62" s="62"/>
      <c r="G62" s="168">
        <v>0</v>
      </c>
      <c r="H62" s="168"/>
      <c r="I62" s="168"/>
      <c r="J62" s="168"/>
      <c r="K62" s="168"/>
      <c r="L62" s="168"/>
      <c r="N62" s="165"/>
      <c r="O62" s="165"/>
      <c r="P62" s="165"/>
      <c r="Q62" s="165"/>
      <c r="V62" s="663" t="s">
        <v>115</v>
      </c>
      <c r="W62" s="663"/>
      <c r="X62" s="664">
        <v>0</v>
      </c>
      <c r="Y62" s="664"/>
      <c r="Z62" s="664"/>
      <c r="AA62" s="664"/>
      <c r="AB62" s="664"/>
      <c r="AC62" s="664"/>
      <c r="AD62" s="9"/>
    </row>
    <row r="63" spans="2:30" ht="13.5" hidden="1" customHeight="1" x14ac:dyDescent="0.25">
      <c r="B63" s="62" t="s">
        <v>115</v>
      </c>
      <c r="C63" s="62"/>
      <c r="D63" s="62"/>
      <c r="E63" s="62"/>
      <c r="F63" s="62"/>
      <c r="G63" s="168">
        <v>0</v>
      </c>
      <c r="H63" s="168"/>
      <c r="I63" s="168"/>
      <c r="J63" s="168"/>
      <c r="K63" s="168"/>
      <c r="L63" s="168"/>
      <c r="O63" s="1"/>
      <c r="P63" s="165"/>
      <c r="Q63" s="165"/>
      <c r="V63" s="662" t="s">
        <v>116</v>
      </c>
      <c r="W63" s="662"/>
      <c r="X63" s="662"/>
      <c r="Y63" s="662"/>
      <c r="Z63" s="662"/>
      <c r="AA63" s="662"/>
      <c r="AB63" s="662"/>
      <c r="AC63" s="662"/>
      <c r="AD63" s="117"/>
    </row>
    <row r="64" spans="2:30" ht="13.5" customHeight="1" x14ac:dyDescent="0.25">
      <c r="B64" s="62" t="s">
        <v>116</v>
      </c>
      <c r="C64" s="62"/>
      <c r="D64" s="62"/>
      <c r="E64" s="62"/>
      <c r="F64" s="62"/>
      <c r="G64" s="62"/>
      <c r="H64" s="62"/>
      <c r="I64" s="62"/>
      <c r="J64" s="62"/>
      <c r="K64" s="62"/>
      <c r="L64" s="62"/>
      <c r="M64" s="116"/>
      <c r="N64" s="18"/>
      <c r="O64" s="1"/>
      <c r="V64" s="663" t="s">
        <v>117</v>
      </c>
      <c r="W64" s="663"/>
      <c r="X64" s="664">
        <f>+G65</f>
        <v>4123852</v>
      </c>
      <c r="Y64" s="664"/>
      <c r="Z64" s="664"/>
      <c r="AA64" s="664"/>
      <c r="AB64" s="664"/>
      <c r="AC64" s="664"/>
      <c r="AD64" s="9"/>
    </row>
    <row r="65" spans="1:30" ht="12.75" customHeight="1" x14ac:dyDescent="0.25">
      <c r="B65" s="167" t="s">
        <v>117</v>
      </c>
      <c r="C65" s="62"/>
      <c r="D65" s="62"/>
      <c r="E65" s="62"/>
      <c r="F65" s="62"/>
      <c r="G65" s="168">
        <f>+I59</f>
        <v>4123852</v>
      </c>
      <c r="H65" s="168"/>
      <c r="I65" s="168"/>
      <c r="J65" s="168"/>
      <c r="K65" s="168"/>
      <c r="L65" s="168"/>
      <c r="O65" s="1"/>
      <c r="V65" s="663" t="s">
        <v>118</v>
      </c>
      <c r="W65" s="663"/>
      <c r="X65" s="664">
        <f>+G66</f>
        <v>0</v>
      </c>
      <c r="Y65" s="664"/>
      <c r="Z65" s="664"/>
      <c r="AA65" s="664"/>
      <c r="AB65" s="664"/>
      <c r="AC65" s="664"/>
      <c r="AD65" s="20"/>
    </row>
    <row r="66" spans="1:30" ht="15" customHeight="1" x14ac:dyDescent="0.25">
      <c r="B66" s="167" t="s">
        <v>118</v>
      </c>
      <c r="C66" s="62"/>
      <c r="D66" s="62"/>
      <c r="E66" s="62"/>
      <c r="F66" s="62"/>
      <c r="G66" s="168">
        <v>0</v>
      </c>
      <c r="H66" s="168"/>
      <c r="I66" s="168"/>
      <c r="J66" s="168"/>
      <c r="K66" s="168"/>
      <c r="L66" s="168"/>
      <c r="M66" s="18"/>
      <c r="N66" s="3"/>
      <c r="O66" s="169"/>
      <c r="P66" s="169"/>
      <c r="Q66" s="169"/>
      <c r="V66" s="651" t="s">
        <v>119</v>
      </c>
      <c r="W66" s="651"/>
      <c r="X66" s="651"/>
      <c r="Y66" s="661">
        <f>+I67</f>
        <v>96774526</v>
      </c>
      <c r="Z66" s="661"/>
      <c r="AA66" s="162" t="s">
        <v>111</v>
      </c>
      <c r="AB66" s="163">
        <f>AB54</f>
        <v>0</v>
      </c>
      <c r="AC66" s="56">
        <f>ROUND(Y66*AB66,0)</f>
        <v>0</v>
      </c>
      <c r="AD66" s="9"/>
    </row>
    <row r="67" spans="1:30" ht="20.25" customHeight="1" x14ac:dyDescent="0.25">
      <c r="B67" s="13" t="s">
        <v>119</v>
      </c>
      <c r="C67" s="13"/>
      <c r="D67" s="13"/>
      <c r="E67" s="13"/>
      <c r="F67" s="13"/>
      <c r="H67" s="164" t="s">
        <v>25</v>
      </c>
      <c r="I67" s="129">
        <v>96774526</v>
      </c>
      <c r="J67" s="165" t="s">
        <v>111</v>
      </c>
      <c r="K67" s="166">
        <f>K54</f>
        <v>1.0870000000000001E-3</v>
      </c>
      <c r="L67" s="50">
        <f>ROUND(I67*K67,0)</f>
        <v>105194</v>
      </c>
      <c r="O67" s="1"/>
      <c r="V67" s="651" t="s">
        <v>120</v>
      </c>
      <c r="W67" s="651"/>
      <c r="X67" s="651"/>
      <c r="Y67" s="651"/>
      <c r="Z67" s="651"/>
      <c r="AA67" s="651"/>
      <c r="AB67" s="651"/>
      <c r="AC67" s="651"/>
      <c r="AD67" s="9"/>
    </row>
    <row r="68" spans="1:30" ht="20.25" customHeight="1" x14ac:dyDescent="0.25">
      <c r="B68" s="13" t="s">
        <v>120</v>
      </c>
      <c r="C68" s="13"/>
      <c r="D68" s="13"/>
      <c r="E68" s="13"/>
      <c r="F68" s="13"/>
      <c r="H68" s="13"/>
      <c r="I68" s="13"/>
      <c r="J68" s="82"/>
      <c r="K68" s="13"/>
      <c r="L68" s="13"/>
      <c r="O68" s="1"/>
      <c r="V68" s="667" t="s">
        <v>121</v>
      </c>
      <c r="W68" s="667"/>
      <c r="X68" s="667"/>
      <c r="Y68" s="661">
        <f>+I69</f>
        <v>0</v>
      </c>
      <c r="Z68" s="661"/>
      <c r="AA68" s="162" t="s">
        <v>111</v>
      </c>
      <c r="AB68" s="163">
        <f>AB57</f>
        <v>0</v>
      </c>
      <c r="AC68" s="56">
        <f>ROUND(Y68*AB68,0)</f>
        <v>0</v>
      </c>
      <c r="AD68" s="9"/>
    </row>
    <row r="69" spans="1:30" ht="15" customHeight="1" x14ac:dyDescent="0.25">
      <c r="B69" s="170" t="s">
        <v>121</v>
      </c>
      <c r="C69" s="13"/>
      <c r="D69" s="13"/>
      <c r="E69" s="13"/>
      <c r="F69" s="13"/>
      <c r="H69" s="164" t="s">
        <v>23</v>
      </c>
      <c r="I69" s="129">
        <v>0</v>
      </c>
      <c r="J69" s="165" t="s">
        <v>111</v>
      </c>
      <c r="K69" s="166">
        <f>K57</f>
        <v>1.0809999999999999E-3</v>
      </c>
      <c r="L69" s="50">
        <f>ROUND(I69*K69,0)</f>
        <v>0</v>
      </c>
      <c r="O69" s="1"/>
      <c r="V69" s="651" t="s">
        <v>122</v>
      </c>
      <c r="W69" s="651"/>
      <c r="X69" s="651"/>
      <c r="Y69" s="668">
        <f>+I70</f>
        <v>-3460775</v>
      </c>
      <c r="Z69" s="668"/>
      <c r="AA69" s="162" t="s">
        <v>111</v>
      </c>
      <c r="AB69" s="163">
        <f>AB54</f>
        <v>0</v>
      </c>
      <c r="AC69" s="56">
        <f>ROUND(Y69*AB69,0)</f>
        <v>0</v>
      </c>
      <c r="AD69" s="9"/>
    </row>
    <row r="70" spans="1:30" ht="20.25" customHeight="1" x14ac:dyDescent="0.25">
      <c r="B70" s="13" t="s">
        <v>122</v>
      </c>
      <c r="C70" s="13"/>
      <c r="D70" s="13"/>
      <c r="E70" s="13"/>
      <c r="F70" s="13"/>
      <c r="H70" s="164" t="s">
        <v>22</v>
      </c>
      <c r="I70" s="129">
        <v>-3460775</v>
      </c>
      <c r="J70" s="165" t="s">
        <v>111</v>
      </c>
      <c r="K70" s="166">
        <f>K54</f>
        <v>1.0870000000000001E-3</v>
      </c>
      <c r="L70" s="50">
        <f>ROUND(I70*K70,0)</f>
        <v>-3762</v>
      </c>
      <c r="O70" s="1"/>
      <c r="V70" s="651" t="s">
        <v>123</v>
      </c>
      <c r="W70" s="651"/>
      <c r="X70" s="651"/>
      <c r="Y70" s="665">
        <f>+I71</f>
        <v>1874788</v>
      </c>
      <c r="Z70" s="665"/>
      <c r="AA70" s="162" t="s">
        <v>111</v>
      </c>
      <c r="AB70" s="163">
        <f>AB54</f>
        <v>0</v>
      </c>
      <c r="AC70" s="56">
        <f>ROUND(Y70*AB70,0)</f>
        <v>0</v>
      </c>
      <c r="AD70" s="9"/>
    </row>
    <row r="71" spans="1:30" ht="20.25" customHeight="1" x14ac:dyDescent="0.25">
      <c r="B71" s="13" t="s">
        <v>123</v>
      </c>
      <c r="C71" s="13"/>
      <c r="D71" s="13"/>
      <c r="E71" s="13"/>
      <c r="F71" s="13"/>
      <c r="H71" s="164" t="s">
        <v>22</v>
      </c>
      <c r="I71" s="129">
        <v>1874788</v>
      </c>
      <c r="J71" s="165" t="s">
        <v>111</v>
      </c>
      <c r="K71" s="166">
        <f>K54</f>
        <v>1.0870000000000001E-3</v>
      </c>
      <c r="L71" s="50">
        <f>ROUND(I71*K71,0)</f>
        <v>2038</v>
      </c>
      <c r="O71" s="1"/>
      <c r="V71" s="651" t="s">
        <v>124</v>
      </c>
      <c r="W71" s="651"/>
      <c r="X71" s="651"/>
      <c r="Y71" s="665">
        <f>+I72</f>
        <v>14223298</v>
      </c>
      <c r="Z71" s="665"/>
      <c r="AA71" s="162" t="s">
        <v>111</v>
      </c>
      <c r="AB71" s="163">
        <f>AB57</f>
        <v>0</v>
      </c>
      <c r="AC71" s="56">
        <f>ROUND(Y71*AB71,0)</f>
        <v>0</v>
      </c>
      <c r="AD71" s="9"/>
    </row>
    <row r="72" spans="1:30" ht="21" customHeight="1" x14ac:dyDescent="0.25">
      <c r="B72" s="13" t="s">
        <v>124</v>
      </c>
      <c r="C72" s="13"/>
      <c r="D72" s="13"/>
      <c r="E72" s="13"/>
      <c r="F72" s="13"/>
      <c r="H72" s="164" t="s">
        <v>23</v>
      </c>
      <c r="I72" s="171">
        <v>14223298</v>
      </c>
      <c r="J72" s="165" t="s">
        <v>111</v>
      </c>
      <c r="K72" s="166">
        <f>K57</f>
        <v>1.0809999999999999E-3</v>
      </c>
      <c r="L72" s="50">
        <f>ROUND(I72*K72,0)</f>
        <v>15375</v>
      </c>
      <c r="O72" s="1"/>
      <c r="V72" s="623" t="s">
        <v>125</v>
      </c>
      <c r="W72" s="623"/>
      <c r="X72" s="623"/>
      <c r="Y72" s="623"/>
      <c r="Z72" s="623"/>
      <c r="AA72" s="623"/>
      <c r="AB72" s="623"/>
      <c r="AC72" s="60"/>
      <c r="AD72" s="9"/>
    </row>
    <row r="73" spans="1:30" ht="17.25" customHeight="1" x14ac:dyDescent="0.25">
      <c r="B73" s="13" t="s">
        <v>125</v>
      </c>
      <c r="C73" s="13"/>
      <c r="D73" s="13"/>
      <c r="E73" s="13"/>
      <c r="F73" s="13"/>
      <c r="H73" s="13"/>
      <c r="I73" s="13"/>
      <c r="J73" s="82"/>
      <c r="K73" s="13"/>
      <c r="L73" s="59"/>
      <c r="O73" s="1"/>
      <c r="V73" s="651" t="s">
        <v>126</v>
      </c>
      <c r="W73" s="651"/>
      <c r="X73" s="651"/>
      <c r="Y73" s="651"/>
      <c r="Z73" s="651"/>
      <c r="AA73" s="651"/>
      <c r="AB73" s="651"/>
      <c r="AC73" s="651"/>
      <c r="AD73" s="9"/>
    </row>
    <row r="74" spans="1:30" ht="31.5" x14ac:dyDescent="0.25">
      <c r="B74" s="13" t="s">
        <v>126</v>
      </c>
      <c r="C74" s="13"/>
      <c r="D74" s="27" t="s">
        <v>13</v>
      </c>
      <c r="E74" s="27" t="s">
        <v>14</v>
      </c>
      <c r="F74" s="27"/>
      <c r="H74" s="164" t="s">
        <v>26</v>
      </c>
      <c r="I74" s="172"/>
      <c r="J74" s="164"/>
      <c r="K74" s="172"/>
      <c r="L74" s="112"/>
      <c r="O74" s="1"/>
      <c r="V74" s="666" t="s">
        <v>127</v>
      </c>
      <c r="W74" s="666"/>
      <c r="X74" s="173" t="s">
        <v>128</v>
      </c>
      <c r="Y74" s="174"/>
      <c r="Z74" s="175">
        <f>+I75</f>
        <v>143.5</v>
      </c>
      <c r="AA74" s="176" t="s">
        <v>129</v>
      </c>
      <c r="AB74" s="177">
        <f>+K75</f>
        <v>361</v>
      </c>
      <c r="AC74" s="56">
        <f>ROUND(AB74*Z74,0)</f>
        <v>51804</v>
      </c>
      <c r="AD74" s="9"/>
    </row>
    <row r="75" spans="1:30" ht="19.5" customHeight="1" x14ac:dyDescent="0.25">
      <c r="A75" s="1" t="s">
        <v>130</v>
      </c>
      <c r="B75" s="178" t="s">
        <v>127</v>
      </c>
      <c r="C75" s="179" t="s">
        <v>128</v>
      </c>
      <c r="D75" s="178">
        <v>125</v>
      </c>
      <c r="E75" s="178">
        <v>162</v>
      </c>
      <c r="F75" s="178">
        <v>0</v>
      </c>
      <c r="G75" s="180">
        <f>IF(E75=0,D75,E75)</f>
        <v>162</v>
      </c>
      <c r="H75" s="181"/>
      <c r="I75" s="182">
        <f>AVERAGE(G75,D75)</f>
        <v>143.5</v>
      </c>
      <c r="J75" s="183" t="s">
        <v>129</v>
      </c>
      <c r="K75" s="184">
        <v>361</v>
      </c>
      <c r="L75" s="50">
        <f>ROUND(K75*I75,0)</f>
        <v>51804</v>
      </c>
      <c r="N75" s="1">
        <v>7802</v>
      </c>
      <c r="O75" s="1">
        <v>0</v>
      </c>
      <c r="V75" s="666" t="s">
        <v>127</v>
      </c>
      <c r="W75" s="666"/>
      <c r="X75" s="173" t="s">
        <v>131</v>
      </c>
      <c r="Y75" s="185"/>
      <c r="Z75" s="186">
        <f>+I76</f>
        <v>0</v>
      </c>
      <c r="AA75" s="176" t="s">
        <v>129</v>
      </c>
      <c r="AB75" s="187">
        <f>+K76</f>
        <v>1358</v>
      </c>
      <c r="AC75" s="56">
        <f>ROUND(AB75*Z75,0)</f>
        <v>0</v>
      </c>
      <c r="AD75" s="9"/>
    </row>
    <row r="76" spans="1:30" ht="19.5" customHeight="1" x14ac:dyDescent="0.25">
      <c r="A76" s="1" t="s">
        <v>132</v>
      </c>
      <c r="B76" s="178" t="s">
        <v>127</v>
      </c>
      <c r="C76" s="179" t="s">
        <v>131</v>
      </c>
      <c r="D76" s="178">
        <v>0</v>
      </c>
      <c r="E76" s="178">
        <v>0</v>
      </c>
      <c r="F76" s="178">
        <v>0</v>
      </c>
      <c r="G76" s="180">
        <f>IF(E76=0,D76,E76)</f>
        <v>0</v>
      </c>
      <c r="H76" s="181"/>
      <c r="I76" s="182">
        <f>AVERAGE(G76,D76)</f>
        <v>0</v>
      </c>
      <c r="J76" s="183" t="s">
        <v>129</v>
      </c>
      <c r="K76" s="188">
        <v>1358</v>
      </c>
      <c r="L76" s="50">
        <f>ROUND(K76*I76,0)</f>
        <v>0</v>
      </c>
      <c r="N76" s="1">
        <v>7802</v>
      </c>
      <c r="O76" s="1">
        <v>110</v>
      </c>
      <c r="V76" s="651" t="s">
        <v>133</v>
      </c>
      <c r="W76" s="651"/>
      <c r="X76" s="651"/>
      <c r="Y76" s="661">
        <f>+I77</f>
        <v>33305823</v>
      </c>
      <c r="Z76" s="661"/>
      <c r="AA76" s="176" t="s">
        <v>129</v>
      </c>
      <c r="AB76" s="163">
        <f>AB54</f>
        <v>0</v>
      </c>
      <c r="AC76" s="56">
        <f>ROUND(Y76*AB76,0)</f>
        <v>0</v>
      </c>
      <c r="AD76" s="9"/>
    </row>
    <row r="77" spans="1:30" ht="26.25" customHeight="1" x14ac:dyDescent="0.25">
      <c r="B77" s="13" t="s">
        <v>133</v>
      </c>
      <c r="C77" s="13"/>
      <c r="D77" s="13"/>
      <c r="E77" s="13"/>
      <c r="F77" s="13"/>
      <c r="H77" s="164" t="s">
        <v>134</v>
      </c>
      <c r="I77" s="189">
        <v>33305823</v>
      </c>
      <c r="J77" s="165" t="s">
        <v>111</v>
      </c>
      <c r="K77" s="166">
        <f>K54</f>
        <v>1.0870000000000001E-3</v>
      </c>
      <c r="L77" s="50">
        <f>ROUND(I77*K77,0)</f>
        <v>36203</v>
      </c>
      <c r="O77" s="1"/>
      <c r="V77" s="651" t="str">
        <f>+B78</f>
        <v>15.  Additional Allocation (WFTE share)</v>
      </c>
      <c r="W77" s="651"/>
      <c r="X77" s="651"/>
      <c r="Y77" s="661">
        <f>+I78</f>
        <v>680688</v>
      </c>
      <c r="Z77" s="661"/>
      <c r="AA77" s="176" t="s">
        <v>129</v>
      </c>
      <c r="AB77" s="163">
        <f>AB54</f>
        <v>0</v>
      </c>
      <c r="AC77" s="56">
        <f>ROUND(Y77*AB77,0)</f>
        <v>0</v>
      </c>
      <c r="AD77" s="9"/>
    </row>
    <row r="78" spans="1:30" ht="26.25" customHeight="1" x14ac:dyDescent="0.25">
      <c r="B78" s="669" t="s">
        <v>135</v>
      </c>
      <c r="C78" s="669"/>
      <c r="D78" s="669"/>
      <c r="E78" s="13"/>
      <c r="F78" s="13"/>
      <c r="H78" s="164" t="s">
        <v>136</v>
      </c>
      <c r="I78" s="190">
        <v>680688</v>
      </c>
      <c r="J78" s="165" t="s">
        <v>111</v>
      </c>
      <c r="K78" s="166">
        <f>K54</f>
        <v>1.0870000000000001E-3</v>
      </c>
      <c r="L78" s="50">
        <f>ROUND(I78*K78,0)</f>
        <v>740</v>
      </c>
      <c r="O78" s="1"/>
      <c r="V78" s="651" t="str">
        <f t="shared" ref="V78:V79" si="11">+B79</f>
        <v>16.  Florida Teachers Lead Program Stipend</v>
      </c>
      <c r="W78" s="651"/>
      <c r="X78" s="651"/>
      <c r="Y78" s="191"/>
      <c r="Z78" s="191"/>
      <c r="AA78" s="191"/>
      <c r="AB78" s="191"/>
      <c r="AC78" s="134"/>
      <c r="AD78" s="9"/>
    </row>
    <row r="79" spans="1:30" ht="21" customHeight="1" x14ac:dyDescent="0.25">
      <c r="B79" s="669" t="s">
        <v>137</v>
      </c>
      <c r="C79" s="669"/>
      <c r="D79" s="669"/>
      <c r="E79" s="13"/>
      <c r="F79" s="13"/>
      <c r="H79" s="164"/>
      <c r="I79" s="172"/>
      <c r="J79" s="172"/>
      <c r="K79" s="172"/>
      <c r="L79" s="129"/>
      <c r="N79" s="192"/>
      <c r="O79" s="1"/>
      <c r="Q79" s="164"/>
      <c r="V79" s="651" t="str">
        <f t="shared" si="11"/>
        <v>17.  Food Service Allocation</v>
      </c>
      <c r="W79" s="651"/>
      <c r="X79" s="651"/>
      <c r="Y79" s="191"/>
      <c r="Z79" s="191"/>
      <c r="AA79" s="191"/>
      <c r="AB79" s="191"/>
      <c r="AC79" s="193"/>
      <c r="AD79" s="9"/>
    </row>
    <row r="80" spans="1:30" ht="21" customHeight="1" x14ac:dyDescent="0.25">
      <c r="B80" s="669" t="s">
        <v>138</v>
      </c>
      <c r="C80" s="669"/>
      <c r="D80" s="669"/>
      <c r="E80" s="13"/>
      <c r="F80" s="13"/>
      <c r="H80" s="194" t="s">
        <v>139</v>
      </c>
      <c r="I80" s="195"/>
      <c r="J80" s="195"/>
      <c r="K80" s="195"/>
      <c r="L80" s="196"/>
      <c r="N80" s="197"/>
      <c r="O80" s="1"/>
      <c r="Q80" s="164"/>
      <c r="V80" s="191"/>
      <c r="W80" s="191"/>
      <c r="X80" s="191"/>
      <c r="Y80" s="191"/>
      <c r="Z80" s="191"/>
      <c r="AA80" s="191"/>
      <c r="AB80" s="191"/>
      <c r="AC80" s="193"/>
      <c r="AD80" s="9"/>
    </row>
    <row r="81" spans="1:30" ht="21" customHeight="1" thickBot="1" x14ac:dyDescent="0.3">
      <c r="B81" s="13"/>
      <c r="C81" s="13"/>
      <c r="D81" s="13"/>
      <c r="E81" s="13"/>
      <c r="F81" s="13"/>
      <c r="G81" s="13"/>
      <c r="H81" s="13"/>
      <c r="I81" s="13"/>
      <c r="J81" s="13"/>
      <c r="K81" s="13"/>
      <c r="L81" s="196"/>
      <c r="M81" s="198"/>
      <c r="N81" s="197"/>
      <c r="O81" s="1"/>
      <c r="Q81" s="164"/>
      <c r="V81" s="191" t="s">
        <v>140</v>
      </c>
      <c r="W81" s="191"/>
      <c r="X81" s="191"/>
      <c r="Y81" s="191"/>
      <c r="Z81" s="191"/>
      <c r="AA81" s="191"/>
      <c r="AB81" s="191"/>
      <c r="AC81" s="199">
        <f>SUM(AC44:AC80)</f>
        <v>51804</v>
      </c>
      <c r="AD81" s="200"/>
    </row>
    <row r="82" spans="1:30" ht="22.5" customHeight="1" thickTop="1" thickBot="1" x14ac:dyDescent="0.3">
      <c r="B82" s="13" t="s">
        <v>141</v>
      </c>
      <c r="C82" s="13"/>
      <c r="D82" s="13"/>
      <c r="E82" s="13"/>
      <c r="F82" s="13"/>
      <c r="G82" s="13"/>
      <c r="H82" s="13"/>
      <c r="I82" s="13"/>
      <c r="J82" s="13"/>
      <c r="K82" s="13"/>
      <c r="L82" s="201">
        <f>SUM(L44:L81)</f>
        <v>1286852</v>
      </c>
      <c r="M82" s="202"/>
      <c r="N82" s="203"/>
      <c r="O82" s="1"/>
      <c r="Q82" s="164"/>
      <c r="V82" s="191"/>
      <c r="W82" s="191"/>
      <c r="X82" s="191"/>
      <c r="Y82" s="191"/>
      <c r="Z82" s="191"/>
      <c r="AA82" s="191"/>
      <c r="AB82" s="191"/>
      <c r="AC82" s="204"/>
      <c r="AD82" s="200"/>
    </row>
    <row r="83" spans="1:30" ht="27.75" customHeight="1" thickTop="1" x14ac:dyDescent="0.25">
      <c r="B83" s="13" t="s">
        <v>142</v>
      </c>
      <c r="C83" s="13"/>
      <c r="D83" s="13"/>
      <c r="E83" s="13"/>
      <c r="F83" s="13"/>
      <c r="G83" s="13"/>
      <c r="H83" s="13"/>
      <c r="I83" s="13"/>
      <c r="J83" s="13"/>
      <c r="K83" s="82" t="s">
        <v>143</v>
      </c>
      <c r="L83" s="205" t="s">
        <v>144</v>
      </c>
      <c r="M83" s="202"/>
      <c r="N83" s="203"/>
      <c r="O83" s="1"/>
      <c r="Q83" s="164"/>
      <c r="V83" s="9" t="s">
        <v>145</v>
      </c>
      <c r="W83" s="9"/>
      <c r="X83" s="9"/>
      <c r="Y83" s="9"/>
      <c r="Z83" s="9"/>
      <c r="AA83" s="9"/>
      <c r="AB83" s="9"/>
      <c r="AC83" s="9"/>
      <c r="AD83" s="206"/>
    </row>
    <row r="84" spans="1:30" ht="18.75" customHeight="1" thickBot="1" x14ac:dyDescent="0.3">
      <c r="B84" s="13" t="s">
        <v>146</v>
      </c>
      <c r="C84" s="13"/>
      <c r="D84" s="13"/>
      <c r="E84" s="13"/>
      <c r="F84" s="13"/>
      <c r="G84" s="13"/>
      <c r="H84" s="13"/>
      <c r="I84" s="13"/>
      <c r="J84" s="13"/>
      <c r="K84" s="207" t="str">
        <f>IF(G26=0,"",IF((G11+G13+SUM(G15:G21))/G26&gt;0.75,1,""))</f>
        <v/>
      </c>
      <c r="L84" s="201">
        <f>'3386'!AC81</f>
        <v>51804</v>
      </c>
      <c r="M84" s="202"/>
      <c r="N84" s="203"/>
      <c r="O84" s="1"/>
      <c r="Q84" s="164"/>
      <c r="V84" s="208" t="s">
        <v>147</v>
      </c>
      <c r="W84" s="208"/>
      <c r="X84" s="208"/>
      <c r="Y84" s="208"/>
      <c r="Z84" s="208"/>
      <c r="AA84" s="208"/>
      <c r="AB84" s="208"/>
      <c r="AC84" s="208"/>
      <c r="AD84" s="9"/>
    </row>
    <row r="85" spans="1:30" ht="18.75" customHeight="1" thickTop="1" x14ac:dyDescent="0.25">
      <c r="B85" s="13"/>
      <c r="C85" s="13"/>
      <c r="D85" s="13"/>
      <c r="E85" s="13"/>
      <c r="F85" s="13"/>
      <c r="G85" s="13"/>
      <c r="H85" s="13"/>
      <c r="I85" s="13"/>
      <c r="J85" s="13"/>
      <c r="M85" s="202"/>
      <c r="N85" s="203"/>
      <c r="O85" s="1"/>
      <c r="Q85" s="164"/>
      <c r="V85" s="208" t="s">
        <v>148</v>
      </c>
      <c r="W85" s="208"/>
      <c r="X85" s="208"/>
      <c r="Y85" s="208"/>
      <c r="Z85" s="208"/>
      <c r="AA85" s="208"/>
      <c r="AB85" s="208"/>
      <c r="AC85" s="208"/>
      <c r="AD85" s="206"/>
    </row>
    <row r="86" spans="1:30" ht="18.75" customHeight="1" x14ac:dyDescent="0.25">
      <c r="B86" s="2" t="s">
        <v>149</v>
      </c>
      <c r="C86" s="13"/>
      <c r="D86" s="13"/>
      <c r="E86" s="13"/>
      <c r="F86" s="13"/>
      <c r="G86" s="13"/>
      <c r="H86" s="13"/>
      <c r="I86" s="13"/>
      <c r="J86" s="209" t="s">
        <v>150</v>
      </c>
      <c r="K86" s="210">
        <f>IF(K84=1,L84,L82)</f>
        <v>1286852</v>
      </c>
      <c r="L86" s="211">
        <f>IF(G26=0,0,IF(G26&gt;250,-(((250/G26)*K86)*IF(M86="H",0.02,0.05)),IF(M86="H",-0.02*K86,-0.05*K86)))</f>
        <v>-64342.600000000006</v>
      </c>
      <c r="M86" s="212" t="str">
        <f>IF(B123="2801","H",IF(B123="2911","H",IF(B123="3382","H"," ")))</f>
        <v xml:space="preserve"> </v>
      </c>
      <c r="N86" s="203"/>
      <c r="O86" s="1"/>
      <c r="Q86" s="164"/>
      <c r="V86" s="208" t="s">
        <v>151</v>
      </c>
      <c r="W86" s="208"/>
      <c r="X86" s="208"/>
      <c r="Y86" s="208"/>
      <c r="Z86" s="208"/>
      <c r="AA86" s="208"/>
      <c r="AB86" s="208"/>
      <c r="AC86" s="208"/>
      <c r="AD86" s="206"/>
    </row>
    <row r="87" spans="1:30" ht="18.75" customHeight="1" x14ac:dyDescent="0.25">
      <c r="B87" s="2" t="s">
        <v>152</v>
      </c>
      <c r="C87" s="13"/>
      <c r="D87" s="13"/>
      <c r="E87" s="13"/>
      <c r="F87" s="13"/>
      <c r="G87" s="13"/>
      <c r="H87" s="13"/>
      <c r="I87" s="13"/>
      <c r="J87" s="13"/>
      <c r="K87" s="213"/>
      <c r="L87" s="205">
        <f>L82+L86</f>
        <v>1222509.3999999999</v>
      </c>
      <c r="M87" s="202"/>
      <c r="N87" s="203"/>
      <c r="O87" s="1"/>
      <c r="Q87" s="164"/>
      <c r="V87" s="198"/>
      <c r="W87" s="198"/>
      <c r="X87" s="198"/>
      <c r="Y87" s="198"/>
      <c r="Z87" s="198"/>
      <c r="AA87" s="198"/>
      <c r="AB87" s="198"/>
      <c r="AC87" s="198"/>
      <c r="AD87" s="214"/>
    </row>
    <row r="88" spans="1:30" x14ac:dyDescent="0.25">
      <c r="V88" s="198"/>
      <c r="W88" s="198"/>
      <c r="X88" s="198"/>
      <c r="Y88" s="198"/>
      <c r="Z88" s="198"/>
      <c r="AA88" s="198"/>
      <c r="AB88" s="198"/>
      <c r="AC88" s="198"/>
      <c r="AD88" s="215"/>
    </row>
    <row r="89" spans="1:30" ht="18.75" customHeight="1" x14ac:dyDescent="0.25">
      <c r="A89" s="1" t="s">
        <v>153</v>
      </c>
      <c r="B89" s="13" t="s">
        <v>154</v>
      </c>
      <c r="C89" s="13"/>
      <c r="D89" s="13">
        <v>621430</v>
      </c>
      <c r="E89" s="13">
        <v>106842</v>
      </c>
      <c r="F89" s="13">
        <v>1048796</v>
      </c>
      <c r="G89" s="13"/>
      <c r="H89" s="13"/>
      <c r="I89" s="13"/>
      <c r="J89" s="13"/>
      <c r="K89" s="213"/>
      <c r="L89" s="84">
        <f>-F89-90286</f>
        <v>-1139082</v>
      </c>
      <c r="M89" s="202"/>
      <c r="N89" s="203"/>
      <c r="O89" s="1"/>
      <c r="Q89" s="164"/>
      <c r="V89" s="198">
        <v>2801</v>
      </c>
      <c r="W89" s="198"/>
      <c r="X89" s="198"/>
      <c r="Y89" s="198"/>
      <c r="Z89" s="198"/>
      <c r="AA89" s="198"/>
      <c r="AB89" s="198"/>
      <c r="AC89" s="198"/>
      <c r="AD89" s="214"/>
    </row>
    <row r="90" spans="1:30" ht="18.75" customHeight="1" x14ac:dyDescent="0.25">
      <c r="B90" s="13" t="s">
        <v>155</v>
      </c>
      <c r="C90" s="13"/>
      <c r="D90" s="13"/>
      <c r="E90" s="13"/>
      <c r="F90" s="13"/>
      <c r="G90" s="13"/>
      <c r="H90" s="13"/>
      <c r="I90" s="13"/>
      <c r="J90" s="13"/>
      <c r="K90" s="213"/>
      <c r="L90" s="205">
        <f>L87+L89</f>
        <v>83427.399999999907</v>
      </c>
      <c r="M90" s="202"/>
      <c r="N90" s="203"/>
      <c r="O90" s="1"/>
      <c r="Q90" s="164"/>
      <c r="V90" s="198">
        <v>2911</v>
      </c>
      <c r="W90" s="216"/>
      <c r="X90" s="216"/>
      <c r="Y90" s="216"/>
      <c r="Z90" s="216"/>
      <c r="AA90" s="216"/>
      <c r="AB90" s="216"/>
      <c r="AC90" s="216"/>
      <c r="AD90" s="214"/>
    </row>
    <row r="91" spans="1:30" ht="18.75" customHeight="1" x14ac:dyDescent="0.25">
      <c r="B91" s="13" t="s">
        <v>156</v>
      </c>
      <c r="C91" s="13"/>
      <c r="D91" s="13"/>
      <c r="E91" s="13"/>
      <c r="F91" s="13"/>
      <c r="G91" s="13"/>
      <c r="H91" s="13"/>
      <c r="I91" s="13"/>
      <c r="J91" s="13"/>
      <c r="K91" s="213"/>
      <c r="L91" s="205">
        <v>1</v>
      </c>
      <c r="M91" s="202"/>
      <c r="N91" s="203"/>
      <c r="O91" s="1"/>
      <c r="Q91" s="164"/>
      <c r="V91" s="198">
        <v>3382</v>
      </c>
      <c r="W91" s="216"/>
      <c r="X91" s="216"/>
      <c r="Y91" s="216"/>
      <c r="Z91" s="216"/>
      <c r="AA91" s="216"/>
      <c r="AB91" s="216"/>
      <c r="AC91" s="216"/>
      <c r="AD91" s="214"/>
    </row>
    <row r="92" spans="1:30" ht="18.75" customHeight="1" thickBot="1" x14ac:dyDescent="0.3">
      <c r="B92" s="13" t="s">
        <v>157</v>
      </c>
      <c r="C92" s="13"/>
      <c r="D92" s="13"/>
      <c r="E92" s="13"/>
      <c r="F92" s="13"/>
      <c r="G92" s="13"/>
      <c r="H92" s="13"/>
      <c r="I92" s="13"/>
      <c r="J92" s="13"/>
      <c r="K92" s="213"/>
      <c r="L92" s="217">
        <f>L90/L91</f>
        <v>83427.399999999907</v>
      </c>
      <c r="M92" s="202"/>
      <c r="N92" s="203"/>
      <c r="O92" s="1"/>
      <c r="Q92" s="164"/>
      <c r="V92" s="218"/>
      <c r="W92" s="218"/>
      <c r="X92" s="218"/>
      <c r="Y92" s="218"/>
      <c r="Z92" s="218"/>
      <c r="AA92" s="218"/>
      <c r="AB92" s="218"/>
      <c r="AC92" s="218"/>
      <c r="AD92" s="219"/>
    </row>
    <row r="93" spans="1:30" ht="18.75" customHeight="1" thickTop="1" x14ac:dyDescent="0.25">
      <c r="N93" s="219"/>
      <c r="O93" s="220"/>
      <c r="P93" s="219"/>
      <c r="Q93" s="219"/>
      <c r="V93" s="218"/>
      <c r="W93" s="218"/>
      <c r="X93" s="218"/>
      <c r="Y93" s="218"/>
      <c r="Z93" s="218"/>
      <c r="AA93" s="218"/>
      <c r="AB93" s="218"/>
      <c r="AC93" s="218"/>
      <c r="AD93" s="214"/>
    </row>
    <row r="94" spans="1:30" ht="18.75" customHeight="1" thickBot="1" x14ac:dyDescent="0.3">
      <c r="B94" s="221" t="s">
        <v>158</v>
      </c>
      <c r="C94" s="13"/>
      <c r="D94" s="13"/>
      <c r="E94" s="13"/>
      <c r="G94" s="13"/>
      <c r="H94" s="13"/>
      <c r="I94" s="13"/>
      <c r="J94" s="13"/>
      <c r="L94" s="222">
        <f>IF(M86="H",(K86*0.02)+L86,(K86*0.05)+L86)</f>
        <v>0</v>
      </c>
      <c r="M94" s="202"/>
      <c r="V94" s="223"/>
      <c r="W94" s="223"/>
      <c r="X94" s="223"/>
      <c r="Y94" s="223"/>
      <c r="Z94" s="223"/>
      <c r="AA94" s="223"/>
      <c r="AB94" s="223"/>
      <c r="AC94" s="223"/>
      <c r="AD94" s="214"/>
    </row>
    <row r="95" spans="1:30" ht="21.75" customHeight="1" thickTop="1" x14ac:dyDescent="0.25">
      <c r="B95" s="224" t="s">
        <v>159</v>
      </c>
      <c r="C95" s="224"/>
      <c r="D95" s="224"/>
      <c r="E95" s="224"/>
      <c r="F95" s="224"/>
      <c r="G95" s="224"/>
      <c r="H95" s="224"/>
      <c r="I95" s="224"/>
      <c r="J95" s="224"/>
      <c r="K95" s="224"/>
      <c r="L95" s="224"/>
      <c r="M95" s="219"/>
      <c r="V95" s="223"/>
      <c r="W95" s="223"/>
      <c r="X95" s="223"/>
      <c r="Y95" s="223"/>
      <c r="Z95" s="223"/>
      <c r="AA95" s="223"/>
      <c r="AB95" s="223"/>
      <c r="AC95" s="223"/>
      <c r="AD95" s="214"/>
    </row>
    <row r="96" spans="1:30" x14ac:dyDescent="0.25">
      <c r="B96" s="225"/>
      <c r="V96" s="223"/>
      <c r="W96" s="223"/>
      <c r="X96" s="223"/>
      <c r="Y96" s="223"/>
      <c r="Z96" s="223"/>
      <c r="AA96" s="223"/>
      <c r="AB96" s="223"/>
      <c r="AC96" s="223"/>
      <c r="AD96" s="219"/>
    </row>
    <row r="97" spans="2:30" x14ac:dyDescent="0.25">
      <c r="B97" s="225"/>
      <c r="V97" s="223"/>
      <c r="W97" s="223"/>
      <c r="X97" s="223"/>
      <c r="Y97" s="223"/>
      <c r="Z97" s="223"/>
      <c r="AA97" s="223"/>
      <c r="AB97" s="223"/>
      <c r="AC97" s="223"/>
      <c r="AD97" s="219"/>
    </row>
    <row r="98" spans="2:30" hidden="1" x14ac:dyDescent="0.25">
      <c r="B98" s="226" t="s">
        <v>160</v>
      </c>
      <c r="C98" s="227"/>
      <c r="V98" s="228"/>
      <c r="W98" s="228"/>
      <c r="X98" s="228"/>
      <c r="Y98" s="228"/>
      <c r="Z98" s="228"/>
      <c r="AA98" s="228"/>
      <c r="AB98" s="228"/>
      <c r="AC98" s="228"/>
    </row>
    <row r="99" spans="2:30" hidden="1" x14ac:dyDescent="0.25">
      <c r="B99" s="229"/>
      <c r="C99" s="227"/>
      <c r="V99" s="225"/>
      <c r="W99" s="13"/>
      <c r="X99" s="13"/>
      <c r="Y99" s="13"/>
      <c r="Z99" s="13"/>
      <c r="AA99" s="13"/>
      <c r="AB99" s="13"/>
      <c r="AC99" s="13"/>
    </row>
    <row r="100" spans="2:30" hidden="1" x14ac:dyDescent="0.25">
      <c r="B100" s="230" t="s">
        <v>161</v>
      </c>
      <c r="C100" s="226" t="s">
        <v>162</v>
      </c>
      <c r="V100" s="225"/>
    </row>
    <row r="101" spans="2:30" hidden="1" x14ac:dyDescent="0.25">
      <c r="B101" s="230" t="s">
        <v>163</v>
      </c>
      <c r="C101" s="226" t="s">
        <v>164</v>
      </c>
      <c r="V101" s="225"/>
    </row>
    <row r="102" spans="2:30" hidden="1" x14ac:dyDescent="0.25">
      <c r="B102" s="230" t="s">
        <v>165</v>
      </c>
      <c r="C102" s="226" t="s">
        <v>166</v>
      </c>
      <c r="V102" s="225"/>
      <c r="W102" s="231"/>
      <c r="X102" s="231"/>
      <c r="Y102" s="231"/>
      <c r="Z102" s="231"/>
      <c r="AA102" s="231"/>
      <c r="AB102" s="231"/>
      <c r="AC102" s="231"/>
      <c r="AD102" s="231"/>
    </row>
    <row r="103" spans="2:30" hidden="1" x14ac:dyDescent="0.25">
      <c r="B103" s="230" t="s">
        <v>167</v>
      </c>
      <c r="C103" s="226" t="s">
        <v>168</v>
      </c>
      <c r="V103" s="225"/>
    </row>
    <row r="104" spans="2:30" hidden="1" x14ac:dyDescent="0.25">
      <c r="B104" s="232"/>
      <c r="C104" s="226" t="s">
        <v>169</v>
      </c>
      <c r="V104" s="225"/>
    </row>
    <row r="105" spans="2:30" hidden="1" x14ac:dyDescent="0.25">
      <c r="B105" s="230" t="s">
        <v>170</v>
      </c>
      <c r="C105" s="226" t="s">
        <v>171</v>
      </c>
      <c r="V105" s="225"/>
    </row>
    <row r="106" spans="2:30" hidden="1" x14ac:dyDescent="0.25">
      <c r="B106" s="230" t="s">
        <v>172</v>
      </c>
      <c r="C106" s="226" t="s">
        <v>173</v>
      </c>
      <c r="V106" s="225"/>
    </row>
    <row r="107" spans="2:30" hidden="1" x14ac:dyDescent="0.25">
      <c r="B107" s="230" t="s">
        <v>271</v>
      </c>
      <c r="C107" s="226" t="s">
        <v>175</v>
      </c>
      <c r="V107" s="225"/>
    </row>
    <row r="108" spans="2:30" hidden="1" x14ac:dyDescent="0.25">
      <c r="B108" s="230" t="s">
        <v>176</v>
      </c>
      <c r="C108" s="226" t="s">
        <v>177</v>
      </c>
      <c r="V108" s="225"/>
    </row>
    <row r="109" spans="2:30" hidden="1" x14ac:dyDescent="0.25">
      <c r="B109" s="230" t="s">
        <v>178</v>
      </c>
      <c r="C109" s="226" t="s">
        <v>179</v>
      </c>
      <c r="V109" s="225"/>
    </row>
    <row r="110" spans="2:30" hidden="1" x14ac:dyDescent="0.25">
      <c r="B110" s="232"/>
      <c r="C110" s="226"/>
      <c r="V110" s="225"/>
    </row>
    <row r="111" spans="2:30" hidden="1" x14ac:dyDescent="0.25">
      <c r="B111" s="230" t="s">
        <v>180</v>
      </c>
      <c r="C111" s="226" t="s">
        <v>181</v>
      </c>
      <c r="V111" s="225"/>
    </row>
    <row r="112" spans="2:30" hidden="1" x14ac:dyDescent="0.25">
      <c r="B112" s="230" t="s">
        <v>180</v>
      </c>
      <c r="C112" s="226" t="s">
        <v>182</v>
      </c>
    </row>
    <row r="113" spans="2:3" hidden="1" x14ac:dyDescent="0.25">
      <c r="B113" s="230" t="s">
        <v>183</v>
      </c>
      <c r="C113" s="226" t="s">
        <v>184</v>
      </c>
    </row>
    <row r="114" spans="2:3" hidden="1" x14ac:dyDescent="0.25">
      <c r="B114" s="230" t="s">
        <v>185</v>
      </c>
      <c r="C114" s="226" t="s">
        <v>186</v>
      </c>
    </row>
    <row r="115" spans="2:3" hidden="1" x14ac:dyDescent="0.25">
      <c r="B115" s="230" t="s">
        <v>183</v>
      </c>
      <c r="C115" s="226" t="s">
        <v>187</v>
      </c>
    </row>
    <row r="116" spans="2:3" hidden="1" x14ac:dyDescent="0.25">
      <c r="B116" s="230" t="s">
        <v>188</v>
      </c>
      <c r="C116" s="226" t="s">
        <v>189</v>
      </c>
    </row>
    <row r="117" spans="2:3" hidden="1" x14ac:dyDescent="0.25">
      <c r="B117" s="230" t="s">
        <v>190</v>
      </c>
      <c r="C117" s="226" t="s">
        <v>191</v>
      </c>
    </row>
    <row r="118" spans="2:3" hidden="1" x14ac:dyDescent="0.25">
      <c r="B118" s="232" t="s">
        <v>192</v>
      </c>
      <c r="C118" s="226" t="s">
        <v>193</v>
      </c>
    </row>
    <row r="119" spans="2:3" hidden="1" x14ac:dyDescent="0.25">
      <c r="B119" s="232"/>
      <c r="C119" s="226"/>
    </row>
    <row r="120" spans="2:3" hidden="1" x14ac:dyDescent="0.25">
      <c r="B120" s="230" t="s">
        <v>161</v>
      </c>
      <c r="C120" s="226" t="s">
        <v>194</v>
      </c>
    </row>
    <row r="121" spans="2:3" hidden="1" x14ac:dyDescent="0.25">
      <c r="B121" s="230" t="s">
        <v>195</v>
      </c>
      <c r="C121" s="226" t="s">
        <v>196</v>
      </c>
    </row>
    <row r="122" spans="2:3" hidden="1" x14ac:dyDescent="0.25">
      <c r="B122" s="230" t="s">
        <v>197</v>
      </c>
      <c r="C122" s="226" t="s">
        <v>198</v>
      </c>
    </row>
    <row r="123" spans="2:3" hidden="1" x14ac:dyDescent="0.25">
      <c r="B123" s="230" t="s">
        <v>272</v>
      </c>
      <c r="C123" s="226" t="s">
        <v>200</v>
      </c>
    </row>
    <row r="124" spans="2:3" hidden="1" x14ac:dyDescent="0.25">
      <c r="B124" s="230" t="s">
        <v>273</v>
      </c>
      <c r="C124" s="226" t="s">
        <v>202</v>
      </c>
    </row>
    <row r="125" spans="2:3" hidden="1" x14ac:dyDescent="0.25">
      <c r="B125" s="230" t="s">
        <v>203</v>
      </c>
      <c r="C125" s="226" t="s">
        <v>204</v>
      </c>
    </row>
    <row r="126" spans="2:3" hidden="1" x14ac:dyDescent="0.25">
      <c r="B126" s="230" t="s">
        <v>203</v>
      </c>
      <c r="C126" s="226" t="s">
        <v>205</v>
      </c>
    </row>
    <row r="127" spans="2:3" hidden="1" x14ac:dyDescent="0.25">
      <c r="B127" s="230" t="s">
        <v>203</v>
      </c>
      <c r="C127" s="226" t="s">
        <v>206</v>
      </c>
    </row>
    <row r="128" spans="2:3" hidden="1" x14ac:dyDescent="0.25">
      <c r="B128" s="230" t="s">
        <v>203</v>
      </c>
      <c r="C128" s="226" t="s">
        <v>207</v>
      </c>
    </row>
    <row r="129" spans="2:3" hidden="1" x14ac:dyDescent="0.25">
      <c r="B129" s="230" t="s">
        <v>167</v>
      </c>
      <c r="C129" s="226" t="s">
        <v>208</v>
      </c>
    </row>
    <row r="130" spans="2:3" hidden="1" x14ac:dyDescent="0.25">
      <c r="B130" s="230" t="s">
        <v>209</v>
      </c>
      <c r="C130" s="226" t="s">
        <v>210</v>
      </c>
    </row>
    <row r="131" spans="2:3" hidden="1" x14ac:dyDescent="0.25">
      <c r="B131" s="230" t="s">
        <v>203</v>
      </c>
      <c r="C131" s="226" t="s">
        <v>211</v>
      </c>
    </row>
    <row r="132" spans="2:3" hidden="1" x14ac:dyDescent="0.25">
      <c r="B132" s="226"/>
      <c r="C132" s="226"/>
    </row>
    <row r="133" spans="2:3" hidden="1" x14ac:dyDescent="0.25">
      <c r="B133" s="226"/>
      <c r="C133" s="226"/>
    </row>
    <row r="134" spans="2:3" hidden="1" x14ac:dyDescent="0.25">
      <c r="B134" s="232"/>
      <c r="C134" s="232"/>
    </row>
    <row r="135" spans="2:3" hidden="1" x14ac:dyDescent="0.25">
      <c r="B135" s="232">
        <f>NvsElapsedTime</f>
        <v>1.15740767796524E-5</v>
      </c>
      <c r="C135" s="232"/>
    </row>
    <row r="136" spans="2:3" hidden="1" x14ac:dyDescent="0.25">
      <c r="B136" s="233">
        <f>NvsEndTime</f>
        <v>41754.487905092603</v>
      </c>
      <c r="C136" s="233" t="s">
        <v>212</v>
      </c>
    </row>
    <row r="137" spans="2:3" x14ac:dyDescent="0.25">
      <c r="B137" s="226"/>
      <c r="C137" s="234"/>
    </row>
    <row r="138" spans="2:3" x14ac:dyDescent="0.25">
      <c r="B138" s="226"/>
      <c r="C138" s="226"/>
    </row>
    <row r="139" spans="2:3" x14ac:dyDescent="0.25">
      <c r="B139" s="226"/>
      <c r="C139" s="226"/>
    </row>
    <row r="140" spans="2:3" x14ac:dyDescent="0.25">
      <c r="B140" s="226"/>
      <c r="C140" s="226"/>
    </row>
    <row r="141" spans="2:3" x14ac:dyDescent="0.25">
      <c r="B141" s="226"/>
      <c r="C141" s="226"/>
    </row>
    <row r="142" spans="2:3" x14ac:dyDescent="0.25">
      <c r="B142" s="226"/>
      <c r="C142" s="226"/>
    </row>
    <row r="143" spans="2:3" x14ac:dyDescent="0.25">
      <c r="B143" s="226"/>
      <c r="C143" s="226"/>
    </row>
    <row r="144" spans="2:3" x14ac:dyDescent="0.25">
      <c r="B144" s="226"/>
      <c r="C144" s="226"/>
    </row>
    <row r="145" spans="2:3" x14ac:dyDescent="0.25">
      <c r="B145" s="226"/>
      <c r="C145" s="226"/>
    </row>
    <row r="146" spans="2:3" x14ac:dyDescent="0.25">
      <c r="B146" s="226"/>
      <c r="C146" s="226"/>
    </row>
    <row r="147" spans="2:3" x14ac:dyDescent="0.25">
      <c r="B147" s="226"/>
      <c r="C147" s="226"/>
    </row>
    <row r="148" spans="2:3" x14ac:dyDescent="0.25">
      <c r="B148" s="226"/>
      <c r="C148" s="226"/>
    </row>
    <row r="149" spans="2:3" x14ac:dyDescent="0.25">
      <c r="B149" s="226"/>
      <c r="C149" s="226"/>
    </row>
    <row r="150" spans="2:3" x14ac:dyDescent="0.25">
      <c r="B150" s="226"/>
      <c r="C150" s="226"/>
    </row>
    <row r="151" spans="2:3" x14ac:dyDescent="0.25">
      <c r="B151" s="226"/>
      <c r="C151" s="226"/>
    </row>
  </sheetData>
  <mergeCells count="151">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9:W9"/>
    <mergeCell ref="X9:Y9"/>
    <mergeCell ref="Z9:AA9"/>
    <mergeCell ref="V10:W10"/>
    <mergeCell ref="X10:Y10"/>
    <mergeCell ref="Z10:AA10"/>
    <mergeCell ref="V7:W7"/>
    <mergeCell ref="X7:Y7"/>
    <mergeCell ref="Z7:AA7"/>
    <mergeCell ref="AB7:AC7"/>
    <mergeCell ref="V8:W8"/>
    <mergeCell ref="X8:Y8"/>
    <mergeCell ref="Z8:AA8"/>
    <mergeCell ref="W2:AC2"/>
    <mergeCell ref="V3:AC3"/>
    <mergeCell ref="V4:AC4"/>
    <mergeCell ref="V5:W5"/>
    <mergeCell ref="X5:Y5"/>
    <mergeCell ref="V6:AC6"/>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AD151"/>
  <sheetViews>
    <sheetView topLeftCell="B2" zoomScale="70" zoomScaleNormal="70" workbookViewId="0">
      <selection activeCell="L87" sqref="L87"/>
    </sheetView>
  </sheetViews>
  <sheetFormatPr defaultColWidth="8.85546875" defaultRowHeight="15.75" x14ac:dyDescent="0.25"/>
  <cols>
    <col min="1" max="1" width="11.28515625" style="1" hidden="1" customWidth="1"/>
    <col min="2" max="2" width="10.28515625" style="2" customWidth="1"/>
    <col min="3" max="3" width="29" style="1" customWidth="1"/>
    <col min="4" max="5" width="12.28515625" style="1" customWidth="1"/>
    <col min="6" max="6" width="12.28515625" style="1" hidden="1" customWidth="1"/>
    <col min="7" max="7" width="15.28515625" style="1" customWidth="1"/>
    <col min="8" max="8" width="6.7109375" style="1" customWidth="1"/>
    <col min="9" max="9" width="12.5703125" style="1" customWidth="1"/>
    <col min="10" max="10" width="12.85546875" style="1" customWidth="1"/>
    <col min="11" max="11" width="15.5703125" style="1" bestFit="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28515625" style="1" customWidth="1"/>
    <col min="18" max="18" width="8.85546875" style="1"/>
    <col min="19" max="21" width="0" style="1" hidden="1" customWidth="1"/>
    <col min="22" max="23" width="8.85546875" style="1"/>
    <col min="24" max="24" width="12.7109375" style="1" customWidth="1"/>
    <col min="25" max="27" width="8.85546875" style="1"/>
    <col min="28" max="28" width="13.140625" style="1" bestFit="1" customWidth="1"/>
    <col min="29" max="16384" width="8.85546875" style="1"/>
  </cols>
  <sheetData>
    <row r="1" spans="1:30" ht="15.6"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7"/>
      <c r="N2" s="3"/>
      <c r="O2" s="1"/>
      <c r="V2" s="8">
        <f>'0054'!B2</f>
        <v>50</v>
      </c>
      <c r="W2" s="606" t="s">
        <v>4</v>
      </c>
      <c r="X2" s="607"/>
      <c r="Y2" s="608"/>
      <c r="Z2" s="608"/>
      <c r="AA2" s="608"/>
      <c r="AB2" s="608"/>
      <c r="AC2" s="608"/>
      <c r="AD2" s="9"/>
    </row>
    <row r="3" spans="1:30" ht="20.25" x14ac:dyDescent="0.3">
      <c r="B3" s="10" t="str">
        <f>"Revenue Estimate Worksheet for "&amp;B124</f>
        <v>Revenue Estimate Worksheet for Boca Raton Charter School</v>
      </c>
      <c r="C3" s="11"/>
      <c r="D3" s="11"/>
      <c r="E3" s="11"/>
      <c r="F3" s="11"/>
      <c r="G3" s="11"/>
      <c r="H3" s="11"/>
      <c r="I3" s="11"/>
      <c r="J3" s="11"/>
      <c r="K3" s="11"/>
      <c r="L3" s="11"/>
      <c r="M3" s="10"/>
      <c r="N3" s="10"/>
      <c r="O3" s="10"/>
      <c r="P3" s="10"/>
      <c r="Q3" s="10"/>
      <c r="V3" s="609" t="s">
        <v>5</v>
      </c>
      <c r="W3" s="609"/>
      <c r="X3" s="609"/>
      <c r="Y3" s="609"/>
      <c r="Z3" s="609"/>
      <c r="AA3" s="609"/>
      <c r="AB3" s="609"/>
      <c r="AC3" s="609"/>
      <c r="AD3" s="12"/>
    </row>
    <row r="4" spans="1:30" ht="18.75" x14ac:dyDescent="0.3">
      <c r="B4" s="2" t="s">
        <v>6</v>
      </c>
      <c r="C4" s="13"/>
      <c r="D4" s="13"/>
      <c r="E4" s="13"/>
      <c r="F4" s="13"/>
      <c r="G4" s="13"/>
      <c r="H4" s="13"/>
      <c r="I4" s="13"/>
      <c r="J4" s="13"/>
      <c r="K4" s="13"/>
      <c r="L4" s="13"/>
      <c r="M4" s="14"/>
      <c r="N4" s="14"/>
      <c r="O4" s="14"/>
      <c r="P4" s="14"/>
      <c r="Q4" s="14"/>
      <c r="V4" s="610" t="str">
        <f>+Based_on_the_Second_Calculation_of_the_FEFP_2010_11</f>
        <v>Based on the Fourth Calculation of the FEFP 2013-14</v>
      </c>
      <c r="W4" s="610"/>
      <c r="X4" s="610"/>
      <c r="Y4" s="610"/>
      <c r="Z4" s="610"/>
      <c r="AA4" s="610"/>
      <c r="AB4" s="610"/>
      <c r="AC4" s="610"/>
      <c r="AD4" s="15"/>
    </row>
    <row r="5" spans="1:30" ht="18.75" customHeight="1" x14ac:dyDescent="0.25">
      <c r="B5" s="16" t="s">
        <v>7</v>
      </c>
      <c r="C5" s="16"/>
      <c r="D5" s="16"/>
      <c r="E5" s="16"/>
      <c r="F5" s="16"/>
      <c r="G5" s="17" t="s">
        <v>8</v>
      </c>
      <c r="H5" s="17"/>
      <c r="I5" s="17"/>
      <c r="J5" s="17"/>
      <c r="K5" s="17"/>
      <c r="L5" s="17"/>
      <c r="M5" s="18"/>
      <c r="N5" s="18"/>
      <c r="O5" s="18"/>
      <c r="P5" s="18"/>
      <c r="Q5" s="18"/>
      <c r="V5" s="611" t="s">
        <v>7</v>
      </c>
      <c r="W5" s="611"/>
      <c r="X5" s="612" t="s">
        <v>8</v>
      </c>
      <c r="Y5" s="612"/>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613" t="s">
        <v>9</v>
      </c>
      <c r="W6" s="613"/>
      <c r="X6" s="613"/>
      <c r="Y6" s="613"/>
      <c r="Z6" s="613"/>
      <c r="AA6" s="613"/>
      <c r="AB6" s="613"/>
      <c r="AC6" s="613"/>
      <c r="AD6" s="22"/>
    </row>
    <row r="7" spans="1:30" ht="18" customHeight="1" x14ac:dyDescent="0.25">
      <c r="B7" s="23" t="s">
        <v>10</v>
      </c>
      <c r="C7" s="23"/>
      <c r="D7" s="23"/>
      <c r="E7" s="23"/>
      <c r="F7" s="23"/>
      <c r="G7" s="24">
        <v>3752.3</v>
      </c>
      <c r="H7" s="24"/>
      <c r="I7" s="23" t="s">
        <v>11</v>
      </c>
      <c r="J7" s="23"/>
      <c r="K7" s="25">
        <v>1.0326</v>
      </c>
      <c r="L7" s="25"/>
      <c r="O7" s="1"/>
      <c r="V7" s="620" t="s">
        <v>10</v>
      </c>
      <c r="W7" s="620"/>
      <c r="X7" s="621">
        <f>'0054'!G7</f>
        <v>3752.3</v>
      </c>
      <c r="Y7" s="621"/>
      <c r="Z7" s="622" t="s">
        <v>11</v>
      </c>
      <c r="AA7" s="622"/>
      <c r="AB7" s="602">
        <f>+K7</f>
        <v>1.0326</v>
      </c>
      <c r="AC7" s="602"/>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603" t="s">
        <v>12</v>
      </c>
      <c r="W8" s="603"/>
      <c r="X8" s="604" t="s">
        <v>15</v>
      </c>
      <c r="Y8" s="604"/>
      <c r="Z8" s="605" t="s">
        <v>16</v>
      </c>
      <c r="AA8" s="605"/>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614" t="s">
        <v>22</v>
      </c>
      <c r="W9" s="614"/>
      <c r="X9" s="615" t="s">
        <v>23</v>
      </c>
      <c r="Y9" s="615"/>
      <c r="Z9" s="616" t="s">
        <v>24</v>
      </c>
      <c r="AA9" s="616"/>
      <c r="AB9" s="43" t="s">
        <v>25</v>
      </c>
      <c r="AC9" s="44" t="s">
        <v>26</v>
      </c>
      <c r="AD9" s="9"/>
    </row>
    <row r="10" spans="1:30" x14ac:dyDescent="0.25">
      <c r="A10" s="1" t="s">
        <v>27</v>
      </c>
      <c r="B10" s="45" t="s">
        <v>28</v>
      </c>
      <c r="C10" s="45"/>
      <c r="D10" s="45">
        <v>32.19</v>
      </c>
      <c r="E10" s="45">
        <v>31.75</v>
      </c>
      <c r="F10" s="45">
        <v>33.549999999999997</v>
      </c>
      <c r="G10" s="46">
        <f>D10+E10</f>
        <v>63.94</v>
      </c>
      <c r="H10" s="47"/>
      <c r="I10" s="48">
        <v>1.125</v>
      </c>
      <c r="J10" s="48"/>
      <c r="K10" s="49">
        <f>ROUND(G10*I10,4)</f>
        <v>71.932500000000005</v>
      </c>
      <c r="L10" s="50">
        <f>ROUND(ROUND(K10*$G$7,4)*($K$7),0)</f>
        <v>278711</v>
      </c>
      <c r="N10" s="51">
        <v>5101</v>
      </c>
      <c r="O10" s="52">
        <v>101</v>
      </c>
      <c r="P10" s="53"/>
      <c r="Q10" s="54"/>
      <c r="V10" s="617" t="s">
        <v>28</v>
      </c>
      <c r="W10" s="617"/>
      <c r="X10" s="618">
        <f>IF('0054'!K$84=1,'0054'!G10,0)</f>
        <v>0</v>
      </c>
      <c r="Y10" s="618"/>
      <c r="Z10" s="619">
        <v>1</v>
      </c>
      <c r="AA10" s="619"/>
      <c r="AB10" s="55">
        <f t="shared" ref="AB10:AB25" si="0">ROUND(X10*Z10,4)</f>
        <v>0</v>
      </c>
      <c r="AC10" s="56">
        <f t="shared" ref="AC10:AC25" si="1">ROUND(ROUND(AB10*$X$7,4)*($AB$7),0)</f>
        <v>0</v>
      </c>
      <c r="AD10" s="9">
        <v>1</v>
      </c>
    </row>
    <row r="11" spans="1:30" x14ac:dyDescent="0.25">
      <c r="A11" s="1" t="s">
        <v>29</v>
      </c>
      <c r="B11" s="13" t="s">
        <v>30</v>
      </c>
      <c r="C11" s="13"/>
      <c r="D11" s="13">
        <v>2</v>
      </c>
      <c r="E11" s="13">
        <v>2</v>
      </c>
      <c r="F11" s="13">
        <v>2.16</v>
      </c>
      <c r="G11" s="46">
        <f t="shared" ref="G11:G25" si="2">D11+E11</f>
        <v>4</v>
      </c>
      <c r="H11" s="47"/>
      <c r="I11" s="57">
        <f>I10</f>
        <v>1.125</v>
      </c>
      <c r="J11" s="57"/>
      <c r="K11" s="49">
        <f t="shared" ref="K11:K25" si="3">ROUND(G11*I11,4)</f>
        <v>4.5</v>
      </c>
      <c r="L11" s="50">
        <f t="shared" ref="L11:L25" si="4">ROUND(ROUND(K11*$G$7,4)*($K$7),0)</f>
        <v>17436</v>
      </c>
      <c r="M11" s="1" t="str">
        <f>IF(ROUND(G11,2)=ROUND(SUM(G28:G30),2)," ","CHECK 2. PK-3 Lines Below")</f>
        <v xml:space="preserve"> </v>
      </c>
      <c r="N11" s="51">
        <v>5101</v>
      </c>
      <c r="O11" s="58" t="s">
        <v>31</v>
      </c>
      <c r="P11" s="53"/>
      <c r="Q11" s="54"/>
      <c r="V11" s="623" t="s">
        <v>30</v>
      </c>
      <c r="W11" s="623"/>
      <c r="X11" s="618">
        <f>IF('0054'!K$84=1,'0054'!G11,0)</f>
        <v>0</v>
      </c>
      <c r="Y11" s="618"/>
      <c r="Z11" s="624">
        <v>1</v>
      </c>
      <c r="AA11" s="624"/>
      <c r="AB11" s="55">
        <f t="shared" si="0"/>
        <v>0</v>
      </c>
      <c r="AC11" s="56">
        <f t="shared" si="1"/>
        <v>0</v>
      </c>
      <c r="AD11" s="9"/>
    </row>
    <row r="12" spans="1:30" x14ac:dyDescent="0.25">
      <c r="A12" s="1" t="s">
        <v>32</v>
      </c>
      <c r="B12" s="13" t="s">
        <v>33</v>
      </c>
      <c r="C12" s="13"/>
      <c r="D12" s="13">
        <v>14.08</v>
      </c>
      <c r="E12" s="13">
        <v>13.59</v>
      </c>
      <c r="F12" s="13">
        <v>14.65</v>
      </c>
      <c r="G12" s="46">
        <f t="shared" si="2"/>
        <v>27.67</v>
      </c>
      <c r="H12" s="47"/>
      <c r="I12" s="57">
        <v>1</v>
      </c>
      <c r="J12" s="57"/>
      <c r="K12" s="49">
        <f t="shared" si="3"/>
        <v>27.67</v>
      </c>
      <c r="L12" s="50">
        <f t="shared" si="4"/>
        <v>107211</v>
      </c>
      <c r="N12" s="51">
        <v>5102</v>
      </c>
      <c r="O12" s="52">
        <v>102</v>
      </c>
      <c r="P12" s="53"/>
      <c r="Q12" s="54"/>
      <c r="V12" s="623" t="s">
        <v>33</v>
      </c>
      <c r="W12" s="623"/>
      <c r="X12" s="618">
        <f>IF('0054'!K$84=1,'0054'!G12,0)</f>
        <v>0</v>
      </c>
      <c r="Y12" s="618"/>
      <c r="Z12" s="624">
        <v>1</v>
      </c>
      <c r="AA12" s="624"/>
      <c r="AB12" s="55">
        <f t="shared" si="0"/>
        <v>0</v>
      </c>
      <c r="AC12" s="56">
        <f t="shared" si="1"/>
        <v>0</v>
      </c>
      <c r="AD12" s="9"/>
    </row>
    <row r="13" spans="1:30" x14ac:dyDescent="0.25">
      <c r="A13" s="1" t="s">
        <v>34</v>
      </c>
      <c r="B13" s="13" t="s">
        <v>35</v>
      </c>
      <c r="C13" s="13"/>
      <c r="D13" s="13">
        <v>2</v>
      </c>
      <c r="E13" s="13">
        <v>2</v>
      </c>
      <c r="F13" s="13">
        <v>2.15</v>
      </c>
      <c r="G13" s="46">
        <f t="shared" si="2"/>
        <v>4</v>
      </c>
      <c r="H13" s="47"/>
      <c r="I13" s="57">
        <f>I12</f>
        <v>1</v>
      </c>
      <c r="J13" s="57"/>
      <c r="K13" s="49">
        <f t="shared" si="3"/>
        <v>4</v>
      </c>
      <c r="L13" s="50">
        <f t="shared" si="4"/>
        <v>15498</v>
      </c>
      <c r="M13" s="1" t="str">
        <f>IF(ROUND(G13,2)=ROUND(SUM(G31:G33),2)," ","CHECK 2. PK-3 Lines Below")</f>
        <v xml:space="preserve"> </v>
      </c>
      <c r="N13" s="51">
        <v>5102</v>
      </c>
      <c r="O13" s="58" t="s">
        <v>36</v>
      </c>
      <c r="P13" s="53"/>
      <c r="Q13" s="54"/>
      <c r="V13" s="623" t="s">
        <v>35</v>
      </c>
      <c r="W13" s="623"/>
      <c r="X13" s="618">
        <f>IF('0054'!K$84=1,'0054'!G13,0)</f>
        <v>0</v>
      </c>
      <c r="Y13" s="618"/>
      <c r="Z13" s="624">
        <v>1</v>
      </c>
      <c r="AA13" s="624"/>
      <c r="AB13" s="55">
        <f t="shared" si="0"/>
        <v>0</v>
      </c>
      <c r="AC13" s="56">
        <f t="shared" si="1"/>
        <v>0</v>
      </c>
      <c r="AD13" s="9"/>
    </row>
    <row r="14" spans="1:30" x14ac:dyDescent="0.25">
      <c r="A14" s="1" t="s">
        <v>37</v>
      </c>
      <c r="B14" s="13" t="s">
        <v>38</v>
      </c>
      <c r="C14" s="13"/>
      <c r="D14" s="13">
        <v>0</v>
      </c>
      <c r="E14" s="13">
        <v>0</v>
      </c>
      <c r="F14" s="13">
        <v>0</v>
      </c>
      <c r="G14" s="46">
        <f t="shared" si="2"/>
        <v>0</v>
      </c>
      <c r="H14" s="47"/>
      <c r="I14" s="57">
        <v>1.0109999999999999</v>
      </c>
      <c r="J14" s="57"/>
      <c r="K14" s="49">
        <f t="shared" si="3"/>
        <v>0</v>
      </c>
      <c r="L14" s="50">
        <f t="shared" si="4"/>
        <v>0</v>
      </c>
      <c r="N14" s="51">
        <v>5103</v>
      </c>
      <c r="O14" s="52">
        <v>103</v>
      </c>
      <c r="P14" s="53"/>
      <c r="Q14" s="54"/>
      <c r="V14" s="623" t="s">
        <v>38</v>
      </c>
      <c r="W14" s="623"/>
      <c r="X14" s="618">
        <f>IF('0054'!K$84=1,'0054'!G14,0)</f>
        <v>0</v>
      </c>
      <c r="Y14" s="618"/>
      <c r="Z14" s="624">
        <v>1</v>
      </c>
      <c r="AA14" s="624"/>
      <c r="AB14" s="55">
        <f t="shared" si="0"/>
        <v>0</v>
      </c>
      <c r="AC14" s="56">
        <f t="shared" si="1"/>
        <v>0</v>
      </c>
      <c r="AD14" s="9"/>
    </row>
    <row r="15" spans="1:30" x14ac:dyDescent="0.25">
      <c r="A15" s="1" t="s">
        <v>39</v>
      </c>
      <c r="B15" s="13" t="s">
        <v>40</v>
      </c>
      <c r="C15" s="13"/>
      <c r="D15" s="13">
        <v>0</v>
      </c>
      <c r="E15" s="13">
        <v>0</v>
      </c>
      <c r="F15" s="13">
        <v>0</v>
      </c>
      <c r="G15" s="46">
        <f t="shared" si="2"/>
        <v>0</v>
      </c>
      <c r="H15" s="47"/>
      <c r="I15" s="57">
        <f>I14</f>
        <v>1.0109999999999999</v>
      </c>
      <c r="J15" s="57"/>
      <c r="K15" s="49">
        <f t="shared" si="3"/>
        <v>0</v>
      </c>
      <c r="L15" s="59">
        <f t="shared" si="4"/>
        <v>0</v>
      </c>
      <c r="M15" s="1" t="str">
        <f>IF(ROUND(G15,2)=ROUND(SUM(G34:G36),2)," ","CHECK 2. PK-3 Lines Below")</f>
        <v xml:space="preserve"> </v>
      </c>
      <c r="N15" s="51">
        <v>5103</v>
      </c>
      <c r="O15" s="58" t="s">
        <v>41</v>
      </c>
      <c r="P15" s="53"/>
      <c r="Q15" s="54"/>
      <c r="V15" s="623" t="s">
        <v>40</v>
      </c>
      <c r="W15" s="623"/>
      <c r="X15" s="618">
        <f>IF('0054'!K$84=1,'0054'!G15,0)</f>
        <v>0</v>
      </c>
      <c r="Y15" s="618"/>
      <c r="Z15" s="624">
        <v>1</v>
      </c>
      <c r="AA15" s="624"/>
      <c r="AB15" s="55">
        <f t="shared" si="0"/>
        <v>0</v>
      </c>
      <c r="AC15" s="60">
        <f t="shared" si="1"/>
        <v>0</v>
      </c>
      <c r="AD15" s="9"/>
    </row>
    <row r="16" spans="1:30" x14ac:dyDescent="0.25">
      <c r="A16" s="1" t="s">
        <v>42</v>
      </c>
      <c r="B16" s="13" t="s">
        <v>43</v>
      </c>
      <c r="C16" s="13"/>
      <c r="D16" s="13">
        <v>0</v>
      </c>
      <c r="E16" s="13">
        <v>0</v>
      </c>
      <c r="F16" s="13">
        <v>0</v>
      </c>
      <c r="G16" s="46">
        <f t="shared" si="2"/>
        <v>0</v>
      </c>
      <c r="H16" s="47"/>
      <c r="I16" s="57">
        <v>3.5579999999999998</v>
      </c>
      <c r="J16" s="57"/>
      <c r="K16" s="49">
        <f t="shared" si="3"/>
        <v>0</v>
      </c>
      <c r="L16" s="50">
        <f t="shared" si="4"/>
        <v>0</v>
      </c>
      <c r="N16" s="51">
        <v>5101</v>
      </c>
      <c r="O16" s="53">
        <v>254</v>
      </c>
      <c r="P16" s="53"/>
      <c r="Q16" s="54"/>
      <c r="V16" s="623" t="s">
        <v>43</v>
      </c>
      <c r="W16" s="623"/>
      <c r="X16" s="618">
        <f>IF('0054'!K$84=1,'0054'!G16,0)</f>
        <v>0</v>
      </c>
      <c r="Y16" s="618"/>
      <c r="Z16" s="624">
        <v>1</v>
      </c>
      <c r="AA16" s="624"/>
      <c r="AB16" s="55">
        <f t="shared" si="0"/>
        <v>0</v>
      </c>
      <c r="AC16" s="56">
        <f t="shared" si="1"/>
        <v>0</v>
      </c>
      <c r="AD16" s="9"/>
    </row>
    <row r="17" spans="1:30" x14ac:dyDescent="0.25">
      <c r="A17" s="1" t="s">
        <v>44</v>
      </c>
      <c r="B17" s="13" t="s">
        <v>45</v>
      </c>
      <c r="C17" s="13"/>
      <c r="D17" s="13">
        <v>0</v>
      </c>
      <c r="E17" s="13">
        <v>0</v>
      </c>
      <c r="F17" s="13">
        <v>0</v>
      </c>
      <c r="G17" s="46">
        <f t="shared" si="2"/>
        <v>0</v>
      </c>
      <c r="H17" s="47"/>
      <c r="I17" s="57">
        <f>I16</f>
        <v>3.5579999999999998</v>
      </c>
      <c r="J17" s="57"/>
      <c r="K17" s="49">
        <f t="shared" si="3"/>
        <v>0</v>
      </c>
      <c r="L17" s="50">
        <f t="shared" si="4"/>
        <v>0</v>
      </c>
      <c r="N17" s="51">
        <v>5102</v>
      </c>
      <c r="O17" s="54">
        <v>254</v>
      </c>
      <c r="P17" s="53"/>
      <c r="Q17" s="54"/>
      <c r="V17" s="623" t="s">
        <v>45</v>
      </c>
      <c r="W17" s="623"/>
      <c r="X17" s="618">
        <f>IF('0054'!K$84=1,'0054'!G17,0)</f>
        <v>0</v>
      </c>
      <c r="Y17" s="618"/>
      <c r="Z17" s="624">
        <v>1</v>
      </c>
      <c r="AA17" s="624"/>
      <c r="AB17" s="55">
        <f t="shared" si="0"/>
        <v>0</v>
      </c>
      <c r="AC17" s="56">
        <f t="shared" si="1"/>
        <v>0</v>
      </c>
      <c r="AD17" s="9"/>
    </row>
    <row r="18" spans="1:30" x14ac:dyDescent="0.25">
      <c r="A18" s="1" t="s">
        <v>46</v>
      </c>
      <c r="B18" s="13" t="s">
        <v>47</v>
      </c>
      <c r="C18" s="13"/>
      <c r="D18" s="13">
        <v>0</v>
      </c>
      <c r="E18" s="13">
        <v>0</v>
      </c>
      <c r="F18" s="13">
        <v>0</v>
      </c>
      <c r="G18" s="46">
        <f t="shared" si="2"/>
        <v>0</v>
      </c>
      <c r="H18" s="47"/>
      <c r="I18" s="57">
        <f>I17</f>
        <v>3.5579999999999998</v>
      </c>
      <c r="J18" s="57"/>
      <c r="K18" s="49">
        <f t="shared" si="3"/>
        <v>0</v>
      </c>
      <c r="L18" s="50">
        <f t="shared" si="4"/>
        <v>0</v>
      </c>
      <c r="N18" s="51">
        <v>5103</v>
      </c>
      <c r="O18" s="54">
        <v>254</v>
      </c>
      <c r="P18" s="53"/>
      <c r="Q18" s="54"/>
      <c r="V18" s="623" t="s">
        <v>47</v>
      </c>
      <c r="W18" s="623"/>
      <c r="X18" s="618">
        <f>IF('0054'!K$84=1,'0054'!G18,0)</f>
        <v>0</v>
      </c>
      <c r="Y18" s="618"/>
      <c r="Z18" s="624">
        <v>1</v>
      </c>
      <c r="AA18" s="624"/>
      <c r="AB18" s="55">
        <f t="shared" si="0"/>
        <v>0</v>
      </c>
      <c r="AC18" s="56">
        <f t="shared" si="1"/>
        <v>0</v>
      </c>
      <c r="AD18" s="9"/>
    </row>
    <row r="19" spans="1:30" ht="15" customHeight="1" x14ac:dyDescent="0.25">
      <c r="A19" s="1" t="s">
        <v>48</v>
      </c>
      <c r="B19" s="13" t="s">
        <v>49</v>
      </c>
      <c r="C19" s="13"/>
      <c r="D19" s="13">
        <v>0</v>
      </c>
      <c r="E19" s="13">
        <v>0</v>
      </c>
      <c r="F19" s="13">
        <v>0</v>
      </c>
      <c r="G19" s="46">
        <f t="shared" si="2"/>
        <v>0</v>
      </c>
      <c r="H19" s="47"/>
      <c r="I19" s="57">
        <v>5.0890000000000004</v>
      </c>
      <c r="J19" s="57"/>
      <c r="K19" s="49">
        <f t="shared" si="3"/>
        <v>0</v>
      </c>
      <c r="L19" s="50">
        <f t="shared" si="4"/>
        <v>0</v>
      </c>
      <c r="N19" s="51">
        <v>5101</v>
      </c>
      <c r="O19" s="53">
        <v>255</v>
      </c>
      <c r="P19" s="53"/>
      <c r="Q19" s="54"/>
      <c r="V19" s="623" t="s">
        <v>49</v>
      </c>
      <c r="W19" s="623"/>
      <c r="X19" s="618">
        <f>IF('0054'!K$84=1,'0054'!G19,0)</f>
        <v>0</v>
      </c>
      <c r="Y19" s="618"/>
      <c r="Z19" s="624">
        <v>1</v>
      </c>
      <c r="AA19" s="624"/>
      <c r="AB19" s="55">
        <f t="shared" si="0"/>
        <v>0</v>
      </c>
      <c r="AC19" s="56">
        <f t="shared" si="1"/>
        <v>0</v>
      </c>
      <c r="AD19" s="9"/>
    </row>
    <row r="20" spans="1:30" ht="15" customHeight="1" x14ac:dyDescent="0.25">
      <c r="A20" s="1" t="s">
        <v>50</v>
      </c>
      <c r="B20" s="13" t="s">
        <v>51</v>
      </c>
      <c r="C20" s="13"/>
      <c r="D20" s="13">
        <v>0</v>
      </c>
      <c r="E20" s="13">
        <v>0</v>
      </c>
      <c r="F20" s="13">
        <v>0</v>
      </c>
      <c r="G20" s="46">
        <f t="shared" si="2"/>
        <v>0</v>
      </c>
      <c r="H20" s="47"/>
      <c r="I20" s="57">
        <f>I19</f>
        <v>5.0890000000000004</v>
      </c>
      <c r="J20" s="57"/>
      <c r="K20" s="49">
        <f t="shared" si="3"/>
        <v>0</v>
      </c>
      <c r="L20" s="50">
        <f t="shared" si="4"/>
        <v>0</v>
      </c>
      <c r="N20" s="51">
        <v>5102</v>
      </c>
      <c r="O20" s="54">
        <v>255</v>
      </c>
      <c r="P20" s="53"/>
      <c r="Q20" s="54"/>
      <c r="V20" s="623" t="s">
        <v>51</v>
      </c>
      <c r="W20" s="623"/>
      <c r="X20" s="618">
        <f>IF('0054'!K$84=1,'0054'!G20,0)</f>
        <v>0</v>
      </c>
      <c r="Y20" s="618"/>
      <c r="Z20" s="624">
        <v>1</v>
      </c>
      <c r="AA20" s="624"/>
      <c r="AB20" s="55">
        <f t="shared" si="0"/>
        <v>0</v>
      </c>
      <c r="AC20" s="56">
        <f t="shared" si="1"/>
        <v>0</v>
      </c>
      <c r="AD20" s="9"/>
    </row>
    <row r="21" spans="1:30" ht="15" customHeight="1" x14ac:dyDescent="0.25">
      <c r="A21" s="1" t="s">
        <v>52</v>
      </c>
      <c r="B21" s="13" t="s">
        <v>53</v>
      </c>
      <c r="C21" s="13"/>
      <c r="D21" s="13">
        <v>0</v>
      </c>
      <c r="E21" s="13">
        <v>0</v>
      </c>
      <c r="F21" s="13">
        <v>0</v>
      </c>
      <c r="G21" s="46">
        <f t="shared" si="2"/>
        <v>0</v>
      </c>
      <c r="H21" s="47"/>
      <c r="I21" s="57">
        <f>I20</f>
        <v>5.0890000000000004</v>
      </c>
      <c r="J21" s="57"/>
      <c r="K21" s="49">
        <f t="shared" si="3"/>
        <v>0</v>
      </c>
      <c r="L21" s="50">
        <f t="shared" si="4"/>
        <v>0</v>
      </c>
      <c r="N21" s="51">
        <v>5103</v>
      </c>
      <c r="O21" s="54">
        <v>255</v>
      </c>
      <c r="P21" s="53"/>
      <c r="Q21" s="54"/>
      <c r="V21" s="623" t="s">
        <v>53</v>
      </c>
      <c r="W21" s="623"/>
      <c r="X21" s="618">
        <f>IF('0054'!K$84=1,'0054'!G21,0)</f>
        <v>0</v>
      </c>
      <c r="Y21" s="618"/>
      <c r="Z21" s="624">
        <v>1</v>
      </c>
      <c r="AA21" s="624"/>
      <c r="AB21" s="55">
        <f t="shared" si="0"/>
        <v>0</v>
      </c>
      <c r="AC21" s="56">
        <f t="shared" si="1"/>
        <v>0</v>
      </c>
      <c r="AD21" s="9"/>
    </row>
    <row r="22" spans="1:30" x14ac:dyDescent="0.25">
      <c r="A22" s="1" t="s">
        <v>54</v>
      </c>
      <c r="B22" s="13" t="s">
        <v>55</v>
      </c>
      <c r="C22" s="13"/>
      <c r="D22" s="13">
        <v>1.65</v>
      </c>
      <c r="E22" s="13">
        <v>1.65</v>
      </c>
      <c r="F22" s="13">
        <v>1.72</v>
      </c>
      <c r="G22" s="46">
        <f t="shared" si="2"/>
        <v>3.3</v>
      </c>
      <c r="H22" s="47"/>
      <c r="I22" s="57">
        <v>1.145</v>
      </c>
      <c r="J22" s="57"/>
      <c r="K22" s="49">
        <f t="shared" si="3"/>
        <v>3.7785000000000002</v>
      </c>
      <c r="L22" s="50">
        <f t="shared" si="4"/>
        <v>14640</v>
      </c>
      <c r="N22" s="51">
        <v>5101</v>
      </c>
      <c r="O22" s="52">
        <v>130</v>
      </c>
      <c r="P22" s="53"/>
      <c r="Q22" s="54"/>
      <c r="V22" s="623" t="s">
        <v>55</v>
      </c>
      <c r="W22" s="623"/>
      <c r="X22" s="618">
        <f>IF('0054'!K$84=1,'0054'!G22,0)</f>
        <v>0</v>
      </c>
      <c r="Y22" s="618"/>
      <c r="Z22" s="624">
        <v>1</v>
      </c>
      <c r="AA22" s="624"/>
      <c r="AB22" s="55">
        <f t="shared" si="0"/>
        <v>0</v>
      </c>
      <c r="AC22" s="56">
        <f t="shared" si="1"/>
        <v>0</v>
      </c>
      <c r="AD22" s="9"/>
    </row>
    <row r="23" spans="1:30" x14ac:dyDescent="0.25">
      <c r="A23" s="1" t="s">
        <v>56</v>
      </c>
      <c r="B23" s="13" t="s">
        <v>57</v>
      </c>
      <c r="C23" s="13"/>
      <c r="D23" s="13">
        <v>0</v>
      </c>
      <c r="E23" s="13">
        <v>0</v>
      </c>
      <c r="F23" s="13">
        <v>0</v>
      </c>
      <c r="G23" s="46">
        <f t="shared" si="2"/>
        <v>0</v>
      </c>
      <c r="H23" s="47"/>
      <c r="I23" s="57">
        <f>I22</f>
        <v>1.145</v>
      </c>
      <c r="J23" s="57"/>
      <c r="K23" s="49">
        <f t="shared" si="3"/>
        <v>0</v>
      </c>
      <c r="L23" s="50">
        <f t="shared" si="4"/>
        <v>0</v>
      </c>
      <c r="N23" s="51">
        <v>5102</v>
      </c>
      <c r="O23" s="52">
        <v>130</v>
      </c>
      <c r="P23" s="53"/>
      <c r="Q23" s="54"/>
      <c r="V23" s="623" t="s">
        <v>57</v>
      </c>
      <c r="W23" s="623"/>
      <c r="X23" s="618">
        <f>IF('0054'!K$84=1,'0054'!G23,0)</f>
        <v>0</v>
      </c>
      <c r="Y23" s="618"/>
      <c r="Z23" s="624">
        <v>1</v>
      </c>
      <c r="AA23" s="624"/>
      <c r="AB23" s="55">
        <f t="shared" si="0"/>
        <v>0</v>
      </c>
      <c r="AC23" s="56">
        <f t="shared" si="1"/>
        <v>0</v>
      </c>
      <c r="AD23" s="9"/>
    </row>
    <row r="24" spans="1:30" x14ac:dyDescent="0.25">
      <c r="A24" s="1" t="s">
        <v>58</v>
      </c>
      <c r="B24" s="13" t="s">
        <v>59</v>
      </c>
      <c r="C24" s="13"/>
      <c r="D24" s="13">
        <v>0</v>
      </c>
      <c r="E24" s="13">
        <v>0</v>
      </c>
      <c r="F24" s="13">
        <v>0</v>
      </c>
      <c r="G24" s="46">
        <f t="shared" si="2"/>
        <v>0</v>
      </c>
      <c r="H24" s="47"/>
      <c r="I24" s="57">
        <f>I23</f>
        <v>1.145</v>
      </c>
      <c r="J24" s="57"/>
      <c r="K24" s="49">
        <f t="shared" si="3"/>
        <v>0</v>
      </c>
      <c r="L24" s="50">
        <f t="shared" si="4"/>
        <v>0</v>
      </c>
      <c r="N24" s="51">
        <v>5103</v>
      </c>
      <c r="O24" s="52">
        <v>130</v>
      </c>
      <c r="P24" s="53"/>
      <c r="Q24" s="54"/>
      <c r="V24" s="623" t="s">
        <v>59</v>
      </c>
      <c r="W24" s="623"/>
      <c r="X24" s="618">
        <f>IF('0054'!K$84=1,'0054'!G24,0)</f>
        <v>0</v>
      </c>
      <c r="Y24" s="618"/>
      <c r="Z24" s="624">
        <v>1</v>
      </c>
      <c r="AA24" s="624"/>
      <c r="AB24" s="55">
        <f t="shared" si="0"/>
        <v>0</v>
      </c>
      <c r="AC24" s="56">
        <f t="shared" si="1"/>
        <v>0</v>
      </c>
      <c r="AD24" s="9"/>
    </row>
    <row r="25" spans="1:30" ht="16.5" thickBot="1" x14ac:dyDescent="0.3">
      <c r="A25" s="1" t="s">
        <v>60</v>
      </c>
      <c r="B25" s="13" t="s">
        <v>61</v>
      </c>
      <c r="C25" s="13"/>
      <c r="D25" s="13">
        <v>0</v>
      </c>
      <c r="E25" s="13">
        <v>0</v>
      </c>
      <c r="F25" s="13">
        <v>0</v>
      </c>
      <c r="G25" s="46">
        <f t="shared" si="2"/>
        <v>0</v>
      </c>
      <c r="H25" s="47"/>
      <c r="I25" s="57">
        <v>1.0109999999999999</v>
      </c>
      <c r="J25" s="57"/>
      <c r="K25" s="49">
        <f t="shared" si="3"/>
        <v>0</v>
      </c>
      <c r="L25" s="50">
        <f t="shared" si="4"/>
        <v>0</v>
      </c>
      <c r="N25" s="51">
        <v>5310</v>
      </c>
      <c r="O25" s="52">
        <v>300</v>
      </c>
      <c r="P25" s="53"/>
      <c r="Q25" s="54"/>
      <c r="V25" s="623" t="s">
        <v>61</v>
      </c>
      <c r="W25" s="623"/>
      <c r="X25" s="618">
        <f>IF('0054'!K$84=1,'0054'!G25,0)</f>
        <v>0</v>
      </c>
      <c r="Y25" s="618"/>
      <c r="Z25" s="624">
        <v>1</v>
      </c>
      <c r="AA25" s="624"/>
      <c r="AB25" s="55">
        <f t="shared" si="0"/>
        <v>0</v>
      </c>
      <c r="AC25" s="56">
        <f t="shared" si="1"/>
        <v>0</v>
      </c>
      <c r="AD25" s="9"/>
    </row>
    <row r="26" spans="1:30" ht="20.25" customHeight="1" thickBot="1" x14ac:dyDescent="0.3">
      <c r="B26" s="62" t="s">
        <v>62</v>
      </c>
      <c r="C26" s="62"/>
      <c r="D26" s="63">
        <f t="shared" ref="D26:E26" si="5">SUM(D10:D25)</f>
        <v>51.919999999999995</v>
      </c>
      <c r="E26" s="63">
        <f t="shared" si="5"/>
        <v>50.99</v>
      </c>
      <c r="F26" s="63"/>
      <c r="G26" s="63">
        <f>SUM(G10:G25)</f>
        <v>102.91</v>
      </c>
      <c r="H26" s="64"/>
      <c r="I26" s="64"/>
      <c r="J26" s="65"/>
      <c r="K26" s="66">
        <f>SUM(K10:K25)</f>
        <v>111.881</v>
      </c>
      <c r="L26" s="67">
        <f>SUM(L10:L25)</f>
        <v>433496</v>
      </c>
      <c r="N26" s="54"/>
      <c r="O26" s="68"/>
      <c r="P26" s="54"/>
      <c r="Q26" s="54"/>
      <c r="V26" s="625" t="s">
        <v>62</v>
      </c>
      <c r="W26" s="625"/>
      <c r="X26" s="626">
        <f>SUM(X10:X25)</f>
        <v>0</v>
      </c>
      <c r="Y26" s="626"/>
      <c r="Z26" s="627"/>
      <c r="AA26" s="628"/>
      <c r="AB26" s="69">
        <f>SUM(AB10:AB25)</f>
        <v>0</v>
      </c>
      <c r="AC26" s="70">
        <f>SUM(AC10:AC25)</f>
        <v>0</v>
      </c>
      <c r="AD26" s="9"/>
    </row>
    <row r="27" spans="1:30" ht="51.75" customHeight="1" x14ac:dyDescent="0.25">
      <c r="B27" s="62" t="s">
        <v>63</v>
      </c>
      <c r="C27" s="62"/>
      <c r="D27" s="71" t="s">
        <v>13</v>
      </c>
      <c r="E27" s="71" t="s">
        <v>14</v>
      </c>
      <c r="F27" s="27"/>
      <c r="G27" s="72" t="s">
        <v>64</v>
      </c>
      <c r="H27" s="73"/>
      <c r="I27" s="74" t="s">
        <v>65</v>
      </c>
      <c r="J27" s="74" t="s">
        <v>66</v>
      </c>
      <c r="K27" s="75" t="s">
        <v>67</v>
      </c>
      <c r="N27" s="54"/>
      <c r="O27" s="68"/>
      <c r="P27" s="54"/>
      <c r="Q27" s="54"/>
      <c r="V27" s="629" t="s">
        <v>63</v>
      </c>
      <c r="W27" s="629"/>
      <c r="X27" s="630" t="s">
        <v>64</v>
      </c>
      <c r="Y27" s="630"/>
      <c r="Z27" s="76" t="s">
        <v>65</v>
      </c>
      <c r="AA27" s="77" t="s">
        <v>66</v>
      </c>
      <c r="AB27" s="78" t="s">
        <v>67</v>
      </c>
      <c r="AC27" s="9"/>
      <c r="AD27" s="9"/>
    </row>
    <row r="28" spans="1:30" ht="15.75" customHeight="1" x14ac:dyDescent="0.25">
      <c r="A28" s="1" t="s">
        <v>68</v>
      </c>
      <c r="B28" s="631" t="s">
        <v>69</v>
      </c>
      <c r="C28" s="632"/>
      <c r="D28" s="13">
        <v>2</v>
      </c>
      <c r="E28" s="13">
        <v>2</v>
      </c>
      <c r="F28" s="79">
        <v>3.5</v>
      </c>
      <c r="G28" s="46">
        <f t="shared" ref="G28:G36" si="6">D28+E28</f>
        <v>4</v>
      </c>
      <c r="H28" s="80"/>
      <c r="I28" s="81" t="s">
        <v>70</v>
      </c>
      <c r="J28" s="82">
        <v>251</v>
      </c>
      <c r="K28" s="83">
        <v>1047</v>
      </c>
      <c r="L28" s="84">
        <f>ROUND(G28*K28,0)</f>
        <v>4188</v>
      </c>
      <c r="N28" s="85">
        <v>5101</v>
      </c>
      <c r="O28" s="54">
        <v>251</v>
      </c>
      <c r="P28" s="86"/>
      <c r="Q28" s="87"/>
      <c r="V28" s="637" t="s">
        <v>69</v>
      </c>
      <c r="W28" s="637"/>
      <c r="X28" s="638"/>
      <c r="Y28" s="638"/>
      <c r="Z28" s="88" t="s">
        <v>70</v>
      </c>
      <c r="AA28" s="89">
        <v>251</v>
      </c>
      <c r="AB28" s="90">
        <f>+K28</f>
        <v>1047</v>
      </c>
      <c r="AC28" s="91">
        <f t="shared" ref="AC28:AC36" si="7">ROUND(X28*AB28,0)</f>
        <v>0</v>
      </c>
      <c r="AD28" s="9"/>
    </row>
    <row r="29" spans="1:30" x14ac:dyDescent="0.25">
      <c r="A29" s="1" t="s">
        <v>71</v>
      </c>
      <c r="B29" s="633"/>
      <c r="C29" s="634"/>
      <c r="D29" s="13">
        <v>0</v>
      </c>
      <c r="E29" s="13">
        <v>0</v>
      </c>
      <c r="F29" s="92">
        <v>0</v>
      </c>
      <c r="G29" s="46">
        <f t="shared" si="6"/>
        <v>0</v>
      </c>
      <c r="H29" s="80"/>
      <c r="I29" s="82" t="s">
        <v>70</v>
      </c>
      <c r="J29" s="82">
        <v>252</v>
      </c>
      <c r="K29" s="83">
        <v>3380</v>
      </c>
      <c r="L29" s="84">
        <f t="shared" ref="L29:L36" si="8">ROUND(G29*K29,0)</f>
        <v>0</v>
      </c>
      <c r="N29" s="85">
        <v>5101</v>
      </c>
      <c r="O29" s="54">
        <v>252</v>
      </c>
      <c r="P29" s="86"/>
      <c r="Q29" s="87"/>
      <c r="V29" s="637"/>
      <c r="W29" s="637"/>
      <c r="X29" s="638"/>
      <c r="Y29" s="638"/>
      <c r="Z29" s="89" t="s">
        <v>70</v>
      </c>
      <c r="AA29" s="89">
        <v>252</v>
      </c>
      <c r="AB29" s="90">
        <f t="shared" ref="AB29:AB36" si="9">+K29</f>
        <v>3380</v>
      </c>
      <c r="AC29" s="91">
        <f t="shared" si="7"/>
        <v>0</v>
      </c>
      <c r="AD29" s="9"/>
    </row>
    <row r="30" spans="1:30" x14ac:dyDescent="0.25">
      <c r="A30" s="1" t="s">
        <v>72</v>
      </c>
      <c r="B30" s="633"/>
      <c r="C30" s="634"/>
      <c r="D30" s="13">
        <v>0</v>
      </c>
      <c r="E30" s="13">
        <v>0</v>
      </c>
      <c r="F30" s="92">
        <v>0</v>
      </c>
      <c r="G30" s="46">
        <f t="shared" si="6"/>
        <v>0</v>
      </c>
      <c r="H30" s="80"/>
      <c r="I30" s="82" t="s">
        <v>70</v>
      </c>
      <c r="J30" s="82">
        <v>253</v>
      </c>
      <c r="K30" s="83">
        <v>6896</v>
      </c>
      <c r="L30" s="84">
        <f t="shared" si="8"/>
        <v>0</v>
      </c>
      <c r="N30" s="85">
        <v>5101</v>
      </c>
      <c r="O30" s="54">
        <v>253</v>
      </c>
      <c r="P30" s="86"/>
      <c r="Q30" s="68"/>
      <c r="V30" s="637"/>
      <c r="W30" s="637"/>
      <c r="X30" s="638"/>
      <c r="Y30" s="638"/>
      <c r="Z30" s="89" t="s">
        <v>70</v>
      </c>
      <c r="AA30" s="89">
        <v>253</v>
      </c>
      <c r="AB30" s="90">
        <f t="shared" si="9"/>
        <v>6896</v>
      </c>
      <c r="AC30" s="91">
        <f t="shared" si="7"/>
        <v>0</v>
      </c>
      <c r="AD30" s="9"/>
    </row>
    <row r="31" spans="1:30" x14ac:dyDescent="0.25">
      <c r="A31" s="1" t="s">
        <v>73</v>
      </c>
      <c r="B31" s="633"/>
      <c r="C31" s="634"/>
      <c r="D31" s="13">
        <v>2</v>
      </c>
      <c r="E31" s="13">
        <v>2</v>
      </c>
      <c r="F31" s="92">
        <v>1.5</v>
      </c>
      <c r="G31" s="46">
        <f t="shared" si="6"/>
        <v>4</v>
      </c>
      <c r="H31" s="80"/>
      <c r="I31" s="93" t="s">
        <v>74</v>
      </c>
      <c r="J31" s="82">
        <v>251</v>
      </c>
      <c r="K31" s="83">
        <v>1173</v>
      </c>
      <c r="L31" s="84">
        <f t="shared" si="8"/>
        <v>4692</v>
      </c>
      <c r="N31" s="85">
        <v>5102</v>
      </c>
      <c r="O31" s="54">
        <v>251</v>
      </c>
      <c r="P31" s="86"/>
      <c r="Q31" s="68"/>
      <c r="V31" s="637"/>
      <c r="W31" s="637"/>
      <c r="X31" s="638"/>
      <c r="Y31" s="638"/>
      <c r="Z31" s="94" t="s">
        <v>74</v>
      </c>
      <c r="AA31" s="89">
        <v>251</v>
      </c>
      <c r="AB31" s="90">
        <f t="shared" si="9"/>
        <v>1173</v>
      </c>
      <c r="AC31" s="91">
        <f t="shared" si="7"/>
        <v>0</v>
      </c>
      <c r="AD31" s="9"/>
    </row>
    <row r="32" spans="1:30" x14ac:dyDescent="0.25">
      <c r="A32" s="1" t="s">
        <v>75</v>
      </c>
      <c r="B32" s="633"/>
      <c r="C32" s="634"/>
      <c r="D32" s="13">
        <v>0</v>
      </c>
      <c r="E32" s="13">
        <v>0</v>
      </c>
      <c r="F32" s="92">
        <v>0</v>
      </c>
      <c r="G32" s="46">
        <f t="shared" si="6"/>
        <v>0</v>
      </c>
      <c r="H32" s="80"/>
      <c r="I32" s="93" t="s">
        <v>74</v>
      </c>
      <c r="J32" s="82">
        <v>252</v>
      </c>
      <c r="K32" s="83">
        <v>3506</v>
      </c>
      <c r="L32" s="84">
        <f t="shared" si="8"/>
        <v>0</v>
      </c>
      <c r="N32" s="85">
        <v>5102</v>
      </c>
      <c r="O32" s="54">
        <v>252</v>
      </c>
      <c r="P32" s="86"/>
      <c r="Q32" s="54"/>
      <c r="V32" s="637"/>
      <c r="W32" s="637"/>
      <c r="X32" s="638"/>
      <c r="Y32" s="638"/>
      <c r="Z32" s="94" t="s">
        <v>74</v>
      </c>
      <c r="AA32" s="89">
        <v>252</v>
      </c>
      <c r="AB32" s="90">
        <f t="shared" si="9"/>
        <v>3506</v>
      </c>
      <c r="AC32" s="91">
        <f t="shared" si="7"/>
        <v>0</v>
      </c>
      <c r="AD32" s="9"/>
    </row>
    <row r="33" spans="1:30" x14ac:dyDescent="0.25">
      <c r="A33" s="1" t="s">
        <v>76</v>
      </c>
      <c r="B33" s="633"/>
      <c r="C33" s="634"/>
      <c r="D33" s="13">
        <v>0</v>
      </c>
      <c r="E33" s="13">
        <v>0</v>
      </c>
      <c r="F33" s="92">
        <v>0</v>
      </c>
      <c r="G33" s="46">
        <f t="shared" si="6"/>
        <v>0</v>
      </c>
      <c r="H33" s="80"/>
      <c r="I33" s="93" t="s">
        <v>74</v>
      </c>
      <c r="J33" s="82">
        <v>253</v>
      </c>
      <c r="K33" s="83">
        <v>7023</v>
      </c>
      <c r="L33" s="84">
        <f t="shared" si="8"/>
        <v>0</v>
      </c>
      <c r="N33" s="85">
        <v>5102</v>
      </c>
      <c r="O33" s="54">
        <v>253</v>
      </c>
      <c r="P33" s="86"/>
      <c r="Q33" s="87"/>
      <c r="V33" s="637"/>
      <c r="W33" s="637"/>
      <c r="X33" s="638"/>
      <c r="Y33" s="638"/>
      <c r="Z33" s="94" t="s">
        <v>74</v>
      </c>
      <c r="AA33" s="89">
        <v>253</v>
      </c>
      <c r="AB33" s="90">
        <f t="shared" si="9"/>
        <v>7023</v>
      </c>
      <c r="AC33" s="91">
        <f t="shared" si="7"/>
        <v>0</v>
      </c>
      <c r="AD33" s="9"/>
    </row>
    <row r="34" spans="1:30" x14ac:dyDescent="0.25">
      <c r="A34" s="1" t="s">
        <v>77</v>
      </c>
      <c r="B34" s="633"/>
      <c r="C34" s="634"/>
      <c r="D34" s="13">
        <v>0</v>
      </c>
      <c r="E34" s="13">
        <v>0</v>
      </c>
      <c r="F34" s="92">
        <v>0</v>
      </c>
      <c r="G34" s="46">
        <f t="shared" si="6"/>
        <v>0</v>
      </c>
      <c r="H34" s="80"/>
      <c r="I34" s="93" t="s">
        <v>78</v>
      </c>
      <c r="J34" s="82">
        <v>251</v>
      </c>
      <c r="K34" s="83">
        <v>835</v>
      </c>
      <c r="L34" s="84">
        <f t="shared" si="8"/>
        <v>0</v>
      </c>
      <c r="N34" s="85">
        <v>5103</v>
      </c>
      <c r="O34" s="54">
        <v>251</v>
      </c>
      <c r="P34" s="86"/>
      <c r="Q34" s="87"/>
      <c r="V34" s="637"/>
      <c r="W34" s="637"/>
      <c r="X34" s="638"/>
      <c r="Y34" s="638"/>
      <c r="Z34" s="94" t="s">
        <v>78</v>
      </c>
      <c r="AA34" s="89">
        <v>251</v>
      </c>
      <c r="AB34" s="90">
        <f t="shared" si="9"/>
        <v>835</v>
      </c>
      <c r="AC34" s="91">
        <f t="shared" si="7"/>
        <v>0</v>
      </c>
      <c r="AD34" s="9"/>
    </row>
    <row r="35" spans="1:30" x14ac:dyDescent="0.25">
      <c r="A35" s="1" t="s">
        <v>79</v>
      </c>
      <c r="B35" s="633"/>
      <c r="C35" s="634"/>
      <c r="D35" s="13">
        <v>0</v>
      </c>
      <c r="E35" s="13">
        <v>0</v>
      </c>
      <c r="F35" s="92">
        <v>0</v>
      </c>
      <c r="G35" s="46">
        <f t="shared" si="6"/>
        <v>0</v>
      </c>
      <c r="H35" s="80"/>
      <c r="I35" s="93" t="s">
        <v>78</v>
      </c>
      <c r="J35" s="82">
        <v>252</v>
      </c>
      <c r="K35" s="83">
        <v>3168</v>
      </c>
      <c r="L35" s="84">
        <f t="shared" si="8"/>
        <v>0</v>
      </c>
      <c r="N35" s="85">
        <v>5103</v>
      </c>
      <c r="O35" s="54">
        <v>252</v>
      </c>
      <c r="P35" s="86"/>
      <c r="Q35" s="95"/>
      <c r="V35" s="637"/>
      <c r="W35" s="637"/>
      <c r="X35" s="638"/>
      <c r="Y35" s="638"/>
      <c r="Z35" s="94" t="s">
        <v>78</v>
      </c>
      <c r="AA35" s="89">
        <v>252</v>
      </c>
      <c r="AB35" s="90">
        <f t="shared" si="9"/>
        <v>3168</v>
      </c>
      <c r="AC35" s="91">
        <f t="shared" si="7"/>
        <v>0</v>
      </c>
      <c r="AD35" s="9"/>
    </row>
    <row r="36" spans="1:30" ht="16.5" thickBot="1" x14ac:dyDescent="0.3">
      <c r="A36" s="1" t="s">
        <v>80</v>
      </c>
      <c r="B36" s="635"/>
      <c r="C36" s="636"/>
      <c r="D36" s="13">
        <v>0</v>
      </c>
      <c r="E36" s="13">
        <v>0</v>
      </c>
      <c r="F36" s="92">
        <v>0</v>
      </c>
      <c r="G36" s="46">
        <f t="shared" si="6"/>
        <v>0</v>
      </c>
      <c r="H36" s="80"/>
      <c r="I36" s="93" t="s">
        <v>78</v>
      </c>
      <c r="J36" s="82">
        <v>253</v>
      </c>
      <c r="K36" s="83">
        <v>6685</v>
      </c>
      <c r="L36" s="96">
        <f t="shared" si="8"/>
        <v>0</v>
      </c>
      <c r="N36" s="85">
        <v>5103</v>
      </c>
      <c r="O36" s="54">
        <v>253</v>
      </c>
      <c r="P36" s="86"/>
      <c r="Q36" s="97"/>
      <c r="V36" s="637"/>
      <c r="W36" s="637"/>
      <c r="X36" s="645"/>
      <c r="Y36" s="645"/>
      <c r="Z36" s="94" t="s">
        <v>78</v>
      </c>
      <c r="AA36" s="89">
        <v>253</v>
      </c>
      <c r="AB36" s="90">
        <f t="shared" si="9"/>
        <v>6685</v>
      </c>
      <c r="AC36" s="98">
        <f t="shared" si="7"/>
        <v>0</v>
      </c>
      <c r="AD36" s="9"/>
    </row>
    <row r="37" spans="1:30" ht="18.75" customHeight="1" x14ac:dyDescent="0.25">
      <c r="B37" s="13" t="s">
        <v>81</v>
      </c>
      <c r="C37" s="13"/>
      <c r="D37" s="63">
        <f t="shared" ref="D37:E37" si="10">SUM(D28:D36)</f>
        <v>4</v>
      </c>
      <c r="E37" s="63">
        <f t="shared" si="10"/>
        <v>4</v>
      </c>
      <c r="F37" s="63"/>
      <c r="G37" s="63">
        <f>SUM(G28:G36)</f>
        <v>8</v>
      </c>
      <c r="H37" s="64"/>
      <c r="I37" s="13" t="s">
        <v>82</v>
      </c>
      <c r="J37" s="13"/>
      <c r="K37" s="13"/>
      <c r="L37" s="50">
        <f>SUM(L28:L36)</f>
        <v>8880</v>
      </c>
      <c r="N37" s="54"/>
      <c r="O37" s="68"/>
      <c r="P37" s="54"/>
      <c r="Q37" s="54"/>
      <c r="V37" s="646" t="s">
        <v>81</v>
      </c>
      <c r="W37" s="646"/>
      <c r="X37" s="626">
        <f>SUM(X28:X36)</f>
        <v>0</v>
      </c>
      <c r="Y37" s="626"/>
      <c r="Z37" s="646" t="s">
        <v>82</v>
      </c>
      <c r="AA37" s="646"/>
      <c r="AB37" s="646"/>
      <c r="AC37" s="56">
        <f>SUM(AC28:AC36)</f>
        <v>0</v>
      </c>
      <c r="AD37" s="9"/>
    </row>
    <row r="38" spans="1:30" ht="30.75" customHeight="1" x14ac:dyDescent="0.25">
      <c r="B38" s="99" t="s">
        <v>83</v>
      </c>
      <c r="C38" s="99"/>
      <c r="D38" s="99"/>
      <c r="E38" s="99"/>
      <c r="F38" s="99"/>
      <c r="G38" s="99"/>
      <c r="H38" s="100"/>
      <c r="I38" s="99"/>
      <c r="J38" s="99"/>
      <c r="K38" s="99"/>
      <c r="L38" s="99"/>
      <c r="M38" s="101"/>
      <c r="N38" s="54"/>
      <c r="O38" s="68"/>
      <c r="P38" s="54"/>
      <c r="Q38" s="54"/>
      <c r="V38" s="639" t="s">
        <v>83</v>
      </c>
      <c r="W38" s="639"/>
      <c r="X38" s="639"/>
      <c r="Y38" s="639"/>
      <c r="Z38" s="639"/>
      <c r="AA38" s="639"/>
      <c r="AB38" s="639"/>
      <c r="AC38" s="639"/>
      <c r="AD38" s="102"/>
    </row>
    <row r="39" spans="1:30" ht="15.75" customHeight="1" x14ac:dyDescent="0.25">
      <c r="B39" s="103" t="s">
        <v>84</v>
      </c>
      <c r="C39" s="103"/>
      <c r="D39" s="103"/>
      <c r="E39" s="103"/>
      <c r="F39" s="103"/>
      <c r="G39" s="104">
        <v>34389540</v>
      </c>
      <c r="H39" s="104"/>
      <c r="I39" s="13" t="s">
        <v>85</v>
      </c>
      <c r="J39" s="13"/>
      <c r="K39" s="13"/>
      <c r="L39" s="13"/>
      <c r="O39" s="1"/>
      <c r="V39" s="640" t="s">
        <v>84</v>
      </c>
      <c r="W39" s="640"/>
      <c r="X39" s="641">
        <f>+G39</f>
        <v>34389540</v>
      </c>
      <c r="Y39" s="641"/>
      <c r="Z39" s="642" t="s">
        <v>85</v>
      </c>
      <c r="AA39" s="642"/>
      <c r="AB39" s="642"/>
      <c r="AC39" s="642"/>
      <c r="AD39" s="9"/>
    </row>
    <row r="40" spans="1:30" ht="15.75" customHeight="1" x14ac:dyDescent="0.25">
      <c r="B40" s="105" t="s">
        <v>86</v>
      </c>
      <c r="C40" s="105"/>
      <c r="D40" s="105"/>
      <c r="E40" s="105"/>
      <c r="F40" s="105"/>
      <c r="G40" s="106">
        <v>180284.81</v>
      </c>
      <c r="H40" s="106"/>
      <c r="I40" s="106"/>
      <c r="J40" s="106"/>
      <c r="K40" s="50">
        <f>ROUND(G39/G40,0)</f>
        <v>191</v>
      </c>
      <c r="L40" s="50">
        <f>ROUND(K40*$G$26,0)</f>
        <v>19656</v>
      </c>
      <c r="N40" s="107"/>
      <c r="O40" s="107"/>
      <c r="P40" s="107"/>
      <c r="Q40" s="107"/>
      <c r="V40" s="643" t="s">
        <v>86</v>
      </c>
      <c r="W40" s="643"/>
      <c r="X40" s="644">
        <f>+G40</f>
        <v>180284.81</v>
      </c>
      <c r="Y40" s="644"/>
      <c r="Z40" s="644"/>
      <c r="AA40" s="644"/>
      <c r="AB40" s="56">
        <f>ROUND(X39/X40,0)</f>
        <v>191</v>
      </c>
      <c r="AC40" s="56">
        <f>ROUND(AB40*$X$26,0)</f>
        <v>0</v>
      </c>
      <c r="AD40" s="9"/>
    </row>
    <row r="41" spans="1:30" ht="15.75" customHeight="1" x14ac:dyDescent="0.25">
      <c r="B41" s="108" t="s">
        <v>87</v>
      </c>
      <c r="C41" s="108"/>
      <c r="D41" s="108"/>
      <c r="E41" s="108"/>
      <c r="F41" s="108"/>
      <c r="G41" s="108"/>
      <c r="H41" s="108"/>
      <c r="I41" s="108"/>
      <c r="J41" s="108"/>
      <c r="K41" s="108"/>
      <c r="L41" s="108"/>
      <c r="N41" s="101"/>
      <c r="O41" s="109"/>
      <c r="P41" s="101"/>
      <c r="Q41" s="101"/>
      <c r="V41" s="652" t="s">
        <v>87</v>
      </c>
      <c r="W41" s="652"/>
      <c r="X41" s="652"/>
      <c r="Y41" s="652"/>
      <c r="Z41" s="652"/>
      <c r="AA41" s="652"/>
      <c r="AB41" s="652"/>
      <c r="AC41" s="652"/>
      <c r="AD41" s="9"/>
    </row>
    <row r="42" spans="1:30" ht="28.5" customHeight="1" x14ac:dyDescent="0.25">
      <c r="B42" s="99" t="s">
        <v>88</v>
      </c>
      <c r="C42" s="99"/>
      <c r="D42" s="99"/>
      <c r="E42" s="99"/>
      <c r="F42" s="99"/>
      <c r="G42" s="99"/>
      <c r="H42" s="99"/>
      <c r="I42" s="99"/>
      <c r="J42" s="99"/>
      <c r="K42" s="99"/>
      <c r="L42" s="99"/>
      <c r="M42" s="107"/>
      <c r="O42" s="1"/>
      <c r="V42" s="639" t="s">
        <v>88</v>
      </c>
      <c r="W42" s="639"/>
      <c r="X42" s="639"/>
      <c r="Y42" s="639"/>
      <c r="Z42" s="639"/>
      <c r="AA42" s="639"/>
      <c r="AB42" s="639"/>
      <c r="AC42" s="639"/>
      <c r="AD42" s="110"/>
    </row>
    <row r="43" spans="1:30" x14ac:dyDescent="0.25">
      <c r="B43" s="111" t="s">
        <v>89</v>
      </c>
      <c r="C43" s="111"/>
      <c r="D43" s="111"/>
      <c r="E43" s="111"/>
      <c r="F43" s="111"/>
      <c r="G43" s="111"/>
      <c r="H43" s="111"/>
      <c r="I43" s="111"/>
      <c r="J43" s="111"/>
      <c r="K43" s="111"/>
      <c r="L43" s="111"/>
      <c r="M43" s="112"/>
      <c r="N43" s="101"/>
      <c r="O43" s="101"/>
      <c r="P43" s="101"/>
      <c r="Q43" s="101"/>
      <c r="V43" s="653" t="s">
        <v>89</v>
      </c>
      <c r="W43" s="653"/>
      <c r="X43" s="653"/>
      <c r="Y43" s="653"/>
      <c r="Z43" s="653"/>
      <c r="AA43" s="653"/>
      <c r="AB43" s="653"/>
      <c r="AC43" s="653"/>
      <c r="AD43" s="113"/>
    </row>
    <row r="44" spans="1:30" ht="24" customHeight="1" x14ac:dyDescent="0.25">
      <c r="B44" s="62" t="s">
        <v>90</v>
      </c>
      <c r="C44" s="62"/>
      <c r="D44" s="62"/>
      <c r="E44" s="62"/>
      <c r="F44" s="62"/>
      <c r="G44" s="62"/>
      <c r="H44" s="62"/>
      <c r="I44" s="62"/>
      <c r="J44" s="62"/>
      <c r="K44" s="62"/>
      <c r="L44" s="114">
        <f>SUM(L26,L37,L40)</f>
        <v>462032</v>
      </c>
      <c r="O44" s="1"/>
      <c r="V44" s="654" t="s">
        <v>90</v>
      </c>
      <c r="W44" s="654"/>
      <c r="X44" s="654"/>
      <c r="Y44" s="654"/>
      <c r="Z44" s="654"/>
      <c r="AA44" s="654"/>
      <c r="AB44" s="654"/>
      <c r="AC44" s="115">
        <f>SUM(AC26,AC37,AC40)</f>
        <v>0</v>
      </c>
      <c r="AD44" s="9"/>
    </row>
    <row r="45" spans="1:30" ht="30.75" customHeight="1" x14ac:dyDescent="0.25">
      <c r="B45" s="99" t="s">
        <v>91</v>
      </c>
      <c r="C45" s="99"/>
      <c r="D45" s="99"/>
      <c r="E45" s="99"/>
      <c r="F45" s="99"/>
      <c r="G45" s="99"/>
      <c r="H45" s="99"/>
      <c r="I45" s="99"/>
      <c r="J45" s="99"/>
      <c r="K45" s="99"/>
      <c r="L45" s="99"/>
      <c r="M45" s="116"/>
      <c r="O45" s="1"/>
      <c r="V45" s="639" t="s">
        <v>91</v>
      </c>
      <c r="W45" s="639"/>
      <c r="X45" s="639"/>
      <c r="Y45" s="639"/>
      <c r="Z45" s="639"/>
      <c r="AA45" s="639"/>
      <c r="AB45" s="639"/>
      <c r="AC45" s="639"/>
      <c r="AD45" s="117"/>
    </row>
    <row r="46" spans="1:30" ht="18.75" customHeight="1" x14ac:dyDescent="0.25">
      <c r="B46" s="1"/>
      <c r="C46" s="118" t="s">
        <v>92</v>
      </c>
      <c r="D46" s="118"/>
      <c r="E46" s="118"/>
      <c r="F46" s="118"/>
      <c r="G46" s="118" t="s">
        <v>93</v>
      </c>
      <c r="H46" s="119"/>
      <c r="I46" s="120" t="s">
        <v>94</v>
      </c>
      <c r="J46" s="121"/>
      <c r="K46" s="121"/>
      <c r="L46" s="121"/>
      <c r="M46" s="122"/>
      <c r="O46" s="1"/>
      <c r="V46" s="9"/>
      <c r="W46" s="123" t="s">
        <v>92</v>
      </c>
      <c r="X46" s="655" t="s">
        <v>95</v>
      </c>
      <c r="Y46" s="655"/>
      <c r="Z46" s="656" t="s">
        <v>94</v>
      </c>
      <c r="AA46" s="656"/>
      <c r="AB46" s="656"/>
      <c r="AC46" s="656"/>
      <c r="AD46" s="124"/>
    </row>
    <row r="47" spans="1:30" ht="18.75" customHeight="1" x14ac:dyDescent="0.25">
      <c r="B47" s="107" t="s">
        <v>96</v>
      </c>
      <c r="C47" s="125">
        <f>K10+K11+K16+K19+K22</f>
        <v>80.210999999999999</v>
      </c>
      <c r="D47" s="125"/>
      <c r="E47" s="125"/>
      <c r="F47" s="125"/>
      <c r="G47" s="126">
        <f>K7</f>
        <v>1.0326</v>
      </c>
      <c r="H47" s="126"/>
      <c r="I47" s="127">
        <v>1316.85</v>
      </c>
      <c r="J47" s="128" t="s">
        <v>97</v>
      </c>
      <c r="K47" s="129">
        <f>ROUND(C47*G47*I47,0)</f>
        <v>109069</v>
      </c>
      <c r="L47" s="130"/>
      <c r="O47" s="1"/>
      <c r="V47" s="110" t="s">
        <v>96</v>
      </c>
      <c r="W47" s="131">
        <f>AB10+AB11+AB16+AB19+AB22</f>
        <v>0</v>
      </c>
      <c r="X47" s="647">
        <f>AB7</f>
        <v>1.0326</v>
      </c>
      <c r="Y47" s="647"/>
      <c r="Z47" s="132">
        <f>+I47</f>
        <v>1316.85</v>
      </c>
      <c r="AA47" s="133" t="s">
        <v>97</v>
      </c>
      <c r="AB47" s="134">
        <f>ROUND(W47*X47*Z47,0)</f>
        <v>0</v>
      </c>
      <c r="AC47" s="135"/>
      <c r="AD47" s="9"/>
    </row>
    <row r="48" spans="1:30" ht="18" customHeight="1" x14ac:dyDescent="0.25">
      <c r="B48" s="136" t="s">
        <v>74</v>
      </c>
      <c r="C48" s="125">
        <f>K12+K13+K17+K20+K23</f>
        <v>31.67</v>
      </c>
      <c r="D48" s="125"/>
      <c r="E48" s="125"/>
      <c r="F48" s="125"/>
      <c r="G48" s="126">
        <f>K7</f>
        <v>1.0326</v>
      </c>
      <c r="H48" s="126"/>
      <c r="I48" s="127">
        <v>898.23</v>
      </c>
      <c r="J48" s="128" t="s">
        <v>97</v>
      </c>
      <c r="K48" s="129">
        <f>ROUND(C48*G48*I48,0)</f>
        <v>29374</v>
      </c>
      <c r="L48" s="62"/>
      <c r="O48" s="1"/>
      <c r="V48" s="137" t="s">
        <v>74</v>
      </c>
      <c r="W48" s="131">
        <f>AB12+AB13+AB17+AB20+AB23</f>
        <v>0</v>
      </c>
      <c r="X48" s="647">
        <f>AB7</f>
        <v>1.0326</v>
      </c>
      <c r="Y48" s="647"/>
      <c r="Z48" s="132">
        <f>+I48</f>
        <v>898.23</v>
      </c>
      <c r="AA48" s="133" t="s">
        <v>97</v>
      </c>
      <c r="AB48" s="134">
        <f>ROUND(W48*X48*Z48,0)</f>
        <v>0</v>
      </c>
      <c r="AC48" s="138"/>
      <c r="AD48" s="9"/>
    </row>
    <row r="49" spans="2:30" ht="19.5" customHeight="1" thickBot="1" x14ac:dyDescent="0.3">
      <c r="B49" s="139" t="s">
        <v>78</v>
      </c>
      <c r="C49" s="140">
        <f>K14+K15+K18+K21+K24+K25</f>
        <v>0</v>
      </c>
      <c r="D49" s="125"/>
      <c r="E49" s="125"/>
      <c r="F49" s="125"/>
      <c r="G49" s="126">
        <f>K7</f>
        <v>1.0326</v>
      </c>
      <c r="H49" s="126"/>
      <c r="I49" s="127">
        <v>900.39</v>
      </c>
      <c r="J49" s="128" t="s">
        <v>97</v>
      </c>
      <c r="K49" s="129">
        <f>ROUND(C49*G49*I49,0)</f>
        <v>0</v>
      </c>
      <c r="L49" s="62"/>
      <c r="M49" s="112"/>
      <c r="N49" s="141"/>
      <c r="O49" s="142"/>
      <c r="P49" s="101"/>
      <c r="Q49" s="143"/>
      <c r="V49" s="144" t="s">
        <v>78</v>
      </c>
      <c r="W49" s="145">
        <f>AB14+AB15+AB18+AB21+AB24+AB25</f>
        <v>0</v>
      </c>
      <c r="X49" s="647">
        <f>AB7</f>
        <v>1.0326</v>
      </c>
      <c r="Y49" s="647"/>
      <c r="Z49" s="132">
        <f>+I49</f>
        <v>900.39</v>
      </c>
      <c r="AA49" s="133" t="s">
        <v>97</v>
      </c>
      <c r="AB49" s="134">
        <f>ROUND(W49*X49*Z49,0)</f>
        <v>0</v>
      </c>
      <c r="AC49" s="138"/>
      <c r="AD49" s="113"/>
    </row>
    <row r="50" spans="2:30" ht="24" customHeight="1" thickBot="1" x14ac:dyDescent="0.3">
      <c r="B50" s="146" t="s">
        <v>98</v>
      </c>
      <c r="C50" s="147">
        <f>SUM(C47:C49)</f>
        <v>111.881</v>
      </c>
      <c r="D50" s="148"/>
      <c r="E50" s="149"/>
      <c r="F50" s="149"/>
      <c r="G50" s="150" t="s">
        <v>99</v>
      </c>
      <c r="H50" s="150"/>
      <c r="I50" s="150"/>
      <c r="J50" s="150"/>
      <c r="K50" s="150"/>
      <c r="L50" s="50">
        <f>IF(B2=75,0,K49+K48+K47)</f>
        <v>138443</v>
      </c>
      <c r="N50" s="3"/>
      <c r="O50" s="1"/>
      <c r="V50" s="151" t="s">
        <v>98</v>
      </c>
      <c r="W50" s="152">
        <f>SUM(W47:W49)</f>
        <v>0</v>
      </c>
      <c r="X50" s="648" t="s">
        <v>99</v>
      </c>
      <c r="Y50" s="649"/>
      <c r="Z50" s="649"/>
      <c r="AA50" s="649"/>
      <c r="AB50" s="649"/>
      <c r="AC50" s="56">
        <f>IF(V2=75,0,AB49+AB48+AB47)</f>
        <v>0</v>
      </c>
      <c r="AD50" s="9"/>
    </row>
    <row r="51" spans="2:30" ht="19.5" customHeight="1" x14ac:dyDescent="0.25">
      <c r="B51" s="153" t="s">
        <v>100</v>
      </c>
      <c r="C51" s="153"/>
      <c r="D51" s="153"/>
      <c r="E51" s="153"/>
      <c r="F51" s="153"/>
      <c r="G51" s="153"/>
      <c r="H51" s="153"/>
      <c r="I51" s="153"/>
      <c r="J51" s="153"/>
      <c r="K51" s="153"/>
      <c r="L51" s="153"/>
      <c r="M51" s="141"/>
      <c r="N51" s="101"/>
      <c r="O51" s="1"/>
      <c r="V51" s="650" t="s">
        <v>100</v>
      </c>
      <c r="W51" s="650"/>
      <c r="X51" s="650"/>
      <c r="Y51" s="650"/>
      <c r="Z51" s="650"/>
      <c r="AA51" s="650"/>
      <c r="AB51" s="650"/>
      <c r="AC51" s="650"/>
      <c r="AD51" s="154"/>
    </row>
    <row r="52" spans="2:30" ht="27.75" customHeight="1" x14ac:dyDescent="0.25">
      <c r="B52" s="13" t="s">
        <v>101</v>
      </c>
      <c r="C52" s="13"/>
      <c r="D52" s="13"/>
      <c r="E52" s="13"/>
      <c r="F52" s="13"/>
      <c r="G52" s="13"/>
      <c r="H52" s="13"/>
      <c r="I52" s="13"/>
      <c r="J52" s="13"/>
      <c r="K52" s="13"/>
      <c r="L52" s="13"/>
      <c r="O52" s="1"/>
      <c r="V52" s="651" t="s">
        <v>101</v>
      </c>
      <c r="W52" s="651"/>
      <c r="X52" s="651"/>
      <c r="Y52" s="651"/>
      <c r="Z52" s="651"/>
      <c r="AA52" s="651"/>
      <c r="AB52" s="651"/>
      <c r="AC52" s="651"/>
      <c r="AD52" s="9"/>
    </row>
    <row r="53" spans="2:30" x14ac:dyDescent="0.25">
      <c r="B53" s="13" t="s">
        <v>102</v>
      </c>
      <c r="C53" s="13"/>
      <c r="D53" s="13"/>
      <c r="E53" s="13"/>
      <c r="F53" s="13"/>
      <c r="G53" s="155">
        <f>K26</f>
        <v>111.881</v>
      </c>
      <c r="H53" s="57" t="s">
        <v>103</v>
      </c>
      <c r="I53" s="57"/>
      <c r="J53" s="156">
        <v>197823.77</v>
      </c>
      <c r="K53" s="156"/>
      <c r="L53" s="156"/>
      <c r="N53" s="3"/>
      <c r="O53" s="1"/>
      <c r="V53" s="657" t="s">
        <v>102</v>
      </c>
      <c r="W53" s="657"/>
      <c r="X53" s="157">
        <f>AB26</f>
        <v>0</v>
      </c>
      <c r="Y53" s="658" t="s">
        <v>103</v>
      </c>
      <c r="Z53" s="658"/>
      <c r="AA53" s="659">
        <f>+J53</f>
        <v>197823.77</v>
      </c>
      <c r="AB53" s="659"/>
      <c r="AC53" s="659"/>
      <c r="AD53" s="9"/>
    </row>
    <row r="54" spans="2:30" x14ac:dyDescent="0.25">
      <c r="B54" s="13" t="s">
        <v>104</v>
      </c>
      <c r="C54" s="13"/>
      <c r="D54" s="13"/>
      <c r="E54" s="13"/>
      <c r="F54" s="13"/>
      <c r="G54" s="13"/>
      <c r="H54" s="13"/>
      <c r="I54" s="13"/>
      <c r="J54" s="13"/>
      <c r="K54" s="158">
        <f>ROUND(G53/J53,6)</f>
        <v>5.6599999999999999E-4</v>
      </c>
      <c r="L54" s="158"/>
      <c r="N54" s="101"/>
      <c r="O54" s="1"/>
      <c r="V54" s="657" t="s">
        <v>104</v>
      </c>
      <c r="W54" s="657"/>
      <c r="X54" s="657"/>
      <c r="Y54" s="657"/>
      <c r="Z54" s="657"/>
      <c r="AA54" s="657"/>
      <c r="AB54" s="660">
        <f>ROUND(X53/AA53,6)</f>
        <v>0</v>
      </c>
      <c r="AC54" s="660"/>
      <c r="AD54" s="9"/>
    </row>
    <row r="55" spans="2:30" ht="24" customHeight="1" x14ac:dyDescent="0.25">
      <c r="B55" s="13" t="s">
        <v>105</v>
      </c>
      <c r="C55" s="13"/>
      <c r="D55" s="13"/>
      <c r="E55" s="13"/>
      <c r="F55" s="13"/>
      <c r="G55" s="13"/>
      <c r="H55" s="13"/>
      <c r="I55" s="13"/>
      <c r="J55" s="13"/>
      <c r="K55" s="13"/>
      <c r="L55" s="13"/>
      <c r="O55" s="1"/>
      <c r="V55" s="651" t="s">
        <v>105</v>
      </c>
      <c r="W55" s="651"/>
      <c r="X55" s="651"/>
      <c r="Y55" s="651"/>
      <c r="Z55" s="651"/>
      <c r="AA55" s="651"/>
      <c r="AB55" s="651"/>
      <c r="AC55" s="651"/>
      <c r="AD55" s="9"/>
    </row>
    <row r="56" spans="2:30" x14ac:dyDescent="0.25">
      <c r="B56" s="13" t="s">
        <v>106</v>
      </c>
      <c r="C56" s="13"/>
      <c r="D56" s="13"/>
      <c r="E56" s="13"/>
      <c r="F56" s="13"/>
      <c r="G56" s="159">
        <f>G26</f>
        <v>102.91</v>
      </c>
      <c r="H56" s="57" t="s">
        <v>107</v>
      </c>
      <c r="I56" s="57"/>
      <c r="J56" s="156">
        <f>+G40</f>
        <v>180284.81</v>
      </c>
      <c r="K56" s="156"/>
      <c r="L56" s="156"/>
      <c r="O56" s="1"/>
      <c r="V56" s="657" t="s">
        <v>106</v>
      </c>
      <c r="W56" s="657"/>
      <c r="X56" s="160">
        <f>X26</f>
        <v>0</v>
      </c>
      <c r="Y56" s="658" t="s">
        <v>107</v>
      </c>
      <c r="Z56" s="658"/>
      <c r="AA56" s="659">
        <f>+J56</f>
        <v>180284.81</v>
      </c>
      <c r="AB56" s="659"/>
      <c r="AC56" s="659"/>
      <c r="AD56" s="9"/>
    </row>
    <row r="57" spans="2:30" x14ac:dyDescent="0.25">
      <c r="B57" s="13" t="s">
        <v>108</v>
      </c>
      <c r="C57" s="13"/>
      <c r="D57" s="13"/>
      <c r="E57" s="13"/>
      <c r="F57" s="13"/>
      <c r="G57" s="13"/>
      <c r="H57" s="13"/>
      <c r="I57" s="13"/>
      <c r="J57" s="13"/>
      <c r="K57" s="158">
        <f>ROUND(G56/J56,6)</f>
        <v>5.71E-4</v>
      </c>
      <c r="L57" s="158"/>
      <c r="O57" s="1"/>
      <c r="V57" s="657" t="s">
        <v>108</v>
      </c>
      <c r="W57" s="657"/>
      <c r="X57" s="657"/>
      <c r="Y57" s="657"/>
      <c r="Z57" s="657"/>
      <c r="AA57" s="657"/>
      <c r="AB57" s="660">
        <f>ROUND(X56/AA56,6)</f>
        <v>0</v>
      </c>
      <c r="AC57" s="660"/>
      <c r="AD57" s="9"/>
    </row>
    <row r="58" spans="2:30" ht="20.25" customHeight="1" x14ac:dyDescent="0.25">
      <c r="B58" s="161" t="s">
        <v>109</v>
      </c>
      <c r="C58" s="161"/>
      <c r="D58" s="161"/>
      <c r="E58" s="161"/>
      <c r="F58" s="161"/>
      <c r="G58" s="161"/>
      <c r="H58" s="161"/>
      <c r="I58" s="161"/>
      <c r="J58" s="161"/>
      <c r="K58" s="161"/>
      <c r="L58" s="161"/>
      <c r="N58" s="18"/>
      <c r="O58" s="18"/>
      <c r="V58" s="629" t="s">
        <v>110</v>
      </c>
      <c r="W58" s="629"/>
      <c r="X58" s="629"/>
      <c r="Y58" s="661">
        <f>X65+X64+X62+X61+X60</f>
        <v>4123852</v>
      </c>
      <c r="Z58" s="661"/>
      <c r="AA58" s="162" t="s">
        <v>111</v>
      </c>
      <c r="AB58" s="163">
        <f>AB54</f>
        <v>0</v>
      </c>
      <c r="AC58" s="56">
        <f>ROUND(Y58*AB58,0)</f>
        <v>0</v>
      </c>
      <c r="AD58" s="9"/>
    </row>
    <row r="59" spans="2:30" x14ac:dyDescent="0.25">
      <c r="B59" s="62" t="s">
        <v>110</v>
      </c>
      <c r="C59" s="62"/>
      <c r="D59" s="62"/>
      <c r="E59" s="62"/>
      <c r="F59" s="62"/>
      <c r="G59" s="62"/>
      <c r="H59" s="164" t="s">
        <v>22</v>
      </c>
      <c r="I59" s="129">
        <v>4123852</v>
      </c>
      <c r="J59" s="165" t="s">
        <v>111</v>
      </c>
      <c r="K59" s="166">
        <f>K54</f>
        <v>5.6599999999999999E-4</v>
      </c>
      <c r="L59" s="50">
        <f>ROUND(I59*K59,0)</f>
        <v>2334</v>
      </c>
      <c r="O59" s="1"/>
      <c r="P59" s="165"/>
      <c r="Q59" s="165"/>
      <c r="V59" s="662" t="s">
        <v>112</v>
      </c>
      <c r="W59" s="662"/>
      <c r="X59" s="662"/>
      <c r="Y59" s="662"/>
      <c r="Z59" s="662"/>
      <c r="AA59" s="662"/>
      <c r="AB59" s="662"/>
      <c r="AC59" s="662"/>
      <c r="AD59" s="9"/>
    </row>
    <row r="60" spans="2:30" x14ac:dyDescent="0.25">
      <c r="B60" s="62" t="s">
        <v>112</v>
      </c>
      <c r="C60" s="62"/>
      <c r="D60" s="62"/>
      <c r="E60" s="62"/>
      <c r="F60" s="62"/>
      <c r="G60" s="62"/>
      <c r="H60" s="62"/>
      <c r="I60" s="62"/>
      <c r="J60" s="62"/>
      <c r="K60" s="62"/>
      <c r="L60" s="62"/>
      <c r="O60" s="1"/>
      <c r="P60" s="165"/>
      <c r="Q60" s="165"/>
      <c r="V60" s="663" t="s">
        <v>113</v>
      </c>
      <c r="W60" s="663"/>
      <c r="X60" s="664">
        <f>+G61</f>
        <v>0</v>
      </c>
      <c r="Y60" s="664"/>
      <c r="Z60" s="664"/>
      <c r="AA60" s="664"/>
      <c r="AB60" s="664"/>
      <c r="AC60" s="664"/>
      <c r="AD60" s="9"/>
    </row>
    <row r="61" spans="2:30" ht="15" customHeight="1" x14ac:dyDescent="0.25">
      <c r="B61" s="167" t="s">
        <v>113</v>
      </c>
      <c r="C61" s="62"/>
      <c r="D61" s="62"/>
      <c r="E61" s="62"/>
      <c r="F61" s="62"/>
      <c r="G61" s="168">
        <v>0</v>
      </c>
      <c r="H61" s="168"/>
      <c r="I61" s="168"/>
      <c r="J61" s="168"/>
      <c r="K61" s="168"/>
      <c r="L61" s="168"/>
      <c r="O61" s="1"/>
      <c r="P61" s="165"/>
      <c r="Q61" s="165"/>
      <c r="V61" s="663" t="s">
        <v>114</v>
      </c>
      <c r="W61" s="663"/>
      <c r="X61" s="664">
        <f>+G62</f>
        <v>0</v>
      </c>
      <c r="Y61" s="664"/>
      <c r="Z61" s="664"/>
      <c r="AA61" s="664"/>
      <c r="AB61" s="664"/>
      <c r="AC61" s="664"/>
      <c r="AD61" s="9"/>
    </row>
    <row r="62" spans="2:30" ht="13.5" customHeight="1" x14ac:dyDescent="0.25">
      <c r="B62" s="167" t="s">
        <v>114</v>
      </c>
      <c r="C62" s="62"/>
      <c r="D62" s="62"/>
      <c r="E62" s="62"/>
      <c r="F62" s="62"/>
      <c r="G62" s="168">
        <v>0</v>
      </c>
      <c r="H62" s="168"/>
      <c r="I62" s="168"/>
      <c r="J62" s="168"/>
      <c r="K62" s="168"/>
      <c r="L62" s="168"/>
      <c r="N62" s="165"/>
      <c r="O62" s="165"/>
      <c r="P62" s="165"/>
      <c r="Q62" s="165"/>
      <c r="V62" s="663" t="s">
        <v>115</v>
      </c>
      <c r="W62" s="663"/>
      <c r="X62" s="664">
        <v>0</v>
      </c>
      <c r="Y62" s="664"/>
      <c r="Z62" s="664"/>
      <c r="AA62" s="664"/>
      <c r="AB62" s="664"/>
      <c r="AC62" s="664"/>
      <c r="AD62" s="9"/>
    </row>
    <row r="63" spans="2:30" ht="13.5" hidden="1" customHeight="1" x14ac:dyDescent="0.25">
      <c r="B63" s="62" t="s">
        <v>115</v>
      </c>
      <c r="C63" s="62"/>
      <c r="D63" s="62"/>
      <c r="E63" s="62"/>
      <c r="F63" s="62"/>
      <c r="G63" s="168">
        <v>0</v>
      </c>
      <c r="H63" s="168"/>
      <c r="I63" s="168"/>
      <c r="J63" s="168"/>
      <c r="K63" s="168"/>
      <c r="L63" s="168"/>
      <c r="O63" s="1"/>
      <c r="P63" s="165"/>
      <c r="Q63" s="165"/>
      <c r="V63" s="662" t="s">
        <v>116</v>
      </c>
      <c r="W63" s="662"/>
      <c r="X63" s="662"/>
      <c r="Y63" s="662"/>
      <c r="Z63" s="662"/>
      <c r="AA63" s="662"/>
      <c r="AB63" s="662"/>
      <c r="AC63" s="662"/>
      <c r="AD63" s="117"/>
    </row>
    <row r="64" spans="2:30" ht="13.5" customHeight="1" x14ac:dyDescent="0.25">
      <c r="B64" s="62" t="s">
        <v>116</v>
      </c>
      <c r="C64" s="62"/>
      <c r="D64" s="62"/>
      <c r="E64" s="62"/>
      <c r="F64" s="62"/>
      <c r="G64" s="62"/>
      <c r="H64" s="62"/>
      <c r="I64" s="62"/>
      <c r="J64" s="62"/>
      <c r="K64" s="62"/>
      <c r="L64" s="62"/>
      <c r="M64" s="116"/>
      <c r="N64" s="18"/>
      <c r="O64" s="1"/>
      <c r="V64" s="663" t="s">
        <v>117</v>
      </c>
      <c r="W64" s="663"/>
      <c r="X64" s="664">
        <f>+G65</f>
        <v>4123852</v>
      </c>
      <c r="Y64" s="664"/>
      <c r="Z64" s="664"/>
      <c r="AA64" s="664"/>
      <c r="AB64" s="664"/>
      <c r="AC64" s="664"/>
      <c r="AD64" s="9"/>
    </row>
    <row r="65" spans="1:30" ht="12.75" customHeight="1" x14ac:dyDescent="0.25">
      <c r="B65" s="167" t="s">
        <v>117</v>
      </c>
      <c r="C65" s="62"/>
      <c r="D65" s="62"/>
      <c r="E65" s="62"/>
      <c r="F65" s="62"/>
      <c r="G65" s="168">
        <f>+I59</f>
        <v>4123852</v>
      </c>
      <c r="H65" s="168"/>
      <c r="I65" s="168"/>
      <c r="J65" s="168"/>
      <c r="K65" s="168"/>
      <c r="L65" s="168"/>
      <c r="O65" s="1"/>
      <c r="V65" s="663" t="s">
        <v>118</v>
      </c>
      <c r="W65" s="663"/>
      <c r="X65" s="664">
        <f>+G66</f>
        <v>0</v>
      </c>
      <c r="Y65" s="664"/>
      <c r="Z65" s="664"/>
      <c r="AA65" s="664"/>
      <c r="AB65" s="664"/>
      <c r="AC65" s="664"/>
      <c r="AD65" s="20"/>
    </row>
    <row r="66" spans="1:30" ht="15" customHeight="1" x14ac:dyDescent="0.25">
      <c r="B66" s="167" t="s">
        <v>118</v>
      </c>
      <c r="C66" s="62"/>
      <c r="D66" s="62"/>
      <c r="E66" s="62"/>
      <c r="F66" s="62"/>
      <c r="G66" s="168">
        <v>0</v>
      </c>
      <c r="H66" s="168"/>
      <c r="I66" s="168"/>
      <c r="J66" s="168"/>
      <c r="K66" s="168"/>
      <c r="L66" s="168"/>
      <c r="M66" s="18"/>
      <c r="N66" s="3"/>
      <c r="O66" s="169"/>
      <c r="P66" s="169"/>
      <c r="Q66" s="169"/>
      <c r="V66" s="651" t="s">
        <v>119</v>
      </c>
      <c r="W66" s="651"/>
      <c r="X66" s="651"/>
      <c r="Y66" s="661">
        <f>+I67</f>
        <v>96774526</v>
      </c>
      <c r="Z66" s="661"/>
      <c r="AA66" s="162" t="s">
        <v>111</v>
      </c>
      <c r="AB66" s="163">
        <f>AB54</f>
        <v>0</v>
      </c>
      <c r="AC66" s="56">
        <f>ROUND(Y66*AB66,0)</f>
        <v>0</v>
      </c>
      <c r="AD66" s="9"/>
    </row>
    <row r="67" spans="1:30" ht="20.25" customHeight="1" x14ac:dyDescent="0.25">
      <c r="B67" s="13" t="s">
        <v>119</v>
      </c>
      <c r="C67" s="13"/>
      <c r="D67" s="13"/>
      <c r="E67" s="13"/>
      <c r="F67" s="13"/>
      <c r="H67" s="164" t="s">
        <v>25</v>
      </c>
      <c r="I67" s="129">
        <v>96774526</v>
      </c>
      <c r="J67" s="165" t="s">
        <v>111</v>
      </c>
      <c r="K67" s="166">
        <f>K54</f>
        <v>5.6599999999999999E-4</v>
      </c>
      <c r="L67" s="50">
        <f>ROUND(I67*K67,0)</f>
        <v>54774</v>
      </c>
      <c r="O67" s="1"/>
      <c r="V67" s="651" t="s">
        <v>120</v>
      </c>
      <c r="W67" s="651"/>
      <c r="X67" s="651"/>
      <c r="Y67" s="651"/>
      <c r="Z67" s="651"/>
      <c r="AA67" s="651"/>
      <c r="AB67" s="651"/>
      <c r="AC67" s="651"/>
      <c r="AD67" s="9"/>
    </row>
    <row r="68" spans="1:30" ht="20.25" customHeight="1" x14ac:dyDescent="0.25">
      <c r="B68" s="13" t="s">
        <v>120</v>
      </c>
      <c r="C68" s="13"/>
      <c r="D68" s="13"/>
      <c r="E68" s="13"/>
      <c r="F68" s="13"/>
      <c r="H68" s="13"/>
      <c r="I68" s="13"/>
      <c r="J68" s="82"/>
      <c r="K68" s="13"/>
      <c r="L68" s="13"/>
      <c r="O68" s="1"/>
      <c r="V68" s="667" t="s">
        <v>121</v>
      </c>
      <c r="W68" s="667"/>
      <c r="X68" s="667"/>
      <c r="Y68" s="661">
        <f>+I69</f>
        <v>0</v>
      </c>
      <c r="Z68" s="661"/>
      <c r="AA68" s="162" t="s">
        <v>111</v>
      </c>
      <c r="AB68" s="163">
        <f>AB57</f>
        <v>0</v>
      </c>
      <c r="AC68" s="56">
        <f>ROUND(Y68*AB68,0)</f>
        <v>0</v>
      </c>
      <c r="AD68" s="9"/>
    </row>
    <row r="69" spans="1:30" ht="15" customHeight="1" x14ac:dyDescent="0.25">
      <c r="B69" s="170" t="s">
        <v>121</v>
      </c>
      <c r="C69" s="13"/>
      <c r="D69" s="13"/>
      <c r="E69" s="13"/>
      <c r="F69" s="13"/>
      <c r="H69" s="164" t="s">
        <v>23</v>
      </c>
      <c r="I69" s="129">
        <v>0</v>
      </c>
      <c r="J69" s="165" t="s">
        <v>111</v>
      </c>
      <c r="K69" s="166">
        <f>K57</f>
        <v>5.71E-4</v>
      </c>
      <c r="L69" s="50">
        <f>ROUND(I69*K69,0)</f>
        <v>0</v>
      </c>
      <c r="O69" s="1"/>
      <c r="V69" s="651" t="s">
        <v>122</v>
      </c>
      <c r="W69" s="651"/>
      <c r="X69" s="651"/>
      <c r="Y69" s="668">
        <f>+I70</f>
        <v>-3460775</v>
      </c>
      <c r="Z69" s="668"/>
      <c r="AA69" s="162" t="s">
        <v>111</v>
      </c>
      <c r="AB69" s="163">
        <f>AB54</f>
        <v>0</v>
      </c>
      <c r="AC69" s="56">
        <f>ROUND(Y69*AB69,0)</f>
        <v>0</v>
      </c>
      <c r="AD69" s="9"/>
    </row>
    <row r="70" spans="1:30" ht="20.25" customHeight="1" x14ac:dyDescent="0.25">
      <c r="B70" s="13" t="s">
        <v>122</v>
      </c>
      <c r="C70" s="13"/>
      <c r="D70" s="13"/>
      <c r="E70" s="13"/>
      <c r="F70" s="13"/>
      <c r="H70" s="164" t="s">
        <v>22</v>
      </c>
      <c r="I70" s="129">
        <v>-3460775</v>
      </c>
      <c r="J70" s="165" t="s">
        <v>111</v>
      </c>
      <c r="K70" s="166">
        <f>K54</f>
        <v>5.6599999999999999E-4</v>
      </c>
      <c r="L70" s="50">
        <f>ROUND(I70*K70,0)</f>
        <v>-1959</v>
      </c>
      <c r="O70" s="1"/>
      <c r="V70" s="651" t="s">
        <v>123</v>
      </c>
      <c r="W70" s="651"/>
      <c r="X70" s="651"/>
      <c r="Y70" s="665">
        <f>+I71</f>
        <v>1874788</v>
      </c>
      <c r="Z70" s="665"/>
      <c r="AA70" s="162" t="s">
        <v>111</v>
      </c>
      <c r="AB70" s="163">
        <f>AB54</f>
        <v>0</v>
      </c>
      <c r="AC70" s="56">
        <f>ROUND(Y70*AB70,0)</f>
        <v>0</v>
      </c>
      <c r="AD70" s="9"/>
    </row>
    <row r="71" spans="1:30" ht="20.25" customHeight="1" x14ac:dyDescent="0.25">
      <c r="B71" s="13" t="s">
        <v>123</v>
      </c>
      <c r="C71" s="13"/>
      <c r="D71" s="13"/>
      <c r="E71" s="13"/>
      <c r="F71" s="13"/>
      <c r="H71" s="164" t="s">
        <v>22</v>
      </c>
      <c r="I71" s="129">
        <v>1874788</v>
      </c>
      <c r="J71" s="165" t="s">
        <v>111</v>
      </c>
      <c r="K71" s="166">
        <f>K54</f>
        <v>5.6599999999999999E-4</v>
      </c>
      <c r="L71" s="50">
        <f>ROUND(I71*K71,0)</f>
        <v>1061</v>
      </c>
      <c r="O71" s="1"/>
      <c r="V71" s="651" t="s">
        <v>124</v>
      </c>
      <c r="W71" s="651"/>
      <c r="X71" s="651"/>
      <c r="Y71" s="665">
        <f>+I72</f>
        <v>14223298</v>
      </c>
      <c r="Z71" s="665"/>
      <c r="AA71" s="162" t="s">
        <v>111</v>
      </c>
      <c r="AB71" s="163">
        <f>AB57</f>
        <v>0</v>
      </c>
      <c r="AC71" s="56">
        <f>ROUND(Y71*AB71,0)</f>
        <v>0</v>
      </c>
      <c r="AD71" s="9"/>
    </row>
    <row r="72" spans="1:30" ht="21" customHeight="1" x14ac:dyDescent="0.25">
      <c r="B72" s="13" t="s">
        <v>124</v>
      </c>
      <c r="C72" s="13"/>
      <c r="D72" s="13"/>
      <c r="E72" s="13"/>
      <c r="F72" s="13"/>
      <c r="H72" s="164" t="s">
        <v>23</v>
      </c>
      <c r="I72" s="171">
        <v>14223298</v>
      </c>
      <c r="J72" s="165" t="s">
        <v>111</v>
      </c>
      <c r="K72" s="166">
        <f>K57</f>
        <v>5.71E-4</v>
      </c>
      <c r="L72" s="50">
        <f>ROUND(I72*K72,0)</f>
        <v>8122</v>
      </c>
      <c r="O72" s="1"/>
      <c r="V72" s="623" t="s">
        <v>125</v>
      </c>
      <c r="W72" s="623"/>
      <c r="X72" s="623"/>
      <c r="Y72" s="623"/>
      <c r="Z72" s="623"/>
      <c r="AA72" s="623"/>
      <c r="AB72" s="623"/>
      <c r="AC72" s="60"/>
      <c r="AD72" s="9"/>
    </row>
    <row r="73" spans="1:30" ht="17.25" customHeight="1" x14ac:dyDescent="0.25">
      <c r="B73" s="13" t="s">
        <v>125</v>
      </c>
      <c r="C73" s="13"/>
      <c r="D73" s="13"/>
      <c r="E73" s="13"/>
      <c r="F73" s="13"/>
      <c r="H73" s="13"/>
      <c r="I73" s="13"/>
      <c r="J73" s="82"/>
      <c r="K73" s="13"/>
      <c r="L73" s="59"/>
      <c r="O73" s="1"/>
      <c r="V73" s="651" t="s">
        <v>126</v>
      </c>
      <c r="W73" s="651"/>
      <c r="X73" s="651"/>
      <c r="Y73" s="651"/>
      <c r="Z73" s="651"/>
      <c r="AA73" s="651"/>
      <c r="AB73" s="651"/>
      <c r="AC73" s="651"/>
      <c r="AD73" s="9"/>
    </row>
    <row r="74" spans="1:30" ht="31.5" x14ac:dyDescent="0.25">
      <c r="B74" s="13" t="s">
        <v>126</v>
      </c>
      <c r="C74" s="13"/>
      <c r="D74" s="27" t="s">
        <v>13</v>
      </c>
      <c r="E74" s="27" t="s">
        <v>14</v>
      </c>
      <c r="F74" s="27"/>
      <c r="H74" s="164" t="s">
        <v>26</v>
      </c>
      <c r="I74" s="172"/>
      <c r="J74" s="164"/>
      <c r="K74" s="172"/>
      <c r="L74" s="112"/>
      <c r="O74" s="1"/>
      <c r="V74" s="666" t="s">
        <v>127</v>
      </c>
      <c r="W74" s="666"/>
      <c r="X74" s="173" t="s">
        <v>128</v>
      </c>
      <c r="Y74" s="174"/>
      <c r="Z74" s="175">
        <f>+I75</f>
        <v>0</v>
      </c>
      <c r="AA74" s="176" t="s">
        <v>129</v>
      </c>
      <c r="AB74" s="177">
        <f>+K75</f>
        <v>361</v>
      </c>
      <c r="AC74" s="56">
        <f>ROUND(AB74*Z74,0)</f>
        <v>0</v>
      </c>
      <c r="AD74" s="9"/>
    </row>
    <row r="75" spans="1:30" ht="19.5" customHeight="1" x14ac:dyDescent="0.25">
      <c r="A75" s="1" t="s">
        <v>130</v>
      </c>
      <c r="B75" s="178" t="s">
        <v>127</v>
      </c>
      <c r="C75" s="179" t="s">
        <v>128</v>
      </c>
      <c r="D75" s="178">
        <v>0</v>
      </c>
      <c r="E75" s="178">
        <v>0</v>
      </c>
      <c r="F75" s="178">
        <v>0</v>
      </c>
      <c r="G75" s="180">
        <f>IF(E75=0,D75,E75)</f>
        <v>0</v>
      </c>
      <c r="H75" s="181"/>
      <c r="I75" s="182">
        <f>AVERAGE(G75,D75)</f>
        <v>0</v>
      </c>
      <c r="J75" s="183" t="s">
        <v>129</v>
      </c>
      <c r="K75" s="184">
        <v>361</v>
      </c>
      <c r="L75" s="50">
        <f>ROUND(K75*I75,0)</f>
        <v>0</v>
      </c>
      <c r="N75" s="1">
        <v>7802</v>
      </c>
      <c r="O75" s="1">
        <v>0</v>
      </c>
      <c r="V75" s="666" t="s">
        <v>127</v>
      </c>
      <c r="W75" s="666"/>
      <c r="X75" s="173" t="s">
        <v>131</v>
      </c>
      <c r="Y75" s="185"/>
      <c r="Z75" s="186">
        <f>+I76</f>
        <v>0</v>
      </c>
      <c r="AA75" s="176" t="s">
        <v>129</v>
      </c>
      <c r="AB75" s="187">
        <f>+K76</f>
        <v>1358</v>
      </c>
      <c r="AC75" s="56">
        <f>ROUND(AB75*Z75,0)</f>
        <v>0</v>
      </c>
      <c r="AD75" s="9"/>
    </row>
    <row r="76" spans="1:30" ht="19.5" customHeight="1" x14ac:dyDescent="0.25">
      <c r="A76" s="1" t="s">
        <v>132</v>
      </c>
      <c r="B76" s="178" t="s">
        <v>127</v>
      </c>
      <c r="C76" s="179" t="s">
        <v>131</v>
      </c>
      <c r="D76" s="178">
        <v>0</v>
      </c>
      <c r="E76" s="178">
        <v>0</v>
      </c>
      <c r="F76" s="178">
        <v>0</v>
      </c>
      <c r="G76" s="180">
        <f>IF(E76=0,D76,E76)</f>
        <v>0</v>
      </c>
      <c r="H76" s="181"/>
      <c r="I76" s="182">
        <f>AVERAGE(G76,D76)</f>
        <v>0</v>
      </c>
      <c r="J76" s="183" t="s">
        <v>129</v>
      </c>
      <c r="K76" s="188">
        <v>1358</v>
      </c>
      <c r="L76" s="50">
        <f>ROUND(K76*I76,0)</f>
        <v>0</v>
      </c>
      <c r="N76" s="1">
        <v>7802</v>
      </c>
      <c r="O76" s="1">
        <v>110</v>
      </c>
      <c r="V76" s="651" t="s">
        <v>133</v>
      </c>
      <c r="W76" s="651"/>
      <c r="X76" s="651"/>
      <c r="Y76" s="661">
        <f>+I77</f>
        <v>33305823</v>
      </c>
      <c r="Z76" s="661"/>
      <c r="AA76" s="176" t="s">
        <v>129</v>
      </c>
      <c r="AB76" s="163">
        <f>AB54</f>
        <v>0</v>
      </c>
      <c r="AC76" s="56">
        <f>ROUND(Y76*AB76,0)</f>
        <v>0</v>
      </c>
      <c r="AD76" s="9"/>
    </row>
    <row r="77" spans="1:30" ht="26.25" customHeight="1" x14ac:dyDescent="0.25">
      <c r="B77" s="13" t="s">
        <v>133</v>
      </c>
      <c r="C77" s="13"/>
      <c r="D77" s="13"/>
      <c r="E77" s="13"/>
      <c r="F77" s="13"/>
      <c r="H77" s="164" t="s">
        <v>134</v>
      </c>
      <c r="I77" s="189">
        <v>33305823</v>
      </c>
      <c r="J77" s="165" t="s">
        <v>111</v>
      </c>
      <c r="K77" s="166">
        <f>K54</f>
        <v>5.6599999999999999E-4</v>
      </c>
      <c r="L77" s="50">
        <f>ROUND(I77*K77,0)</f>
        <v>18851</v>
      </c>
      <c r="O77" s="1"/>
      <c r="V77" s="651" t="str">
        <f>+B78</f>
        <v>15.  Additional Allocation (WFTE share)</v>
      </c>
      <c r="W77" s="651"/>
      <c r="X77" s="651"/>
      <c r="Y77" s="661">
        <f>+I78</f>
        <v>680688</v>
      </c>
      <c r="Z77" s="661"/>
      <c r="AA77" s="176" t="s">
        <v>129</v>
      </c>
      <c r="AB77" s="163">
        <f>AB54</f>
        <v>0</v>
      </c>
      <c r="AC77" s="56">
        <f>ROUND(Y77*AB77,0)</f>
        <v>0</v>
      </c>
      <c r="AD77" s="9"/>
    </row>
    <row r="78" spans="1:30" ht="26.25" customHeight="1" x14ac:dyDescent="0.25">
      <c r="B78" s="669" t="s">
        <v>135</v>
      </c>
      <c r="C78" s="669"/>
      <c r="D78" s="669"/>
      <c r="E78" s="13"/>
      <c r="F78" s="13"/>
      <c r="H78" s="164" t="s">
        <v>136</v>
      </c>
      <c r="I78" s="190">
        <v>680688</v>
      </c>
      <c r="J78" s="165" t="s">
        <v>111</v>
      </c>
      <c r="K78" s="166">
        <f>K54</f>
        <v>5.6599999999999999E-4</v>
      </c>
      <c r="L78" s="50">
        <f>ROUND(I78*K78,0)</f>
        <v>385</v>
      </c>
      <c r="O78" s="1"/>
      <c r="V78" s="651" t="str">
        <f t="shared" ref="V78:V79" si="11">+B79</f>
        <v>16.  Florida Teachers Lead Program Stipend</v>
      </c>
      <c r="W78" s="651"/>
      <c r="X78" s="651"/>
      <c r="Y78" s="191"/>
      <c r="Z78" s="191"/>
      <c r="AA78" s="191"/>
      <c r="AB78" s="191"/>
      <c r="AC78" s="134"/>
      <c r="AD78" s="9"/>
    </row>
    <row r="79" spans="1:30" ht="21" customHeight="1" x14ac:dyDescent="0.25">
      <c r="B79" s="669" t="s">
        <v>137</v>
      </c>
      <c r="C79" s="669"/>
      <c r="D79" s="669"/>
      <c r="E79" s="13"/>
      <c r="F79" s="13"/>
      <c r="H79" s="164"/>
      <c r="I79" s="172"/>
      <c r="J79" s="172"/>
      <c r="K79" s="172"/>
      <c r="L79" s="129"/>
      <c r="N79" s="192"/>
      <c r="O79" s="1"/>
      <c r="Q79" s="164"/>
      <c r="V79" s="651" t="str">
        <f t="shared" si="11"/>
        <v>17.  Food Service Allocation</v>
      </c>
      <c r="W79" s="651"/>
      <c r="X79" s="651"/>
      <c r="Y79" s="191"/>
      <c r="Z79" s="191"/>
      <c r="AA79" s="191"/>
      <c r="AB79" s="191"/>
      <c r="AC79" s="193"/>
      <c r="AD79" s="9"/>
    </row>
    <row r="80" spans="1:30" ht="21" customHeight="1" x14ac:dyDescent="0.25">
      <c r="B80" s="669" t="s">
        <v>138</v>
      </c>
      <c r="C80" s="669"/>
      <c r="D80" s="669"/>
      <c r="E80" s="13"/>
      <c r="F80" s="13"/>
      <c r="H80" s="194" t="s">
        <v>139</v>
      </c>
      <c r="I80" s="195"/>
      <c r="J80" s="195"/>
      <c r="K80" s="195"/>
      <c r="L80" s="196"/>
      <c r="N80" s="197"/>
      <c r="O80" s="1"/>
      <c r="Q80" s="164"/>
      <c r="V80" s="191"/>
      <c r="W80" s="191"/>
      <c r="X80" s="191"/>
      <c r="Y80" s="191"/>
      <c r="Z80" s="191"/>
      <c r="AA80" s="191"/>
      <c r="AB80" s="191"/>
      <c r="AC80" s="193"/>
      <c r="AD80" s="9"/>
    </row>
    <row r="81" spans="1:30" ht="21" customHeight="1" thickBot="1" x14ac:dyDescent="0.3">
      <c r="B81" s="13"/>
      <c r="C81" s="13"/>
      <c r="D81" s="13"/>
      <c r="E81" s="13"/>
      <c r="F81" s="13"/>
      <c r="G81" s="13"/>
      <c r="H81" s="13"/>
      <c r="I81" s="13"/>
      <c r="J81" s="13"/>
      <c r="K81" s="13"/>
      <c r="L81" s="196"/>
      <c r="M81" s="198"/>
      <c r="N81" s="197"/>
      <c r="O81" s="1"/>
      <c r="Q81" s="164"/>
      <c r="V81" s="191" t="s">
        <v>140</v>
      </c>
      <c r="W81" s="191"/>
      <c r="X81" s="191"/>
      <c r="Y81" s="191"/>
      <c r="Z81" s="191"/>
      <c r="AA81" s="191"/>
      <c r="AB81" s="191"/>
      <c r="AC81" s="199">
        <f>SUM(AC44:AC80)</f>
        <v>0</v>
      </c>
      <c r="AD81" s="200"/>
    </row>
    <row r="82" spans="1:30" ht="22.5" customHeight="1" thickTop="1" thickBot="1" x14ac:dyDescent="0.3">
      <c r="B82" s="13" t="s">
        <v>141</v>
      </c>
      <c r="C82" s="13"/>
      <c r="D82" s="13"/>
      <c r="E82" s="13"/>
      <c r="F82" s="13"/>
      <c r="G82" s="13"/>
      <c r="H82" s="13"/>
      <c r="I82" s="13"/>
      <c r="J82" s="13"/>
      <c r="K82" s="13"/>
      <c r="L82" s="201">
        <f>SUM(L44:L81)</f>
        <v>684043</v>
      </c>
      <c r="M82" s="202"/>
      <c r="N82" s="203"/>
      <c r="O82" s="1"/>
      <c r="Q82" s="164"/>
      <c r="V82" s="191"/>
      <c r="W82" s="191"/>
      <c r="X82" s="191"/>
      <c r="Y82" s="191"/>
      <c r="Z82" s="191"/>
      <c r="AA82" s="191"/>
      <c r="AB82" s="191"/>
      <c r="AC82" s="204"/>
      <c r="AD82" s="200"/>
    </row>
    <row r="83" spans="1:30" ht="27.75" customHeight="1" thickTop="1" x14ac:dyDescent="0.25">
      <c r="B83" s="13" t="s">
        <v>142</v>
      </c>
      <c r="C83" s="13"/>
      <c r="D83" s="13"/>
      <c r="E83" s="13"/>
      <c r="F83" s="13"/>
      <c r="G83" s="13"/>
      <c r="H83" s="13"/>
      <c r="I83" s="13"/>
      <c r="J83" s="13"/>
      <c r="K83" s="82" t="s">
        <v>143</v>
      </c>
      <c r="L83" s="205" t="s">
        <v>144</v>
      </c>
      <c r="M83" s="202"/>
      <c r="N83" s="203"/>
      <c r="O83" s="1"/>
      <c r="Q83" s="164"/>
      <c r="V83" s="9" t="s">
        <v>145</v>
      </c>
      <c r="W83" s="9"/>
      <c r="X83" s="9"/>
      <c r="Y83" s="9"/>
      <c r="Z83" s="9"/>
      <c r="AA83" s="9"/>
      <c r="AB83" s="9"/>
      <c r="AC83" s="9"/>
      <c r="AD83" s="206"/>
    </row>
    <row r="84" spans="1:30" ht="18.75" customHeight="1" thickBot="1" x14ac:dyDescent="0.3">
      <c r="B84" s="13" t="s">
        <v>146</v>
      </c>
      <c r="C84" s="13"/>
      <c r="D84" s="13"/>
      <c r="E84" s="13"/>
      <c r="F84" s="13"/>
      <c r="G84" s="13"/>
      <c r="H84" s="13"/>
      <c r="I84" s="13"/>
      <c r="J84" s="13"/>
      <c r="K84" s="207" t="str">
        <f>IF(G26=0,"",IF((G11+G13+SUM(G15:G21))/G26&gt;0.75,1,""))</f>
        <v/>
      </c>
      <c r="L84" s="201">
        <f>'0054'!AC81</f>
        <v>0</v>
      </c>
      <c r="M84" s="202"/>
      <c r="N84" s="203"/>
      <c r="O84" s="1"/>
      <c r="Q84" s="164"/>
      <c r="V84" s="208" t="s">
        <v>147</v>
      </c>
      <c r="W84" s="208"/>
      <c r="X84" s="208"/>
      <c r="Y84" s="208"/>
      <c r="Z84" s="208"/>
      <c r="AA84" s="208"/>
      <c r="AB84" s="208"/>
      <c r="AC84" s="208"/>
      <c r="AD84" s="9"/>
    </row>
    <row r="85" spans="1:30" ht="18.75" customHeight="1" thickTop="1" x14ac:dyDescent="0.25">
      <c r="B85" s="13"/>
      <c r="C85" s="13"/>
      <c r="D85" s="13"/>
      <c r="E85" s="13"/>
      <c r="F85" s="13"/>
      <c r="G85" s="13"/>
      <c r="H85" s="13"/>
      <c r="I85" s="13"/>
      <c r="J85" s="13"/>
      <c r="M85" s="202"/>
      <c r="N85" s="203"/>
      <c r="O85" s="1"/>
      <c r="Q85" s="164"/>
      <c r="V85" s="208" t="s">
        <v>148</v>
      </c>
      <c r="W85" s="208"/>
      <c r="X85" s="208"/>
      <c r="Y85" s="208"/>
      <c r="Z85" s="208"/>
      <c r="AA85" s="208"/>
      <c r="AB85" s="208"/>
      <c r="AC85" s="208"/>
      <c r="AD85" s="206"/>
    </row>
    <row r="86" spans="1:30" ht="18.75" customHeight="1" x14ac:dyDescent="0.25">
      <c r="B86" s="2" t="s">
        <v>149</v>
      </c>
      <c r="C86" s="13"/>
      <c r="D86" s="13"/>
      <c r="E86" s="13"/>
      <c r="F86" s="13"/>
      <c r="G86" s="13"/>
      <c r="H86" s="13"/>
      <c r="I86" s="13"/>
      <c r="J86" s="209" t="s">
        <v>150</v>
      </c>
      <c r="K86" s="210">
        <f>IF(K84=1,L84,L82)</f>
        <v>684043</v>
      </c>
      <c r="L86" s="211">
        <f>IF(G26=0,0,IF(G26&gt;250,-(((250/G26)*K86)*IF(M86="H",0.02,0.05)),IF(M86="H",-0.02*K86,-0.05*K86)))</f>
        <v>-34202.15</v>
      </c>
      <c r="M86" s="212" t="str">
        <f>IF(B123="2801","H",IF(B123="2911","H",IF(B123="3382","H"," ")))</f>
        <v xml:space="preserve"> </v>
      </c>
      <c r="N86" s="203"/>
      <c r="O86" s="1"/>
      <c r="Q86" s="164"/>
      <c r="V86" s="208" t="s">
        <v>151</v>
      </c>
      <c r="W86" s="208"/>
      <c r="X86" s="208"/>
      <c r="Y86" s="208"/>
      <c r="Z86" s="208"/>
      <c r="AA86" s="208"/>
      <c r="AB86" s="208"/>
      <c r="AC86" s="208"/>
      <c r="AD86" s="206"/>
    </row>
    <row r="87" spans="1:30" ht="18.75" customHeight="1" x14ac:dyDescent="0.25">
      <c r="B87" s="2" t="s">
        <v>152</v>
      </c>
      <c r="C87" s="13"/>
      <c r="D87" s="13"/>
      <c r="E87" s="13"/>
      <c r="F87" s="13"/>
      <c r="G87" s="13"/>
      <c r="H87" s="13"/>
      <c r="I87" s="13"/>
      <c r="J87" s="13"/>
      <c r="K87" s="213"/>
      <c r="L87" s="205">
        <f>L82+L86</f>
        <v>649840.85</v>
      </c>
      <c r="M87" s="202"/>
      <c r="N87" s="203"/>
      <c r="O87" s="1"/>
      <c r="Q87" s="164"/>
      <c r="V87" s="198"/>
      <c r="W87" s="198"/>
      <c r="X87" s="198"/>
      <c r="Y87" s="198"/>
      <c r="Z87" s="198"/>
      <c r="AA87" s="198"/>
      <c r="AB87" s="198"/>
      <c r="AC87" s="198"/>
      <c r="AD87" s="214"/>
    </row>
    <row r="88" spans="1:30" x14ac:dyDescent="0.25">
      <c r="V88" s="198"/>
      <c r="W88" s="198"/>
      <c r="X88" s="198"/>
      <c r="Y88" s="198"/>
      <c r="Z88" s="198"/>
      <c r="AA88" s="198"/>
      <c r="AB88" s="198"/>
      <c r="AC88" s="198"/>
      <c r="AD88" s="215"/>
    </row>
    <row r="89" spans="1:30" ht="18.75" customHeight="1" x14ac:dyDescent="0.25">
      <c r="A89" s="1" t="s">
        <v>153</v>
      </c>
      <c r="B89" s="13" t="s">
        <v>154</v>
      </c>
      <c r="C89" s="13"/>
      <c r="D89" s="13">
        <v>322350</v>
      </c>
      <c r="E89" s="13">
        <v>56062</v>
      </c>
      <c r="F89" s="13">
        <v>546601</v>
      </c>
      <c r="G89" s="13"/>
      <c r="H89" s="13"/>
      <c r="I89" s="13"/>
      <c r="J89" s="13"/>
      <c r="K89" s="213"/>
      <c r="L89" s="84">
        <f>-F89-51620</f>
        <v>-598221</v>
      </c>
      <c r="M89" s="202"/>
      <c r="N89" s="203"/>
      <c r="O89" s="1"/>
      <c r="Q89" s="164"/>
      <c r="V89" s="198">
        <v>2801</v>
      </c>
      <c r="W89" s="198"/>
      <c r="X89" s="198"/>
      <c r="Y89" s="198"/>
      <c r="Z89" s="198"/>
      <c r="AA89" s="198"/>
      <c r="AB89" s="198"/>
      <c r="AC89" s="198"/>
      <c r="AD89" s="214"/>
    </row>
    <row r="90" spans="1:30" ht="18.75" customHeight="1" x14ac:dyDescent="0.25">
      <c r="B90" s="13" t="s">
        <v>155</v>
      </c>
      <c r="C90" s="13"/>
      <c r="D90" s="13"/>
      <c r="E90" s="13"/>
      <c r="F90" s="13"/>
      <c r="G90" s="13"/>
      <c r="H90" s="13"/>
      <c r="I90" s="13"/>
      <c r="J90" s="13"/>
      <c r="K90" s="213"/>
      <c r="L90" s="205">
        <f>L87+L89</f>
        <v>51619.849999999977</v>
      </c>
      <c r="M90" s="202"/>
      <c r="N90" s="203"/>
      <c r="O90" s="1"/>
      <c r="Q90" s="164"/>
      <c r="V90" s="198">
        <v>2911</v>
      </c>
      <c r="W90" s="216"/>
      <c r="X90" s="216"/>
      <c r="Y90" s="216"/>
      <c r="Z90" s="216"/>
      <c r="AA90" s="216"/>
      <c r="AB90" s="216"/>
      <c r="AC90" s="216"/>
      <c r="AD90" s="214"/>
    </row>
    <row r="91" spans="1:30" ht="18.75" customHeight="1" x14ac:dyDescent="0.25">
      <c r="B91" s="13" t="s">
        <v>156</v>
      </c>
      <c r="C91" s="13"/>
      <c r="D91" s="13"/>
      <c r="E91" s="13"/>
      <c r="F91" s="13"/>
      <c r="G91" s="13"/>
      <c r="H91" s="13"/>
      <c r="I91" s="13"/>
      <c r="J91" s="13"/>
      <c r="K91" s="213"/>
      <c r="L91" s="205">
        <v>1</v>
      </c>
      <c r="M91" s="202"/>
      <c r="N91" s="203"/>
      <c r="O91" s="1"/>
      <c r="Q91" s="164"/>
      <c r="V91" s="198">
        <v>3382</v>
      </c>
      <c r="W91" s="216"/>
      <c r="X91" s="216"/>
      <c r="Y91" s="216"/>
      <c r="Z91" s="216"/>
      <c r="AA91" s="216"/>
      <c r="AB91" s="216"/>
      <c r="AC91" s="216"/>
      <c r="AD91" s="214"/>
    </row>
    <row r="92" spans="1:30" ht="18.75" customHeight="1" thickBot="1" x14ac:dyDescent="0.3">
      <c r="B92" s="13" t="s">
        <v>157</v>
      </c>
      <c r="C92" s="13"/>
      <c r="D92" s="13"/>
      <c r="E92" s="13"/>
      <c r="F92" s="13"/>
      <c r="G92" s="13"/>
      <c r="H92" s="13"/>
      <c r="I92" s="13"/>
      <c r="J92" s="13"/>
      <c r="K92" s="213"/>
      <c r="L92" s="217">
        <f>L90/L91</f>
        <v>51619.849999999977</v>
      </c>
      <c r="M92" s="202"/>
      <c r="N92" s="203"/>
      <c r="O92" s="1"/>
      <c r="Q92" s="164"/>
      <c r="V92" s="218"/>
      <c r="W92" s="218"/>
      <c r="X92" s="218"/>
      <c r="Y92" s="218"/>
      <c r="Z92" s="218"/>
      <c r="AA92" s="218"/>
      <c r="AB92" s="218"/>
      <c r="AC92" s="218"/>
      <c r="AD92" s="219"/>
    </row>
    <row r="93" spans="1:30" ht="18.75" customHeight="1" thickTop="1" x14ac:dyDescent="0.25">
      <c r="N93" s="219"/>
      <c r="O93" s="220"/>
      <c r="P93" s="219"/>
      <c r="Q93" s="219"/>
      <c r="V93" s="218"/>
      <c r="W93" s="218"/>
      <c r="X93" s="218"/>
      <c r="Y93" s="218"/>
      <c r="Z93" s="218"/>
      <c r="AA93" s="218"/>
      <c r="AB93" s="218"/>
      <c r="AC93" s="218"/>
      <c r="AD93" s="214"/>
    </row>
    <row r="94" spans="1:30" ht="18.75" customHeight="1" thickBot="1" x14ac:dyDescent="0.3">
      <c r="B94" s="221" t="s">
        <v>158</v>
      </c>
      <c r="C94" s="13"/>
      <c r="D94" s="13"/>
      <c r="E94" s="13"/>
      <c r="G94" s="13"/>
      <c r="H94" s="13"/>
      <c r="I94" s="13"/>
      <c r="J94" s="13"/>
      <c r="L94" s="222">
        <f>IF(M86="H",(K86*0.02)+L86,(K86*0.05)+L86)</f>
        <v>0</v>
      </c>
      <c r="M94" s="202"/>
      <c r="V94" s="223"/>
      <c r="W94" s="223"/>
      <c r="X94" s="223"/>
      <c r="Y94" s="223"/>
      <c r="Z94" s="223"/>
      <c r="AA94" s="223"/>
      <c r="AB94" s="223"/>
      <c r="AC94" s="223"/>
      <c r="AD94" s="214"/>
    </row>
    <row r="95" spans="1:30" ht="21.75" customHeight="1" thickTop="1" x14ac:dyDescent="0.25">
      <c r="B95" s="224" t="s">
        <v>159</v>
      </c>
      <c r="C95" s="224"/>
      <c r="D95" s="224"/>
      <c r="E95" s="224"/>
      <c r="F95" s="224"/>
      <c r="G95" s="224"/>
      <c r="H95" s="224"/>
      <c r="I95" s="224"/>
      <c r="J95" s="224"/>
      <c r="K95" s="224"/>
      <c r="L95" s="224"/>
      <c r="M95" s="219"/>
      <c r="V95" s="223"/>
      <c r="W95" s="223"/>
      <c r="X95" s="223"/>
      <c r="Y95" s="223"/>
      <c r="Z95" s="223"/>
      <c r="AA95" s="223"/>
      <c r="AB95" s="223"/>
      <c r="AC95" s="223"/>
      <c r="AD95" s="214"/>
    </row>
    <row r="96" spans="1:30" x14ac:dyDescent="0.25">
      <c r="B96" s="225"/>
      <c r="V96" s="223"/>
      <c r="W96" s="223"/>
      <c r="X96" s="223"/>
      <c r="Y96" s="223"/>
      <c r="Z96" s="223"/>
      <c r="AA96" s="223"/>
      <c r="AB96" s="223"/>
      <c r="AC96" s="223"/>
      <c r="AD96" s="219"/>
    </row>
    <row r="97" spans="2:30" x14ac:dyDescent="0.25">
      <c r="B97" s="225"/>
      <c r="V97" s="223"/>
      <c r="W97" s="223"/>
      <c r="X97" s="223"/>
      <c r="Y97" s="223"/>
      <c r="Z97" s="223"/>
      <c r="AA97" s="223"/>
      <c r="AB97" s="223"/>
      <c r="AC97" s="223"/>
      <c r="AD97" s="219"/>
    </row>
    <row r="98" spans="2:30" hidden="1" x14ac:dyDescent="0.25">
      <c r="B98" s="226" t="s">
        <v>160</v>
      </c>
      <c r="C98" s="227"/>
      <c r="V98" s="228"/>
      <c r="W98" s="228"/>
      <c r="X98" s="228"/>
      <c r="Y98" s="228"/>
      <c r="Z98" s="228"/>
      <c r="AA98" s="228"/>
      <c r="AB98" s="228"/>
      <c r="AC98" s="228"/>
    </row>
    <row r="99" spans="2:30" hidden="1" x14ac:dyDescent="0.25">
      <c r="B99" s="229"/>
      <c r="C99" s="227"/>
      <c r="V99" s="225"/>
      <c r="W99" s="13"/>
      <c r="X99" s="13"/>
      <c r="Y99" s="13"/>
      <c r="Z99" s="13"/>
      <c r="AA99" s="13"/>
      <c r="AB99" s="13"/>
      <c r="AC99" s="13"/>
    </row>
    <row r="100" spans="2:30" hidden="1" x14ac:dyDescent="0.25">
      <c r="B100" s="230" t="s">
        <v>161</v>
      </c>
      <c r="C100" s="226" t="s">
        <v>162</v>
      </c>
      <c r="V100" s="225"/>
    </row>
    <row r="101" spans="2:30" hidden="1" x14ac:dyDescent="0.25">
      <c r="B101" s="230" t="s">
        <v>163</v>
      </c>
      <c r="C101" s="226" t="s">
        <v>164</v>
      </c>
      <c r="V101" s="225"/>
    </row>
    <row r="102" spans="2:30" hidden="1" x14ac:dyDescent="0.25">
      <c r="B102" s="230" t="s">
        <v>165</v>
      </c>
      <c r="C102" s="226" t="s">
        <v>166</v>
      </c>
      <c r="V102" s="225"/>
      <c r="W102" s="231"/>
      <c r="X102" s="231"/>
      <c r="Y102" s="231"/>
      <c r="Z102" s="231"/>
      <c r="AA102" s="231"/>
      <c r="AB102" s="231"/>
      <c r="AC102" s="231"/>
      <c r="AD102" s="231"/>
    </row>
    <row r="103" spans="2:30" hidden="1" x14ac:dyDescent="0.25">
      <c r="B103" s="230" t="s">
        <v>167</v>
      </c>
      <c r="C103" s="226" t="s">
        <v>168</v>
      </c>
      <c r="V103" s="225"/>
    </row>
    <row r="104" spans="2:30" hidden="1" x14ac:dyDescent="0.25">
      <c r="B104" s="232"/>
      <c r="C104" s="226" t="s">
        <v>169</v>
      </c>
      <c r="V104" s="225"/>
    </row>
    <row r="105" spans="2:30" hidden="1" x14ac:dyDescent="0.25">
      <c r="B105" s="230" t="s">
        <v>170</v>
      </c>
      <c r="C105" s="226" t="s">
        <v>171</v>
      </c>
      <c r="V105" s="225"/>
    </row>
    <row r="106" spans="2:30" hidden="1" x14ac:dyDescent="0.25">
      <c r="B106" s="230" t="s">
        <v>172</v>
      </c>
      <c r="C106" s="226" t="s">
        <v>173</v>
      </c>
      <c r="V106" s="225"/>
    </row>
    <row r="107" spans="2:30" hidden="1" x14ac:dyDescent="0.25">
      <c r="B107" s="230" t="s">
        <v>174</v>
      </c>
      <c r="C107" s="226" t="s">
        <v>175</v>
      </c>
      <c r="V107" s="225"/>
    </row>
    <row r="108" spans="2:30" hidden="1" x14ac:dyDescent="0.25">
      <c r="B108" s="230" t="s">
        <v>176</v>
      </c>
      <c r="C108" s="226" t="s">
        <v>177</v>
      </c>
      <c r="V108" s="225"/>
    </row>
    <row r="109" spans="2:30" hidden="1" x14ac:dyDescent="0.25">
      <c r="B109" s="230" t="s">
        <v>178</v>
      </c>
      <c r="C109" s="226" t="s">
        <v>179</v>
      </c>
      <c r="V109" s="225"/>
    </row>
    <row r="110" spans="2:30" hidden="1" x14ac:dyDescent="0.25">
      <c r="B110" s="232"/>
      <c r="C110" s="226"/>
      <c r="V110" s="225"/>
    </row>
    <row r="111" spans="2:30" hidden="1" x14ac:dyDescent="0.25">
      <c r="B111" s="230" t="s">
        <v>180</v>
      </c>
      <c r="C111" s="226" t="s">
        <v>181</v>
      </c>
      <c r="V111" s="225"/>
    </row>
    <row r="112" spans="2:30" hidden="1" x14ac:dyDescent="0.25">
      <c r="B112" s="230" t="s">
        <v>180</v>
      </c>
      <c r="C112" s="226" t="s">
        <v>182</v>
      </c>
    </row>
    <row r="113" spans="2:3" hidden="1" x14ac:dyDescent="0.25">
      <c r="B113" s="230" t="s">
        <v>183</v>
      </c>
      <c r="C113" s="226" t="s">
        <v>184</v>
      </c>
    </row>
    <row r="114" spans="2:3" hidden="1" x14ac:dyDescent="0.25">
      <c r="B114" s="230" t="s">
        <v>185</v>
      </c>
      <c r="C114" s="226" t="s">
        <v>186</v>
      </c>
    </row>
    <row r="115" spans="2:3" hidden="1" x14ac:dyDescent="0.25">
      <c r="B115" s="230" t="s">
        <v>183</v>
      </c>
      <c r="C115" s="226" t="s">
        <v>187</v>
      </c>
    </row>
    <row r="116" spans="2:3" hidden="1" x14ac:dyDescent="0.25">
      <c r="B116" s="230" t="s">
        <v>188</v>
      </c>
      <c r="C116" s="226" t="s">
        <v>189</v>
      </c>
    </row>
    <row r="117" spans="2:3" hidden="1" x14ac:dyDescent="0.25">
      <c r="B117" s="230" t="s">
        <v>190</v>
      </c>
      <c r="C117" s="226" t="s">
        <v>191</v>
      </c>
    </row>
    <row r="118" spans="2:3" hidden="1" x14ac:dyDescent="0.25">
      <c r="B118" s="232" t="s">
        <v>192</v>
      </c>
      <c r="C118" s="226" t="s">
        <v>193</v>
      </c>
    </row>
    <row r="119" spans="2:3" hidden="1" x14ac:dyDescent="0.25">
      <c r="B119" s="232"/>
      <c r="C119" s="226"/>
    </row>
    <row r="120" spans="2:3" hidden="1" x14ac:dyDescent="0.25">
      <c r="B120" s="230" t="s">
        <v>161</v>
      </c>
      <c r="C120" s="226" t="s">
        <v>194</v>
      </c>
    </row>
    <row r="121" spans="2:3" hidden="1" x14ac:dyDescent="0.25">
      <c r="B121" s="230" t="s">
        <v>195</v>
      </c>
      <c r="C121" s="226" t="s">
        <v>196</v>
      </c>
    </row>
    <row r="122" spans="2:3" hidden="1" x14ac:dyDescent="0.25">
      <c r="B122" s="230" t="s">
        <v>197</v>
      </c>
      <c r="C122" s="226" t="s">
        <v>198</v>
      </c>
    </row>
    <row r="123" spans="2:3" hidden="1" x14ac:dyDescent="0.25">
      <c r="B123" s="230" t="s">
        <v>199</v>
      </c>
      <c r="C123" s="226" t="s">
        <v>200</v>
      </c>
    </row>
    <row r="124" spans="2:3" hidden="1" x14ac:dyDescent="0.25">
      <c r="B124" s="230" t="s">
        <v>201</v>
      </c>
      <c r="C124" s="226" t="s">
        <v>202</v>
      </c>
    </row>
    <row r="125" spans="2:3" hidden="1" x14ac:dyDescent="0.25">
      <c r="B125" s="230" t="s">
        <v>203</v>
      </c>
      <c r="C125" s="226" t="s">
        <v>204</v>
      </c>
    </row>
    <row r="126" spans="2:3" hidden="1" x14ac:dyDescent="0.25">
      <c r="B126" s="230" t="s">
        <v>203</v>
      </c>
      <c r="C126" s="226" t="s">
        <v>205</v>
      </c>
    </row>
    <row r="127" spans="2:3" hidden="1" x14ac:dyDescent="0.25">
      <c r="B127" s="230" t="s">
        <v>203</v>
      </c>
      <c r="C127" s="226" t="s">
        <v>206</v>
      </c>
    </row>
    <row r="128" spans="2:3" hidden="1" x14ac:dyDescent="0.25">
      <c r="B128" s="230" t="s">
        <v>203</v>
      </c>
      <c r="C128" s="226" t="s">
        <v>207</v>
      </c>
    </row>
    <row r="129" spans="2:3" hidden="1" x14ac:dyDescent="0.25">
      <c r="B129" s="230" t="s">
        <v>167</v>
      </c>
      <c r="C129" s="226" t="s">
        <v>208</v>
      </c>
    </row>
    <row r="130" spans="2:3" hidden="1" x14ac:dyDescent="0.25">
      <c r="B130" s="230" t="s">
        <v>209</v>
      </c>
      <c r="C130" s="226" t="s">
        <v>210</v>
      </c>
    </row>
    <row r="131" spans="2:3" hidden="1" x14ac:dyDescent="0.25">
      <c r="B131" s="230" t="s">
        <v>203</v>
      </c>
      <c r="C131" s="226" t="s">
        <v>211</v>
      </c>
    </row>
    <row r="132" spans="2:3" hidden="1" x14ac:dyDescent="0.25">
      <c r="B132" s="226"/>
      <c r="C132" s="226"/>
    </row>
    <row r="133" spans="2:3" hidden="1" x14ac:dyDescent="0.25">
      <c r="B133" s="226"/>
      <c r="C133" s="226"/>
    </row>
    <row r="134" spans="2:3" hidden="1" x14ac:dyDescent="0.25">
      <c r="B134" s="232"/>
      <c r="C134" s="232"/>
    </row>
    <row r="135" spans="2:3" hidden="1" x14ac:dyDescent="0.25">
      <c r="B135" s="232">
        <f>NvsElapsedTime</f>
        <v>2.31481462833472E-5</v>
      </c>
      <c r="C135" s="232"/>
    </row>
    <row r="136" spans="2:3" hidden="1" x14ac:dyDescent="0.25">
      <c r="B136" s="233">
        <f>NvsEndTime</f>
        <v>41754.487638888902</v>
      </c>
      <c r="C136" s="233" t="s">
        <v>212</v>
      </c>
    </row>
    <row r="137" spans="2:3" x14ac:dyDescent="0.25">
      <c r="B137" s="226"/>
      <c r="C137" s="234"/>
    </row>
    <row r="138" spans="2:3" x14ac:dyDescent="0.25">
      <c r="B138" s="226"/>
      <c r="C138" s="226"/>
    </row>
    <row r="139" spans="2:3" x14ac:dyDescent="0.25">
      <c r="B139" s="226"/>
      <c r="C139" s="226"/>
    </row>
    <row r="140" spans="2:3" x14ac:dyDescent="0.25">
      <c r="B140" s="226"/>
      <c r="C140" s="226"/>
    </row>
    <row r="141" spans="2:3" x14ac:dyDescent="0.25">
      <c r="B141" s="226"/>
      <c r="C141" s="226"/>
    </row>
    <row r="142" spans="2:3" x14ac:dyDescent="0.25">
      <c r="B142" s="226"/>
      <c r="C142" s="226"/>
    </row>
    <row r="143" spans="2:3" x14ac:dyDescent="0.25">
      <c r="B143" s="226"/>
      <c r="C143" s="226"/>
    </row>
    <row r="144" spans="2:3" x14ac:dyDescent="0.25">
      <c r="B144" s="226"/>
      <c r="C144" s="226"/>
    </row>
    <row r="145" spans="2:3" x14ac:dyDescent="0.25">
      <c r="B145" s="226"/>
      <c r="C145" s="226"/>
    </row>
    <row r="146" spans="2:3" x14ac:dyDescent="0.25">
      <c r="B146" s="226"/>
      <c r="C146" s="226"/>
    </row>
    <row r="147" spans="2:3" x14ac:dyDescent="0.25">
      <c r="B147" s="226"/>
      <c r="C147" s="226"/>
    </row>
    <row r="148" spans="2:3" x14ac:dyDescent="0.25">
      <c r="B148" s="226"/>
      <c r="C148" s="226"/>
    </row>
    <row r="149" spans="2:3" x14ac:dyDescent="0.25">
      <c r="B149" s="226"/>
      <c r="C149" s="226"/>
    </row>
    <row r="150" spans="2:3" x14ac:dyDescent="0.25">
      <c r="B150" s="226"/>
      <c r="C150" s="226"/>
    </row>
    <row r="151" spans="2:3" x14ac:dyDescent="0.25">
      <c r="B151" s="226"/>
      <c r="C151" s="226"/>
    </row>
  </sheetData>
  <mergeCells count="151">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9:W9"/>
    <mergeCell ref="X9:Y9"/>
    <mergeCell ref="Z9:AA9"/>
    <mergeCell ref="V10:W10"/>
    <mergeCell ref="X10:Y10"/>
    <mergeCell ref="Z10:AA10"/>
    <mergeCell ref="V7:W7"/>
    <mergeCell ref="X7:Y7"/>
    <mergeCell ref="Z7:AA7"/>
    <mergeCell ref="AB7:AC7"/>
    <mergeCell ref="V8:W8"/>
    <mergeCell ref="X8:Y8"/>
    <mergeCell ref="Z8:AA8"/>
    <mergeCell ref="W2:AC2"/>
    <mergeCell ref="V3:AC3"/>
    <mergeCell ref="V4:AC4"/>
    <mergeCell ref="V5:W5"/>
    <mergeCell ref="X5:Y5"/>
    <mergeCell ref="V6:AC6"/>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AD151"/>
  <sheetViews>
    <sheetView topLeftCell="B62" zoomScale="70" zoomScaleNormal="70" workbookViewId="0">
      <selection activeCell="D29" sqref="D29"/>
    </sheetView>
  </sheetViews>
  <sheetFormatPr defaultColWidth="8.85546875" defaultRowHeight="15.75" x14ac:dyDescent="0.25"/>
  <cols>
    <col min="1" max="1" width="11.28515625" style="1" hidden="1" customWidth="1"/>
    <col min="2" max="2" width="10.28515625" style="2" customWidth="1"/>
    <col min="3" max="3" width="29" style="1" customWidth="1"/>
    <col min="4" max="5" width="12.28515625" style="1" customWidth="1"/>
    <col min="6" max="6" width="12.28515625" style="1" hidden="1" customWidth="1"/>
    <col min="7" max="7" width="15.28515625" style="1" customWidth="1"/>
    <col min="8" max="8" width="6.7109375" style="1" customWidth="1"/>
    <col min="9" max="9" width="12.5703125" style="1" customWidth="1"/>
    <col min="10" max="10" width="12.85546875" style="1" customWidth="1"/>
    <col min="11" max="11" width="13" style="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28515625" style="1" customWidth="1"/>
    <col min="18" max="18" width="8.85546875" style="1"/>
    <col min="19" max="21" width="0" style="1" hidden="1" customWidth="1"/>
    <col min="22" max="23" width="8.85546875" style="1"/>
    <col min="24" max="24" width="12.7109375" style="1" customWidth="1"/>
    <col min="25" max="27" width="8.85546875" style="1"/>
    <col min="28" max="28" width="13.140625" style="1" bestFit="1" customWidth="1"/>
    <col min="29" max="16384" width="8.85546875" style="1"/>
  </cols>
  <sheetData>
    <row r="1" spans="1:30" ht="15.6"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7"/>
      <c r="N2" s="3"/>
      <c r="O2" s="1"/>
      <c r="V2" s="8">
        <f>'3391'!B2</f>
        <v>50</v>
      </c>
      <c r="W2" s="606" t="s">
        <v>4</v>
      </c>
      <c r="X2" s="607"/>
      <c r="Y2" s="608"/>
      <c r="Z2" s="608"/>
      <c r="AA2" s="608"/>
      <c r="AB2" s="608"/>
      <c r="AC2" s="608"/>
      <c r="AD2" s="9"/>
    </row>
    <row r="3" spans="1:30" ht="20.25" x14ac:dyDescent="0.3">
      <c r="B3" s="10" t="str">
        <f>"Revenue Estimate Worksheet for "&amp;B124</f>
        <v>Revenue Estimate Worksheet for Seagull Acad-Independent Chart</v>
      </c>
      <c r="C3" s="11"/>
      <c r="D3" s="11"/>
      <c r="E3" s="11"/>
      <c r="F3" s="11"/>
      <c r="G3" s="11"/>
      <c r="H3" s="11"/>
      <c r="I3" s="11"/>
      <c r="J3" s="11"/>
      <c r="K3" s="11"/>
      <c r="L3" s="11"/>
      <c r="M3" s="10"/>
      <c r="N3" s="10"/>
      <c r="O3" s="10"/>
      <c r="P3" s="10"/>
      <c r="Q3" s="10"/>
      <c r="V3" s="609" t="s">
        <v>5</v>
      </c>
      <c r="W3" s="609"/>
      <c r="X3" s="609"/>
      <c r="Y3" s="609"/>
      <c r="Z3" s="609"/>
      <c r="AA3" s="609"/>
      <c r="AB3" s="609"/>
      <c r="AC3" s="609"/>
      <c r="AD3" s="12"/>
    </row>
    <row r="4" spans="1:30" ht="18.75" x14ac:dyDescent="0.3">
      <c r="B4" s="2" t="s">
        <v>6</v>
      </c>
      <c r="C4" s="13"/>
      <c r="D4" s="13"/>
      <c r="E4" s="13"/>
      <c r="F4" s="13"/>
      <c r="G4" s="13"/>
      <c r="H4" s="13"/>
      <c r="I4" s="13"/>
      <c r="J4" s="13"/>
      <c r="K4" s="13"/>
      <c r="L4" s="13"/>
      <c r="M4" s="14"/>
      <c r="N4" s="14"/>
      <c r="O4" s="14"/>
      <c r="P4" s="14"/>
      <c r="Q4" s="14"/>
      <c r="V4" s="610" t="str">
        <f>+Based_on_the_Second_Calculation_of_the_FEFP_2010_11</f>
        <v>Based on the Fourth Calculation of the FEFP 2013-14</v>
      </c>
      <c r="W4" s="610"/>
      <c r="X4" s="610"/>
      <c r="Y4" s="610"/>
      <c r="Z4" s="610"/>
      <c r="AA4" s="610"/>
      <c r="AB4" s="610"/>
      <c r="AC4" s="610"/>
      <c r="AD4" s="15"/>
    </row>
    <row r="5" spans="1:30" ht="18.75" customHeight="1" x14ac:dyDescent="0.25">
      <c r="B5" s="16" t="s">
        <v>7</v>
      </c>
      <c r="C5" s="16"/>
      <c r="D5" s="16"/>
      <c r="E5" s="16"/>
      <c r="F5" s="16"/>
      <c r="G5" s="17" t="s">
        <v>8</v>
      </c>
      <c r="H5" s="17"/>
      <c r="I5" s="17"/>
      <c r="J5" s="17"/>
      <c r="K5" s="17"/>
      <c r="L5" s="17"/>
      <c r="M5" s="18"/>
      <c r="N5" s="18"/>
      <c r="O5" s="18"/>
      <c r="P5" s="18"/>
      <c r="Q5" s="18"/>
      <c r="V5" s="611" t="s">
        <v>7</v>
      </c>
      <c r="W5" s="611"/>
      <c r="X5" s="612" t="s">
        <v>8</v>
      </c>
      <c r="Y5" s="612"/>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613" t="s">
        <v>9</v>
      </c>
      <c r="W6" s="613"/>
      <c r="X6" s="613"/>
      <c r="Y6" s="613"/>
      <c r="Z6" s="613"/>
      <c r="AA6" s="613"/>
      <c r="AB6" s="613"/>
      <c r="AC6" s="613"/>
      <c r="AD6" s="22"/>
    </row>
    <row r="7" spans="1:30" ht="18" customHeight="1" x14ac:dyDescent="0.25">
      <c r="B7" s="23" t="s">
        <v>10</v>
      </c>
      <c r="C7" s="23"/>
      <c r="D7" s="23"/>
      <c r="E7" s="23"/>
      <c r="F7" s="23"/>
      <c r="G7" s="24">
        <v>3752.3</v>
      </c>
      <c r="H7" s="24"/>
      <c r="I7" s="23" t="s">
        <v>11</v>
      </c>
      <c r="J7" s="23"/>
      <c r="K7" s="25">
        <v>1.0326</v>
      </c>
      <c r="L7" s="25"/>
      <c r="O7" s="1"/>
      <c r="V7" s="620" t="s">
        <v>10</v>
      </c>
      <c r="W7" s="620"/>
      <c r="X7" s="621">
        <f>'3391'!G7</f>
        <v>3752.3</v>
      </c>
      <c r="Y7" s="621"/>
      <c r="Z7" s="622" t="s">
        <v>11</v>
      </c>
      <c r="AA7" s="622"/>
      <c r="AB7" s="602">
        <f>+K7</f>
        <v>1.0326</v>
      </c>
      <c r="AC7" s="602"/>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603" t="s">
        <v>12</v>
      </c>
      <c r="W8" s="603"/>
      <c r="X8" s="604" t="s">
        <v>15</v>
      </c>
      <c r="Y8" s="604"/>
      <c r="Z8" s="605" t="s">
        <v>16</v>
      </c>
      <c r="AA8" s="605"/>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614" t="s">
        <v>22</v>
      </c>
      <c r="W9" s="614"/>
      <c r="X9" s="615" t="s">
        <v>23</v>
      </c>
      <c r="Y9" s="615"/>
      <c r="Z9" s="616" t="s">
        <v>24</v>
      </c>
      <c r="AA9" s="616"/>
      <c r="AB9" s="43" t="s">
        <v>25</v>
      </c>
      <c r="AC9" s="44" t="s">
        <v>26</v>
      </c>
      <c r="AD9" s="9"/>
    </row>
    <row r="10" spans="1:30" x14ac:dyDescent="0.25">
      <c r="A10" s="1" t="s">
        <v>27</v>
      </c>
      <c r="B10" s="45" t="s">
        <v>28</v>
      </c>
      <c r="C10" s="45"/>
      <c r="D10" s="45">
        <v>0</v>
      </c>
      <c r="E10" s="45">
        <v>0</v>
      </c>
      <c r="F10" s="45">
        <v>0</v>
      </c>
      <c r="G10" s="46">
        <f>D10+E10</f>
        <v>0</v>
      </c>
      <c r="H10" s="47"/>
      <c r="I10" s="48">
        <v>1.125</v>
      </c>
      <c r="J10" s="48"/>
      <c r="K10" s="49">
        <f>ROUND(G10*I10,4)</f>
        <v>0</v>
      </c>
      <c r="L10" s="50">
        <f>ROUND(ROUND(K10*$G$7,4)*($K$7),0)</f>
        <v>0</v>
      </c>
      <c r="N10" s="51">
        <v>5101</v>
      </c>
      <c r="O10" s="52">
        <v>101</v>
      </c>
      <c r="P10" s="53"/>
      <c r="Q10" s="54"/>
      <c r="V10" s="617" t="s">
        <v>28</v>
      </c>
      <c r="W10" s="617"/>
      <c r="X10" s="618">
        <f>IF('3391'!K$84=1,'3391'!G10,0)</f>
        <v>0</v>
      </c>
      <c r="Y10" s="618"/>
      <c r="Z10" s="619">
        <v>1</v>
      </c>
      <c r="AA10" s="619"/>
      <c r="AB10" s="55">
        <f t="shared" ref="AB10:AB25" si="0">ROUND(X10*Z10,4)</f>
        <v>0</v>
      </c>
      <c r="AC10" s="56">
        <f t="shared" ref="AC10:AC25" si="1">ROUND(ROUND(AB10*$X$7,4)*($AB$7),0)</f>
        <v>0</v>
      </c>
      <c r="AD10" s="9">
        <v>1</v>
      </c>
    </row>
    <row r="11" spans="1:30" x14ac:dyDescent="0.25">
      <c r="A11" s="1" t="s">
        <v>29</v>
      </c>
      <c r="B11" s="13" t="s">
        <v>30</v>
      </c>
      <c r="C11" s="13"/>
      <c r="D11" s="13">
        <v>0</v>
      </c>
      <c r="E11" s="13">
        <v>0</v>
      </c>
      <c r="F11" s="13">
        <v>0</v>
      </c>
      <c r="G11" s="46">
        <f t="shared" ref="G11:G25" si="2">D11+E11</f>
        <v>0</v>
      </c>
      <c r="H11" s="47"/>
      <c r="I11" s="57">
        <f>I10</f>
        <v>1.125</v>
      </c>
      <c r="J11" s="57"/>
      <c r="K11" s="49">
        <f t="shared" ref="K11:K25" si="3">ROUND(G11*I11,4)</f>
        <v>0</v>
      </c>
      <c r="L11" s="50">
        <f t="shared" ref="L11:L25" si="4">ROUND(ROUND(K11*$G$7,4)*($K$7),0)</f>
        <v>0</v>
      </c>
      <c r="M11" s="1" t="str">
        <f>IF(ROUND(G11,2)=ROUND(SUM(G28:G30),2)," ","CHECK 2. PK-3 Lines Below")</f>
        <v xml:space="preserve"> </v>
      </c>
      <c r="N11" s="51">
        <v>5101</v>
      </c>
      <c r="O11" s="58" t="s">
        <v>31</v>
      </c>
      <c r="P11" s="53"/>
      <c r="Q11" s="54"/>
      <c r="V11" s="623" t="s">
        <v>30</v>
      </c>
      <c r="W11" s="623"/>
      <c r="X11" s="618">
        <f>IF('3391'!K$84=1,'3391'!G11,0)</f>
        <v>0</v>
      </c>
      <c r="Y11" s="618"/>
      <c r="Z11" s="624">
        <v>1</v>
      </c>
      <c r="AA11" s="624"/>
      <c r="AB11" s="55">
        <f t="shared" si="0"/>
        <v>0</v>
      </c>
      <c r="AC11" s="56">
        <f t="shared" si="1"/>
        <v>0</v>
      </c>
      <c r="AD11" s="9"/>
    </row>
    <row r="12" spans="1:30" x14ac:dyDescent="0.25">
      <c r="A12" s="1" t="s">
        <v>32</v>
      </c>
      <c r="B12" s="13" t="s">
        <v>33</v>
      </c>
      <c r="C12" s="13"/>
      <c r="D12" s="13">
        <v>0</v>
      </c>
      <c r="E12" s="13">
        <v>0</v>
      </c>
      <c r="F12" s="13">
        <v>0</v>
      </c>
      <c r="G12" s="46">
        <f t="shared" si="2"/>
        <v>0</v>
      </c>
      <c r="H12" s="47"/>
      <c r="I12" s="57">
        <v>1</v>
      </c>
      <c r="J12" s="57"/>
      <c r="K12" s="49">
        <f t="shared" si="3"/>
        <v>0</v>
      </c>
      <c r="L12" s="50">
        <f t="shared" si="4"/>
        <v>0</v>
      </c>
      <c r="N12" s="51">
        <v>5102</v>
      </c>
      <c r="O12" s="52">
        <v>102</v>
      </c>
      <c r="P12" s="53"/>
      <c r="Q12" s="54"/>
      <c r="V12" s="623" t="s">
        <v>33</v>
      </c>
      <c r="W12" s="623"/>
      <c r="X12" s="618">
        <f>IF('3391'!K$84=1,'3391'!G12,0)</f>
        <v>0</v>
      </c>
      <c r="Y12" s="618"/>
      <c r="Z12" s="624">
        <v>1</v>
      </c>
      <c r="AA12" s="624"/>
      <c r="AB12" s="55">
        <f t="shared" si="0"/>
        <v>0</v>
      </c>
      <c r="AC12" s="56">
        <f t="shared" si="1"/>
        <v>0</v>
      </c>
      <c r="AD12" s="9"/>
    </row>
    <row r="13" spans="1:30" x14ac:dyDescent="0.25">
      <c r="A13" s="1" t="s">
        <v>34</v>
      </c>
      <c r="B13" s="13" t="s">
        <v>35</v>
      </c>
      <c r="C13" s="13"/>
      <c r="D13" s="13">
        <v>4</v>
      </c>
      <c r="E13" s="13">
        <v>4</v>
      </c>
      <c r="F13" s="13">
        <v>4.9000000000000004</v>
      </c>
      <c r="G13" s="46">
        <f t="shared" si="2"/>
        <v>8</v>
      </c>
      <c r="H13" s="47"/>
      <c r="I13" s="57">
        <f>I12</f>
        <v>1</v>
      </c>
      <c r="J13" s="57"/>
      <c r="K13" s="49">
        <f t="shared" si="3"/>
        <v>8</v>
      </c>
      <c r="L13" s="50">
        <f t="shared" si="4"/>
        <v>30997</v>
      </c>
      <c r="M13" s="1" t="str">
        <f>IF(ROUND(G13,2)=ROUND(SUM(G31:G33),2)," ","CHECK 2. PK-3 Lines Below")</f>
        <v xml:space="preserve"> </v>
      </c>
      <c r="N13" s="51">
        <v>5102</v>
      </c>
      <c r="O13" s="58" t="s">
        <v>36</v>
      </c>
      <c r="P13" s="53"/>
      <c r="Q13" s="54"/>
      <c r="V13" s="623" t="s">
        <v>35</v>
      </c>
      <c r="W13" s="623"/>
      <c r="X13" s="618">
        <f>IF('3391'!K$84=1,'3391'!G13,0)</f>
        <v>8</v>
      </c>
      <c r="Y13" s="618"/>
      <c r="Z13" s="624">
        <v>1</v>
      </c>
      <c r="AA13" s="624"/>
      <c r="AB13" s="55">
        <f t="shared" si="0"/>
        <v>8</v>
      </c>
      <c r="AC13" s="56">
        <f t="shared" si="1"/>
        <v>30997</v>
      </c>
      <c r="AD13" s="9"/>
    </row>
    <row r="14" spans="1:30" x14ac:dyDescent="0.25">
      <c r="A14" s="1" t="s">
        <v>37</v>
      </c>
      <c r="B14" s="13" t="s">
        <v>38</v>
      </c>
      <c r="C14" s="13"/>
      <c r="D14" s="13">
        <v>0</v>
      </c>
      <c r="E14" s="13">
        <v>0</v>
      </c>
      <c r="F14" s="13">
        <v>0</v>
      </c>
      <c r="G14" s="46">
        <f t="shared" si="2"/>
        <v>0</v>
      </c>
      <c r="H14" s="47"/>
      <c r="I14" s="57">
        <v>1.0109999999999999</v>
      </c>
      <c r="J14" s="57"/>
      <c r="K14" s="49">
        <f t="shared" si="3"/>
        <v>0</v>
      </c>
      <c r="L14" s="50">
        <f t="shared" si="4"/>
        <v>0</v>
      </c>
      <c r="N14" s="51">
        <v>5103</v>
      </c>
      <c r="O14" s="52">
        <v>103</v>
      </c>
      <c r="P14" s="53"/>
      <c r="Q14" s="54"/>
      <c r="V14" s="623" t="s">
        <v>38</v>
      </c>
      <c r="W14" s="623"/>
      <c r="X14" s="618">
        <f>IF('3391'!K$84=1,'3391'!G14,0)</f>
        <v>0</v>
      </c>
      <c r="Y14" s="618"/>
      <c r="Z14" s="624">
        <v>1</v>
      </c>
      <c r="AA14" s="624"/>
      <c r="AB14" s="55">
        <f t="shared" si="0"/>
        <v>0</v>
      </c>
      <c r="AC14" s="56">
        <f t="shared" si="1"/>
        <v>0</v>
      </c>
      <c r="AD14" s="9"/>
    </row>
    <row r="15" spans="1:30" x14ac:dyDescent="0.25">
      <c r="A15" s="1" t="s">
        <v>39</v>
      </c>
      <c r="B15" s="13" t="s">
        <v>40</v>
      </c>
      <c r="C15" s="13"/>
      <c r="D15" s="13">
        <v>27.15</v>
      </c>
      <c r="E15" s="13">
        <v>29.36</v>
      </c>
      <c r="F15" s="13">
        <v>34.32</v>
      </c>
      <c r="G15" s="46">
        <f t="shared" si="2"/>
        <v>56.51</v>
      </c>
      <c r="H15" s="47"/>
      <c r="I15" s="57">
        <f>I14</f>
        <v>1.0109999999999999</v>
      </c>
      <c r="J15" s="57"/>
      <c r="K15" s="49">
        <f t="shared" si="3"/>
        <v>57.131599999999999</v>
      </c>
      <c r="L15" s="59">
        <f t="shared" si="4"/>
        <v>221364</v>
      </c>
      <c r="M15" s="1" t="str">
        <f>IF(ROUND(G15,2)=ROUND(SUM(G34:G36),2)," ","CHECK 2. PK-3 Lines Below")</f>
        <v xml:space="preserve"> </v>
      </c>
      <c r="N15" s="51">
        <v>5103</v>
      </c>
      <c r="O15" s="58" t="s">
        <v>41</v>
      </c>
      <c r="P15" s="53"/>
      <c r="Q15" s="54"/>
      <c r="V15" s="623" t="s">
        <v>40</v>
      </c>
      <c r="W15" s="623"/>
      <c r="X15" s="618">
        <f>IF('3391'!K$84=1,'3391'!G15,0)</f>
        <v>56.51</v>
      </c>
      <c r="Y15" s="618"/>
      <c r="Z15" s="624">
        <v>1</v>
      </c>
      <c r="AA15" s="624"/>
      <c r="AB15" s="55">
        <f t="shared" si="0"/>
        <v>56.51</v>
      </c>
      <c r="AC15" s="60">
        <f t="shared" si="1"/>
        <v>218955</v>
      </c>
      <c r="AD15" s="9"/>
    </row>
    <row r="16" spans="1:30" x14ac:dyDescent="0.25">
      <c r="A16" s="1" t="s">
        <v>42</v>
      </c>
      <c r="B16" s="13" t="s">
        <v>43</v>
      </c>
      <c r="C16" s="13"/>
      <c r="D16" s="13">
        <v>0</v>
      </c>
      <c r="E16" s="13">
        <v>0</v>
      </c>
      <c r="F16" s="13">
        <v>0</v>
      </c>
      <c r="G16" s="46">
        <f t="shared" si="2"/>
        <v>0</v>
      </c>
      <c r="H16" s="47"/>
      <c r="I16" s="57">
        <v>3.5579999999999998</v>
      </c>
      <c r="J16" s="57"/>
      <c r="K16" s="49">
        <f t="shared" si="3"/>
        <v>0</v>
      </c>
      <c r="L16" s="50">
        <f t="shared" si="4"/>
        <v>0</v>
      </c>
      <c r="N16" s="51">
        <v>5101</v>
      </c>
      <c r="O16" s="53">
        <v>254</v>
      </c>
      <c r="P16" s="53"/>
      <c r="Q16" s="54"/>
      <c r="V16" s="623" t="s">
        <v>43</v>
      </c>
      <c r="W16" s="623"/>
      <c r="X16" s="618">
        <f>IF('3391'!K$84=1,'3391'!G16,0)</f>
        <v>0</v>
      </c>
      <c r="Y16" s="618"/>
      <c r="Z16" s="624">
        <v>1</v>
      </c>
      <c r="AA16" s="624"/>
      <c r="AB16" s="55">
        <f t="shared" si="0"/>
        <v>0</v>
      </c>
      <c r="AC16" s="56">
        <f t="shared" si="1"/>
        <v>0</v>
      </c>
      <c r="AD16" s="9"/>
    </row>
    <row r="17" spans="1:30" x14ac:dyDescent="0.25">
      <c r="A17" s="1" t="s">
        <v>44</v>
      </c>
      <c r="B17" s="13" t="s">
        <v>45</v>
      </c>
      <c r="C17" s="13"/>
      <c r="D17" s="13">
        <v>0</v>
      </c>
      <c r="E17" s="13">
        <v>0</v>
      </c>
      <c r="F17" s="13">
        <v>0</v>
      </c>
      <c r="G17" s="46">
        <f t="shared" si="2"/>
        <v>0</v>
      </c>
      <c r="H17" s="47"/>
      <c r="I17" s="57">
        <f>I16</f>
        <v>3.5579999999999998</v>
      </c>
      <c r="J17" s="57"/>
      <c r="K17" s="49">
        <f t="shared" si="3"/>
        <v>0</v>
      </c>
      <c r="L17" s="50">
        <f t="shared" si="4"/>
        <v>0</v>
      </c>
      <c r="N17" s="51">
        <v>5102</v>
      </c>
      <c r="O17" s="54">
        <v>254</v>
      </c>
      <c r="P17" s="53"/>
      <c r="Q17" s="54"/>
      <c r="V17" s="623" t="s">
        <v>45</v>
      </c>
      <c r="W17" s="623"/>
      <c r="X17" s="618">
        <f>IF('3391'!K$84=1,'3391'!G17,0)</f>
        <v>0</v>
      </c>
      <c r="Y17" s="618"/>
      <c r="Z17" s="624">
        <v>1</v>
      </c>
      <c r="AA17" s="624"/>
      <c r="AB17" s="55">
        <f t="shared" si="0"/>
        <v>0</v>
      </c>
      <c r="AC17" s="56">
        <f t="shared" si="1"/>
        <v>0</v>
      </c>
      <c r="AD17" s="9"/>
    </row>
    <row r="18" spans="1:30" x14ac:dyDescent="0.25">
      <c r="A18" s="1" t="s">
        <v>46</v>
      </c>
      <c r="B18" s="13" t="s">
        <v>47</v>
      </c>
      <c r="C18" s="13"/>
      <c r="D18" s="13">
        <v>0</v>
      </c>
      <c r="E18" s="13">
        <v>0</v>
      </c>
      <c r="F18" s="13">
        <v>0</v>
      </c>
      <c r="G18" s="46">
        <f t="shared" si="2"/>
        <v>0</v>
      </c>
      <c r="H18" s="47"/>
      <c r="I18" s="57">
        <f>I17</f>
        <v>3.5579999999999998</v>
      </c>
      <c r="J18" s="57"/>
      <c r="K18" s="49">
        <f t="shared" si="3"/>
        <v>0</v>
      </c>
      <c r="L18" s="50">
        <f t="shared" si="4"/>
        <v>0</v>
      </c>
      <c r="N18" s="51">
        <v>5103</v>
      </c>
      <c r="O18" s="54">
        <v>254</v>
      </c>
      <c r="P18" s="53"/>
      <c r="Q18" s="54"/>
      <c r="V18" s="623" t="s">
        <v>47</v>
      </c>
      <c r="W18" s="623"/>
      <c r="X18" s="618">
        <f>IF('3391'!K$84=1,'3391'!G18,0)</f>
        <v>0</v>
      </c>
      <c r="Y18" s="618"/>
      <c r="Z18" s="624">
        <v>1</v>
      </c>
      <c r="AA18" s="624"/>
      <c r="AB18" s="55">
        <f t="shared" si="0"/>
        <v>0</v>
      </c>
      <c r="AC18" s="56">
        <f t="shared" si="1"/>
        <v>0</v>
      </c>
      <c r="AD18" s="9"/>
    </row>
    <row r="19" spans="1:30" ht="15" customHeight="1" x14ac:dyDescent="0.25">
      <c r="A19" s="1" t="s">
        <v>48</v>
      </c>
      <c r="B19" s="13" t="s">
        <v>49</v>
      </c>
      <c r="C19" s="13"/>
      <c r="D19" s="13">
        <v>0</v>
      </c>
      <c r="E19" s="13">
        <v>0</v>
      </c>
      <c r="F19" s="13">
        <v>0</v>
      </c>
      <c r="G19" s="46">
        <f t="shared" si="2"/>
        <v>0</v>
      </c>
      <c r="H19" s="47"/>
      <c r="I19" s="57">
        <v>5.0890000000000004</v>
      </c>
      <c r="J19" s="57"/>
      <c r="K19" s="49">
        <f t="shared" si="3"/>
        <v>0</v>
      </c>
      <c r="L19" s="50">
        <f t="shared" si="4"/>
        <v>0</v>
      </c>
      <c r="N19" s="51">
        <v>5101</v>
      </c>
      <c r="O19" s="53">
        <v>255</v>
      </c>
      <c r="P19" s="53"/>
      <c r="Q19" s="54"/>
      <c r="V19" s="623" t="s">
        <v>49</v>
      </c>
      <c r="W19" s="623"/>
      <c r="X19" s="618">
        <f>IF('3391'!K$84=1,'3391'!G19,0)</f>
        <v>0</v>
      </c>
      <c r="Y19" s="618"/>
      <c r="Z19" s="624">
        <v>1</v>
      </c>
      <c r="AA19" s="624"/>
      <c r="AB19" s="55">
        <f t="shared" si="0"/>
        <v>0</v>
      </c>
      <c r="AC19" s="56">
        <f t="shared" si="1"/>
        <v>0</v>
      </c>
      <c r="AD19" s="9"/>
    </row>
    <row r="20" spans="1:30" ht="15" customHeight="1" x14ac:dyDescent="0.25">
      <c r="A20" s="1" t="s">
        <v>50</v>
      </c>
      <c r="B20" s="13" t="s">
        <v>51</v>
      </c>
      <c r="C20" s="13"/>
      <c r="D20" s="13">
        <v>0</v>
      </c>
      <c r="E20" s="13">
        <v>0</v>
      </c>
      <c r="F20" s="13">
        <v>0</v>
      </c>
      <c r="G20" s="46">
        <f t="shared" si="2"/>
        <v>0</v>
      </c>
      <c r="H20" s="47"/>
      <c r="I20" s="57">
        <f>I19</f>
        <v>5.0890000000000004</v>
      </c>
      <c r="J20" s="57"/>
      <c r="K20" s="49">
        <f t="shared" si="3"/>
        <v>0</v>
      </c>
      <c r="L20" s="50">
        <f t="shared" si="4"/>
        <v>0</v>
      </c>
      <c r="N20" s="51">
        <v>5102</v>
      </c>
      <c r="O20" s="54">
        <v>255</v>
      </c>
      <c r="P20" s="53"/>
      <c r="Q20" s="54"/>
      <c r="V20" s="623" t="s">
        <v>51</v>
      </c>
      <c r="W20" s="623"/>
      <c r="X20" s="618">
        <f>IF('3391'!K$84=1,'3391'!G20,0)</f>
        <v>0</v>
      </c>
      <c r="Y20" s="618"/>
      <c r="Z20" s="624">
        <v>1</v>
      </c>
      <c r="AA20" s="624"/>
      <c r="AB20" s="55">
        <f t="shared" si="0"/>
        <v>0</v>
      </c>
      <c r="AC20" s="56">
        <f t="shared" si="1"/>
        <v>0</v>
      </c>
      <c r="AD20" s="9"/>
    </row>
    <row r="21" spans="1:30" ht="15" customHeight="1" x14ac:dyDescent="0.25">
      <c r="A21" s="1" t="s">
        <v>52</v>
      </c>
      <c r="B21" s="13" t="s">
        <v>53</v>
      </c>
      <c r="C21" s="13"/>
      <c r="D21" s="13">
        <v>0</v>
      </c>
      <c r="E21" s="13">
        <v>0.5</v>
      </c>
      <c r="F21" s="13">
        <v>0</v>
      </c>
      <c r="G21" s="46">
        <f t="shared" si="2"/>
        <v>0.5</v>
      </c>
      <c r="H21" s="47"/>
      <c r="I21" s="57">
        <f>I20</f>
        <v>5.0890000000000004</v>
      </c>
      <c r="J21" s="57"/>
      <c r="K21" s="49">
        <f t="shared" si="3"/>
        <v>2.5445000000000002</v>
      </c>
      <c r="L21" s="50">
        <f t="shared" si="4"/>
        <v>9859</v>
      </c>
      <c r="N21" s="51">
        <v>5103</v>
      </c>
      <c r="O21" s="54">
        <v>255</v>
      </c>
      <c r="P21" s="53"/>
      <c r="Q21" s="54"/>
      <c r="V21" s="623" t="s">
        <v>53</v>
      </c>
      <c r="W21" s="623"/>
      <c r="X21" s="618">
        <f>IF('3391'!K$84=1,'3391'!G21,0)</f>
        <v>0.5</v>
      </c>
      <c r="Y21" s="618"/>
      <c r="Z21" s="624">
        <v>1</v>
      </c>
      <c r="AA21" s="624"/>
      <c r="AB21" s="55">
        <f t="shared" si="0"/>
        <v>0.5</v>
      </c>
      <c r="AC21" s="56">
        <f t="shared" si="1"/>
        <v>1937</v>
      </c>
      <c r="AD21" s="9"/>
    </row>
    <row r="22" spans="1:30" x14ac:dyDescent="0.25">
      <c r="A22" s="1" t="s">
        <v>54</v>
      </c>
      <c r="B22" s="13" t="s">
        <v>55</v>
      </c>
      <c r="C22" s="13"/>
      <c r="D22" s="13">
        <v>0</v>
      </c>
      <c r="E22" s="13">
        <v>0</v>
      </c>
      <c r="F22" s="13">
        <v>0</v>
      </c>
      <c r="G22" s="46">
        <f t="shared" si="2"/>
        <v>0</v>
      </c>
      <c r="H22" s="47"/>
      <c r="I22" s="57">
        <v>1.145</v>
      </c>
      <c r="J22" s="57"/>
      <c r="K22" s="49">
        <f t="shared" si="3"/>
        <v>0</v>
      </c>
      <c r="L22" s="50">
        <f t="shared" si="4"/>
        <v>0</v>
      </c>
      <c r="N22" s="51">
        <v>5101</v>
      </c>
      <c r="O22" s="52">
        <v>130</v>
      </c>
      <c r="P22" s="53"/>
      <c r="Q22" s="54"/>
      <c r="V22" s="623" t="s">
        <v>55</v>
      </c>
      <c r="W22" s="623"/>
      <c r="X22" s="618">
        <f>IF('3391'!K$84=1,'3391'!G22,0)</f>
        <v>0</v>
      </c>
      <c r="Y22" s="618"/>
      <c r="Z22" s="624">
        <v>1</v>
      </c>
      <c r="AA22" s="624"/>
      <c r="AB22" s="55">
        <f t="shared" si="0"/>
        <v>0</v>
      </c>
      <c r="AC22" s="56">
        <f t="shared" si="1"/>
        <v>0</v>
      </c>
      <c r="AD22" s="9"/>
    </row>
    <row r="23" spans="1:30" x14ac:dyDescent="0.25">
      <c r="A23" s="1" t="s">
        <v>56</v>
      </c>
      <c r="B23" s="13" t="s">
        <v>57</v>
      </c>
      <c r="C23" s="13"/>
      <c r="D23" s="13">
        <v>0</v>
      </c>
      <c r="E23" s="13">
        <v>0</v>
      </c>
      <c r="F23" s="13">
        <v>0</v>
      </c>
      <c r="G23" s="46">
        <f t="shared" si="2"/>
        <v>0</v>
      </c>
      <c r="H23" s="47"/>
      <c r="I23" s="57">
        <f>I22</f>
        <v>1.145</v>
      </c>
      <c r="J23" s="57"/>
      <c r="K23" s="49">
        <f t="shared" si="3"/>
        <v>0</v>
      </c>
      <c r="L23" s="50">
        <f t="shared" si="4"/>
        <v>0</v>
      </c>
      <c r="N23" s="51">
        <v>5102</v>
      </c>
      <c r="O23" s="52">
        <v>130</v>
      </c>
      <c r="P23" s="53"/>
      <c r="Q23" s="54"/>
      <c r="V23" s="623" t="s">
        <v>57</v>
      </c>
      <c r="W23" s="623"/>
      <c r="X23" s="618">
        <f>IF('3391'!K$84=1,'3391'!G23,0)</f>
        <v>0</v>
      </c>
      <c r="Y23" s="618"/>
      <c r="Z23" s="624">
        <v>1</v>
      </c>
      <c r="AA23" s="624"/>
      <c r="AB23" s="55">
        <f t="shared" si="0"/>
        <v>0</v>
      </c>
      <c r="AC23" s="56">
        <f t="shared" si="1"/>
        <v>0</v>
      </c>
      <c r="AD23" s="9"/>
    </row>
    <row r="24" spans="1:30" x14ac:dyDescent="0.25">
      <c r="A24" s="1" t="s">
        <v>58</v>
      </c>
      <c r="B24" s="13" t="s">
        <v>59</v>
      </c>
      <c r="C24" s="13"/>
      <c r="D24" s="13">
        <v>0</v>
      </c>
      <c r="E24" s="13">
        <v>0</v>
      </c>
      <c r="F24" s="13">
        <v>0</v>
      </c>
      <c r="G24" s="46">
        <f t="shared" si="2"/>
        <v>0</v>
      </c>
      <c r="H24" s="47"/>
      <c r="I24" s="57">
        <f>I23</f>
        <v>1.145</v>
      </c>
      <c r="J24" s="57"/>
      <c r="K24" s="49">
        <f t="shared" si="3"/>
        <v>0</v>
      </c>
      <c r="L24" s="50">
        <f t="shared" si="4"/>
        <v>0</v>
      </c>
      <c r="N24" s="51">
        <v>5103</v>
      </c>
      <c r="O24" s="52">
        <v>130</v>
      </c>
      <c r="P24" s="53"/>
      <c r="Q24" s="54"/>
      <c r="V24" s="623" t="s">
        <v>59</v>
      </c>
      <c r="W24" s="623"/>
      <c r="X24" s="618">
        <f>IF('3391'!K$84=1,'3391'!G24,0)</f>
        <v>0</v>
      </c>
      <c r="Y24" s="618"/>
      <c r="Z24" s="624">
        <v>1</v>
      </c>
      <c r="AA24" s="624"/>
      <c r="AB24" s="55">
        <f t="shared" si="0"/>
        <v>0</v>
      </c>
      <c r="AC24" s="56">
        <f t="shared" si="1"/>
        <v>0</v>
      </c>
      <c r="AD24" s="9"/>
    </row>
    <row r="25" spans="1:30" ht="16.5" thickBot="1" x14ac:dyDescent="0.3">
      <c r="A25" s="1" t="s">
        <v>60</v>
      </c>
      <c r="B25" s="13" t="s">
        <v>61</v>
      </c>
      <c r="C25" s="13"/>
      <c r="D25" s="13">
        <v>0</v>
      </c>
      <c r="E25" s="13">
        <v>0</v>
      </c>
      <c r="F25" s="13">
        <v>0</v>
      </c>
      <c r="G25" s="46">
        <f t="shared" si="2"/>
        <v>0</v>
      </c>
      <c r="H25" s="47"/>
      <c r="I25" s="57">
        <v>1.0109999999999999</v>
      </c>
      <c r="J25" s="57"/>
      <c r="K25" s="49">
        <f t="shared" si="3"/>
        <v>0</v>
      </c>
      <c r="L25" s="50">
        <f t="shared" si="4"/>
        <v>0</v>
      </c>
      <c r="N25" s="51">
        <v>5310</v>
      </c>
      <c r="O25" s="52">
        <v>300</v>
      </c>
      <c r="P25" s="53"/>
      <c r="Q25" s="54"/>
      <c r="V25" s="623" t="s">
        <v>61</v>
      </c>
      <c r="W25" s="623"/>
      <c r="X25" s="618">
        <f>IF('3391'!K$84=1,'3391'!G25,0)</f>
        <v>0</v>
      </c>
      <c r="Y25" s="618"/>
      <c r="Z25" s="624">
        <v>1</v>
      </c>
      <c r="AA25" s="624"/>
      <c r="AB25" s="55">
        <f t="shared" si="0"/>
        <v>0</v>
      </c>
      <c r="AC25" s="56">
        <f t="shared" si="1"/>
        <v>0</v>
      </c>
      <c r="AD25" s="9"/>
    </row>
    <row r="26" spans="1:30" ht="20.25" customHeight="1" thickBot="1" x14ac:dyDescent="0.3">
      <c r="B26" s="62" t="s">
        <v>62</v>
      </c>
      <c r="C26" s="62"/>
      <c r="D26" s="63">
        <f t="shared" ref="D26:E26" si="5">SUM(D10:D25)</f>
        <v>31.15</v>
      </c>
      <c r="E26" s="63">
        <f t="shared" si="5"/>
        <v>33.86</v>
      </c>
      <c r="F26" s="63"/>
      <c r="G26" s="63">
        <f>SUM(G10:G25)</f>
        <v>65.009999999999991</v>
      </c>
      <c r="H26" s="64"/>
      <c r="I26" s="64"/>
      <c r="J26" s="65"/>
      <c r="K26" s="66">
        <f>SUM(K10:K25)</f>
        <v>67.676099999999991</v>
      </c>
      <c r="L26" s="67">
        <f>SUM(L10:L25)</f>
        <v>262220</v>
      </c>
      <c r="N26" s="54"/>
      <c r="O26" s="68"/>
      <c r="P26" s="54"/>
      <c r="Q26" s="54"/>
      <c r="V26" s="625" t="s">
        <v>62</v>
      </c>
      <c r="W26" s="625"/>
      <c r="X26" s="626">
        <f>SUM(X10:X25)</f>
        <v>65.009999999999991</v>
      </c>
      <c r="Y26" s="626"/>
      <c r="Z26" s="627"/>
      <c r="AA26" s="628"/>
      <c r="AB26" s="69">
        <f>SUM(AB10:AB25)</f>
        <v>65.009999999999991</v>
      </c>
      <c r="AC26" s="70">
        <f>SUM(AC10:AC25)</f>
        <v>251889</v>
      </c>
      <c r="AD26" s="9"/>
    </row>
    <row r="27" spans="1:30" ht="51.75" customHeight="1" x14ac:dyDescent="0.25">
      <c r="B27" s="62" t="s">
        <v>63</v>
      </c>
      <c r="C27" s="62"/>
      <c r="D27" s="71" t="s">
        <v>13</v>
      </c>
      <c r="E27" s="71" t="s">
        <v>14</v>
      </c>
      <c r="F27" s="27"/>
      <c r="G27" s="72" t="s">
        <v>64</v>
      </c>
      <c r="H27" s="73"/>
      <c r="I27" s="74" t="s">
        <v>65</v>
      </c>
      <c r="J27" s="74" t="s">
        <v>66</v>
      </c>
      <c r="K27" s="75" t="s">
        <v>67</v>
      </c>
      <c r="N27" s="54"/>
      <c r="O27" s="68"/>
      <c r="P27" s="54"/>
      <c r="Q27" s="54"/>
      <c r="V27" s="629" t="s">
        <v>63</v>
      </c>
      <c r="W27" s="629"/>
      <c r="X27" s="630" t="s">
        <v>64</v>
      </c>
      <c r="Y27" s="630"/>
      <c r="Z27" s="76" t="s">
        <v>65</v>
      </c>
      <c r="AA27" s="77" t="s">
        <v>66</v>
      </c>
      <c r="AB27" s="78" t="s">
        <v>67</v>
      </c>
      <c r="AC27" s="9"/>
      <c r="AD27" s="9"/>
    </row>
    <row r="28" spans="1:30" ht="15.75" customHeight="1" x14ac:dyDescent="0.25">
      <c r="A28" s="1" t="s">
        <v>68</v>
      </c>
      <c r="B28" s="631" t="s">
        <v>69</v>
      </c>
      <c r="C28" s="632"/>
      <c r="D28" s="13">
        <v>0</v>
      </c>
      <c r="E28" s="13">
        <v>0</v>
      </c>
      <c r="F28" s="79">
        <v>0</v>
      </c>
      <c r="G28" s="46">
        <f t="shared" ref="G28:G36" si="6">D28+E28</f>
        <v>0</v>
      </c>
      <c r="H28" s="80"/>
      <c r="I28" s="81" t="s">
        <v>70</v>
      </c>
      <c r="J28" s="82">
        <v>251</v>
      </c>
      <c r="K28" s="83">
        <v>1047</v>
      </c>
      <c r="L28" s="84">
        <f>ROUND(G28*K28,0)</f>
        <v>0</v>
      </c>
      <c r="N28" s="85">
        <v>5101</v>
      </c>
      <c r="O28" s="54">
        <v>251</v>
      </c>
      <c r="P28" s="86"/>
      <c r="Q28" s="87"/>
      <c r="V28" s="637" t="s">
        <v>69</v>
      </c>
      <c r="W28" s="637"/>
      <c r="X28" s="638"/>
      <c r="Y28" s="638"/>
      <c r="Z28" s="88" t="s">
        <v>70</v>
      </c>
      <c r="AA28" s="89">
        <v>251</v>
      </c>
      <c r="AB28" s="90">
        <f>+K28</f>
        <v>1047</v>
      </c>
      <c r="AC28" s="91">
        <f t="shared" ref="AC28:AC36" si="7">ROUND(X28*AB28,0)</f>
        <v>0</v>
      </c>
      <c r="AD28" s="9"/>
    </row>
    <row r="29" spans="1:30" x14ac:dyDescent="0.25">
      <c r="A29" s="1" t="s">
        <v>71</v>
      </c>
      <c r="B29" s="633"/>
      <c r="C29" s="634"/>
      <c r="D29" s="13">
        <v>0</v>
      </c>
      <c r="E29" s="13">
        <v>0</v>
      </c>
      <c r="F29" s="92">
        <v>0</v>
      </c>
      <c r="G29" s="46">
        <f t="shared" si="6"/>
        <v>0</v>
      </c>
      <c r="H29" s="80"/>
      <c r="I29" s="82" t="s">
        <v>70</v>
      </c>
      <c r="J29" s="82">
        <v>252</v>
      </c>
      <c r="K29" s="83">
        <v>3380</v>
      </c>
      <c r="L29" s="84">
        <f t="shared" ref="L29:L36" si="8">ROUND(G29*K29,0)</f>
        <v>0</v>
      </c>
      <c r="N29" s="85">
        <v>5101</v>
      </c>
      <c r="O29" s="54">
        <v>252</v>
      </c>
      <c r="P29" s="86"/>
      <c r="Q29" s="87"/>
      <c r="V29" s="637"/>
      <c r="W29" s="637"/>
      <c r="X29" s="638"/>
      <c r="Y29" s="638"/>
      <c r="Z29" s="89" t="s">
        <v>70</v>
      </c>
      <c r="AA29" s="89">
        <v>252</v>
      </c>
      <c r="AB29" s="90">
        <f t="shared" ref="AB29:AB36" si="9">+K29</f>
        <v>3380</v>
      </c>
      <c r="AC29" s="91">
        <f t="shared" si="7"/>
        <v>0</v>
      </c>
      <c r="AD29" s="9"/>
    </row>
    <row r="30" spans="1:30" x14ac:dyDescent="0.25">
      <c r="A30" s="1" t="s">
        <v>72</v>
      </c>
      <c r="B30" s="633"/>
      <c r="C30" s="634"/>
      <c r="D30" s="13">
        <v>0</v>
      </c>
      <c r="E30" s="13">
        <v>0</v>
      </c>
      <c r="F30" s="92">
        <v>0</v>
      </c>
      <c r="G30" s="46">
        <f t="shared" si="6"/>
        <v>0</v>
      </c>
      <c r="H30" s="80"/>
      <c r="I30" s="82" t="s">
        <v>70</v>
      </c>
      <c r="J30" s="82">
        <v>253</v>
      </c>
      <c r="K30" s="83">
        <v>6896</v>
      </c>
      <c r="L30" s="84">
        <f t="shared" si="8"/>
        <v>0</v>
      </c>
      <c r="N30" s="85">
        <v>5101</v>
      </c>
      <c r="O30" s="54">
        <v>253</v>
      </c>
      <c r="P30" s="86"/>
      <c r="Q30" s="68"/>
      <c r="V30" s="637"/>
      <c r="W30" s="637"/>
      <c r="X30" s="638"/>
      <c r="Y30" s="638"/>
      <c r="Z30" s="89" t="s">
        <v>70</v>
      </c>
      <c r="AA30" s="89">
        <v>253</v>
      </c>
      <c r="AB30" s="90">
        <f t="shared" si="9"/>
        <v>6896</v>
      </c>
      <c r="AC30" s="91">
        <f t="shared" si="7"/>
        <v>0</v>
      </c>
      <c r="AD30" s="9"/>
    </row>
    <row r="31" spans="1:30" x14ac:dyDescent="0.25">
      <c r="A31" s="1" t="s">
        <v>73</v>
      </c>
      <c r="B31" s="633"/>
      <c r="C31" s="634"/>
      <c r="D31" s="13">
        <v>0</v>
      </c>
      <c r="E31" s="13">
        <v>0</v>
      </c>
      <c r="F31" s="92">
        <v>0</v>
      </c>
      <c r="G31" s="46">
        <f t="shared" si="6"/>
        <v>0</v>
      </c>
      <c r="H31" s="80"/>
      <c r="I31" s="93" t="s">
        <v>74</v>
      </c>
      <c r="J31" s="82">
        <v>251</v>
      </c>
      <c r="K31" s="83">
        <v>1173</v>
      </c>
      <c r="L31" s="84">
        <f t="shared" si="8"/>
        <v>0</v>
      </c>
      <c r="N31" s="85">
        <v>5102</v>
      </c>
      <c r="O31" s="54">
        <v>251</v>
      </c>
      <c r="P31" s="86"/>
      <c r="Q31" s="68"/>
      <c r="V31" s="637"/>
      <c r="W31" s="637"/>
      <c r="X31" s="638"/>
      <c r="Y31" s="638"/>
      <c r="Z31" s="94" t="s">
        <v>74</v>
      </c>
      <c r="AA31" s="89">
        <v>251</v>
      </c>
      <c r="AB31" s="90">
        <f t="shared" si="9"/>
        <v>1173</v>
      </c>
      <c r="AC31" s="91">
        <f t="shared" si="7"/>
        <v>0</v>
      </c>
      <c r="AD31" s="9"/>
    </row>
    <row r="32" spans="1:30" x14ac:dyDescent="0.25">
      <c r="A32" s="1" t="s">
        <v>75</v>
      </c>
      <c r="B32" s="633"/>
      <c r="C32" s="634"/>
      <c r="D32" s="13">
        <v>1.5</v>
      </c>
      <c r="E32" s="13">
        <v>1.5</v>
      </c>
      <c r="F32" s="92">
        <v>0.5</v>
      </c>
      <c r="G32" s="46">
        <f t="shared" si="6"/>
        <v>3</v>
      </c>
      <c r="H32" s="80"/>
      <c r="I32" s="93" t="s">
        <v>74</v>
      </c>
      <c r="J32" s="82">
        <v>252</v>
      </c>
      <c r="K32" s="83">
        <v>3506</v>
      </c>
      <c r="L32" s="84">
        <f t="shared" si="8"/>
        <v>10518</v>
      </c>
      <c r="N32" s="85">
        <v>5102</v>
      </c>
      <c r="O32" s="54">
        <v>252</v>
      </c>
      <c r="P32" s="86"/>
      <c r="Q32" s="54"/>
      <c r="V32" s="637"/>
      <c r="W32" s="637"/>
      <c r="X32" s="638"/>
      <c r="Y32" s="638"/>
      <c r="Z32" s="94" t="s">
        <v>74</v>
      </c>
      <c r="AA32" s="89">
        <v>252</v>
      </c>
      <c r="AB32" s="90">
        <f t="shared" si="9"/>
        <v>3506</v>
      </c>
      <c r="AC32" s="91">
        <f t="shared" si="7"/>
        <v>0</v>
      </c>
      <c r="AD32" s="9"/>
    </row>
    <row r="33" spans="1:30" x14ac:dyDescent="0.25">
      <c r="A33" s="1" t="s">
        <v>76</v>
      </c>
      <c r="B33" s="633"/>
      <c r="C33" s="634"/>
      <c r="D33" s="13">
        <v>2.5</v>
      </c>
      <c r="E33" s="13">
        <v>2.5</v>
      </c>
      <c r="F33" s="92">
        <v>3.5</v>
      </c>
      <c r="G33" s="46">
        <f t="shared" si="6"/>
        <v>5</v>
      </c>
      <c r="H33" s="80"/>
      <c r="I33" s="93" t="s">
        <v>74</v>
      </c>
      <c r="J33" s="82">
        <v>253</v>
      </c>
      <c r="K33" s="83">
        <v>7023</v>
      </c>
      <c r="L33" s="84">
        <f t="shared" si="8"/>
        <v>35115</v>
      </c>
      <c r="N33" s="85">
        <v>5102</v>
      </c>
      <c r="O33" s="54">
        <v>253</v>
      </c>
      <c r="P33" s="86"/>
      <c r="Q33" s="87"/>
      <c r="V33" s="637"/>
      <c r="W33" s="637"/>
      <c r="X33" s="638"/>
      <c r="Y33" s="638"/>
      <c r="Z33" s="94" t="s">
        <v>74</v>
      </c>
      <c r="AA33" s="89">
        <v>253</v>
      </c>
      <c r="AB33" s="90">
        <f t="shared" si="9"/>
        <v>7023</v>
      </c>
      <c r="AC33" s="91">
        <f t="shared" si="7"/>
        <v>0</v>
      </c>
      <c r="AD33" s="9"/>
    </row>
    <row r="34" spans="1:30" x14ac:dyDescent="0.25">
      <c r="A34" s="1" t="s">
        <v>77</v>
      </c>
      <c r="B34" s="633"/>
      <c r="C34" s="634"/>
      <c r="D34" s="13">
        <v>8.68</v>
      </c>
      <c r="E34" s="13">
        <v>8.33</v>
      </c>
      <c r="F34" s="92">
        <v>8</v>
      </c>
      <c r="G34" s="46">
        <f t="shared" si="6"/>
        <v>17.009999999999998</v>
      </c>
      <c r="H34" s="80"/>
      <c r="I34" s="93" t="s">
        <v>78</v>
      </c>
      <c r="J34" s="82">
        <v>251</v>
      </c>
      <c r="K34" s="83">
        <v>835</v>
      </c>
      <c r="L34" s="84">
        <f t="shared" si="8"/>
        <v>14203</v>
      </c>
      <c r="N34" s="85">
        <v>5103</v>
      </c>
      <c r="O34" s="54">
        <v>251</v>
      </c>
      <c r="P34" s="86"/>
      <c r="Q34" s="87"/>
      <c r="V34" s="637"/>
      <c r="W34" s="637"/>
      <c r="X34" s="638"/>
      <c r="Y34" s="638"/>
      <c r="Z34" s="94" t="s">
        <v>78</v>
      </c>
      <c r="AA34" s="89">
        <v>251</v>
      </c>
      <c r="AB34" s="90">
        <f t="shared" si="9"/>
        <v>835</v>
      </c>
      <c r="AC34" s="91">
        <f t="shared" si="7"/>
        <v>0</v>
      </c>
      <c r="AD34" s="9"/>
    </row>
    <row r="35" spans="1:30" x14ac:dyDescent="0.25">
      <c r="A35" s="1" t="s">
        <v>79</v>
      </c>
      <c r="B35" s="633"/>
      <c r="C35" s="634"/>
      <c r="D35" s="13">
        <v>6.48</v>
      </c>
      <c r="E35" s="13">
        <v>6.52</v>
      </c>
      <c r="F35" s="92">
        <v>6.5</v>
      </c>
      <c r="G35" s="46">
        <f t="shared" si="6"/>
        <v>13</v>
      </c>
      <c r="H35" s="80"/>
      <c r="I35" s="93" t="s">
        <v>78</v>
      </c>
      <c r="J35" s="82">
        <v>252</v>
      </c>
      <c r="K35" s="83">
        <v>3168</v>
      </c>
      <c r="L35" s="84">
        <f t="shared" si="8"/>
        <v>41184</v>
      </c>
      <c r="N35" s="85">
        <v>5103</v>
      </c>
      <c r="O35" s="54">
        <v>252</v>
      </c>
      <c r="P35" s="86"/>
      <c r="Q35" s="95"/>
      <c r="V35" s="637"/>
      <c r="W35" s="637"/>
      <c r="X35" s="638"/>
      <c r="Y35" s="638"/>
      <c r="Z35" s="94" t="s">
        <v>78</v>
      </c>
      <c r="AA35" s="89">
        <v>252</v>
      </c>
      <c r="AB35" s="90">
        <f t="shared" si="9"/>
        <v>3168</v>
      </c>
      <c r="AC35" s="91">
        <f t="shared" si="7"/>
        <v>0</v>
      </c>
      <c r="AD35" s="9"/>
    </row>
    <row r="36" spans="1:30" ht="16.5" thickBot="1" x14ac:dyDescent="0.3">
      <c r="A36" s="1" t="s">
        <v>80</v>
      </c>
      <c r="B36" s="635"/>
      <c r="C36" s="636"/>
      <c r="D36" s="13">
        <v>11.99</v>
      </c>
      <c r="E36" s="13">
        <v>14.51</v>
      </c>
      <c r="F36" s="92">
        <v>13</v>
      </c>
      <c r="G36" s="46">
        <f t="shared" si="6"/>
        <v>26.5</v>
      </c>
      <c r="H36" s="80"/>
      <c r="I36" s="93" t="s">
        <v>78</v>
      </c>
      <c r="J36" s="82">
        <v>253</v>
      </c>
      <c r="K36" s="83">
        <v>6685</v>
      </c>
      <c r="L36" s="96">
        <f t="shared" si="8"/>
        <v>177153</v>
      </c>
      <c r="N36" s="85">
        <v>5103</v>
      </c>
      <c r="O36" s="54">
        <v>253</v>
      </c>
      <c r="P36" s="86"/>
      <c r="Q36" s="97"/>
      <c r="V36" s="637"/>
      <c r="W36" s="637"/>
      <c r="X36" s="645"/>
      <c r="Y36" s="645"/>
      <c r="Z36" s="94" t="s">
        <v>78</v>
      </c>
      <c r="AA36" s="89">
        <v>253</v>
      </c>
      <c r="AB36" s="90">
        <f t="shared" si="9"/>
        <v>6685</v>
      </c>
      <c r="AC36" s="98">
        <f t="shared" si="7"/>
        <v>0</v>
      </c>
      <c r="AD36" s="9"/>
    </row>
    <row r="37" spans="1:30" ht="18.75" customHeight="1" x14ac:dyDescent="0.25">
      <c r="B37" s="13" t="s">
        <v>81</v>
      </c>
      <c r="C37" s="13"/>
      <c r="D37" s="63">
        <f t="shared" ref="D37:E37" si="10">SUM(D28:D36)</f>
        <v>31.15</v>
      </c>
      <c r="E37" s="63">
        <f t="shared" si="10"/>
        <v>33.36</v>
      </c>
      <c r="F37" s="63"/>
      <c r="G37" s="63">
        <f>SUM(G28:G36)</f>
        <v>64.509999999999991</v>
      </c>
      <c r="H37" s="64"/>
      <c r="I37" s="13" t="s">
        <v>82</v>
      </c>
      <c r="J37" s="13"/>
      <c r="K37" s="13"/>
      <c r="L37" s="50">
        <f>SUM(L28:L36)</f>
        <v>278173</v>
      </c>
      <c r="N37" s="54"/>
      <c r="O37" s="68"/>
      <c r="P37" s="54"/>
      <c r="Q37" s="54"/>
      <c r="V37" s="646" t="s">
        <v>81</v>
      </c>
      <c r="W37" s="646"/>
      <c r="X37" s="626">
        <f>SUM(X28:X36)</f>
        <v>0</v>
      </c>
      <c r="Y37" s="626"/>
      <c r="Z37" s="646" t="s">
        <v>82</v>
      </c>
      <c r="AA37" s="646"/>
      <c r="AB37" s="646"/>
      <c r="AC37" s="56">
        <f>SUM(AC28:AC36)</f>
        <v>0</v>
      </c>
      <c r="AD37" s="9"/>
    </row>
    <row r="38" spans="1:30" ht="30.75" customHeight="1" x14ac:dyDescent="0.25">
      <c r="B38" s="99" t="s">
        <v>83</v>
      </c>
      <c r="C38" s="99"/>
      <c r="D38" s="99"/>
      <c r="E38" s="99"/>
      <c r="F38" s="99"/>
      <c r="G38" s="99"/>
      <c r="H38" s="100"/>
      <c r="I38" s="99"/>
      <c r="J38" s="99"/>
      <c r="K38" s="99"/>
      <c r="L38" s="99"/>
      <c r="M38" s="101"/>
      <c r="N38" s="54"/>
      <c r="O38" s="68"/>
      <c r="P38" s="54"/>
      <c r="Q38" s="54"/>
      <c r="V38" s="639" t="s">
        <v>83</v>
      </c>
      <c r="W38" s="639"/>
      <c r="X38" s="639"/>
      <c r="Y38" s="639"/>
      <c r="Z38" s="639"/>
      <c r="AA38" s="639"/>
      <c r="AB38" s="639"/>
      <c r="AC38" s="639"/>
      <c r="AD38" s="102"/>
    </row>
    <row r="39" spans="1:30" ht="15.75" customHeight="1" x14ac:dyDescent="0.25">
      <c r="B39" s="103" t="s">
        <v>84</v>
      </c>
      <c r="C39" s="103"/>
      <c r="D39" s="103"/>
      <c r="E39" s="103"/>
      <c r="F39" s="103"/>
      <c r="G39" s="104">
        <v>34389540</v>
      </c>
      <c r="H39" s="104"/>
      <c r="I39" s="13" t="s">
        <v>85</v>
      </c>
      <c r="J39" s="13"/>
      <c r="K39" s="13"/>
      <c r="L39" s="13"/>
      <c r="O39" s="1"/>
      <c r="V39" s="640" t="s">
        <v>84</v>
      </c>
      <c r="W39" s="640"/>
      <c r="X39" s="641">
        <f>+G39</f>
        <v>34389540</v>
      </c>
      <c r="Y39" s="641"/>
      <c r="Z39" s="642" t="s">
        <v>85</v>
      </c>
      <c r="AA39" s="642"/>
      <c r="AB39" s="642"/>
      <c r="AC39" s="642"/>
      <c r="AD39" s="9"/>
    </row>
    <row r="40" spans="1:30" ht="15.75" customHeight="1" x14ac:dyDescent="0.25">
      <c r="B40" s="105" t="s">
        <v>86</v>
      </c>
      <c r="C40" s="105"/>
      <c r="D40" s="105"/>
      <c r="E40" s="105"/>
      <c r="F40" s="105"/>
      <c r="G40" s="106">
        <v>180284.81</v>
      </c>
      <c r="H40" s="106"/>
      <c r="I40" s="106"/>
      <c r="J40" s="106"/>
      <c r="K40" s="50">
        <f>ROUND(G39/G40,0)</f>
        <v>191</v>
      </c>
      <c r="L40" s="50">
        <f>ROUND(K40*$G$26,0)</f>
        <v>12417</v>
      </c>
      <c r="N40" s="107"/>
      <c r="O40" s="107"/>
      <c r="P40" s="107"/>
      <c r="Q40" s="107"/>
      <c r="V40" s="643" t="s">
        <v>86</v>
      </c>
      <c r="W40" s="643"/>
      <c r="X40" s="644">
        <f>+G40</f>
        <v>180284.81</v>
      </c>
      <c r="Y40" s="644"/>
      <c r="Z40" s="644"/>
      <c r="AA40" s="644"/>
      <c r="AB40" s="56">
        <f>ROUND(X39/X40,0)</f>
        <v>191</v>
      </c>
      <c r="AC40" s="56">
        <f>ROUND(AB40*$X$26,0)</f>
        <v>12417</v>
      </c>
      <c r="AD40" s="9"/>
    </row>
    <row r="41" spans="1:30" ht="15.75" customHeight="1" x14ac:dyDescent="0.25">
      <c r="B41" s="108" t="s">
        <v>87</v>
      </c>
      <c r="C41" s="108"/>
      <c r="D41" s="108"/>
      <c r="E41" s="108"/>
      <c r="F41" s="108"/>
      <c r="G41" s="108"/>
      <c r="H41" s="108"/>
      <c r="I41" s="108"/>
      <c r="J41" s="108"/>
      <c r="K41" s="108"/>
      <c r="L41" s="108"/>
      <c r="N41" s="101"/>
      <c r="O41" s="109"/>
      <c r="P41" s="101"/>
      <c r="Q41" s="101"/>
      <c r="V41" s="652" t="s">
        <v>87</v>
      </c>
      <c r="W41" s="652"/>
      <c r="X41" s="652"/>
      <c r="Y41" s="652"/>
      <c r="Z41" s="652"/>
      <c r="AA41" s="652"/>
      <c r="AB41" s="652"/>
      <c r="AC41" s="652"/>
      <c r="AD41" s="9"/>
    </row>
    <row r="42" spans="1:30" ht="28.5" customHeight="1" x14ac:dyDescent="0.25">
      <c r="B42" s="99" t="s">
        <v>88</v>
      </c>
      <c r="C42" s="99"/>
      <c r="D42" s="99"/>
      <c r="E42" s="99"/>
      <c r="F42" s="99"/>
      <c r="G42" s="99"/>
      <c r="H42" s="99"/>
      <c r="I42" s="99"/>
      <c r="J42" s="99"/>
      <c r="K42" s="99"/>
      <c r="L42" s="99"/>
      <c r="M42" s="107"/>
      <c r="O42" s="1"/>
      <c r="V42" s="639" t="s">
        <v>88</v>
      </c>
      <c r="W42" s="639"/>
      <c r="X42" s="639"/>
      <c r="Y42" s="639"/>
      <c r="Z42" s="639"/>
      <c r="AA42" s="639"/>
      <c r="AB42" s="639"/>
      <c r="AC42" s="639"/>
      <c r="AD42" s="110"/>
    </row>
    <row r="43" spans="1:30" x14ac:dyDescent="0.25">
      <c r="B43" s="111" t="s">
        <v>89</v>
      </c>
      <c r="C43" s="111"/>
      <c r="D43" s="111"/>
      <c r="E43" s="111"/>
      <c r="F43" s="111"/>
      <c r="G43" s="111"/>
      <c r="H43" s="111"/>
      <c r="I43" s="111"/>
      <c r="J43" s="111"/>
      <c r="K43" s="111"/>
      <c r="L43" s="111"/>
      <c r="M43" s="112"/>
      <c r="N43" s="101"/>
      <c r="O43" s="101"/>
      <c r="P43" s="101"/>
      <c r="Q43" s="101"/>
      <c r="V43" s="653" t="s">
        <v>89</v>
      </c>
      <c r="W43" s="653"/>
      <c r="X43" s="653"/>
      <c r="Y43" s="653"/>
      <c r="Z43" s="653"/>
      <c r="AA43" s="653"/>
      <c r="AB43" s="653"/>
      <c r="AC43" s="653"/>
      <c r="AD43" s="113"/>
    </row>
    <row r="44" spans="1:30" ht="24" customHeight="1" x14ac:dyDescent="0.25">
      <c r="B44" s="62" t="s">
        <v>90</v>
      </c>
      <c r="C44" s="62"/>
      <c r="D44" s="62"/>
      <c r="E44" s="62"/>
      <c r="F44" s="62"/>
      <c r="G44" s="62"/>
      <c r="H44" s="62"/>
      <c r="I44" s="62"/>
      <c r="J44" s="62"/>
      <c r="K44" s="62"/>
      <c r="L44" s="114">
        <f>SUM(L26,L37,L40)</f>
        <v>552810</v>
      </c>
      <c r="O44" s="1"/>
      <c r="V44" s="654" t="s">
        <v>90</v>
      </c>
      <c r="W44" s="654"/>
      <c r="X44" s="654"/>
      <c r="Y44" s="654"/>
      <c r="Z44" s="654"/>
      <c r="AA44" s="654"/>
      <c r="AB44" s="654"/>
      <c r="AC44" s="115">
        <f>SUM(AC26,AC37,AC40)</f>
        <v>264306</v>
      </c>
      <c r="AD44" s="9"/>
    </row>
    <row r="45" spans="1:30" ht="30.75" customHeight="1" x14ac:dyDescent="0.25">
      <c r="B45" s="99" t="s">
        <v>91</v>
      </c>
      <c r="C45" s="99"/>
      <c r="D45" s="99"/>
      <c r="E45" s="99"/>
      <c r="F45" s="99"/>
      <c r="G45" s="99"/>
      <c r="H45" s="99"/>
      <c r="I45" s="99"/>
      <c r="J45" s="99"/>
      <c r="K45" s="99"/>
      <c r="L45" s="99"/>
      <c r="M45" s="116"/>
      <c r="O45" s="1"/>
      <c r="V45" s="639" t="s">
        <v>91</v>
      </c>
      <c r="W45" s="639"/>
      <c r="X45" s="639"/>
      <c r="Y45" s="639"/>
      <c r="Z45" s="639"/>
      <c r="AA45" s="639"/>
      <c r="AB45" s="639"/>
      <c r="AC45" s="639"/>
      <c r="AD45" s="117"/>
    </row>
    <row r="46" spans="1:30" ht="18.75" customHeight="1" x14ac:dyDescent="0.25">
      <c r="B46" s="1"/>
      <c r="C46" s="118" t="s">
        <v>92</v>
      </c>
      <c r="D46" s="118"/>
      <c r="E46" s="118"/>
      <c r="F46" s="118"/>
      <c r="G46" s="118" t="s">
        <v>93</v>
      </c>
      <c r="H46" s="119"/>
      <c r="I46" s="120" t="s">
        <v>94</v>
      </c>
      <c r="J46" s="121"/>
      <c r="K46" s="121"/>
      <c r="L46" s="121"/>
      <c r="M46" s="122"/>
      <c r="O46" s="1"/>
      <c r="V46" s="9"/>
      <c r="W46" s="123" t="s">
        <v>92</v>
      </c>
      <c r="X46" s="655" t="s">
        <v>95</v>
      </c>
      <c r="Y46" s="655"/>
      <c r="Z46" s="656" t="s">
        <v>94</v>
      </c>
      <c r="AA46" s="656"/>
      <c r="AB46" s="656"/>
      <c r="AC46" s="656"/>
      <c r="AD46" s="124"/>
    </row>
    <row r="47" spans="1:30" ht="18.75" customHeight="1" x14ac:dyDescent="0.25">
      <c r="B47" s="107" t="s">
        <v>96</v>
      </c>
      <c r="C47" s="125">
        <f>K10+K11+K16+K19+K22</f>
        <v>0</v>
      </c>
      <c r="D47" s="125"/>
      <c r="E47" s="125"/>
      <c r="F47" s="125"/>
      <c r="G47" s="126">
        <f>K7</f>
        <v>1.0326</v>
      </c>
      <c r="H47" s="126"/>
      <c r="I47" s="127">
        <v>1316.85</v>
      </c>
      <c r="J47" s="128" t="s">
        <v>97</v>
      </c>
      <c r="K47" s="129">
        <f>ROUND(C47*G47*I47,0)</f>
        <v>0</v>
      </c>
      <c r="L47" s="130"/>
      <c r="O47" s="1"/>
      <c r="V47" s="110" t="s">
        <v>96</v>
      </c>
      <c r="W47" s="131">
        <f>AB10+AB11+AB16+AB19+AB22</f>
        <v>0</v>
      </c>
      <c r="X47" s="647">
        <f>AB7</f>
        <v>1.0326</v>
      </c>
      <c r="Y47" s="647"/>
      <c r="Z47" s="132">
        <f>+I47</f>
        <v>1316.85</v>
      </c>
      <c r="AA47" s="133" t="s">
        <v>97</v>
      </c>
      <c r="AB47" s="134">
        <f>ROUND(W47*X47*Z47,0)</f>
        <v>0</v>
      </c>
      <c r="AC47" s="135"/>
      <c r="AD47" s="9"/>
    </row>
    <row r="48" spans="1:30" ht="18" customHeight="1" x14ac:dyDescent="0.25">
      <c r="B48" s="136" t="s">
        <v>74</v>
      </c>
      <c r="C48" s="125">
        <f>K12+K13+K17+K20+K23</f>
        <v>8</v>
      </c>
      <c r="D48" s="125"/>
      <c r="E48" s="125"/>
      <c r="F48" s="125"/>
      <c r="G48" s="126">
        <f>K7</f>
        <v>1.0326</v>
      </c>
      <c r="H48" s="126"/>
      <c r="I48" s="127">
        <v>898.23</v>
      </c>
      <c r="J48" s="128" t="s">
        <v>97</v>
      </c>
      <c r="K48" s="129">
        <f>ROUND(C48*G48*I48,0)</f>
        <v>7420</v>
      </c>
      <c r="L48" s="62"/>
      <c r="O48" s="1"/>
      <c r="V48" s="137" t="s">
        <v>74</v>
      </c>
      <c r="W48" s="131">
        <f>AB12+AB13+AB17+AB20+AB23</f>
        <v>8</v>
      </c>
      <c r="X48" s="647">
        <f>AB7</f>
        <v>1.0326</v>
      </c>
      <c r="Y48" s="647"/>
      <c r="Z48" s="132">
        <f>+I48</f>
        <v>898.23</v>
      </c>
      <c r="AA48" s="133" t="s">
        <v>97</v>
      </c>
      <c r="AB48" s="134">
        <f>ROUND(W48*X48*Z48,0)</f>
        <v>7420</v>
      </c>
      <c r="AC48" s="138"/>
      <c r="AD48" s="9"/>
    </row>
    <row r="49" spans="2:30" ht="19.5" customHeight="1" thickBot="1" x14ac:dyDescent="0.3">
      <c r="B49" s="139" t="s">
        <v>78</v>
      </c>
      <c r="C49" s="140">
        <f>K14+K15+K18+K21+K24+K25</f>
        <v>59.676099999999998</v>
      </c>
      <c r="D49" s="125"/>
      <c r="E49" s="125"/>
      <c r="F49" s="125"/>
      <c r="G49" s="126">
        <f>K7</f>
        <v>1.0326</v>
      </c>
      <c r="H49" s="126"/>
      <c r="I49" s="127">
        <v>900.39</v>
      </c>
      <c r="J49" s="128" t="s">
        <v>97</v>
      </c>
      <c r="K49" s="129">
        <f>ROUND(C49*G49*I49,0)</f>
        <v>55483</v>
      </c>
      <c r="L49" s="62"/>
      <c r="M49" s="112"/>
      <c r="N49" s="141"/>
      <c r="O49" s="142"/>
      <c r="P49" s="101"/>
      <c r="Q49" s="143"/>
      <c r="V49" s="144" t="s">
        <v>78</v>
      </c>
      <c r="W49" s="145">
        <f>AB14+AB15+AB18+AB21+AB24+AB25</f>
        <v>57.01</v>
      </c>
      <c r="X49" s="647">
        <f>AB7</f>
        <v>1.0326</v>
      </c>
      <c r="Y49" s="647"/>
      <c r="Z49" s="132">
        <f>+I49</f>
        <v>900.39</v>
      </c>
      <c r="AA49" s="133" t="s">
        <v>97</v>
      </c>
      <c r="AB49" s="134">
        <f>ROUND(W49*X49*Z49,0)</f>
        <v>53005</v>
      </c>
      <c r="AC49" s="138"/>
      <c r="AD49" s="113"/>
    </row>
    <row r="50" spans="2:30" ht="24" customHeight="1" thickBot="1" x14ac:dyDescent="0.3">
      <c r="B50" s="146" t="s">
        <v>98</v>
      </c>
      <c r="C50" s="147">
        <f>SUM(C47:C49)</f>
        <v>67.676099999999991</v>
      </c>
      <c r="D50" s="148"/>
      <c r="E50" s="149"/>
      <c r="F50" s="149"/>
      <c r="G50" s="150" t="s">
        <v>99</v>
      </c>
      <c r="H50" s="150"/>
      <c r="I50" s="150"/>
      <c r="J50" s="150"/>
      <c r="K50" s="150"/>
      <c r="L50" s="50">
        <f>IF(B2=75,0,K49+K48+K47)</f>
        <v>62903</v>
      </c>
      <c r="N50" s="3"/>
      <c r="O50" s="1"/>
      <c r="V50" s="151" t="s">
        <v>98</v>
      </c>
      <c r="W50" s="152">
        <f>SUM(W47:W49)</f>
        <v>65.009999999999991</v>
      </c>
      <c r="X50" s="648" t="s">
        <v>99</v>
      </c>
      <c r="Y50" s="649"/>
      <c r="Z50" s="649"/>
      <c r="AA50" s="649"/>
      <c r="AB50" s="649"/>
      <c r="AC50" s="56">
        <f>IF(V2=75,0,AB49+AB48+AB47)</f>
        <v>60425</v>
      </c>
      <c r="AD50" s="9"/>
    </row>
    <row r="51" spans="2:30" ht="19.5" customHeight="1" x14ac:dyDescent="0.25">
      <c r="B51" s="153" t="s">
        <v>100</v>
      </c>
      <c r="C51" s="153"/>
      <c r="D51" s="153"/>
      <c r="E51" s="153"/>
      <c r="F51" s="153"/>
      <c r="G51" s="153"/>
      <c r="H51" s="153"/>
      <c r="I51" s="153"/>
      <c r="J51" s="153"/>
      <c r="K51" s="153"/>
      <c r="L51" s="153"/>
      <c r="M51" s="141"/>
      <c r="N51" s="101"/>
      <c r="O51" s="1"/>
      <c r="V51" s="650" t="s">
        <v>100</v>
      </c>
      <c r="W51" s="650"/>
      <c r="X51" s="650"/>
      <c r="Y51" s="650"/>
      <c r="Z51" s="650"/>
      <c r="AA51" s="650"/>
      <c r="AB51" s="650"/>
      <c r="AC51" s="650"/>
      <c r="AD51" s="154"/>
    </row>
    <row r="52" spans="2:30" ht="27.75" customHeight="1" x14ac:dyDescent="0.25">
      <c r="B52" s="13" t="s">
        <v>101</v>
      </c>
      <c r="C52" s="13"/>
      <c r="D52" s="13"/>
      <c r="E52" s="13"/>
      <c r="F52" s="13"/>
      <c r="G52" s="13"/>
      <c r="H52" s="13"/>
      <c r="I52" s="13"/>
      <c r="J52" s="13"/>
      <c r="K52" s="13"/>
      <c r="L52" s="13"/>
      <c r="O52" s="1"/>
      <c r="V52" s="651" t="s">
        <v>101</v>
      </c>
      <c r="W52" s="651"/>
      <c r="X52" s="651"/>
      <c r="Y52" s="651"/>
      <c r="Z52" s="651"/>
      <c r="AA52" s="651"/>
      <c r="AB52" s="651"/>
      <c r="AC52" s="651"/>
      <c r="AD52" s="9"/>
    </row>
    <row r="53" spans="2:30" x14ac:dyDescent="0.25">
      <c r="B53" s="13" t="s">
        <v>102</v>
      </c>
      <c r="C53" s="13"/>
      <c r="D53" s="13"/>
      <c r="E53" s="13"/>
      <c r="F53" s="13"/>
      <c r="G53" s="155">
        <f>K26</f>
        <v>67.676099999999991</v>
      </c>
      <c r="H53" s="57" t="s">
        <v>103</v>
      </c>
      <c r="I53" s="57"/>
      <c r="J53" s="156">
        <v>197823.77</v>
      </c>
      <c r="K53" s="156"/>
      <c r="L53" s="156"/>
      <c r="N53" s="3"/>
      <c r="O53" s="1"/>
      <c r="V53" s="657" t="s">
        <v>102</v>
      </c>
      <c r="W53" s="657"/>
      <c r="X53" s="157">
        <f>AB26</f>
        <v>65.009999999999991</v>
      </c>
      <c r="Y53" s="658" t="s">
        <v>103</v>
      </c>
      <c r="Z53" s="658"/>
      <c r="AA53" s="659">
        <f>+J53</f>
        <v>197823.77</v>
      </c>
      <c r="AB53" s="659"/>
      <c r="AC53" s="659"/>
      <c r="AD53" s="9"/>
    </row>
    <row r="54" spans="2:30" x14ac:dyDescent="0.25">
      <c r="B54" s="13" t="s">
        <v>104</v>
      </c>
      <c r="C54" s="13"/>
      <c r="D54" s="13"/>
      <c r="E54" s="13"/>
      <c r="F54" s="13"/>
      <c r="G54" s="13"/>
      <c r="H54" s="13"/>
      <c r="I54" s="13"/>
      <c r="J54" s="13"/>
      <c r="K54" s="158">
        <f>ROUND(G53/J53,6)</f>
        <v>3.4200000000000002E-4</v>
      </c>
      <c r="L54" s="158"/>
      <c r="N54" s="101"/>
      <c r="O54" s="1"/>
      <c r="V54" s="657" t="s">
        <v>104</v>
      </c>
      <c r="W54" s="657"/>
      <c r="X54" s="657"/>
      <c r="Y54" s="657"/>
      <c r="Z54" s="657"/>
      <c r="AA54" s="657"/>
      <c r="AB54" s="660">
        <f>ROUND(X53/AA53,6)</f>
        <v>3.2899999999999997E-4</v>
      </c>
      <c r="AC54" s="660"/>
      <c r="AD54" s="9"/>
    </row>
    <row r="55" spans="2:30" ht="24" customHeight="1" x14ac:dyDescent="0.25">
      <c r="B55" s="13" t="s">
        <v>105</v>
      </c>
      <c r="C55" s="13"/>
      <c r="D55" s="13"/>
      <c r="E55" s="13"/>
      <c r="F55" s="13"/>
      <c r="G55" s="13"/>
      <c r="H55" s="13"/>
      <c r="I55" s="13"/>
      <c r="J55" s="13"/>
      <c r="K55" s="13"/>
      <c r="L55" s="13"/>
      <c r="O55" s="1"/>
      <c r="V55" s="651" t="s">
        <v>105</v>
      </c>
      <c r="W55" s="651"/>
      <c r="X55" s="651"/>
      <c r="Y55" s="651"/>
      <c r="Z55" s="651"/>
      <c r="AA55" s="651"/>
      <c r="AB55" s="651"/>
      <c r="AC55" s="651"/>
      <c r="AD55" s="9"/>
    </row>
    <row r="56" spans="2:30" x14ac:dyDescent="0.25">
      <c r="B56" s="13" t="s">
        <v>106</v>
      </c>
      <c r="C56" s="13"/>
      <c r="D56" s="13"/>
      <c r="E56" s="13"/>
      <c r="F56" s="13"/>
      <c r="G56" s="159">
        <f>G26</f>
        <v>65.009999999999991</v>
      </c>
      <c r="H56" s="57" t="s">
        <v>107</v>
      </c>
      <c r="I56" s="57"/>
      <c r="J56" s="156">
        <f>+G40</f>
        <v>180284.81</v>
      </c>
      <c r="K56" s="156"/>
      <c r="L56" s="156"/>
      <c r="O56" s="1"/>
      <c r="V56" s="657" t="s">
        <v>106</v>
      </c>
      <c r="W56" s="657"/>
      <c r="X56" s="160">
        <f>X26</f>
        <v>65.009999999999991</v>
      </c>
      <c r="Y56" s="658" t="s">
        <v>107</v>
      </c>
      <c r="Z56" s="658"/>
      <c r="AA56" s="659">
        <f>+J56</f>
        <v>180284.81</v>
      </c>
      <c r="AB56" s="659"/>
      <c r="AC56" s="659"/>
      <c r="AD56" s="9"/>
    </row>
    <row r="57" spans="2:30" x14ac:dyDescent="0.25">
      <c r="B57" s="13" t="s">
        <v>108</v>
      </c>
      <c r="C57" s="13"/>
      <c r="D57" s="13"/>
      <c r="E57" s="13"/>
      <c r="F57" s="13"/>
      <c r="G57" s="13"/>
      <c r="H57" s="13"/>
      <c r="I57" s="13"/>
      <c r="J57" s="13"/>
      <c r="K57" s="158">
        <f>ROUND(G56/J56,6)</f>
        <v>3.6099999999999999E-4</v>
      </c>
      <c r="L57" s="158"/>
      <c r="O57" s="1"/>
      <c r="V57" s="657" t="s">
        <v>108</v>
      </c>
      <c r="W57" s="657"/>
      <c r="X57" s="657"/>
      <c r="Y57" s="657"/>
      <c r="Z57" s="657"/>
      <c r="AA57" s="657"/>
      <c r="AB57" s="660">
        <f>ROUND(X56/AA56,6)</f>
        <v>3.6099999999999999E-4</v>
      </c>
      <c r="AC57" s="660"/>
      <c r="AD57" s="9"/>
    </row>
    <row r="58" spans="2:30" ht="20.25" customHeight="1" x14ac:dyDescent="0.25">
      <c r="B58" s="161" t="s">
        <v>109</v>
      </c>
      <c r="C58" s="161"/>
      <c r="D58" s="161"/>
      <c r="E58" s="161"/>
      <c r="F58" s="161"/>
      <c r="G58" s="161"/>
      <c r="H58" s="161"/>
      <c r="I58" s="161"/>
      <c r="J58" s="161"/>
      <c r="K58" s="161"/>
      <c r="L58" s="161"/>
      <c r="N58" s="18"/>
      <c r="O58" s="18"/>
      <c r="V58" s="629" t="s">
        <v>110</v>
      </c>
      <c r="W58" s="629"/>
      <c r="X58" s="629"/>
      <c r="Y58" s="661">
        <f>X65+X64+X62+X61+X60</f>
        <v>4123852</v>
      </c>
      <c r="Z58" s="661"/>
      <c r="AA58" s="162" t="s">
        <v>111</v>
      </c>
      <c r="AB58" s="163">
        <f>AB54</f>
        <v>3.2899999999999997E-4</v>
      </c>
      <c r="AC58" s="56">
        <f>ROUND(Y58*AB58,0)</f>
        <v>1357</v>
      </c>
      <c r="AD58" s="9"/>
    </row>
    <row r="59" spans="2:30" x14ac:dyDescent="0.25">
      <c r="B59" s="62" t="s">
        <v>110</v>
      </c>
      <c r="C59" s="62"/>
      <c r="D59" s="62"/>
      <c r="E59" s="62"/>
      <c r="F59" s="62"/>
      <c r="G59" s="62"/>
      <c r="H59" s="164" t="s">
        <v>22</v>
      </c>
      <c r="I59" s="129">
        <v>4123852</v>
      </c>
      <c r="J59" s="165" t="s">
        <v>111</v>
      </c>
      <c r="K59" s="166">
        <f>K54</f>
        <v>3.4200000000000002E-4</v>
      </c>
      <c r="L59" s="50">
        <f>ROUND(I59*K59,0)</f>
        <v>1410</v>
      </c>
      <c r="O59" s="1"/>
      <c r="P59" s="165"/>
      <c r="Q59" s="165"/>
      <c r="V59" s="662" t="s">
        <v>112</v>
      </c>
      <c r="W59" s="662"/>
      <c r="X59" s="662"/>
      <c r="Y59" s="662"/>
      <c r="Z59" s="662"/>
      <c r="AA59" s="662"/>
      <c r="AB59" s="662"/>
      <c r="AC59" s="662"/>
      <c r="AD59" s="9"/>
    </row>
    <row r="60" spans="2:30" x14ac:dyDescent="0.25">
      <c r="B60" s="62" t="s">
        <v>112</v>
      </c>
      <c r="C60" s="62"/>
      <c r="D60" s="62"/>
      <c r="E60" s="62"/>
      <c r="F60" s="62"/>
      <c r="G60" s="62"/>
      <c r="H60" s="62"/>
      <c r="I60" s="62"/>
      <c r="J60" s="62"/>
      <c r="K60" s="62"/>
      <c r="L60" s="62"/>
      <c r="O60" s="1"/>
      <c r="P60" s="165"/>
      <c r="Q60" s="165"/>
      <c r="V60" s="663" t="s">
        <v>113</v>
      </c>
      <c r="W60" s="663"/>
      <c r="X60" s="664">
        <f>+G61</f>
        <v>0</v>
      </c>
      <c r="Y60" s="664"/>
      <c r="Z60" s="664"/>
      <c r="AA60" s="664"/>
      <c r="AB60" s="664"/>
      <c r="AC60" s="664"/>
      <c r="AD60" s="9"/>
    </row>
    <row r="61" spans="2:30" ht="15" customHeight="1" x14ac:dyDescent="0.25">
      <c r="B61" s="167" t="s">
        <v>113</v>
      </c>
      <c r="C61" s="62"/>
      <c r="D61" s="62"/>
      <c r="E61" s="62"/>
      <c r="F61" s="62"/>
      <c r="G61" s="168">
        <v>0</v>
      </c>
      <c r="H61" s="168"/>
      <c r="I61" s="168"/>
      <c r="J61" s="168"/>
      <c r="K61" s="168"/>
      <c r="L61" s="168"/>
      <c r="O61" s="1"/>
      <c r="P61" s="165"/>
      <c r="Q61" s="165"/>
      <c r="V61" s="663" t="s">
        <v>114</v>
      </c>
      <c r="W61" s="663"/>
      <c r="X61" s="664">
        <f>+G62</f>
        <v>0</v>
      </c>
      <c r="Y61" s="664"/>
      <c r="Z61" s="664"/>
      <c r="AA61" s="664"/>
      <c r="AB61" s="664"/>
      <c r="AC61" s="664"/>
      <c r="AD61" s="9"/>
    </row>
    <row r="62" spans="2:30" ht="13.5" customHeight="1" x14ac:dyDescent="0.25">
      <c r="B62" s="167" t="s">
        <v>114</v>
      </c>
      <c r="C62" s="62"/>
      <c r="D62" s="62"/>
      <c r="E62" s="62"/>
      <c r="F62" s="62"/>
      <c r="G62" s="168">
        <v>0</v>
      </c>
      <c r="H62" s="168"/>
      <c r="I62" s="168"/>
      <c r="J62" s="168"/>
      <c r="K62" s="168"/>
      <c r="L62" s="168"/>
      <c r="N62" s="165"/>
      <c r="O62" s="165"/>
      <c r="P62" s="165"/>
      <c r="Q62" s="165"/>
      <c r="V62" s="663" t="s">
        <v>115</v>
      </c>
      <c r="W62" s="663"/>
      <c r="X62" s="664">
        <v>0</v>
      </c>
      <c r="Y62" s="664"/>
      <c r="Z62" s="664"/>
      <c r="AA62" s="664"/>
      <c r="AB62" s="664"/>
      <c r="AC62" s="664"/>
      <c r="AD62" s="9"/>
    </row>
    <row r="63" spans="2:30" ht="13.5" hidden="1" customHeight="1" x14ac:dyDescent="0.25">
      <c r="B63" s="62" t="s">
        <v>115</v>
      </c>
      <c r="C63" s="62"/>
      <c r="D63" s="62"/>
      <c r="E63" s="62"/>
      <c r="F63" s="62"/>
      <c r="G63" s="168">
        <v>0</v>
      </c>
      <c r="H63" s="168"/>
      <c r="I63" s="168"/>
      <c r="J63" s="168"/>
      <c r="K63" s="168"/>
      <c r="L63" s="168"/>
      <c r="O63" s="1"/>
      <c r="P63" s="165"/>
      <c r="Q63" s="165"/>
      <c r="V63" s="662" t="s">
        <v>116</v>
      </c>
      <c r="W63" s="662"/>
      <c r="X63" s="662"/>
      <c r="Y63" s="662"/>
      <c r="Z63" s="662"/>
      <c r="AA63" s="662"/>
      <c r="AB63" s="662"/>
      <c r="AC63" s="662"/>
      <c r="AD63" s="117"/>
    </row>
    <row r="64" spans="2:30" ht="13.5" customHeight="1" x14ac:dyDescent="0.25">
      <c r="B64" s="62" t="s">
        <v>116</v>
      </c>
      <c r="C64" s="62"/>
      <c r="D64" s="62"/>
      <c r="E64" s="62"/>
      <c r="F64" s="62"/>
      <c r="G64" s="62"/>
      <c r="H64" s="62"/>
      <c r="I64" s="62"/>
      <c r="J64" s="62"/>
      <c r="K64" s="62"/>
      <c r="L64" s="62"/>
      <c r="M64" s="116"/>
      <c r="N64" s="18"/>
      <c r="O64" s="1"/>
      <c r="V64" s="663" t="s">
        <v>117</v>
      </c>
      <c r="W64" s="663"/>
      <c r="X64" s="664">
        <f>+G65</f>
        <v>4123852</v>
      </c>
      <c r="Y64" s="664"/>
      <c r="Z64" s="664"/>
      <c r="AA64" s="664"/>
      <c r="AB64" s="664"/>
      <c r="AC64" s="664"/>
      <c r="AD64" s="9"/>
    </row>
    <row r="65" spans="1:30" ht="12.75" customHeight="1" x14ac:dyDescent="0.25">
      <c r="B65" s="167" t="s">
        <v>117</v>
      </c>
      <c r="C65" s="62"/>
      <c r="D65" s="62"/>
      <c r="E65" s="62"/>
      <c r="F65" s="62"/>
      <c r="G65" s="168">
        <f>+I59</f>
        <v>4123852</v>
      </c>
      <c r="H65" s="168"/>
      <c r="I65" s="168"/>
      <c r="J65" s="168"/>
      <c r="K65" s="168"/>
      <c r="L65" s="168"/>
      <c r="O65" s="1"/>
      <c r="V65" s="663" t="s">
        <v>118</v>
      </c>
      <c r="W65" s="663"/>
      <c r="X65" s="664">
        <f>+G66</f>
        <v>0</v>
      </c>
      <c r="Y65" s="664"/>
      <c r="Z65" s="664"/>
      <c r="AA65" s="664"/>
      <c r="AB65" s="664"/>
      <c r="AC65" s="664"/>
      <c r="AD65" s="20"/>
    </row>
    <row r="66" spans="1:30" ht="15" customHeight="1" x14ac:dyDescent="0.25">
      <c r="B66" s="167" t="s">
        <v>118</v>
      </c>
      <c r="C66" s="62"/>
      <c r="D66" s="62"/>
      <c r="E66" s="62"/>
      <c r="F66" s="62"/>
      <c r="G66" s="168">
        <v>0</v>
      </c>
      <c r="H66" s="168"/>
      <c r="I66" s="168"/>
      <c r="J66" s="168"/>
      <c r="K66" s="168"/>
      <c r="L66" s="168"/>
      <c r="M66" s="18"/>
      <c r="N66" s="3"/>
      <c r="O66" s="169"/>
      <c r="P66" s="169"/>
      <c r="Q66" s="169"/>
      <c r="V66" s="651" t="s">
        <v>119</v>
      </c>
      <c r="W66" s="651"/>
      <c r="X66" s="651"/>
      <c r="Y66" s="661">
        <f>+I67</f>
        <v>96774526</v>
      </c>
      <c r="Z66" s="661"/>
      <c r="AA66" s="162" t="s">
        <v>111</v>
      </c>
      <c r="AB66" s="163">
        <f>AB54</f>
        <v>3.2899999999999997E-4</v>
      </c>
      <c r="AC66" s="56">
        <f>ROUND(Y66*AB66,0)</f>
        <v>31839</v>
      </c>
      <c r="AD66" s="9"/>
    </row>
    <row r="67" spans="1:30" ht="20.25" customHeight="1" x14ac:dyDescent="0.25">
      <c r="B67" s="13" t="s">
        <v>119</v>
      </c>
      <c r="C67" s="13"/>
      <c r="D67" s="13"/>
      <c r="E67" s="13"/>
      <c r="F67" s="13"/>
      <c r="H67" s="164" t="s">
        <v>25</v>
      </c>
      <c r="I67" s="129">
        <v>96774526</v>
      </c>
      <c r="J67" s="165" t="s">
        <v>111</v>
      </c>
      <c r="K67" s="166">
        <f>K54</f>
        <v>3.4200000000000002E-4</v>
      </c>
      <c r="L67" s="50">
        <f>ROUND(I67*K67,0)</f>
        <v>33097</v>
      </c>
      <c r="O67" s="1"/>
      <c r="V67" s="651" t="s">
        <v>120</v>
      </c>
      <c r="W67" s="651"/>
      <c r="X67" s="651"/>
      <c r="Y67" s="651"/>
      <c r="Z67" s="651"/>
      <c r="AA67" s="651"/>
      <c r="AB67" s="651"/>
      <c r="AC67" s="651"/>
      <c r="AD67" s="9"/>
    </row>
    <row r="68" spans="1:30" ht="20.25" customHeight="1" x14ac:dyDescent="0.25">
      <c r="B68" s="13" t="s">
        <v>120</v>
      </c>
      <c r="C68" s="13"/>
      <c r="D68" s="13"/>
      <c r="E68" s="13"/>
      <c r="F68" s="13"/>
      <c r="H68" s="13"/>
      <c r="I68" s="13"/>
      <c r="J68" s="82"/>
      <c r="K68" s="13"/>
      <c r="L68" s="13"/>
      <c r="O68" s="1"/>
      <c r="V68" s="667" t="s">
        <v>121</v>
      </c>
      <c r="W68" s="667"/>
      <c r="X68" s="667"/>
      <c r="Y68" s="661">
        <f>+I69</f>
        <v>0</v>
      </c>
      <c r="Z68" s="661"/>
      <c r="AA68" s="162" t="s">
        <v>111</v>
      </c>
      <c r="AB68" s="163">
        <f>AB57</f>
        <v>3.6099999999999999E-4</v>
      </c>
      <c r="AC68" s="56">
        <f>ROUND(Y68*AB68,0)</f>
        <v>0</v>
      </c>
      <c r="AD68" s="9"/>
    </row>
    <row r="69" spans="1:30" ht="15" customHeight="1" x14ac:dyDescent="0.25">
      <c r="B69" s="170" t="s">
        <v>121</v>
      </c>
      <c r="C69" s="13"/>
      <c r="D69" s="13"/>
      <c r="E69" s="13"/>
      <c r="F69" s="13"/>
      <c r="H69" s="164" t="s">
        <v>23</v>
      </c>
      <c r="I69" s="129">
        <v>0</v>
      </c>
      <c r="J69" s="165" t="s">
        <v>111</v>
      </c>
      <c r="K69" s="166">
        <f>K57</f>
        <v>3.6099999999999999E-4</v>
      </c>
      <c r="L69" s="50">
        <f>ROUND(I69*K69,0)</f>
        <v>0</v>
      </c>
      <c r="O69" s="1"/>
      <c r="V69" s="651" t="s">
        <v>122</v>
      </c>
      <c r="W69" s="651"/>
      <c r="X69" s="651"/>
      <c r="Y69" s="668">
        <f>+I70</f>
        <v>-3460775</v>
      </c>
      <c r="Z69" s="668"/>
      <c r="AA69" s="162" t="s">
        <v>111</v>
      </c>
      <c r="AB69" s="163">
        <f>AB54</f>
        <v>3.2899999999999997E-4</v>
      </c>
      <c r="AC69" s="56">
        <f>ROUND(Y69*AB69,0)</f>
        <v>-1139</v>
      </c>
      <c r="AD69" s="9"/>
    </row>
    <row r="70" spans="1:30" ht="20.25" customHeight="1" x14ac:dyDescent="0.25">
      <c r="B70" s="13" t="s">
        <v>122</v>
      </c>
      <c r="C70" s="13"/>
      <c r="D70" s="13"/>
      <c r="E70" s="13"/>
      <c r="F70" s="13"/>
      <c r="H70" s="164" t="s">
        <v>22</v>
      </c>
      <c r="I70" s="129">
        <v>-3460775</v>
      </c>
      <c r="J70" s="165" t="s">
        <v>111</v>
      </c>
      <c r="K70" s="166">
        <f>K54</f>
        <v>3.4200000000000002E-4</v>
      </c>
      <c r="L70" s="50">
        <f>ROUND(I70*K70,0)</f>
        <v>-1184</v>
      </c>
      <c r="O70" s="1"/>
      <c r="V70" s="651" t="s">
        <v>123</v>
      </c>
      <c r="W70" s="651"/>
      <c r="X70" s="651"/>
      <c r="Y70" s="665">
        <f>+I71</f>
        <v>1874788</v>
      </c>
      <c r="Z70" s="665"/>
      <c r="AA70" s="162" t="s">
        <v>111</v>
      </c>
      <c r="AB70" s="163">
        <f>AB54</f>
        <v>3.2899999999999997E-4</v>
      </c>
      <c r="AC70" s="56">
        <f>ROUND(Y70*AB70,0)</f>
        <v>617</v>
      </c>
      <c r="AD70" s="9"/>
    </row>
    <row r="71" spans="1:30" ht="20.25" customHeight="1" x14ac:dyDescent="0.25">
      <c r="B71" s="13" t="s">
        <v>123</v>
      </c>
      <c r="C71" s="13"/>
      <c r="D71" s="13"/>
      <c r="E71" s="13"/>
      <c r="F71" s="13"/>
      <c r="H71" s="164" t="s">
        <v>22</v>
      </c>
      <c r="I71" s="129">
        <v>1874788</v>
      </c>
      <c r="J71" s="165" t="s">
        <v>111</v>
      </c>
      <c r="K71" s="166">
        <f>K54</f>
        <v>3.4200000000000002E-4</v>
      </c>
      <c r="L71" s="50">
        <f>ROUND(I71*K71,0)</f>
        <v>641</v>
      </c>
      <c r="O71" s="1"/>
      <c r="V71" s="651" t="s">
        <v>124</v>
      </c>
      <c r="W71" s="651"/>
      <c r="X71" s="651"/>
      <c r="Y71" s="665">
        <f>+I72</f>
        <v>14223298</v>
      </c>
      <c r="Z71" s="665"/>
      <c r="AA71" s="162" t="s">
        <v>111</v>
      </c>
      <c r="AB71" s="163">
        <f>AB57</f>
        <v>3.6099999999999999E-4</v>
      </c>
      <c r="AC71" s="56">
        <f>ROUND(Y71*AB71,0)</f>
        <v>5135</v>
      </c>
      <c r="AD71" s="9"/>
    </row>
    <row r="72" spans="1:30" ht="21" customHeight="1" x14ac:dyDescent="0.25">
      <c r="B72" s="13" t="s">
        <v>124</v>
      </c>
      <c r="C72" s="13"/>
      <c r="D72" s="13"/>
      <c r="E72" s="13"/>
      <c r="F72" s="13"/>
      <c r="H72" s="164" t="s">
        <v>23</v>
      </c>
      <c r="I72" s="171">
        <v>14223298</v>
      </c>
      <c r="J72" s="165" t="s">
        <v>111</v>
      </c>
      <c r="K72" s="166">
        <f>K57</f>
        <v>3.6099999999999999E-4</v>
      </c>
      <c r="L72" s="50">
        <f>ROUND(I72*K72,0)</f>
        <v>5135</v>
      </c>
      <c r="O72" s="1"/>
      <c r="V72" s="623" t="s">
        <v>125</v>
      </c>
      <c r="W72" s="623"/>
      <c r="X72" s="623"/>
      <c r="Y72" s="623"/>
      <c r="Z72" s="623"/>
      <c r="AA72" s="623"/>
      <c r="AB72" s="623"/>
      <c r="AC72" s="60"/>
      <c r="AD72" s="9"/>
    </row>
    <row r="73" spans="1:30" ht="17.25" customHeight="1" x14ac:dyDescent="0.25">
      <c r="B73" s="13" t="s">
        <v>125</v>
      </c>
      <c r="C73" s="13"/>
      <c r="D73" s="13"/>
      <c r="E73" s="13"/>
      <c r="F73" s="13"/>
      <c r="H73" s="13"/>
      <c r="I73" s="13"/>
      <c r="J73" s="82"/>
      <c r="K73" s="13"/>
      <c r="L73" s="59"/>
      <c r="O73" s="1"/>
      <c r="V73" s="651" t="s">
        <v>126</v>
      </c>
      <c r="W73" s="651"/>
      <c r="X73" s="651"/>
      <c r="Y73" s="651"/>
      <c r="Z73" s="651"/>
      <c r="AA73" s="651"/>
      <c r="AB73" s="651"/>
      <c r="AC73" s="651"/>
      <c r="AD73" s="9"/>
    </row>
    <row r="74" spans="1:30" ht="31.5" x14ac:dyDescent="0.25">
      <c r="B74" s="13" t="s">
        <v>126</v>
      </c>
      <c r="C74" s="13"/>
      <c r="D74" s="27" t="s">
        <v>13</v>
      </c>
      <c r="E74" s="27" t="s">
        <v>14</v>
      </c>
      <c r="F74" s="27"/>
      <c r="H74" s="164" t="s">
        <v>26</v>
      </c>
      <c r="I74" s="172"/>
      <c r="J74" s="164"/>
      <c r="K74" s="172"/>
      <c r="L74" s="112"/>
      <c r="O74" s="1"/>
      <c r="V74" s="666" t="s">
        <v>127</v>
      </c>
      <c r="W74" s="666"/>
      <c r="X74" s="173" t="s">
        <v>128</v>
      </c>
      <c r="Y74" s="174"/>
      <c r="Z74" s="175">
        <f>+I75</f>
        <v>39.5</v>
      </c>
      <c r="AA74" s="176" t="s">
        <v>129</v>
      </c>
      <c r="AB74" s="177">
        <f>+K75</f>
        <v>361</v>
      </c>
      <c r="AC74" s="56">
        <f>ROUND(AB74*Z74,0)</f>
        <v>14260</v>
      </c>
      <c r="AD74" s="9"/>
    </row>
    <row r="75" spans="1:30" ht="19.5" customHeight="1" x14ac:dyDescent="0.25">
      <c r="A75" s="1" t="s">
        <v>130</v>
      </c>
      <c r="B75" s="178" t="s">
        <v>127</v>
      </c>
      <c r="C75" s="179" t="s">
        <v>128</v>
      </c>
      <c r="D75" s="178">
        <v>42</v>
      </c>
      <c r="E75" s="178">
        <v>37</v>
      </c>
      <c r="F75" s="178">
        <v>0</v>
      </c>
      <c r="G75" s="180">
        <f>IF(E75=0,D75,E75)</f>
        <v>37</v>
      </c>
      <c r="H75" s="181"/>
      <c r="I75" s="182">
        <f>AVERAGE(G75,D75)</f>
        <v>39.5</v>
      </c>
      <c r="J75" s="183" t="s">
        <v>129</v>
      </c>
      <c r="K75" s="184">
        <v>361</v>
      </c>
      <c r="L75" s="50">
        <f>ROUND(K75*I75,0)</f>
        <v>14260</v>
      </c>
      <c r="N75" s="1">
        <v>7802</v>
      </c>
      <c r="O75" s="1">
        <v>0</v>
      </c>
      <c r="V75" s="666" t="s">
        <v>127</v>
      </c>
      <c r="W75" s="666"/>
      <c r="X75" s="173" t="s">
        <v>131</v>
      </c>
      <c r="Y75" s="185"/>
      <c r="Z75" s="186"/>
      <c r="AA75" s="176" t="s">
        <v>129</v>
      </c>
      <c r="AB75" s="187">
        <f>+K76</f>
        <v>1358</v>
      </c>
      <c r="AC75" s="56">
        <f>ROUND(AB75*Z75,0)</f>
        <v>0</v>
      </c>
      <c r="AD75" s="9"/>
    </row>
    <row r="76" spans="1:30" ht="19.5" customHeight="1" x14ac:dyDescent="0.25">
      <c r="A76" s="1" t="s">
        <v>132</v>
      </c>
      <c r="B76" s="178" t="s">
        <v>127</v>
      </c>
      <c r="C76" s="179" t="s">
        <v>131</v>
      </c>
      <c r="D76" s="178">
        <v>0</v>
      </c>
      <c r="E76" s="178">
        <v>0</v>
      </c>
      <c r="F76" s="178">
        <v>0</v>
      </c>
      <c r="G76" s="180">
        <f>IF(E76=0,D76,E76)</f>
        <v>0</v>
      </c>
      <c r="H76" s="181"/>
      <c r="I76" s="182">
        <f>AVERAGE(G76,D76)</f>
        <v>0</v>
      </c>
      <c r="J76" s="183" t="s">
        <v>129</v>
      </c>
      <c r="K76" s="188">
        <v>1358</v>
      </c>
      <c r="L76" s="50">
        <f>ROUND(K76*I76,0)</f>
        <v>0</v>
      </c>
      <c r="N76" s="1">
        <v>7802</v>
      </c>
      <c r="O76" s="1">
        <v>110</v>
      </c>
      <c r="V76" s="651" t="s">
        <v>133</v>
      </c>
      <c r="W76" s="651"/>
      <c r="X76" s="651"/>
      <c r="Y76" s="661">
        <f>+I77</f>
        <v>33305823</v>
      </c>
      <c r="Z76" s="661"/>
      <c r="AA76" s="176" t="s">
        <v>129</v>
      </c>
      <c r="AB76" s="163">
        <f>AB54</f>
        <v>3.2899999999999997E-4</v>
      </c>
      <c r="AC76" s="56">
        <f>ROUND(Y76*AB76,0)</f>
        <v>10958</v>
      </c>
      <c r="AD76" s="9"/>
    </row>
    <row r="77" spans="1:30" ht="26.25" customHeight="1" x14ac:dyDescent="0.25">
      <c r="B77" s="13" t="s">
        <v>133</v>
      </c>
      <c r="C77" s="13"/>
      <c r="D77" s="13"/>
      <c r="E77" s="13"/>
      <c r="F77" s="13"/>
      <c r="H77" s="164" t="s">
        <v>134</v>
      </c>
      <c r="I77" s="189">
        <v>33305823</v>
      </c>
      <c r="J77" s="165" t="s">
        <v>111</v>
      </c>
      <c r="K77" s="166">
        <f>K54</f>
        <v>3.4200000000000002E-4</v>
      </c>
      <c r="L77" s="50">
        <f>ROUND(I77*K77,0)</f>
        <v>11391</v>
      </c>
      <c r="O77" s="1"/>
      <c r="V77" s="651" t="str">
        <f>+B78</f>
        <v>15.  Additional Allocation (WFTE share)</v>
      </c>
      <c r="W77" s="651"/>
      <c r="X77" s="651"/>
      <c r="Y77" s="661">
        <f>+I78</f>
        <v>680688</v>
      </c>
      <c r="Z77" s="661"/>
      <c r="AA77" s="176" t="s">
        <v>129</v>
      </c>
      <c r="AB77" s="163">
        <f>AB54</f>
        <v>3.2899999999999997E-4</v>
      </c>
      <c r="AC77" s="56">
        <f>ROUND(Y77*AB77,0)</f>
        <v>224</v>
      </c>
      <c r="AD77" s="9"/>
    </row>
    <row r="78" spans="1:30" ht="26.25" customHeight="1" x14ac:dyDescent="0.25">
      <c r="B78" s="669" t="s">
        <v>135</v>
      </c>
      <c r="C78" s="669"/>
      <c r="D78" s="669"/>
      <c r="E78" s="13"/>
      <c r="F78" s="13"/>
      <c r="H78" s="164" t="s">
        <v>136</v>
      </c>
      <c r="I78" s="190">
        <v>680688</v>
      </c>
      <c r="J78" s="165" t="s">
        <v>111</v>
      </c>
      <c r="K78" s="166">
        <f>K54</f>
        <v>3.4200000000000002E-4</v>
      </c>
      <c r="L78" s="50">
        <f>ROUND(I78*K78,0)</f>
        <v>233</v>
      </c>
      <c r="O78" s="1"/>
      <c r="V78" s="651" t="str">
        <f t="shared" ref="V78:V79" si="11">+B79</f>
        <v>16.  Florida Teachers Lead Program Stipend</v>
      </c>
      <c r="W78" s="651"/>
      <c r="X78" s="651"/>
      <c r="Y78" s="191"/>
      <c r="Z78" s="191"/>
      <c r="AA78" s="191"/>
      <c r="AB78" s="191"/>
      <c r="AC78" s="134"/>
      <c r="AD78" s="9"/>
    </row>
    <row r="79" spans="1:30" ht="21" customHeight="1" x14ac:dyDescent="0.25">
      <c r="B79" s="669" t="s">
        <v>137</v>
      </c>
      <c r="C79" s="669"/>
      <c r="D79" s="669"/>
      <c r="E79" s="13"/>
      <c r="F79" s="13"/>
      <c r="H79" s="164"/>
      <c r="I79" s="172"/>
      <c r="J79" s="172"/>
      <c r="K79" s="172"/>
      <c r="L79" s="129"/>
      <c r="N79" s="192"/>
      <c r="O79" s="1"/>
      <c r="Q79" s="164"/>
      <c r="V79" s="651" t="str">
        <f t="shared" si="11"/>
        <v>17.  Food Service Allocation</v>
      </c>
      <c r="W79" s="651"/>
      <c r="X79" s="651"/>
      <c r="Y79" s="191"/>
      <c r="Z79" s="191"/>
      <c r="AA79" s="191"/>
      <c r="AB79" s="191"/>
      <c r="AC79" s="193"/>
      <c r="AD79" s="9"/>
    </row>
    <row r="80" spans="1:30" ht="21" customHeight="1" x14ac:dyDescent="0.25">
      <c r="B80" s="669" t="s">
        <v>138</v>
      </c>
      <c r="C80" s="669"/>
      <c r="D80" s="669"/>
      <c r="E80" s="13"/>
      <c r="F80" s="13"/>
      <c r="H80" s="194" t="s">
        <v>139</v>
      </c>
      <c r="I80" s="195"/>
      <c r="J80" s="195"/>
      <c r="K80" s="195"/>
      <c r="L80" s="196"/>
      <c r="N80" s="197"/>
      <c r="O80" s="1"/>
      <c r="Q80" s="164"/>
      <c r="V80" s="191"/>
      <c r="W80" s="191"/>
      <c r="X80" s="191"/>
      <c r="Y80" s="191"/>
      <c r="Z80" s="191"/>
      <c r="AA80" s="191"/>
      <c r="AB80" s="191"/>
      <c r="AC80" s="193"/>
      <c r="AD80" s="9"/>
    </row>
    <row r="81" spans="1:30" ht="21" customHeight="1" thickBot="1" x14ac:dyDescent="0.3">
      <c r="B81" s="13"/>
      <c r="C81" s="13"/>
      <c r="D81" s="13"/>
      <c r="E81" s="13"/>
      <c r="F81" s="13"/>
      <c r="G81" s="13"/>
      <c r="H81" s="13"/>
      <c r="I81" s="13"/>
      <c r="J81" s="13"/>
      <c r="K81" s="13"/>
      <c r="L81" s="196"/>
      <c r="M81" s="198"/>
      <c r="N81" s="197"/>
      <c r="O81" s="1"/>
      <c r="Q81" s="164"/>
      <c r="V81" s="191" t="s">
        <v>140</v>
      </c>
      <c r="W81" s="191"/>
      <c r="X81" s="191"/>
      <c r="Y81" s="191"/>
      <c r="Z81" s="191"/>
      <c r="AA81" s="191"/>
      <c r="AB81" s="191"/>
      <c r="AC81" s="199">
        <f>SUM(AC44:AC80)</f>
        <v>387982</v>
      </c>
      <c r="AD81" s="200"/>
    </row>
    <row r="82" spans="1:30" ht="22.5" customHeight="1" thickTop="1" thickBot="1" x14ac:dyDescent="0.3">
      <c r="B82" s="13" t="s">
        <v>141</v>
      </c>
      <c r="C82" s="13"/>
      <c r="D82" s="13"/>
      <c r="E82" s="13"/>
      <c r="F82" s="13"/>
      <c r="G82" s="13"/>
      <c r="H82" s="13"/>
      <c r="I82" s="13"/>
      <c r="J82" s="13"/>
      <c r="K82" s="13"/>
      <c r="L82" s="201">
        <f>SUM(L44:L81)</f>
        <v>680696</v>
      </c>
      <c r="M82" s="202"/>
      <c r="N82" s="203"/>
      <c r="O82" s="1"/>
      <c r="Q82" s="164"/>
      <c r="V82" s="191"/>
      <c r="W82" s="191"/>
      <c r="X82" s="191"/>
      <c r="Y82" s="191"/>
      <c r="Z82" s="191"/>
      <c r="AA82" s="191"/>
      <c r="AB82" s="191"/>
      <c r="AC82" s="204"/>
      <c r="AD82" s="200"/>
    </row>
    <row r="83" spans="1:30" ht="27.75" customHeight="1" thickTop="1" x14ac:dyDescent="0.25">
      <c r="B83" s="13" t="s">
        <v>142</v>
      </c>
      <c r="C83" s="13"/>
      <c r="D83" s="13"/>
      <c r="E83" s="13"/>
      <c r="F83" s="13"/>
      <c r="G83" s="13"/>
      <c r="H83" s="13"/>
      <c r="I83" s="13"/>
      <c r="J83" s="13"/>
      <c r="K83" s="82" t="s">
        <v>143</v>
      </c>
      <c r="L83" s="205" t="s">
        <v>144</v>
      </c>
      <c r="M83" s="202"/>
      <c r="N83" s="203"/>
      <c r="O83" s="1"/>
      <c r="Q83" s="164"/>
      <c r="V83" s="9" t="s">
        <v>145</v>
      </c>
      <c r="W83" s="9"/>
      <c r="X83" s="9"/>
      <c r="Y83" s="9"/>
      <c r="Z83" s="9"/>
      <c r="AA83" s="9"/>
      <c r="AB83" s="9"/>
      <c r="AC83" s="9"/>
      <c r="AD83" s="206"/>
    </row>
    <row r="84" spans="1:30" ht="18.75" customHeight="1" thickBot="1" x14ac:dyDescent="0.3">
      <c r="B84" s="13" t="s">
        <v>146</v>
      </c>
      <c r="C84" s="13"/>
      <c r="D84" s="13"/>
      <c r="E84" s="13"/>
      <c r="F84" s="13"/>
      <c r="G84" s="13"/>
      <c r="H84" s="13"/>
      <c r="I84" s="13"/>
      <c r="J84" s="13"/>
      <c r="K84" s="207">
        <f>IF(G26=0,"",IF((G11+G13+SUM(G15:G21))/G26&gt;0.75,1,""))</f>
        <v>1</v>
      </c>
      <c r="L84" s="201">
        <f>'3391'!AC81</f>
        <v>387982</v>
      </c>
      <c r="M84" s="202"/>
      <c r="N84" s="203"/>
      <c r="O84" s="1"/>
      <c r="Q84" s="164"/>
      <c r="V84" s="208" t="s">
        <v>147</v>
      </c>
      <c r="W84" s="208"/>
      <c r="X84" s="208"/>
      <c r="Y84" s="208"/>
      <c r="Z84" s="208"/>
      <c r="AA84" s="208"/>
      <c r="AB84" s="208"/>
      <c r="AC84" s="208"/>
      <c r="AD84" s="9"/>
    </row>
    <row r="85" spans="1:30" ht="18.75" customHeight="1" thickTop="1" x14ac:dyDescent="0.25">
      <c r="B85" s="13"/>
      <c r="C85" s="13"/>
      <c r="D85" s="13"/>
      <c r="E85" s="13"/>
      <c r="F85" s="13"/>
      <c r="G85" s="13"/>
      <c r="H85" s="13"/>
      <c r="I85" s="13"/>
      <c r="J85" s="13"/>
      <c r="M85" s="202"/>
      <c r="N85" s="203"/>
      <c r="O85" s="1"/>
      <c r="Q85" s="164"/>
      <c r="V85" s="208" t="s">
        <v>148</v>
      </c>
      <c r="W85" s="208"/>
      <c r="X85" s="208"/>
      <c r="Y85" s="208"/>
      <c r="Z85" s="208"/>
      <c r="AA85" s="208"/>
      <c r="AB85" s="208"/>
      <c r="AC85" s="208"/>
      <c r="AD85" s="206"/>
    </row>
    <row r="86" spans="1:30" ht="18.75" customHeight="1" x14ac:dyDescent="0.25">
      <c r="B86" s="2" t="s">
        <v>149</v>
      </c>
      <c r="C86" s="13"/>
      <c r="D86" s="13"/>
      <c r="E86" s="13"/>
      <c r="F86" s="13"/>
      <c r="G86" s="13"/>
      <c r="H86" s="13"/>
      <c r="I86" s="13"/>
      <c r="J86" s="209" t="s">
        <v>150</v>
      </c>
      <c r="K86" s="210">
        <f>IF(K84=1,L84,L82)</f>
        <v>387982</v>
      </c>
      <c r="L86" s="211">
        <f>IF(G26=0,0,IF(G26&gt;250,-(((250/G26)*K86)*IF(M86="H",0.02,0.05)),IF(M86="H",-0.02*K86,-0.05*K86)))</f>
        <v>-19399.100000000002</v>
      </c>
      <c r="M86" s="212" t="str">
        <f>IF(B123="2801","H",IF(B123="2911","H",IF(B123="3382","H"," ")))</f>
        <v xml:space="preserve"> </v>
      </c>
      <c r="N86" s="203"/>
      <c r="O86" s="1"/>
      <c r="Q86" s="164"/>
      <c r="V86" s="208" t="s">
        <v>151</v>
      </c>
      <c r="W86" s="208"/>
      <c r="X86" s="208"/>
      <c r="Y86" s="208"/>
      <c r="Z86" s="208"/>
      <c r="AA86" s="208"/>
      <c r="AB86" s="208"/>
      <c r="AC86" s="208"/>
      <c r="AD86" s="206"/>
    </row>
    <row r="87" spans="1:30" ht="18.75" customHeight="1" x14ac:dyDescent="0.25">
      <c r="B87" s="2" t="s">
        <v>152</v>
      </c>
      <c r="C87" s="13"/>
      <c r="D87" s="13"/>
      <c r="E87" s="13"/>
      <c r="F87" s="13"/>
      <c r="G87" s="13"/>
      <c r="H87" s="13"/>
      <c r="I87" s="13"/>
      <c r="J87" s="13"/>
      <c r="K87" s="213"/>
      <c r="L87" s="205">
        <f>L82+L86</f>
        <v>661296.9</v>
      </c>
      <c r="M87" s="202"/>
      <c r="N87" s="203"/>
      <c r="O87" s="1"/>
      <c r="Q87" s="164"/>
      <c r="V87" s="198"/>
      <c r="W87" s="198"/>
      <c r="X87" s="198"/>
      <c r="Y87" s="198"/>
      <c r="Z87" s="198"/>
      <c r="AA87" s="198"/>
      <c r="AB87" s="198"/>
      <c r="AC87" s="198"/>
      <c r="AD87" s="214"/>
    </row>
    <row r="88" spans="1:30" x14ac:dyDescent="0.25">
      <c r="V88" s="198"/>
      <c r="W88" s="198"/>
      <c r="X88" s="198"/>
      <c r="Y88" s="198"/>
      <c r="Z88" s="198"/>
      <c r="AA88" s="198"/>
      <c r="AB88" s="198"/>
      <c r="AC88" s="198"/>
      <c r="AD88" s="215"/>
    </row>
    <row r="89" spans="1:30" ht="18.75" customHeight="1" x14ac:dyDescent="0.25">
      <c r="A89" s="1" t="s">
        <v>153</v>
      </c>
      <c r="B89" s="13" t="s">
        <v>154</v>
      </c>
      <c r="C89" s="13"/>
      <c r="D89" s="13">
        <v>321152</v>
      </c>
      <c r="E89" s="13">
        <v>53267</v>
      </c>
      <c r="F89" s="13">
        <v>533947</v>
      </c>
      <c r="G89" s="13"/>
      <c r="H89" s="13"/>
      <c r="I89" s="13"/>
      <c r="J89" s="13"/>
      <c r="K89" s="213"/>
      <c r="L89" s="84">
        <f>-F89-66055</f>
        <v>-600002</v>
      </c>
      <c r="M89" s="202"/>
      <c r="N89" s="203"/>
      <c r="O89" s="1"/>
      <c r="Q89" s="164"/>
      <c r="V89" s="198">
        <v>2801</v>
      </c>
      <c r="W89" s="198"/>
      <c r="X89" s="198"/>
      <c r="Y89" s="198"/>
      <c r="Z89" s="198"/>
      <c r="AA89" s="198"/>
      <c r="AB89" s="198"/>
      <c r="AC89" s="198"/>
      <c r="AD89" s="214"/>
    </row>
    <row r="90" spans="1:30" ht="18.75" customHeight="1" x14ac:dyDescent="0.25">
      <c r="B90" s="13" t="s">
        <v>155</v>
      </c>
      <c r="C90" s="13"/>
      <c r="D90" s="13"/>
      <c r="E90" s="13"/>
      <c r="F90" s="13"/>
      <c r="G90" s="13"/>
      <c r="H90" s="13"/>
      <c r="I90" s="13"/>
      <c r="J90" s="13"/>
      <c r="K90" s="213"/>
      <c r="L90" s="205">
        <f>L87+L89</f>
        <v>61294.900000000023</v>
      </c>
      <c r="M90" s="202"/>
      <c r="N90" s="203"/>
      <c r="O90" s="1"/>
      <c r="Q90" s="164"/>
      <c r="V90" s="198">
        <v>2911</v>
      </c>
      <c r="W90" s="216"/>
      <c r="X90" s="216"/>
      <c r="Y90" s="216"/>
      <c r="Z90" s="216"/>
      <c r="AA90" s="216"/>
      <c r="AB90" s="216"/>
      <c r="AC90" s="216"/>
      <c r="AD90" s="214"/>
    </row>
    <row r="91" spans="1:30" ht="18.75" customHeight="1" x14ac:dyDescent="0.25">
      <c r="B91" s="13" t="s">
        <v>156</v>
      </c>
      <c r="C91" s="13"/>
      <c r="D91" s="13"/>
      <c r="E91" s="13"/>
      <c r="F91" s="13"/>
      <c r="G91" s="13"/>
      <c r="H91" s="13"/>
      <c r="I91" s="13"/>
      <c r="J91" s="13"/>
      <c r="K91" s="213"/>
      <c r="L91" s="205">
        <v>1</v>
      </c>
      <c r="M91" s="202"/>
      <c r="N91" s="203"/>
      <c r="O91" s="1"/>
      <c r="Q91" s="164"/>
      <c r="V91" s="198">
        <v>3382</v>
      </c>
      <c r="W91" s="216"/>
      <c r="X91" s="216"/>
      <c r="Y91" s="216"/>
      <c r="Z91" s="216"/>
      <c r="AA91" s="216"/>
      <c r="AB91" s="216"/>
      <c r="AC91" s="216"/>
      <c r="AD91" s="214"/>
    </row>
    <row r="92" spans="1:30" ht="18.75" customHeight="1" thickBot="1" x14ac:dyDescent="0.3">
      <c r="B92" s="13" t="s">
        <v>157</v>
      </c>
      <c r="C92" s="13"/>
      <c r="D92" s="13"/>
      <c r="E92" s="13"/>
      <c r="F92" s="13"/>
      <c r="G92" s="13"/>
      <c r="H92" s="13"/>
      <c r="I92" s="13"/>
      <c r="J92" s="13"/>
      <c r="K92" s="213"/>
      <c r="L92" s="217">
        <f>L90/L91</f>
        <v>61294.900000000023</v>
      </c>
      <c r="M92" s="202"/>
      <c r="N92" s="203"/>
      <c r="O92" s="1"/>
      <c r="Q92" s="164"/>
      <c r="V92" s="218"/>
      <c r="W92" s="218"/>
      <c r="X92" s="218"/>
      <c r="Y92" s="218"/>
      <c r="Z92" s="218"/>
      <c r="AA92" s="218"/>
      <c r="AB92" s="218"/>
      <c r="AC92" s="218"/>
      <c r="AD92" s="219"/>
    </row>
    <row r="93" spans="1:30" ht="18.75" customHeight="1" thickTop="1" x14ac:dyDescent="0.25">
      <c r="N93" s="219"/>
      <c r="O93" s="220"/>
      <c r="P93" s="219"/>
      <c r="Q93" s="219"/>
      <c r="V93" s="218"/>
      <c r="W93" s="218"/>
      <c r="X93" s="218"/>
      <c r="Y93" s="218"/>
      <c r="Z93" s="218"/>
      <c r="AA93" s="218"/>
      <c r="AB93" s="218"/>
      <c r="AC93" s="218"/>
      <c r="AD93" s="214"/>
    </row>
    <row r="94" spans="1:30" ht="18.75" customHeight="1" thickBot="1" x14ac:dyDescent="0.3">
      <c r="B94" s="221" t="s">
        <v>158</v>
      </c>
      <c r="C94" s="13"/>
      <c r="D94" s="13"/>
      <c r="E94" s="13"/>
      <c r="G94" s="13"/>
      <c r="H94" s="13"/>
      <c r="I94" s="13"/>
      <c r="J94" s="13"/>
      <c r="L94" s="222">
        <f>IF(M86="H",(K86*0.02)+L86,(K86*0.05)+L86)</f>
        <v>0</v>
      </c>
      <c r="M94" s="202"/>
      <c r="V94" s="223"/>
      <c r="W94" s="223"/>
      <c r="X94" s="223"/>
      <c r="Y94" s="223"/>
      <c r="Z94" s="223"/>
      <c r="AA94" s="223"/>
      <c r="AB94" s="223"/>
      <c r="AC94" s="223"/>
      <c r="AD94" s="214"/>
    </row>
    <row r="95" spans="1:30" ht="21.75" customHeight="1" thickTop="1" x14ac:dyDescent="0.25">
      <c r="B95" s="224" t="s">
        <v>159</v>
      </c>
      <c r="C95" s="224"/>
      <c r="D95" s="224"/>
      <c r="E95" s="224"/>
      <c r="F95" s="224"/>
      <c r="G95" s="224"/>
      <c r="H95" s="224"/>
      <c r="I95" s="224"/>
      <c r="J95" s="224"/>
      <c r="K95" s="224"/>
      <c r="L95" s="224"/>
      <c r="M95" s="219"/>
      <c r="V95" s="223"/>
      <c r="W95" s="223"/>
      <c r="X95" s="223"/>
      <c r="Y95" s="223"/>
      <c r="Z95" s="223"/>
      <c r="AA95" s="223"/>
      <c r="AB95" s="223"/>
      <c r="AC95" s="223"/>
      <c r="AD95" s="214"/>
    </row>
    <row r="96" spans="1:30" x14ac:dyDescent="0.25">
      <c r="B96" s="225"/>
      <c r="V96" s="223"/>
      <c r="W96" s="223"/>
      <c r="X96" s="223"/>
      <c r="Y96" s="223"/>
      <c r="Z96" s="223"/>
      <c r="AA96" s="223"/>
      <c r="AB96" s="223"/>
      <c r="AC96" s="223"/>
      <c r="AD96" s="219"/>
    </row>
    <row r="97" spans="2:30" x14ac:dyDescent="0.25">
      <c r="B97" s="225"/>
      <c r="V97" s="223"/>
      <c r="W97" s="223"/>
      <c r="X97" s="223"/>
      <c r="Y97" s="223"/>
      <c r="Z97" s="223"/>
      <c r="AA97" s="223"/>
      <c r="AB97" s="223"/>
      <c r="AC97" s="223"/>
      <c r="AD97" s="219"/>
    </row>
    <row r="98" spans="2:30" hidden="1" x14ac:dyDescent="0.25">
      <c r="B98" s="226" t="s">
        <v>160</v>
      </c>
      <c r="C98" s="227"/>
      <c r="V98" s="228"/>
      <c r="W98" s="228"/>
      <c r="X98" s="228"/>
      <c r="Y98" s="228"/>
      <c r="Z98" s="228"/>
      <c r="AA98" s="228"/>
      <c r="AB98" s="228"/>
      <c r="AC98" s="228"/>
    </row>
    <row r="99" spans="2:30" hidden="1" x14ac:dyDescent="0.25">
      <c r="B99" s="229"/>
      <c r="C99" s="227"/>
      <c r="V99" s="225"/>
      <c r="W99" s="13"/>
      <c r="X99" s="13"/>
      <c r="Y99" s="13"/>
      <c r="Z99" s="13"/>
      <c r="AA99" s="13"/>
      <c r="AB99" s="13"/>
      <c r="AC99" s="13"/>
    </row>
    <row r="100" spans="2:30" hidden="1" x14ac:dyDescent="0.25">
      <c r="B100" s="230" t="s">
        <v>161</v>
      </c>
      <c r="C100" s="226" t="s">
        <v>162</v>
      </c>
      <c r="V100" s="225"/>
    </row>
    <row r="101" spans="2:30" hidden="1" x14ac:dyDescent="0.25">
      <c r="B101" s="230" t="s">
        <v>163</v>
      </c>
      <c r="C101" s="226" t="s">
        <v>164</v>
      </c>
      <c r="V101" s="225"/>
    </row>
    <row r="102" spans="2:30" hidden="1" x14ac:dyDescent="0.25">
      <c r="B102" s="230" t="s">
        <v>165</v>
      </c>
      <c r="C102" s="226" t="s">
        <v>166</v>
      </c>
      <c r="V102" s="225"/>
      <c r="W102" s="231"/>
      <c r="X102" s="231"/>
      <c r="Y102" s="231"/>
      <c r="Z102" s="231"/>
      <c r="AA102" s="231"/>
      <c r="AB102" s="231"/>
      <c r="AC102" s="231"/>
      <c r="AD102" s="231"/>
    </row>
    <row r="103" spans="2:30" hidden="1" x14ac:dyDescent="0.25">
      <c r="B103" s="230" t="s">
        <v>167</v>
      </c>
      <c r="C103" s="226" t="s">
        <v>168</v>
      </c>
      <c r="V103" s="225"/>
    </row>
    <row r="104" spans="2:30" hidden="1" x14ac:dyDescent="0.25">
      <c r="B104" s="232"/>
      <c r="C104" s="226" t="s">
        <v>169</v>
      </c>
      <c r="V104" s="225"/>
    </row>
    <row r="105" spans="2:30" hidden="1" x14ac:dyDescent="0.25">
      <c r="B105" s="230" t="s">
        <v>170</v>
      </c>
      <c r="C105" s="226" t="s">
        <v>171</v>
      </c>
      <c r="V105" s="225"/>
    </row>
    <row r="106" spans="2:30" hidden="1" x14ac:dyDescent="0.25">
      <c r="B106" s="230" t="s">
        <v>172</v>
      </c>
      <c r="C106" s="226" t="s">
        <v>173</v>
      </c>
      <c r="V106" s="225"/>
    </row>
    <row r="107" spans="2:30" hidden="1" x14ac:dyDescent="0.25">
      <c r="B107" s="230" t="s">
        <v>274</v>
      </c>
      <c r="C107" s="226" t="s">
        <v>175</v>
      </c>
      <c r="V107" s="225"/>
    </row>
    <row r="108" spans="2:30" hidden="1" x14ac:dyDescent="0.25">
      <c r="B108" s="230" t="s">
        <v>176</v>
      </c>
      <c r="C108" s="226" t="s">
        <v>177</v>
      </c>
      <c r="V108" s="225"/>
    </row>
    <row r="109" spans="2:30" hidden="1" x14ac:dyDescent="0.25">
      <c r="B109" s="230" t="s">
        <v>178</v>
      </c>
      <c r="C109" s="226" t="s">
        <v>179</v>
      </c>
      <c r="V109" s="225"/>
    </row>
    <row r="110" spans="2:30" hidden="1" x14ac:dyDescent="0.25">
      <c r="B110" s="232"/>
      <c r="C110" s="226"/>
      <c r="V110" s="225"/>
    </row>
    <row r="111" spans="2:30" hidden="1" x14ac:dyDescent="0.25">
      <c r="B111" s="230" t="s">
        <v>180</v>
      </c>
      <c r="C111" s="226" t="s">
        <v>181</v>
      </c>
      <c r="V111" s="225"/>
    </row>
    <row r="112" spans="2:30" hidden="1" x14ac:dyDescent="0.25">
      <c r="B112" s="230" t="s">
        <v>180</v>
      </c>
      <c r="C112" s="226" t="s">
        <v>182</v>
      </c>
    </row>
    <row r="113" spans="2:3" hidden="1" x14ac:dyDescent="0.25">
      <c r="B113" s="230" t="s">
        <v>183</v>
      </c>
      <c r="C113" s="226" t="s">
        <v>184</v>
      </c>
    </row>
    <row r="114" spans="2:3" hidden="1" x14ac:dyDescent="0.25">
      <c r="B114" s="230" t="s">
        <v>185</v>
      </c>
      <c r="C114" s="226" t="s">
        <v>186</v>
      </c>
    </row>
    <row r="115" spans="2:3" hidden="1" x14ac:dyDescent="0.25">
      <c r="B115" s="230" t="s">
        <v>183</v>
      </c>
      <c r="C115" s="226" t="s">
        <v>187</v>
      </c>
    </row>
    <row r="116" spans="2:3" hidden="1" x14ac:dyDescent="0.25">
      <c r="B116" s="230" t="s">
        <v>188</v>
      </c>
      <c r="C116" s="226" t="s">
        <v>189</v>
      </c>
    </row>
    <row r="117" spans="2:3" hidden="1" x14ac:dyDescent="0.25">
      <c r="B117" s="230" t="s">
        <v>190</v>
      </c>
      <c r="C117" s="226" t="s">
        <v>191</v>
      </c>
    </row>
    <row r="118" spans="2:3" hidden="1" x14ac:dyDescent="0.25">
      <c r="B118" s="232" t="s">
        <v>192</v>
      </c>
      <c r="C118" s="226" t="s">
        <v>193</v>
      </c>
    </row>
    <row r="119" spans="2:3" hidden="1" x14ac:dyDescent="0.25">
      <c r="B119" s="232"/>
      <c r="C119" s="226"/>
    </row>
    <row r="120" spans="2:3" hidden="1" x14ac:dyDescent="0.25">
      <c r="B120" s="230" t="s">
        <v>161</v>
      </c>
      <c r="C120" s="226" t="s">
        <v>194</v>
      </c>
    </row>
    <row r="121" spans="2:3" hidden="1" x14ac:dyDescent="0.25">
      <c r="B121" s="230" t="s">
        <v>195</v>
      </c>
      <c r="C121" s="226" t="s">
        <v>196</v>
      </c>
    </row>
    <row r="122" spans="2:3" hidden="1" x14ac:dyDescent="0.25">
      <c r="B122" s="230" t="s">
        <v>197</v>
      </c>
      <c r="C122" s="226" t="s">
        <v>198</v>
      </c>
    </row>
    <row r="123" spans="2:3" hidden="1" x14ac:dyDescent="0.25">
      <c r="B123" s="230" t="s">
        <v>275</v>
      </c>
      <c r="C123" s="226" t="s">
        <v>200</v>
      </c>
    </row>
    <row r="124" spans="2:3" hidden="1" x14ac:dyDescent="0.25">
      <c r="B124" s="230" t="s">
        <v>276</v>
      </c>
      <c r="C124" s="226" t="s">
        <v>202</v>
      </c>
    </row>
    <row r="125" spans="2:3" hidden="1" x14ac:dyDescent="0.25">
      <c r="B125" s="230" t="s">
        <v>203</v>
      </c>
      <c r="C125" s="226" t="s">
        <v>204</v>
      </c>
    </row>
    <row r="126" spans="2:3" hidden="1" x14ac:dyDescent="0.25">
      <c r="B126" s="230" t="s">
        <v>203</v>
      </c>
      <c r="C126" s="226" t="s">
        <v>205</v>
      </c>
    </row>
    <row r="127" spans="2:3" hidden="1" x14ac:dyDescent="0.25">
      <c r="B127" s="230" t="s">
        <v>203</v>
      </c>
      <c r="C127" s="226" t="s">
        <v>206</v>
      </c>
    </row>
    <row r="128" spans="2:3" hidden="1" x14ac:dyDescent="0.25">
      <c r="B128" s="230" t="s">
        <v>203</v>
      </c>
      <c r="C128" s="226" t="s">
        <v>207</v>
      </c>
    </row>
    <row r="129" spans="2:3" hidden="1" x14ac:dyDescent="0.25">
      <c r="B129" s="230" t="s">
        <v>167</v>
      </c>
      <c r="C129" s="226" t="s">
        <v>208</v>
      </c>
    </row>
    <row r="130" spans="2:3" hidden="1" x14ac:dyDescent="0.25">
      <c r="B130" s="230" t="s">
        <v>209</v>
      </c>
      <c r="C130" s="226" t="s">
        <v>210</v>
      </c>
    </row>
    <row r="131" spans="2:3" hidden="1" x14ac:dyDescent="0.25">
      <c r="B131" s="230" t="s">
        <v>203</v>
      </c>
      <c r="C131" s="226" t="s">
        <v>211</v>
      </c>
    </row>
    <row r="132" spans="2:3" hidden="1" x14ac:dyDescent="0.25">
      <c r="B132" s="226"/>
      <c r="C132" s="226"/>
    </row>
    <row r="133" spans="2:3" hidden="1" x14ac:dyDescent="0.25">
      <c r="B133" s="226"/>
      <c r="C133" s="226"/>
    </row>
    <row r="134" spans="2:3" hidden="1" x14ac:dyDescent="0.25">
      <c r="B134" s="232"/>
      <c r="C134" s="232"/>
    </row>
    <row r="135" spans="2:3" hidden="1" x14ac:dyDescent="0.25">
      <c r="B135" s="232">
        <f>NvsElapsedTime</f>
        <v>1.15740695036948E-5</v>
      </c>
      <c r="C135" s="232"/>
    </row>
    <row r="136" spans="2:3" hidden="1" x14ac:dyDescent="0.25">
      <c r="B136" s="233">
        <f>NvsEndTime</f>
        <v>41754.487916666701</v>
      </c>
      <c r="C136" s="233" t="s">
        <v>212</v>
      </c>
    </row>
    <row r="137" spans="2:3" x14ac:dyDescent="0.25">
      <c r="B137" s="226"/>
      <c r="C137" s="234"/>
    </row>
    <row r="138" spans="2:3" x14ac:dyDescent="0.25">
      <c r="B138" s="226"/>
      <c r="C138" s="226"/>
    </row>
    <row r="139" spans="2:3" x14ac:dyDescent="0.25">
      <c r="B139" s="226"/>
      <c r="C139" s="226"/>
    </row>
    <row r="140" spans="2:3" x14ac:dyDescent="0.25">
      <c r="B140" s="226"/>
      <c r="C140" s="226"/>
    </row>
    <row r="141" spans="2:3" x14ac:dyDescent="0.25">
      <c r="B141" s="226"/>
      <c r="C141" s="226"/>
    </row>
    <row r="142" spans="2:3" x14ac:dyDescent="0.25">
      <c r="B142" s="226"/>
      <c r="C142" s="226"/>
    </row>
    <row r="143" spans="2:3" x14ac:dyDescent="0.25">
      <c r="B143" s="226"/>
      <c r="C143" s="226"/>
    </row>
    <row r="144" spans="2:3" x14ac:dyDescent="0.25">
      <c r="B144" s="226"/>
      <c r="C144" s="226"/>
    </row>
    <row r="145" spans="2:3" x14ac:dyDescent="0.25">
      <c r="B145" s="226"/>
      <c r="C145" s="226"/>
    </row>
    <row r="146" spans="2:3" x14ac:dyDescent="0.25">
      <c r="B146" s="226"/>
      <c r="C146" s="226"/>
    </row>
    <row r="147" spans="2:3" x14ac:dyDescent="0.25">
      <c r="B147" s="226"/>
      <c r="C147" s="226"/>
    </row>
    <row r="148" spans="2:3" x14ac:dyDescent="0.25">
      <c r="B148" s="226"/>
      <c r="C148" s="226"/>
    </row>
    <row r="149" spans="2:3" x14ac:dyDescent="0.25">
      <c r="B149" s="226"/>
      <c r="C149" s="226"/>
    </row>
    <row r="150" spans="2:3" x14ac:dyDescent="0.25">
      <c r="B150" s="226"/>
      <c r="C150" s="226"/>
    </row>
    <row r="151" spans="2:3" x14ac:dyDescent="0.25">
      <c r="B151" s="226"/>
      <c r="C151" s="226"/>
    </row>
  </sheetData>
  <mergeCells count="151">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9:W9"/>
    <mergeCell ref="X9:Y9"/>
    <mergeCell ref="Z9:AA9"/>
    <mergeCell ref="V10:W10"/>
    <mergeCell ref="X10:Y10"/>
    <mergeCell ref="Z10:AA10"/>
    <mergeCell ref="V7:W7"/>
    <mergeCell ref="X7:Y7"/>
    <mergeCell ref="Z7:AA7"/>
    <mergeCell ref="AB7:AC7"/>
    <mergeCell ref="V8:W8"/>
    <mergeCell ref="X8:Y8"/>
    <mergeCell ref="Z8:AA8"/>
    <mergeCell ref="W2:AC2"/>
    <mergeCell ref="V3:AC3"/>
    <mergeCell ref="V4:AC4"/>
    <mergeCell ref="V5:W5"/>
    <mergeCell ref="X5:Y5"/>
    <mergeCell ref="V6:AC6"/>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pageSetUpPr fitToPage="1"/>
  </sheetPr>
  <dimension ref="A1:AD151"/>
  <sheetViews>
    <sheetView topLeftCell="B2" zoomScale="70" zoomScaleNormal="70" workbookViewId="0">
      <selection activeCell="B2" sqref="B2"/>
    </sheetView>
  </sheetViews>
  <sheetFormatPr defaultColWidth="8.85546875" defaultRowHeight="15.75" x14ac:dyDescent="0.25"/>
  <cols>
    <col min="1" max="1" width="11.28515625" style="1" hidden="1" customWidth="1"/>
    <col min="2" max="2" width="10.28515625" style="2" customWidth="1"/>
    <col min="3" max="3" width="29" style="1" customWidth="1"/>
    <col min="4" max="5" width="12.28515625" style="1" customWidth="1"/>
    <col min="6" max="6" width="12.28515625" style="1" hidden="1" customWidth="1"/>
    <col min="7" max="7" width="16.5703125" style="1" customWidth="1"/>
    <col min="8" max="8" width="6.7109375" style="1" customWidth="1"/>
    <col min="9" max="9" width="13.85546875" style="1" customWidth="1"/>
    <col min="10" max="10" width="12.85546875" style="1" customWidth="1"/>
    <col min="11" max="11" width="15.5703125" style="1" bestFit="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28515625" style="1" customWidth="1"/>
    <col min="18" max="18" width="8.85546875" style="1"/>
    <col min="19" max="21" width="0" style="1" hidden="1" customWidth="1"/>
    <col min="22" max="23" width="8.85546875" style="1"/>
    <col min="24" max="24" width="12.7109375" style="1" customWidth="1"/>
    <col min="25" max="27" width="8.85546875" style="1"/>
    <col min="28" max="28" width="13.140625" style="1" bestFit="1" customWidth="1"/>
    <col min="29" max="16384" width="8.85546875" style="1"/>
  </cols>
  <sheetData>
    <row r="1" spans="1:30" ht="15.6"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7"/>
      <c r="N2" s="3"/>
      <c r="O2" s="1"/>
      <c r="V2" s="8">
        <f>'3392'!B2</f>
        <v>50</v>
      </c>
      <c r="W2" s="606" t="s">
        <v>4</v>
      </c>
      <c r="X2" s="607"/>
      <c r="Y2" s="608"/>
      <c r="Z2" s="608"/>
      <c r="AA2" s="608"/>
      <c r="AB2" s="608"/>
      <c r="AC2" s="608"/>
      <c r="AD2" s="9"/>
    </row>
    <row r="3" spans="1:30" ht="20.25" x14ac:dyDescent="0.3">
      <c r="B3" s="10" t="str">
        <f>"Revenue Estimate Worksheet for "&amp;B124</f>
        <v>Revenue Estimate Worksheet for Charter Sch of Boynton Beach</v>
      </c>
      <c r="C3" s="11"/>
      <c r="D3" s="11"/>
      <c r="E3" s="11"/>
      <c r="F3" s="11"/>
      <c r="G3" s="11"/>
      <c r="H3" s="11"/>
      <c r="I3" s="11"/>
      <c r="J3" s="11"/>
      <c r="K3" s="11"/>
      <c r="L3" s="11"/>
      <c r="M3" s="10"/>
      <c r="N3" s="10"/>
      <c r="O3" s="10"/>
      <c r="P3" s="10"/>
      <c r="Q3" s="10"/>
      <c r="V3" s="609" t="s">
        <v>5</v>
      </c>
      <c r="W3" s="609"/>
      <c r="X3" s="609"/>
      <c r="Y3" s="609"/>
      <c r="Z3" s="609"/>
      <c r="AA3" s="609"/>
      <c r="AB3" s="609"/>
      <c r="AC3" s="609"/>
      <c r="AD3" s="12"/>
    </row>
    <row r="4" spans="1:30" ht="18.75" x14ac:dyDescent="0.3">
      <c r="B4" s="2" t="s">
        <v>6</v>
      </c>
      <c r="C4" s="13"/>
      <c r="D4" s="13"/>
      <c r="E4" s="13"/>
      <c r="F4" s="13"/>
      <c r="G4" s="13"/>
      <c r="H4" s="13"/>
      <c r="I4" s="13"/>
      <c r="J4" s="13"/>
      <c r="K4" s="13"/>
      <c r="L4" s="13"/>
      <c r="M4" s="14"/>
      <c r="N4" s="14"/>
      <c r="O4" s="14"/>
      <c r="P4" s="14"/>
      <c r="Q4" s="14"/>
      <c r="V4" s="610" t="str">
        <f>+Based_on_the_Second_Calculation_of_the_FEFP_2010_11</f>
        <v>Based on the Fourth Calculation of the FEFP 2013-14</v>
      </c>
      <c r="W4" s="610"/>
      <c r="X4" s="610"/>
      <c r="Y4" s="610"/>
      <c r="Z4" s="610"/>
      <c r="AA4" s="610"/>
      <c r="AB4" s="610"/>
      <c r="AC4" s="610"/>
      <c r="AD4" s="15"/>
    </row>
    <row r="5" spans="1:30" ht="18.75" customHeight="1" x14ac:dyDescent="0.25">
      <c r="B5" s="16" t="s">
        <v>7</v>
      </c>
      <c r="C5" s="16"/>
      <c r="D5" s="16"/>
      <c r="E5" s="16"/>
      <c r="F5" s="16"/>
      <c r="G5" s="17" t="s">
        <v>8</v>
      </c>
      <c r="H5" s="17"/>
      <c r="I5" s="17"/>
      <c r="J5" s="17"/>
      <c r="K5" s="17"/>
      <c r="L5" s="17"/>
      <c r="M5" s="18"/>
      <c r="N5" s="18"/>
      <c r="O5" s="18"/>
      <c r="P5" s="18"/>
      <c r="Q5" s="18"/>
      <c r="V5" s="611" t="s">
        <v>7</v>
      </c>
      <c r="W5" s="611"/>
      <c r="X5" s="612" t="s">
        <v>8</v>
      </c>
      <c r="Y5" s="612"/>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613" t="s">
        <v>9</v>
      </c>
      <c r="W6" s="613"/>
      <c r="X6" s="613"/>
      <c r="Y6" s="613"/>
      <c r="Z6" s="613"/>
      <c r="AA6" s="613"/>
      <c r="AB6" s="613"/>
      <c r="AC6" s="613"/>
      <c r="AD6" s="22"/>
    </row>
    <row r="7" spans="1:30" ht="18" customHeight="1" x14ac:dyDescent="0.25">
      <c r="B7" s="23" t="s">
        <v>10</v>
      </c>
      <c r="C7" s="23"/>
      <c r="D7" s="23"/>
      <c r="E7" s="23"/>
      <c r="F7" s="23"/>
      <c r="G7" s="24">
        <v>3752.3</v>
      </c>
      <c r="H7" s="24"/>
      <c r="I7" s="23" t="s">
        <v>11</v>
      </c>
      <c r="J7" s="23"/>
      <c r="K7" s="25">
        <v>1.0326</v>
      </c>
      <c r="L7" s="25"/>
      <c r="O7" s="1"/>
      <c r="V7" s="620" t="s">
        <v>10</v>
      </c>
      <c r="W7" s="620"/>
      <c r="X7" s="621">
        <f>'3392'!G7</f>
        <v>3752.3</v>
      </c>
      <c r="Y7" s="621"/>
      <c r="Z7" s="622" t="s">
        <v>11</v>
      </c>
      <c r="AA7" s="622"/>
      <c r="AB7" s="602">
        <f>+K7</f>
        <v>1.0326</v>
      </c>
      <c r="AC7" s="602"/>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603" t="s">
        <v>12</v>
      </c>
      <c r="W8" s="603"/>
      <c r="X8" s="604" t="s">
        <v>15</v>
      </c>
      <c r="Y8" s="604"/>
      <c r="Z8" s="605" t="s">
        <v>16</v>
      </c>
      <c r="AA8" s="605"/>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614" t="s">
        <v>22</v>
      </c>
      <c r="W9" s="614"/>
      <c r="X9" s="615" t="s">
        <v>23</v>
      </c>
      <c r="Y9" s="615"/>
      <c r="Z9" s="616" t="s">
        <v>24</v>
      </c>
      <c r="AA9" s="616"/>
      <c r="AB9" s="43" t="s">
        <v>25</v>
      </c>
      <c r="AC9" s="44" t="s">
        <v>26</v>
      </c>
      <c r="AD9" s="9"/>
    </row>
    <row r="10" spans="1:30" x14ac:dyDescent="0.25">
      <c r="A10" s="1" t="s">
        <v>27</v>
      </c>
      <c r="B10" s="45" t="s">
        <v>28</v>
      </c>
      <c r="C10" s="45"/>
      <c r="D10" s="45">
        <v>105.72</v>
      </c>
      <c r="E10" s="45">
        <v>100.71</v>
      </c>
      <c r="F10" s="45">
        <v>129.59</v>
      </c>
      <c r="G10" s="46">
        <f>D10+E10</f>
        <v>206.43</v>
      </c>
      <c r="H10" s="47"/>
      <c r="I10" s="48">
        <v>1.125</v>
      </c>
      <c r="J10" s="48"/>
      <c r="K10" s="49">
        <f>ROUND(G10*I10,4)</f>
        <v>232.2338</v>
      </c>
      <c r="L10" s="50">
        <f>ROUND(ROUND(K10*$G$7,4)*($K$7),0)</f>
        <v>899819</v>
      </c>
      <c r="N10" s="51">
        <v>5101</v>
      </c>
      <c r="O10" s="52">
        <v>101</v>
      </c>
      <c r="P10" s="53"/>
      <c r="Q10" s="54"/>
      <c r="V10" s="617" t="s">
        <v>28</v>
      </c>
      <c r="W10" s="617"/>
      <c r="X10" s="618">
        <f>IF('3392'!K$84=1,'3392'!G10,0)</f>
        <v>0</v>
      </c>
      <c r="Y10" s="618"/>
      <c r="Z10" s="619">
        <v>1</v>
      </c>
      <c r="AA10" s="619"/>
      <c r="AB10" s="55">
        <f t="shared" ref="AB10:AB25" si="0">ROUND(X10*Z10,4)</f>
        <v>0</v>
      </c>
      <c r="AC10" s="56">
        <f t="shared" ref="AC10:AC25" si="1">ROUND(ROUND(AB10*$X$7,4)*($AB$7),0)</f>
        <v>0</v>
      </c>
      <c r="AD10" s="9">
        <v>1</v>
      </c>
    </row>
    <row r="11" spans="1:30" x14ac:dyDescent="0.25">
      <c r="A11" s="1" t="s">
        <v>29</v>
      </c>
      <c r="B11" s="13" t="s">
        <v>30</v>
      </c>
      <c r="C11" s="13"/>
      <c r="D11" s="13">
        <v>12.08</v>
      </c>
      <c r="E11" s="13">
        <v>11.09</v>
      </c>
      <c r="F11" s="13">
        <v>19.62</v>
      </c>
      <c r="G11" s="46">
        <f t="shared" ref="G11:G25" si="2">D11+E11</f>
        <v>23.17</v>
      </c>
      <c r="H11" s="47"/>
      <c r="I11" s="57">
        <f>I10</f>
        <v>1.125</v>
      </c>
      <c r="J11" s="57"/>
      <c r="K11" s="49">
        <f t="shared" ref="K11:K25" si="3">ROUND(G11*I11,4)</f>
        <v>26.066299999999998</v>
      </c>
      <c r="L11" s="50">
        <f t="shared" ref="L11:L25" si="4">ROUND(ROUND(K11*$G$7,4)*($K$7),0)</f>
        <v>100997</v>
      </c>
      <c r="M11" s="1" t="str">
        <f>IF(ROUND(G11,2)=ROUND(SUM(G28:G30),2)," ","CHECK 2. PK-3 Lines Below")</f>
        <v xml:space="preserve"> </v>
      </c>
      <c r="N11" s="51">
        <v>5101</v>
      </c>
      <c r="O11" s="58" t="s">
        <v>31</v>
      </c>
      <c r="P11" s="53"/>
      <c r="Q11" s="54"/>
      <c r="V11" s="623" t="s">
        <v>30</v>
      </c>
      <c r="W11" s="623"/>
      <c r="X11" s="618">
        <f>IF('3392'!K$84=1,'3392'!G11,0)</f>
        <v>0</v>
      </c>
      <c r="Y11" s="618"/>
      <c r="Z11" s="624">
        <v>1</v>
      </c>
      <c r="AA11" s="624"/>
      <c r="AB11" s="55">
        <f t="shared" si="0"/>
        <v>0</v>
      </c>
      <c r="AC11" s="56">
        <f t="shared" si="1"/>
        <v>0</v>
      </c>
      <c r="AD11" s="9"/>
    </row>
    <row r="12" spans="1:30" x14ac:dyDescent="0.25">
      <c r="A12" s="1" t="s">
        <v>32</v>
      </c>
      <c r="B12" s="13" t="s">
        <v>33</v>
      </c>
      <c r="C12" s="13"/>
      <c r="D12" s="13">
        <v>126.26</v>
      </c>
      <c r="E12" s="13">
        <v>116.49</v>
      </c>
      <c r="F12" s="13">
        <v>152.41</v>
      </c>
      <c r="G12" s="46">
        <f t="shared" si="2"/>
        <v>242.75</v>
      </c>
      <c r="H12" s="47"/>
      <c r="I12" s="57">
        <v>1</v>
      </c>
      <c r="J12" s="57"/>
      <c r="K12" s="49">
        <f t="shared" si="3"/>
        <v>242.75</v>
      </c>
      <c r="L12" s="50">
        <f t="shared" si="4"/>
        <v>940565</v>
      </c>
      <c r="N12" s="51">
        <v>5102</v>
      </c>
      <c r="O12" s="52">
        <v>102</v>
      </c>
      <c r="P12" s="53"/>
      <c r="Q12" s="54"/>
      <c r="V12" s="623" t="s">
        <v>33</v>
      </c>
      <c r="W12" s="623"/>
      <c r="X12" s="618">
        <f>IF('3392'!K$84=1,'3392'!G12,0)</f>
        <v>0</v>
      </c>
      <c r="Y12" s="618"/>
      <c r="Z12" s="624">
        <v>1</v>
      </c>
      <c r="AA12" s="624"/>
      <c r="AB12" s="55">
        <f t="shared" si="0"/>
        <v>0</v>
      </c>
      <c r="AC12" s="56">
        <f t="shared" si="1"/>
        <v>0</v>
      </c>
      <c r="AD12" s="9"/>
    </row>
    <row r="13" spans="1:30" x14ac:dyDescent="0.25">
      <c r="A13" s="1" t="s">
        <v>34</v>
      </c>
      <c r="B13" s="13" t="s">
        <v>35</v>
      </c>
      <c r="C13" s="13"/>
      <c r="D13" s="13">
        <v>27.36</v>
      </c>
      <c r="E13" s="13">
        <v>23.64</v>
      </c>
      <c r="F13" s="13">
        <v>38.4</v>
      </c>
      <c r="G13" s="46">
        <f t="shared" si="2"/>
        <v>51</v>
      </c>
      <c r="H13" s="47"/>
      <c r="I13" s="57">
        <f>I12</f>
        <v>1</v>
      </c>
      <c r="J13" s="57"/>
      <c r="K13" s="49">
        <f t="shared" si="3"/>
        <v>51</v>
      </c>
      <c r="L13" s="50">
        <f t="shared" si="4"/>
        <v>197606</v>
      </c>
      <c r="M13" s="1" t="str">
        <f>IF(ROUND(G13,2)=ROUND(SUM(G31:G33),2)," ","CHECK 2. PK-3 Lines Below")</f>
        <v xml:space="preserve"> </v>
      </c>
      <c r="N13" s="51">
        <v>5102</v>
      </c>
      <c r="O13" s="58" t="s">
        <v>36</v>
      </c>
      <c r="P13" s="53"/>
      <c r="Q13" s="54"/>
      <c r="V13" s="623" t="s">
        <v>35</v>
      </c>
      <c r="W13" s="623"/>
      <c r="X13" s="618">
        <f>IF('3392'!K$84=1,'3392'!G13,0)</f>
        <v>0</v>
      </c>
      <c r="Y13" s="618"/>
      <c r="Z13" s="624">
        <v>1</v>
      </c>
      <c r="AA13" s="624"/>
      <c r="AB13" s="55">
        <f t="shared" si="0"/>
        <v>0</v>
      </c>
      <c r="AC13" s="56">
        <f t="shared" si="1"/>
        <v>0</v>
      </c>
      <c r="AD13" s="9"/>
    </row>
    <row r="14" spans="1:30" x14ac:dyDescent="0.25">
      <c r="A14" s="1" t="s">
        <v>37</v>
      </c>
      <c r="B14" s="13" t="s">
        <v>38</v>
      </c>
      <c r="C14" s="13"/>
      <c r="D14" s="13">
        <v>10.82</v>
      </c>
      <c r="E14" s="13">
        <v>8.17</v>
      </c>
      <c r="F14" s="13">
        <v>11.83</v>
      </c>
      <c r="G14" s="46">
        <f t="shared" si="2"/>
        <v>18.990000000000002</v>
      </c>
      <c r="H14" s="47"/>
      <c r="I14" s="57">
        <v>1.0109999999999999</v>
      </c>
      <c r="J14" s="57"/>
      <c r="K14" s="49">
        <f t="shared" si="3"/>
        <v>19.198899999999998</v>
      </c>
      <c r="L14" s="50">
        <f t="shared" si="4"/>
        <v>74389</v>
      </c>
      <c r="N14" s="51">
        <v>5103</v>
      </c>
      <c r="O14" s="52">
        <v>103</v>
      </c>
      <c r="P14" s="53"/>
      <c r="Q14" s="54"/>
      <c r="V14" s="623" t="s">
        <v>38</v>
      </c>
      <c r="W14" s="623"/>
      <c r="X14" s="618">
        <f>IF('3392'!K$84=1,'3392'!G14,0)</f>
        <v>0</v>
      </c>
      <c r="Y14" s="618"/>
      <c r="Z14" s="624">
        <v>1</v>
      </c>
      <c r="AA14" s="624"/>
      <c r="AB14" s="55">
        <f t="shared" si="0"/>
        <v>0</v>
      </c>
      <c r="AC14" s="56">
        <f t="shared" si="1"/>
        <v>0</v>
      </c>
      <c r="AD14" s="9"/>
    </row>
    <row r="15" spans="1:30" x14ac:dyDescent="0.25">
      <c r="A15" s="1" t="s">
        <v>39</v>
      </c>
      <c r="B15" s="13" t="s">
        <v>40</v>
      </c>
      <c r="C15" s="13"/>
      <c r="D15" s="13">
        <v>3.52</v>
      </c>
      <c r="E15" s="13">
        <v>3.77</v>
      </c>
      <c r="F15" s="13">
        <v>3.86</v>
      </c>
      <c r="G15" s="46">
        <f t="shared" si="2"/>
        <v>7.29</v>
      </c>
      <c r="H15" s="47"/>
      <c r="I15" s="57">
        <f>I14</f>
        <v>1.0109999999999999</v>
      </c>
      <c r="J15" s="57"/>
      <c r="K15" s="49">
        <f t="shared" si="3"/>
        <v>7.3701999999999996</v>
      </c>
      <c r="L15" s="59">
        <f t="shared" si="4"/>
        <v>28557</v>
      </c>
      <c r="M15" s="1" t="str">
        <f>IF(ROUND(G15,2)=ROUND(SUM(G34:G36),2)," ","CHECK 2. PK-3 Lines Below")</f>
        <v xml:space="preserve"> </v>
      </c>
      <c r="N15" s="51">
        <v>5103</v>
      </c>
      <c r="O15" s="58" t="s">
        <v>41</v>
      </c>
      <c r="P15" s="53"/>
      <c r="Q15" s="54"/>
      <c r="V15" s="623" t="s">
        <v>40</v>
      </c>
      <c r="W15" s="623"/>
      <c r="X15" s="618">
        <f>IF('3392'!K$84=1,'3392'!G15,0)</f>
        <v>0</v>
      </c>
      <c r="Y15" s="618"/>
      <c r="Z15" s="624">
        <v>1</v>
      </c>
      <c r="AA15" s="624"/>
      <c r="AB15" s="55">
        <f t="shared" si="0"/>
        <v>0</v>
      </c>
      <c r="AC15" s="60">
        <f t="shared" si="1"/>
        <v>0</v>
      </c>
      <c r="AD15" s="9"/>
    </row>
    <row r="16" spans="1:30" x14ac:dyDescent="0.25">
      <c r="A16" s="1" t="s">
        <v>42</v>
      </c>
      <c r="B16" s="13" t="s">
        <v>43</v>
      </c>
      <c r="C16" s="13"/>
      <c r="D16" s="13">
        <v>0</v>
      </c>
      <c r="E16" s="13">
        <v>0</v>
      </c>
      <c r="F16" s="13">
        <v>0</v>
      </c>
      <c r="G16" s="46">
        <f t="shared" si="2"/>
        <v>0</v>
      </c>
      <c r="H16" s="47"/>
      <c r="I16" s="57">
        <v>3.5579999999999998</v>
      </c>
      <c r="J16" s="57"/>
      <c r="K16" s="49">
        <f t="shared" si="3"/>
        <v>0</v>
      </c>
      <c r="L16" s="50">
        <f t="shared" si="4"/>
        <v>0</v>
      </c>
      <c r="N16" s="51">
        <v>5101</v>
      </c>
      <c r="O16" s="53">
        <v>254</v>
      </c>
      <c r="P16" s="53"/>
      <c r="Q16" s="54"/>
      <c r="V16" s="623" t="s">
        <v>43</v>
      </c>
      <c r="W16" s="623"/>
      <c r="X16" s="618">
        <f>IF('3392'!K$84=1,'3392'!G16,0)</f>
        <v>0</v>
      </c>
      <c r="Y16" s="618"/>
      <c r="Z16" s="624">
        <v>1</v>
      </c>
      <c r="AA16" s="624"/>
      <c r="AB16" s="55">
        <f t="shared" si="0"/>
        <v>0</v>
      </c>
      <c r="AC16" s="56">
        <f t="shared" si="1"/>
        <v>0</v>
      </c>
      <c r="AD16" s="9"/>
    </row>
    <row r="17" spans="1:30" x14ac:dyDescent="0.25">
      <c r="A17" s="1" t="s">
        <v>44</v>
      </c>
      <c r="B17" s="13" t="s">
        <v>45</v>
      </c>
      <c r="C17" s="13"/>
      <c r="D17" s="13">
        <v>0</v>
      </c>
      <c r="E17" s="13">
        <v>0</v>
      </c>
      <c r="F17" s="13">
        <v>0</v>
      </c>
      <c r="G17" s="46">
        <f t="shared" si="2"/>
        <v>0</v>
      </c>
      <c r="H17" s="47"/>
      <c r="I17" s="57">
        <f>I16</f>
        <v>3.5579999999999998</v>
      </c>
      <c r="J17" s="57"/>
      <c r="K17" s="49">
        <f t="shared" si="3"/>
        <v>0</v>
      </c>
      <c r="L17" s="50">
        <f t="shared" si="4"/>
        <v>0</v>
      </c>
      <c r="N17" s="51">
        <v>5102</v>
      </c>
      <c r="O17" s="54">
        <v>254</v>
      </c>
      <c r="P17" s="53"/>
      <c r="Q17" s="54"/>
      <c r="V17" s="623" t="s">
        <v>45</v>
      </c>
      <c r="W17" s="623"/>
      <c r="X17" s="618">
        <f>IF('3392'!K$84=1,'3392'!G17,0)</f>
        <v>0</v>
      </c>
      <c r="Y17" s="618"/>
      <c r="Z17" s="624">
        <v>1</v>
      </c>
      <c r="AA17" s="624"/>
      <c r="AB17" s="55">
        <f t="shared" si="0"/>
        <v>0</v>
      </c>
      <c r="AC17" s="56">
        <f t="shared" si="1"/>
        <v>0</v>
      </c>
      <c r="AD17" s="9"/>
    </row>
    <row r="18" spans="1:30" x14ac:dyDescent="0.25">
      <c r="A18" s="1" t="s">
        <v>46</v>
      </c>
      <c r="B18" s="13" t="s">
        <v>47</v>
      </c>
      <c r="C18" s="13"/>
      <c r="D18" s="13">
        <v>0</v>
      </c>
      <c r="E18" s="13">
        <v>0</v>
      </c>
      <c r="F18" s="13">
        <v>0</v>
      </c>
      <c r="G18" s="46">
        <f t="shared" si="2"/>
        <v>0</v>
      </c>
      <c r="H18" s="47"/>
      <c r="I18" s="57">
        <f>I17</f>
        <v>3.5579999999999998</v>
      </c>
      <c r="J18" s="57"/>
      <c r="K18" s="49">
        <f t="shared" si="3"/>
        <v>0</v>
      </c>
      <c r="L18" s="50">
        <f t="shared" si="4"/>
        <v>0</v>
      </c>
      <c r="N18" s="51">
        <v>5103</v>
      </c>
      <c r="O18" s="54">
        <v>254</v>
      </c>
      <c r="P18" s="53"/>
      <c r="Q18" s="54"/>
      <c r="V18" s="623" t="s">
        <v>47</v>
      </c>
      <c r="W18" s="623"/>
      <c r="X18" s="618">
        <f>IF('3392'!K$84=1,'3392'!G18,0)</f>
        <v>0</v>
      </c>
      <c r="Y18" s="618"/>
      <c r="Z18" s="624">
        <v>1</v>
      </c>
      <c r="AA18" s="624"/>
      <c r="AB18" s="55">
        <f t="shared" si="0"/>
        <v>0</v>
      </c>
      <c r="AC18" s="56">
        <f t="shared" si="1"/>
        <v>0</v>
      </c>
      <c r="AD18" s="9"/>
    </row>
    <row r="19" spans="1:30" ht="15" customHeight="1" x14ac:dyDescent="0.25">
      <c r="A19" s="1" t="s">
        <v>48</v>
      </c>
      <c r="B19" s="13" t="s">
        <v>49</v>
      </c>
      <c r="C19" s="13"/>
      <c r="D19" s="13">
        <v>0</v>
      </c>
      <c r="E19" s="13">
        <v>0</v>
      </c>
      <c r="F19" s="13">
        <v>0</v>
      </c>
      <c r="G19" s="46">
        <f t="shared" si="2"/>
        <v>0</v>
      </c>
      <c r="H19" s="47"/>
      <c r="I19" s="57">
        <v>5.0890000000000004</v>
      </c>
      <c r="J19" s="57"/>
      <c r="K19" s="49">
        <f t="shared" si="3"/>
        <v>0</v>
      </c>
      <c r="L19" s="50">
        <f t="shared" si="4"/>
        <v>0</v>
      </c>
      <c r="N19" s="51">
        <v>5101</v>
      </c>
      <c r="O19" s="53">
        <v>255</v>
      </c>
      <c r="P19" s="53"/>
      <c r="Q19" s="54"/>
      <c r="V19" s="623" t="s">
        <v>49</v>
      </c>
      <c r="W19" s="623"/>
      <c r="X19" s="618">
        <f>IF('3392'!K$84=1,'3392'!G19,0)</f>
        <v>0</v>
      </c>
      <c r="Y19" s="618"/>
      <c r="Z19" s="624">
        <v>1</v>
      </c>
      <c r="AA19" s="624"/>
      <c r="AB19" s="55">
        <f t="shared" si="0"/>
        <v>0</v>
      </c>
      <c r="AC19" s="56">
        <f t="shared" si="1"/>
        <v>0</v>
      </c>
      <c r="AD19" s="9"/>
    </row>
    <row r="20" spans="1:30" ht="15" customHeight="1" x14ac:dyDescent="0.25">
      <c r="A20" s="1" t="s">
        <v>50</v>
      </c>
      <c r="B20" s="13" t="s">
        <v>51</v>
      </c>
      <c r="C20" s="13"/>
      <c r="D20" s="13">
        <v>0</v>
      </c>
      <c r="E20" s="13">
        <v>0</v>
      </c>
      <c r="F20" s="13">
        <v>0</v>
      </c>
      <c r="G20" s="46">
        <f t="shared" si="2"/>
        <v>0</v>
      </c>
      <c r="H20" s="47"/>
      <c r="I20" s="57">
        <f>I19</f>
        <v>5.0890000000000004</v>
      </c>
      <c r="J20" s="57"/>
      <c r="K20" s="49">
        <f t="shared" si="3"/>
        <v>0</v>
      </c>
      <c r="L20" s="50">
        <f t="shared" si="4"/>
        <v>0</v>
      </c>
      <c r="N20" s="51">
        <v>5102</v>
      </c>
      <c r="O20" s="54">
        <v>255</v>
      </c>
      <c r="P20" s="53"/>
      <c r="Q20" s="54"/>
      <c r="V20" s="623" t="s">
        <v>51</v>
      </c>
      <c r="W20" s="623"/>
      <c r="X20" s="618">
        <f>IF('3392'!K$84=1,'3392'!G20,0)</f>
        <v>0</v>
      </c>
      <c r="Y20" s="618"/>
      <c r="Z20" s="624">
        <v>1</v>
      </c>
      <c r="AA20" s="624"/>
      <c r="AB20" s="55">
        <f t="shared" si="0"/>
        <v>0</v>
      </c>
      <c r="AC20" s="56">
        <f t="shared" si="1"/>
        <v>0</v>
      </c>
      <c r="AD20" s="9"/>
    </row>
    <row r="21" spans="1:30" ht="15" customHeight="1" x14ac:dyDescent="0.25">
      <c r="A21" s="1" t="s">
        <v>52</v>
      </c>
      <c r="B21" s="13" t="s">
        <v>53</v>
      </c>
      <c r="C21" s="13"/>
      <c r="D21" s="13">
        <v>0</v>
      </c>
      <c r="E21" s="13">
        <v>0</v>
      </c>
      <c r="F21" s="13">
        <v>0</v>
      </c>
      <c r="G21" s="46">
        <f t="shared" si="2"/>
        <v>0</v>
      </c>
      <c r="H21" s="47"/>
      <c r="I21" s="57">
        <f>I20</f>
        <v>5.0890000000000004</v>
      </c>
      <c r="J21" s="57"/>
      <c r="K21" s="49">
        <f t="shared" si="3"/>
        <v>0</v>
      </c>
      <c r="L21" s="50">
        <f t="shared" si="4"/>
        <v>0</v>
      </c>
      <c r="N21" s="51">
        <v>5103</v>
      </c>
      <c r="O21" s="54">
        <v>255</v>
      </c>
      <c r="P21" s="53"/>
      <c r="Q21" s="54"/>
      <c r="V21" s="623" t="s">
        <v>53</v>
      </c>
      <c r="W21" s="623"/>
      <c r="X21" s="618">
        <f>IF('3392'!K$84=1,'3392'!G21,0)</f>
        <v>0</v>
      </c>
      <c r="Y21" s="618"/>
      <c r="Z21" s="624">
        <v>1</v>
      </c>
      <c r="AA21" s="624"/>
      <c r="AB21" s="55">
        <f t="shared" si="0"/>
        <v>0</v>
      </c>
      <c r="AC21" s="56">
        <f t="shared" si="1"/>
        <v>0</v>
      </c>
      <c r="AD21" s="9"/>
    </row>
    <row r="22" spans="1:30" x14ac:dyDescent="0.25">
      <c r="A22" s="1" t="s">
        <v>54</v>
      </c>
      <c r="B22" s="13" t="s">
        <v>55</v>
      </c>
      <c r="C22" s="13"/>
      <c r="D22" s="13">
        <v>64.8</v>
      </c>
      <c r="E22" s="13">
        <v>69.38</v>
      </c>
      <c r="F22" s="13">
        <v>77.790000000000006</v>
      </c>
      <c r="G22" s="46">
        <f t="shared" si="2"/>
        <v>134.18</v>
      </c>
      <c r="H22" s="47"/>
      <c r="I22" s="57">
        <v>1.145</v>
      </c>
      <c r="J22" s="57"/>
      <c r="K22" s="49">
        <f t="shared" si="3"/>
        <v>153.6361</v>
      </c>
      <c r="L22" s="50">
        <f t="shared" si="4"/>
        <v>595282</v>
      </c>
      <c r="N22" s="51">
        <v>5101</v>
      </c>
      <c r="O22" s="52">
        <v>130</v>
      </c>
      <c r="P22" s="53"/>
      <c r="Q22" s="54"/>
      <c r="V22" s="623" t="s">
        <v>55</v>
      </c>
      <c r="W22" s="623"/>
      <c r="X22" s="618">
        <f>IF('3392'!K$84=1,'3392'!G22,0)</f>
        <v>0</v>
      </c>
      <c r="Y22" s="618"/>
      <c r="Z22" s="624">
        <v>1</v>
      </c>
      <c r="AA22" s="624"/>
      <c r="AB22" s="55">
        <f t="shared" si="0"/>
        <v>0</v>
      </c>
      <c r="AC22" s="56">
        <f t="shared" si="1"/>
        <v>0</v>
      </c>
      <c r="AD22" s="9"/>
    </row>
    <row r="23" spans="1:30" x14ac:dyDescent="0.25">
      <c r="A23" s="1" t="s">
        <v>56</v>
      </c>
      <c r="B23" s="13" t="s">
        <v>57</v>
      </c>
      <c r="C23" s="13"/>
      <c r="D23" s="13">
        <v>0</v>
      </c>
      <c r="E23" s="13">
        <v>0</v>
      </c>
      <c r="F23" s="13">
        <v>0</v>
      </c>
      <c r="G23" s="46">
        <f t="shared" si="2"/>
        <v>0</v>
      </c>
      <c r="H23" s="47"/>
      <c r="I23" s="57">
        <f>I22</f>
        <v>1.145</v>
      </c>
      <c r="J23" s="57"/>
      <c r="K23" s="49">
        <f t="shared" si="3"/>
        <v>0</v>
      </c>
      <c r="L23" s="50">
        <f t="shared" si="4"/>
        <v>0</v>
      </c>
      <c r="N23" s="51">
        <v>5102</v>
      </c>
      <c r="O23" s="52">
        <v>130</v>
      </c>
      <c r="P23" s="53"/>
      <c r="Q23" s="54"/>
      <c r="V23" s="623" t="s">
        <v>57</v>
      </c>
      <c r="W23" s="623"/>
      <c r="X23" s="618">
        <f>IF('3392'!K$84=1,'3392'!G23,0)</f>
        <v>0</v>
      </c>
      <c r="Y23" s="618"/>
      <c r="Z23" s="624">
        <v>1</v>
      </c>
      <c r="AA23" s="624"/>
      <c r="AB23" s="55">
        <f t="shared" si="0"/>
        <v>0</v>
      </c>
      <c r="AC23" s="56">
        <f t="shared" si="1"/>
        <v>0</v>
      </c>
      <c r="AD23" s="9"/>
    </row>
    <row r="24" spans="1:30" x14ac:dyDescent="0.25">
      <c r="A24" s="1" t="s">
        <v>58</v>
      </c>
      <c r="B24" s="13" t="s">
        <v>59</v>
      </c>
      <c r="C24" s="13"/>
      <c r="D24" s="13">
        <v>0</v>
      </c>
      <c r="E24" s="13">
        <v>0</v>
      </c>
      <c r="F24" s="13">
        <v>0</v>
      </c>
      <c r="G24" s="46">
        <f t="shared" si="2"/>
        <v>0</v>
      </c>
      <c r="H24" s="47"/>
      <c r="I24" s="57">
        <f>I23</f>
        <v>1.145</v>
      </c>
      <c r="J24" s="57"/>
      <c r="K24" s="49">
        <f t="shared" si="3"/>
        <v>0</v>
      </c>
      <c r="L24" s="50">
        <f t="shared" si="4"/>
        <v>0</v>
      </c>
      <c r="N24" s="51">
        <v>5103</v>
      </c>
      <c r="O24" s="52">
        <v>130</v>
      </c>
      <c r="P24" s="53"/>
      <c r="Q24" s="54"/>
      <c r="V24" s="623" t="s">
        <v>59</v>
      </c>
      <c r="W24" s="623"/>
      <c r="X24" s="618">
        <f>IF('3392'!K$84=1,'3392'!G24,0)</f>
        <v>0</v>
      </c>
      <c r="Y24" s="618"/>
      <c r="Z24" s="624">
        <v>1</v>
      </c>
      <c r="AA24" s="624"/>
      <c r="AB24" s="55">
        <f t="shared" si="0"/>
        <v>0</v>
      </c>
      <c r="AC24" s="56">
        <f t="shared" si="1"/>
        <v>0</v>
      </c>
      <c r="AD24" s="9"/>
    </row>
    <row r="25" spans="1:30" ht="16.5" thickBot="1" x14ac:dyDescent="0.3">
      <c r="A25" s="1" t="s">
        <v>60</v>
      </c>
      <c r="B25" s="13" t="s">
        <v>61</v>
      </c>
      <c r="C25" s="13"/>
      <c r="D25" s="13">
        <v>0.23</v>
      </c>
      <c r="E25" s="13">
        <v>0.23</v>
      </c>
      <c r="F25" s="13">
        <v>0.27</v>
      </c>
      <c r="G25" s="46">
        <f t="shared" si="2"/>
        <v>0.46</v>
      </c>
      <c r="H25" s="47"/>
      <c r="I25" s="57">
        <v>1.0109999999999999</v>
      </c>
      <c r="J25" s="57"/>
      <c r="K25" s="49">
        <f t="shared" si="3"/>
        <v>0.46510000000000001</v>
      </c>
      <c r="L25" s="50">
        <f t="shared" si="4"/>
        <v>1802</v>
      </c>
      <c r="N25" s="51">
        <v>5310</v>
      </c>
      <c r="O25" s="52">
        <v>300</v>
      </c>
      <c r="P25" s="53"/>
      <c r="Q25" s="54"/>
      <c r="V25" s="623" t="s">
        <v>61</v>
      </c>
      <c r="W25" s="623"/>
      <c r="X25" s="618">
        <f>IF('3392'!K$84=1,'3392'!G25,0)</f>
        <v>0</v>
      </c>
      <c r="Y25" s="618"/>
      <c r="Z25" s="624">
        <v>1</v>
      </c>
      <c r="AA25" s="624"/>
      <c r="AB25" s="55">
        <f t="shared" si="0"/>
        <v>0</v>
      </c>
      <c r="AC25" s="56">
        <f t="shared" si="1"/>
        <v>0</v>
      </c>
      <c r="AD25" s="9"/>
    </row>
    <row r="26" spans="1:30" ht="20.25" customHeight="1" thickBot="1" x14ac:dyDescent="0.3">
      <c r="B26" s="62" t="s">
        <v>62</v>
      </c>
      <c r="C26" s="62"/>
      <c r="D26" s="63">
        <f t="shared" ref="D26:E26" si="5">SUM(D10:D25)</f>
        <v>350.79</v>
      </c>
      <c r="E26" s="63">
        <f t="shared" si="5"/>
        <v>333.48</v>
      </c>
      <c r="F26" s="63"/>
      <c r="G26" s="63">
        <f>SUM(G10:G25)</f>
        <v>684.27</v>
      </c>
      <c r="H26" s="64"/>
      <c r="I26" s="64"/>
      <c r="J26" s="65"/>
      <c r="K26" s="66">
        <f>SUM(K10:K25)</f>
        <v>732.72039999999981</v>
      </c>
      <c r="L26" s="67">
        <f>SUM(L10:L25)</f>
        <v>2839017</v>
      </c>
      <c r="N26" s="54"/>
      <c r="O26" s="68"/>
      <c r="P26" s="54"/>
      <c r="Q26" s="54"/>
      <c r="V26" s="625" t="s">
        <v>62</v>
      </c>
      <c r="W26" s="625"/>
      <c r="X26" s="626">
        <f>SUM(X10:X25)</f>
        <v>0</v>
      </c>
      <c r="Y26" s="626"/>
      <c r="Z26" s="627"/>
      <c r="AA26" s="628"/>
      <c r="AB26" s="69">
        <f>SUM(AB10:AB25)</f>
        <v>0</v>
      </c>
      <c r="AC26" s="70">
        <f>SUM(AC10:AC25)</f>
        <v>0</v>
      </c>
      <c r="AD26" s="9"/>
    </row>
    <row r="27" spans="1:30" ht="51.75" customHeight="1" x14ac:dyDescent="0.25">
      <c r="B27" s="62" t="s">
        <v>63</v>
      </c>
      <c r="C27" s="62"/>
      <c r="D27" s="71" t="s">
        <v>13</v>
      </c>
      <c r="E27" s="71" t="s">
        <v>14</v>
      </c>
      <c r="F27" s="27"/>
      <c r="G27" s="72" t="s">
        <v>64</v>
      </c>
      <c r="H27" s="73"/>
      <c r="I27" s="74" t="s">
        <v>65</v>
      </c>
      <c r="J27" s="74" t="s">
        <v>66</v>
      </c>
      <c r="K27" s="75" t="s">
        <v>67</v>
      </c>
      <c r="N27" s="54"/>
      <c r="O27" s="68"/>
      <c r="P27" s="54"/>
      <c r="Q27" s="54"/>
      <c r="V27" s="629" t="s">
        <v>63</v>
      </c>
      <c r="W27" s="629"/>
      <c r="X27" s="630" t="s">
        <v>64</v>
      </c>
      <c r="Y27" s="630"/>
      <c r="Z27" s="76" t="s">
        <v>65</v>
      </c>
      <c r="AA27" s="77" t="s">
        <v>66</v>
      </c>
      <c r="AB27" s="78" t="s">
        <v>67</v>
      </c>
      <c r="AC27" s="9"/>
      <c r="AD27" s="9"/>
    </row>
    <row r="28" spans="1:30" ht="15.75" customHeight="1" x14ac:dyDescent="0.25">
      <c r="A28" s="1" t="s">
        <v>68</v>
      </c>
      <c r="B28" s="631" t="s">
        <v>69</v>
      </c>
      <c r="C28" s="632"/>
      <c r="D28" s="13">
        <v>10.02</v>
      </c>
      <c r="E28" s="13">
        <v>9.5299999999999994</v>
      </c>
      <c r="F28" s="79">
        <v>19</v>
      </c>
      <c r="G28" s="46">
        <f t="shared" ref="G28:G36" si="6">D28+E28</f>
        <v>19.549999999999997</v>
      </c>
      <c r="H28" s="80"/>
      <c r="I28" s="81" t="s">
        <v>70</v>
      </c>
      <c r="J28" s="82">
        <v>251</v>
      </c>
      <c r="K28" s="83">
        <v>1047</v>
      </c>
      <c r="L28" s="84">
        <f>ROUND(G28*K28,0)</f>
        <v>20469</v>
      </c>
      <c r="N28" s="85">
        <v>5101</v>
      </c>
      <c r="O28" s="54">
        <v>251</v>
      </c>
      <c r="P28" s="86"/>
      <c r="Q28" s="87"/>
      <c r="V28" s="637" t="s">
        <v>69</v>
      </c>
      <c r="W28" s="637"/>
      <c r="X28" s="638"/>
      <c r="Y28" s="638"/>
      <c r="Z28" s="88" t="s">
        <v>70</v>
      </c>
      <c r="AA28" s="89">
        <v>251</v>
      </c>
      <c r="AB28" s="90">
        <f>+K28</f>
        <v>1047</v>
      </c>
      <c r="AC28" s="91">
        <f t="shared" ref="AC28:AC36" si="7">ROUND(X28*AB28,0)</f>
        <v>0</v>
      </c>
      <c r="AD28" s="9"/>
    </row>
    <row r="29" spans="1:30" x14ac:dyDescent="0.25">
      <c r="A29" s="1" t="s">
        <v>71</v>
      </c>
      <c r="B29" s="633"/>
      <c r="C29" s="634"/>
      <c r="D29" s="13">
        <v>2.06</v>
      </c>
      <c r="E29" s="13">
        <v>1.56</v>
      </c>
      <c r="F29" s="92">
        <v>1</v>
      </c>
      <c r="G29" s="46">
        <f t="shared" si="6"/>
        <v>3.62</v>
      </c>
      <c r="H29" s="80"/>
      <c r="I29" s="82" t="s">
        <v>70</v>
      </c>
      <c r="J29" s="82">
        <v>252</v>
      </c>
      <c r="K29" s="83">
        <v>3380</v>
      </c>
      <c r="L29" s="84">
        <f t="shared" ref="L29:L36" si="8">ROUND(G29*K29,0)</f>
        <v>12236</v>
      </c>
      <c r="N29" s="85">
        <v>5101</v>
      </c>
      <c r="O29" s="54">
        <v>252</v>
      </c>
      <c r="P29" s="86"/>
      <c r="Q29" s="87"/>
      <c r="V29" s="637"/>
      <c r="W29" s="637"/>
      <c r="X29" s="638"/>
      <c r="Y29" s="638"/>
      <c r="Z29" s="89" t="s">
        <v>70</v>
      </c>
      <c r="AA29" s="89">
        <v>252</v>
      </c>
      <c r="AB29" s="90">
        <f t="shared" ref="AB29:AB36" si="9">+K29</f>
        <v>3380</v>
      </c>
      <c r="AC29" s="91">
        <f t="shared" si="7"/>
        <v>0</v>
      </c>
      <c r="AD29" s="9"/>
    </row>
    <row r="30" spans="1:30" x14ac:dyDescent="0.25">
      <c r="A30" s="1" t="s">
        <v>72</v>
      </c>
      <c r="B30" s="633"/>
      <c r="C30" s="634"/>
      <c r="D30" s="13">
        <v>0</v>
      </c>
      <c r="E30" s="13">
        <v>0</v>
      </c>
      <c r="F30" s="92">
        <v>0.5</v>
      </c>
      <c r="G30" s="46">
        <f t="shared" si="6"/>
        <v>0</v>
      </c>
      <c r="H30" s="80"/>
      <c r="I30" s="82" t="s">
        <v>70</v>
      </c>
      <c r="J30" s="82">
        <v>253</v>
      </c>
      <c r="K30" s="83">
        <v>6896</v>
      </c>
      <c r="L30" s="84">
        <f t="shared" si="8"/>
        <v>0</v>
      </c>
      <c r="N30" s="85">
        <v>5101</v>
      </c>
      <c r="O30" s="54">
        <v>253</v>
      </c>
      <c r="P30" s="86"/>
      <c r="Q30" s="68"/>
      <c r="V30" s="637"/>
      <c r="W30" s="637"/>
      <c r="X30" s="638"/>
      <c r="Y30" s="638"/>
      <c r="Z30" s="89" t="s">
        <v>70</v>
      </c>
      <c r="AA30" s="89">
        <v>253</v>
      </c>
      <c r="AB30" s="90">
        <f t="shared" si="9"/>
        <v>6896</v>
      </c>
      <c r="AC30" s="91">
        <f t="shared" si="7"/>
        <v>0</v>
      </c>
      <c r="AD30" s="9"/>
    </row>
    <row r="31" spans="1:30" x14ac:dyDescent="0.25">
      <c r="A31" s="1" t="s">
        <v>73</v>
      </c>
      <c r="B31" s="633"/>
      <c r="C31" s="634"/>
      <c r="D31" s="13">
        <v>27.36</v>
      </c>
      <c r="E31" s="13">
        <v>23.64</v>
      </c>
      <c r="F31" s="92">
        <v>28.5</v>
      </c>
      <c r="G31" s="46">
        <f t="shared" si="6"/>
        <v>51</v>
      </c>
      <c r="H31" s="80"/>
      <c r="I31" s="93" t="s">
        <v>74</v>
      </c>
      <c r="J31" s="82">
        <v>251</v>
      </c>
      <c r="K31" s="83">
        <v>1173</v>
      </c>
      <c r="L31" s="84">
        <f t="shared" si="8"/>
        <v>59823</v>
      </c>
      <c r="N31" s="85">
        <v>5102</v>
      </c>
      <c r="O31" s="54">
        <v>251</v>
      </c>
      <c r="P31" s="86"/>
      <c r="Q31" s="68"/>
      <c r="V31" s="637"/>
      <c r="W31" s="637"/>
      <c r="X31" s="638"/>
      <c r="Y31" s="638"/>
      <c r="Z31" s="94" t="s">
        <v>74</v>
      </c>
      <c r="AA31" s="89">
        <v>251</v>
      </c>
      <c r="AB31" s="90">
        <f t="shared" si="9"/>
        <v>1173</v>
      </c>
      <c r="AC31" s="91">
        <f t="shared" si="7"/>
        <v>0</v>
      </c>
      <c r="AD31" s="9"/>
    </row>
    <row r="32" spans="1:30" x14ac:dyDescent="0.25">
      <c r="A32" s="1" t="s">
        <v>75</v>
      </c>
      <c r="B32" s="633"/>
      <c r="C32" s="634"/>
      <c r="D32" s="13">
        <v>0</v>
      </c>
      <c r="E32" s="13">
        <v>0</v>
      </c>
      <c r="F32" s="92">
        <v>0.5</v>
      </c>
      <c r="G32" s="46">
        <f t="shared" si="6"/>
        <v>0</v>
      </c>
      <c r="H32" s="80"/>
      <c r="I32" s="93" t="s">
        <v>74</v>
      </c>
      <c r="J32" s="82">
        <v>252</v>
      </c>
      <c r="K32" s="83">
        <v>3506</v>
      </c>
      <c r="L32" s="84">
        <f t="shared" si="8"/>
        <v>0</v>
      </c>
      <c r="N32" s="85">
        <v>5102</v>
      </c>
      <c r="O32" s="54">
        <v>252</v>
      </c>
      <c r="P32" s="86"/>
      <c r="Q32" s="54"/>
      <c r="V32" s="637"/>
      <c r="W32" s="637"/>
      <c r="X32" s="638"/>
      <c r="Y32" s="638"/>
      <c r="Z32" s="94" t="s">
        <v>74</v>
      </c>
      <c r="AA32" s="89">
        <v>252</v>
      </c>
      <c r="AB32" s="90">
        <f t="shared" si="9"/>
        <v>3506</v>
      </c>
      <c r="AC32" s="91">
        <f t="shared" si="7"/>
        <v>0</v>
      </c>
      <c r="AD32" s="9"/>
    </row>
    <row r="33" spans="1:30" x14ac:dyDescent="0.25">
      <c r="A33" s="1" t="s">
        <v>76</v>
      </c>
      <c r="B33" s="633"/>
      <c r="C33" s="634"/>
      <c r="D33" s="13">
        <v>0</v>
      </c>
      <c r="E33" s="13">
        <v>0</v>
      </c>
      <c r="F33" s="92">
        <v>0</v>
      </c>
      <c r="G33" s="46">
        <f t="shared" si="6"/>
        <v>0</v>
      </c>
      <c r="H33" s="80"/>
      <c r="I33" s="93" t="s">
        <v>74</v>
      </c>
      <c r="J33" s="82">
        <v>253</v>
      </c>
      <c r="K33" s="83">
        <v>7023</v>
      </c>
      <c r="L33" s="84">
        <f t="shared" si="8"/>
        <v>0</v>
      </c>
      <c r="N33" s="85">
        <v>5102</v>
      </c>
      <c r="O33" s="54">
        <v>253</v>
      </c>
      <c r="P33" s="86"/>
      <c r="Q33" s="87"/>
      <c r="V33" s="637"/>
      <c r="W33" s="637"/>
      <c r="X33" s="638"/>
      <c r="Y33" s="638"/>
      <c r="Z33" s="94" t="s">
        <v>74</v>
      </c>
      <c r="AA33" s="89">
        <v>253</v>
      </c>
      <c r="AB33" s="90">
        <f t="shared" si="9"/>
        <v>7023</v>
      </c>
      <c r="AC33" s="91">
        <f t="shared" si="7"/>
        <v>0</v>
      </c>
      <c r="AD33" s="9"/>
    </row>
    <row r="34" spans="1:30" x14ac:dyDescent="0.25">
      <c r="A34" s="1" t="s">
        <v>77</v>
      </c>
      <c r="B34" s="633"/>
      <c r="C34" s="634"/>
      <c r="D34" s="13">
        <v>3.52</v>
      </c>
      <c r="E34" s="13">
        <v>3.77</v>
      </c>
      <c r="F34" s="92">
        <v>8</v>
      </c>
      <c r="G34" s="46">
        <f t="shared" si="6"/>
        <v>7.29</v>
      </c>
      <c r="H34" s="80"/>
      <c r="I34" s="93" t="s">
        <v>78</v>
      </c>
      <c r="J34" s="82">
        <v>251</v>
      </c>
      <c r="K34" s="83">
        <v>835</v>
      </c>
      <c r="L34" s="84">
        <f t="shared" si="8"/>
        <v>6087</v>
      </c>
      <c r="N34" s="85">
        <v>5103</v>
      </c>
      <c r="O34" s="54">
        <v>251</v>
      </c>
      <c r="P34" s="86"/>
      <c r="Q34" s="87"/>
      <c r="V34" s="637"/>
      <c r="W34" s="637"/>
      <c r="X34" s="638"/>
      <c r="Y34" s="638"/>
      <c r="Z34" s="94" t="s">
        <v>78</v>
      </c>
      <c r="AA34" s="89">
        <v>251</v>
      </c>
      <c r="AB34" s="90">
        <f t="shared" si="9"/>
        <v>835</v>
      </c>
      <c r="AC34" s="91">
        <f t="shared" si="7"/>
        <v>0</v>
      </c>
      <c r="AD34" s="9"/>
    </row>
    <row r="35" spans="1:30" x14ac:dyDescent="0.25">
      <c r="A35" s="1" t="s">
        <v>79</v>
      </c>
      <c r="B35" s="633"/>
      <c r="C35" s="634"/>
      <c r="D35" s="13">
        <v>0</v>
      </c>
      <c r="E35" s="13">
        <v>0</v>
      </c>
      <c r="F35" s="92">
        <v>0.5</v>
      </c>
      <c r="G35" s="46">
        <f t="shared" si="6"/>
        <v>0</v>
      </c>
      <c r="H35" s="80"/>
      <c r="I35" s="93" t="s">
        <v>78</v>
      </c>
      <c r="J35" s="82">
        <v>252</v>
      </c>
      <c r="K35" s="83">
        <v>3168</v>
      </c>
      <c r="L35" s="84">
        <f t="shared" si="8"/>
        <v>0</v>
      </c>
      <c r="N35" s="85">
        <v>5103</v>
      </c>
      <c r="O35" s="54">
        <v>252</v>
      </c>
      <c r="P35" s="86"/>
      <c r="Q35" s="95"/>
      <c r="V35" s="637"/>
      <c r="W35" s="637"/>
      <c r="X35" s="638"/>
      <c r="Y35" s="638"/>
      <c r="Z35" s="94" t="s">
        <v>78</v>
      </c>
      <c r="AA35" s="89">
        <v>252</v>
      </c>
      <c r="AB35" s="90">
        <f t="shared" si="9"/>
        <v>3168</v>
      </c>
      <c r="AC35" s="91">
        <f t="shared" si="7"/>
        <v>0</v>
      </c>
      <c r="AD35" s="9"/>
    </row>
    <row r="36" spans="1:30" ht="16.5" thickBot="1" x14ac:dyDescent="0.3">
      <c r="A36" s="1" t="s">
        <v>80</v>
      </c>
      <c r="B36" s="635"/>
      <c r="C36" s="636"/>
      <c r="D36" s="13">
        <v>0</v>
      </c>
      <c r="E36" s="13">
        <v>0</v>
      </c>
      <c r="F36" s="92">
        <v>0</v>
      </c>
      <c r="G36" s="46">
        <f t="shared" si="6"/>
        <v>0</v>
      </c>
      <c r="H36" s="80"/>
      <c r="I36" s="93" t="s">
        <v>78</v>
      </c>
      <c r="J36" s="82">
        <v>253</v>
      </c>
      <c r="K36" s="83">
        <v>6685</v>
      </c>
      <c r="L36" s="96">
        <f t="shared" si="8"/>
        <v>0</v>
      </c>
      <c r="N36" s="85">
        <v>5103</v>
      </c>
      <c r="O36" s="54">
        <v>253</v>
      </c>
      <c r="P36" s="86"/>
      <c r="Q36" s="97"/>
      <c r="V36" s="637"/>
      <c r="W36" s="637"/>
      <c r="X36" s="645"/>
      <c r="Y36" s="645"/>
      <c r="Z36" s="94" t="s">
        <v>78</v>
      </c>
      <c r="AA36" s="89">
        <v>253</v>
      </c>
      <c r="AB36" s="90">
        <f t="shared" si="9"/>
        <v>6685</v>
      </c>
      <c r="AC36" s="98">
        <f t="shared" si="7"/>
        <v>0</v>
      </c>
      <c r="AD36" s="9"/>
    </row>
    <row r="37" spans="1:30" ht="18.75" customHeight="1" x14ac:dyDescent="0.25">
      <c r="B37" s="13" t="s">
        <v>81</v>
      </c>
      <c r="C37" s="13"/>
      <c r="D37" s="63">
        <f t="shared" ref="D37:E37" si="10">SUM(D28:D36)</f>
        <v>42.96</v>
      </c>
      <c r="E37" s="63">
        <f t="shared" si="10"/>
        <v>38.500000000000007</v>
      </c>
      <c r="F37" s="63"/>
      <c r="G37" s="63">
        <f>SUM(G28:G36)</f>
        <v>81.460000000000008</v>
      </c>
      <c r="H37" s="64"/>
      <c r="I37" s="13" t="s">
        <v>82</v>
      </c>
      <c r="J37" s="13"/>
      <c r="K37" s="13"/>
      <c r="L37" s="50">
        <f>SUM(L28:L36)</f>
        <v>98615</v>
      </c>
      <c r="N37" s="54"/>
      <c r="O37" s="68"/>
      <c r="P37" s="54"/>
      <c r="Q37" s="54"/>
      <c r="V37" s="646" t="s">
        <v>81</v>
      </c>
      <c r="W37" s="646"/>
      <c r="X37" s="626">
        <f>SUM(X28:X36)</f>
        <v>0</v>
      </c>
      <c r="Y37" s="626"/>
      <c r="Z37" s="646" t="s">
        <v>82</v>
      </c>
      <c r="AA37" s="646"/>
      <c r="AB37" s="646"/>
      <c r="AC37" s="56">
        <f>SUM(AC28:AC36)</f>
        <v>0</v>
      </c>
      <c r="AD37" s="9"/>
    </row>
    <row r="38" spans="1:30" ht="30.75" customHeight="1" x14ac:dyDescent="0.25">
      <c r="B38" s="99" t="s">
        <v>83</v>
      </c>
      <c r="C38" s="99"/>
      <c r="D38" s="99"/>
      <c r="E38" s="99"/>
      <c r="F38" s="99"/>
      <c r="G38" s="99"/>
      <c r="H38" s="100"/>
      <c r="I38" s="99"/>
      <c r="J38" s="99"/>
      <c r="K38" s="99"/>
      <c r="L38" s="99"/>
      <c r="M38" s="101"/>
      <c r="N38" s="54"/>
      <c r="O38" s="68"/>
      <c r="P38" s="54"/>
      <c r="Q38" s="54"/>
      <c r="V38" s="639" t="s">
        <v>83</v>
      </c>
      <c r="W38" s="639"/>
      <c r="X38" s="639"/>
      <c r="Y38" s="639"/>
      <c r="Z38" s="639"/>
      <c r="AA38" s="639"/>
      <c r="AB38" s="639"/>
      <c r="AC38" s="639"/>
      <c r="AD38" s="102"/>
    </row>
    <row r="39" spans="1:30" ht="15.75" customHeight="1" x14ac:dyDescent="0.25">
      <c r="B39" s="103" t="s">
        <v>84</v>
      </c>
      <c r="C39" s="103"/>
      <c r="D39" s="103"/>
      <c r="E39" s="103"/>
      <c r="F39" s="103"/>
      <c r="G39" s="104">
        <v>34389540</v>
      </c>
      <c r="H39" s="104"/>
      <c r="I39" s="13" t="s">
        <v>85</v>
      </c>
      <c r="J39" s="13"/>
      <c r="K39" s="13"/>
      <c r="L39" s="13"/>
      <c r="O39" s="1"/>
      <c r="V39" s="640" t="s">
        <v>84</v>
      </c>
      <c r="W39" s="640"/>
      <c r="X39" s="641">
        <f>+G39</f>
        <v>34389540</v>
      </c>
      <c r="Y39" s="641"/>
      <c r="Z39" s="642" t="s">
        <v>85</v>
      </c>
      <c r="AA39" s="642"/>
      <c r="AB39" s="642"/>
      <c r="AC39" s="642"/>
      <c r="AD39" s="9"/>
    </row>
    <row r="40" spans="1:30" ht="15.75" customHeight="1" x14ac:dyDescent="0.25">
      <c r="B40" s="105" t="s">
        <v>86</v>
      </c>
      <c r="C40" s="105"/>
      <c r="D40" s="105"/>
      <c r="E40" s="105"/>
      <c r="F40" s="105"/>
      <c r="G40" s="106">
        <v>180284.81</v>
      </c>
      <c r="H40" s="106"/>
      <c r="I40" s="106"/>
      <c r="J40" s="106"/>
      <c r="K40" s="50">
        <f>ROUND(G39/G40,0)</f>
        <v>191</v>
      </c>
      <c r="L40" s="50">
        <f>ROUND(K40*$G$26,0)</f>
        <v>130696</v>
      </c>
      <c r="N40" s="107"/>
      <c r="O40" s="107"/>
      <c r="P40" s="107"/>
      <c r="Q40" s="107"/>
      <c r="V40" s="643" t="s">
        <v>86</v>
      </c>
      <c r="W40" s="643"/>
      <c r="X40" s="644">
        <f>+G40</f>
        <v>180284.81</v>
      </c>
      <c r="Y40" s="644"/>
      <c r="Z40" s="644"/>
      <c r="AA40" s="644"/>
      <c r="AB40" s="56">
        <f>ROUND(X39/X40,0)</f>
        <v>191</v>
      </c>
      <c r="AC40" s="56">
        <f>ROUND(AB40*$X$26,0)</f>
        <v>0</v>
      </c>
      <c r="AD40" s="9"/>
    </row>
    <row r="41" spans="1:30" ht="15.75" customHeight="1" x14ac:dyDescent="0.25">
      <c r="B41" s="108" t="s">
        <v>87</v>
      </c>
      <c r="C41" s="108"/>
      <c r="D41" s="108"/>
      <c r="E41" s="108"/>
      <c r="F41" s="108"/>
      <c r="G41" s="108"/>
      <c r="H41" s="108"/>
      <c r="I41" s="108"/>
      <c r="J41" s="108"/>
      <c r="K41" s="108"/>
      <c r="L41" s="108"/>
      <c r="N41" s="101"/>
      <c r="O41" s="109"/>
      <c r="P41" s="101"/>
      <c r="Q41" s="101"/>
      <c r="V41" s="652" t="s">
        <v>87</v>
      </c>
      <c r="W41" s="652"/>
      <c r="X41" s="652"/>
      <c r="Y41" s="652"/>
      <c r="Z41" s="652"/>
      <c r="AA41" s="652"/>
      <c r="AB41" s="652"/>
      <c r="AC41" s="652"/>
      <c r="AD41" s="9"/>
    </row>
    <row r="42" spans="1:30" ht="28.5" customHeight="1" x14ac:dyDescent="0.25">
      <c r="B42" s="99" t="s">
        <v>88</v>
      </c>
      <c r="C42" s="99"/>
      <c r="D42" s="99"/>
      <c r="E42" s="99"/>
      <c r="F42" s="99"/>
      <c r="G42" s="99"/>
      <c r="H42" s="99"/>
      <c r="I42" s="99"/>
      <c r="J42" s="99"/>
      <c r="K42" s="99"/>
      <c r="L42" s="99"/>
      <c r="M42" s="107"/>
      <c r="O42" s="1"/>
      <c r="V42" s="639" t="s">
        <v>88</v>
      </c>
      <c r="W42" s="639"/>
      <c r="X42" s="639"/>
      <c r="Y42" s="639"/>
      <c r="Z42" s="639"/>
      <c r="AA42" s="639"/>
      <c r="AB42" s="639"/>
      <c r="AC42" s="639"/>
      <c r="AD42" s="110"/>
    </row>
    <row r="43" spans="1:30" x14ac:dyDescent="0.25">
      <c r="B43" s="111" t="s">
        <v>89</v>
      </c>
      <c r="C43" s="111"/>
      <c r="D43" s="111"/>
      <c r="E43" s="111"/>
      <c r="F43" s="111"/>
      <c r="G43" s="111"/>
      <c r="H43" s="111"/>
      <c r="I43" s="111"/>
      <c r="J43" s="111"/>
      <c r="K43" s="111"/>
      <c r="L43" s="111"/>
      <c r="M43" s="112"/>
      <c r="N43" s="101"/>
      <c r="O43" s="101"/>
      <c r="P43" s="101"/>
      <c r="Q43" s="101"/>
      <c r="V43" s="653" t="s">
        <v>89</v>
      </c>
      <c r="W43" s="653"/>
      <c r="X43" s="653"/>
      <c r="Y43" s="653"/>
      <c r="Z43" s="653"/>
      <c r="AA43" s="653"/>
      <c r="AB43" s="653"/>
      <c r="AC43" s="653"/>
      <c r="AD43" s="113"/>
    </row>
    <row r="44" spans="1:30" ht="24" customHeight="1" x14ac:dyDescent="0.25">
      <c r="B44" s="62" t="s">
        <v>90</v>
      </c>
      <c r="C44" s="62"/>
      <c r="D44" s="62"/>
      <c r="E44" s="62"/>
      <c r="F44" s="62"/>
      <c r="G44" s="62"/>
      <c r="H44" s="62"/>
      <c r="I44" s="62"/>
      <c r="J44" s="62"/>
      <c r="K44" s="62"/>
      <c r="L44" s="114">
        <f>SUM(L26,L37,L40)</f>
        <v>3068328</v>
      </c>
      <c r="O44" s="1"/>
      <c r="V44" s="654" t="s">
        <v>90</v>
      </c>
      <c r="W44" s="654"/>
      <c r="X44" s="654"/>
      <c r="Y44" s="654"/>
      <c r="Z44" s="654"/>
      <c r="AA44" s="654"/>
      <c r="AB44" s="654"/>
      <c r="AC44" s="115">
        <f>SUM(AC26,AC37,AC40)</f>
        <v>0</v>
      </c>
      <c r="AD44" s="9"/>
    </row>
    <row r="45" spans="1:30" ht="30.75" customHeight="1" x14ac:dyDescent="0.25">
      <c r="B45" s="99" t="s">
        <v>91</v>
      </c>
      <c r="C45" s="99"/>
      <c r="D45" s="99"/>
      <c r="E45" s="99"/>
      <c r="F45" s="99"/>
      <c r="G45" s="99"/>
      <c r="H45" s="99"/>
      <c r="I45" s="99"/>
      <c r="J45" s="99"/>
      <c r="K45" s="99"/>
      <c r="L45" s="99"/>
      <c r="M45" s="116"/>
      <c r="O45" s="1"/>
      <c r="V45" s="639" t="s">
        <v>91</v>
      </c>
      <c r="W45" s="639"/>
      <c r="X45" s="639"/>
      <c r="Y45" s="639"/>
      <c r="Z45" s="639"/>
      <c r="AA45" s="639"/>
      <c r="AB45" s="639"/>
      <c r="AC45" s="639"/>
      <c r="AD45" s="117"/>
    </row>
    <row r="46" spans="1:30" ht="18.75" customHeight="1" x14ac:dyDescent="0.25">
      <c r="B46" s="1"/>
      <c r="C46" s="118" t="s">
        <v>92</v>
      </c>
      <c r="D46" s="118"/>
      <c r="E46" s="118"/>
      <c r="F46" s="118"/>
      <c r="G46" s="118" t="s">
        <v>93</v>
      </c>
      <c r="H46" s="119"/>
      <c r="I46" s="120" t="s">
        <v>94</v>
      </c>
      <c r="J46" s="121"/>
      <c r="K46" s="121"/>
      <c r="L46" s="121"/>
      <c r="M46" s="122"/>
      <c r="O46" s="1"/>
      <c r="V46" s="9"/>
      <c r="W46" s="123" t="s">
        <v>92</v>
      </c>
      <c r="X46" s="655" t="s">
        <v>95</v>
      </c>
      <c r="Y46" s="655"/>
      <c r="Z46" s="656" t="s">
        <v>94</v>
      </c>
      <c r="AA46" s="656"/>
      <c r="AB46" s="656"/>
      <c r="AC46" s="656"/>
      <c r="AD46" s="124"/>
    </row>
    <row r="47" spans="1:30" ht="18.75" customHeight="1" x14ac:dyDescent="0.25">
      <c r="B47" s="107" t="s">
        <v>96</v>
      </c>
      <c r="C47" s="125">
        <f>K10+K11+K16+K19+K22</f>
        <v>411.93619999999999</v>
      </c>
      <c r="D47" s="125"/>
      <c r="E47" s="125"/>
      <c r="F47" s="125"/>
      <c r="G47" s="126">
        <f>K7</f>
        <v>1.0326</v>
      </c>
      <c r="H47" s="126"/>
      <c r="I47" s="127">
        <v>1316.85</v>
      </c>
      <c r="J47" s="128" t="s">
        <v>97</v>
      </c>
      <c r="K47" s="129">
        <f>ROUND(C47*G47*I47,0)</f>
        <v>560142</v>
      </c>
      <c r="L47" s="130"/>
      <c r="O47" s="1"/>
      <c r="V47" s="110" t="s">
        <v>96</v>
      </c>
      <c r="W47" s="131">
        <f>AB10+AB11+AB16+AB19+AB22</f>
        <v>0</v>
      </c>
      <c r="X47" s="647">
        <f>AB7</f>
        <v>1.0326</v>
      </c>
      <c r="Y47" s="647"/>
      <c r="Z47" s="132">
        <f>+I47</f>
        <v>1316.85</v>
      </c>
      <c r="AA47" s="133" t="s">
        <v>97</v>
      </c>
      <c r="AB47" s="134">
        <f>ROUND(W47*X47*Z47,0)</f>
        <v>0</v>
      </c>
      <c r="AC47" s="135"/>
      <c r="AD47" s="9"/>
    </row>
    <row r="48" spans="1:30" ht="18" customHeight="1" x14ac:dyDescent="0.25">
      <c r="B48" s="136" t="s">
        <v>74</v>
      </c>
      <c r="C48" s="125">
        <f>K12+K13+K17+K20+K23</f>
        <v>293.75</v>
      </c>
      <c r="D48" s="125"/>
      <c r="E48" s="125"/>
      <c r="F48" s="125"/>
      <c r="G48" s="126">
        <f>K7</f>
        <v>1.0326</v>
      </c>
      <c r="H48" s="126"/>
      <c r="I48" s="127">
        <v>898.23</v>
      </c>
      <c r="J48" s="128" t="s">
        <v>97</v>
      </c>
      <c r="K48" s="129">
        <f>ROUND(C48*G48*I48,0)</f>
        <v>272457</v>
      </c>
      <c r="L48" s="62"/>
      <c r="O48" s="1"/>
      <c r="V48" s="137" t="s">
        <v>74</v>
      </c>
      <c r="W48" s="131">
        <f>AB12+AB13+AB17+AB20+AB23</f>
        <v>0</v>
      </c>
      <c r="X48" s="647">
        <f>AB7</f>
        <v>1.0326</v>
      </c>
      <c r="Y48" s="647"/>
      <c r="Z48" s="132">
        <f>+I48</f>
        <v>898.23</v>
      </c>
      <c r="AA48" s="133" t="s">
        <v>97</v>
      </c>
      <c r="AB48" s="134">
        <f>ROUND(W48*X48*Z48,0)</f>
        <v>0</v>
      </c>
      <c r="AC48" s="138"/>
      <c r="AD48" s="9"/>
    </row>
    <row r="49" spans="2:30" ht="19.5" customHeight="1" thickBot="1" x14ac:dyDescent="0.3">
      <c r="B49" s="139" t="s">
        <v>78</v>
      </c>
      <c r="C49" s="140">
        <f>K14+K15+K18+K21+K24+K25</f>
        <v>27.034199999999998</v>
      </c>
      <c r="D49" s="125"/>
      <c r="E49" s="125"/>
      <c r="F49" s="125"/>
      <c r="G49" s="126">
        <f>K7</f>
        <v>1.0326</v>
      </c>
      <c r="H49" s="126"/>
      <c r="I49" s="127">
        <v>900.39</v>
      </c>
      <c r="J49" s="128" t="s">
        <v>97</v>
      </c>
      <c r="K49" s="129">
        <f>ROUND(C49*G49*I49,0)</f>
        <v>25135</v>
      </c>
      <c r="L49" s="62"/>
      <c r="M49" s="112"/>
      <c r="N49" s="141"/>
      <c r="O49" s="142"/>
      <c r="P49" s="101"/>
      <c r="Q49" s="143"/>
      <c r="V49" s="144" t="s">
        <v>78</v>
      </c>
      <c r="W49" s="145">
        <f>AB14+AB15+AB18+AB21+AB24+AB25</f>
        <v>0</v>
      </c>
      <c r="X49" s="647">
        <f>AB7</f>
        <v>1.0326</v>
      </c>
      <c r="Y49" s="647"/>
      <c r="Z49" s="132">
        <f>+I49</f>
        <v>900.39</v>
      </c>
      <c r="AA49" s="133" t="s">
        <v>97</v>
      </c>
      <c r="AB49" s="134">
        <f>ROUND(W49*X49*Z49,0)</f>
        <v>0</v>
      </c>
      <c r="AC49" s="138"/>
      <c r="AD49" s="113"/>
    </row>
    <row r="50" spans="2:30" ht="24" customHeight="1" thickBot="1" x14ac:dyDescent="0.3">
      <c r="B50" s="146" t="s">
        <v>98</v>
      </c>
      <c r="C50" s="147">
        <f>SUM(C47:C49)</f>
        <v>732.72039999999993</v>
      </c>
      <c r="D50" s="148"/>
      <c r="E50" s="149"/>
      <c r="F50" s="149"/>
      <c r="G50" s="150" t="s">
        <v>99</v>
      </c>
      <c r="H50" s="150"/>
      <c r="I50" s="150"/>
      <c r="J50" s="150"/>
      <c r="K50" s="150"/>
      <c r="L50" s="50">
        <f>IF(B2=75,0,K49+K48+K47)</f>
        <v>857734</v>
      </c>
      <c r="N50" s="3"/>
      <c r="O50" s="1"/>
      <c r="V50" s="151" t="s">
        <v>98</v>
      </c>
      <c r="W50" s="152">
        <f>SUM(W47:W49)</f>
        <v>0</v>
      </c>
      <c r="X50" s="648" t="s">
        <v>99</v>
      </c>
      <c r="Y50" s="649"/>
      <c r="Z50" s="649"/>
      <c r="AA50" s="649"/>
      <c r="AB50" s="649"/>
      <c r="AC50" s="56">
        <f>IF(V2=75,0,AB49+AB48+AB47)</f>
        <v>0</v>
      </c>
      <c r="AD50" s="9"/>
    </row>
    <row r="51" spans="2:30" ht="19.5" customHeight="1" x14ac:dyDescent="0.25">
      <c r="B51" s="153" t="s">
        <v>100</v>
      </c>
      <c r="C51" s="153"/>
      <c r="D51" s="153"/>
      <c r="E51" s="153"/>
      <c r="F51" s="153"/>
      <c r="G51" s="153"/>
      <c r="H51" s="153"/>
      <c r="I51" s="153"/>
      <c r="J51" s="153"/>
      <c r="K51" s="153"/>
      <c r="L51" s="153"/>
      <c r="M51" s="141"/>
      <c r="N51" s="101"/>
      <c r="O51" s="1"/>
      <c r="V51" s="650" t="s">
        <v>100</v>
      </c>
      <c r="W51" s="650"/>
      <c r="X51" s="650"/>
      <c r="Y51" s="650"/>
      <c r="Z51" s="650"/>
      <c r="AA51" s="650"/>
      <c r="AB51" s="650"/>
      <c r="AC51" s="650"/>
      <c r="AD51" s="154"/>
    </row>
    <row r="52" spans="2:30" ht="27.75" customHeight="1" x14ac:dyDescent="0.25">
      <c r="B52" s="13" t="s">
        <v>101</v>
      </c>
      <c r="C52" s="13"/>
      <c r="D52" s="13"/>
      <c r="E52" s="13"/>
      <c r="F52" s="13"/>
      <c r="G52" s="13"/>
      <c r="H52" s="13"/>
      <c r="I52" s="13"/>
      <c r="J52" s="13"/>
      <c r="K52" s="13"/>
      <c r="L52" s="13"/>
      <c r="O52" s="1"/>
      <c r="V52" s="651" t="s">
        <v>101</v>
      </c>
      <c r="W52" s="651"/>
      <c r="X52" s="651"/>
      <c r="Y52" s="651"/>
      <c r="Z52" s="651"/>
      <c r="AA52" s="651"/>
      <c r="AB52" s="651"/>
      <c r="AC52" s="651"/>
      <c r="AD52" s="9"/>
    </row>
    <row r="53" spans="2:30" x14ac:dyDescent="0.25">
      <c r="B53" s="13" t="s">
        <v>102</v>
      </c>
      <c r="C53" s="13"/>
      <c r="D53" s="13"/>
      <c r="E53" s="13"/>
      <c r="F53" s="13"/>
      <c r="G53" s="155">
        <f>K26</f>
        <v>732.72039999999981</v>
      </c>
      <c r="H53" s="57" t="s">
        <v>103</v>
      </c>
      <c r="I53" s="57"/>
      <c r="J53" s="156">
        <v>197823.77</v>
      </c>
      <c r="K53" s="156"/>
      <c r="L53" s="156"/>
      <c r="N53" s="3"/>
      <c r="O53" s="1"/>
      <c r="V53" s="657" t="s">
        <v>102</v>
      </c>
      <c r="W53" s="657"/>
      <c r="X53" s="157">
        <f>AB26</f>
        <v>0</v>
      </c>
      <c r="Y53" s="658" t="s">
        <v>103</v>
      </c>
      <c r="Z53" s="658"/>
      <c r="AA53" s="659">
        <f>+J53</f>
        <v>197823.77</v>
      </c>
      <c r="AB53" s="659"/>
      <c r="AC53" s="659"/>
      <c r="AD53" s="9"/>
    </row>
    <row r="54" spans="2:30" x14ac:dyDescent="0.25">
      <c r="B54" s="13" t="s">
        <v>104</v>
      </c>
      <c r="C54" s="13"/>
      <c r="D54" s="13"/>
      <c r="E54" s="13"/>
      <c r="F54" s="13"/>
      <c r="G54" s="13"/>
      <c r="H54" s="13"/>
      <c r="I54" s="13"/>
      <c r="J54" s="13"/>
      <c r="K54" s="158">
        <f>ROUND(G53/J53,6)</f>
        <v>3.7039999999999998E-3</v>
      </c>
      <c r="L54" s="158"/>
      <c r="N54" s="101"/>
      <c r="O54" s="1"/>
      <c r="V54" s="657" t="s">
        <v>104</v>
      </c>
      <c r="W54" s="657"/>
      <c r="X54" s="657"/>
      <c r="Y54" s="657"/>
      <c r="Z54" s="657"/>
      <c r="AA54" s="657"/>
      <c r="AB54" s="660">
        <f>ROUND(X53/AA53,6)</f>
        <v>0</v>
      </c>
      <c r="AC54" s="660"/>
      <c r="AD54" s="9"/>
    </row>
    <row r="55" spans="2:30" ht="24" customHeight="1" x14ac:dyDescent="0.25">
      <c r="B55" s="13" t="s">
        <v>105</v>
      </c>
      <c r="C55" s="13"/>
      <c r="D55" s="13"/>
      <c r="E55" s="13"/>
      <c r="F55" s="13"/>
      <c r="G55" s="13"/>
      <c r="H55" s="13"/>
      <c r="I55" s="13"/>
      <c r="J55" s="13"/>
      <c r="K55" s="13"/>
      <c r="L55" s="13"/>
      <c r="O55" s="1"/>
      <c r="V55" s="651" t="s">
        <v>105</v>
      </c>
      <c r="W55" s="651"/>
      <c r="X55" s="651"/>
      <c r="Y55" s="651"/>
      <c r="Z55" s="651"/>
      <c r="AA55" s="651"/>
      <c r="AB55" s="651"/>
      <c r="AC55" s="651"/>
      <c r="AD55" s="9"/>
    </row>
    <row r="56" spans="2:30" x14ac:dyDescent="0.25">
      <c r="B56" s="13" t="s">
        <v>106</v>
      </c>
      <c r="C56" s="13"/>
      <c r="D56" s="13"/>
      <c r="E56" s="13"/>
      <c r="F56" s="13"/>
      <c r="G56" s="159">
        <f>G26</f>
        <v>684.27</v>
      </c>
      <c r="H56" s="57" t="s">
        <v>107</v>
      </c>
      <c r="I56" s="57"/>
      <c r="J56" s="156">
        <f>+G40</f>
        <v>180284.81</v>
      </c>
      <c r="K56" s="156"/>
      <c r="L56" s="156"/>
      <c r="O56" s="1"/>
      <c r="V56" s="657" t="s">
        <v>106</v>
      </c>
      <c r="W56" s="657"/>
      <c r="X56" s="160">
        <f>X26</f>
        <v>0</v>
      </c>
      <c r="Y56" s="658" t="s">
        <v>107</v>
      </c>
      <c r="Z56" s="658"/>
      <c r="AA56" s="659">
        <f>+J56</f>
        <v>180284.81</v>
      </c>
      <c r="AB56" s="659"/>
      <c r="AC56" s="659"/>
      <c r="AD56" s="9"/>
    </row>
    <row r="57" spans="2:30" x14ac:dyDescent="0.25">
      <c r="B57" s="13" t="s">
        <v>108</v>
      </c>
      <c r="C57" s="13"/>
      <c r="D57" s="13"/>
      <c r="E57" s="13"/>
      <c r="F57" s="13"/>
      <c r="G57" s="13"/>
      <c r="H57" s="13"/>
      <c r="I57" s="13"/>
      <c r="J57" s="13"/>
      <c r="K57" s="158">
        <f>ROUND(G56/J56,6)</f>
        <v>3.7950000000000002E-3</v>
      </c>
      <c r="L57" s="158"/>
      <c r="O57" s="1"/>
      <c r="V57" s="657" t="s">
        <v>108</v>
      </c>
      <c r="W57" s="657"/>
      <c r="X57" s="657"/>
      <c r="Y57" s="657"/>
      <c r="Z57" s="657"/>
      <c r="AA57" s="657"/>
      <c r="AB57" s="660">
        <f>ROUND(X56/AA56,6)</f>
        <v>0</v>
      </c>
      <c r="AC57" s="660"/>
      <c r="AD57" s="9"/>
    </row>
    <row r="58" spans="2:30" ht="20.25" customHeight="1" x14ac:dyDescent="0.25">
      <c r="B58" s="161" t="s">
        <v>109</v>
      </c>
      <c r="C58" s="161"/>
      <c r="D58" s="161"/>
      <c r="E58" s="161"/>
      <c r="F58" s="161"/>
      <c r="G58" s="161"/>
      <c r="H58" s="161"/>
      <c r="I58" s="161"/>
      <c r="J58" s="161"/>
      <c r="K58" s="161"/>
      <c r="L58" s="161"/>
      <c r="N58" s="18"/>
      <c r="O58" s="18"/>
      <c r="V58" s="629" t="s">
        <v>110</v>
      </c>
      <c r="W58" s="629"/>
      <c r="X58" s="629"/>
      <c r="Y58" s="661">
        <f>X65+X64+X62+X61+X60</f>
        <v>4123852</v>
      </c>
      <c r="Z58" s="661"/>
      <c r="AA58" s="162" t="s">
        <v>111</v>
      </c>
      <c r="AB58" s="163">
        <f>AB54</f>
        <v>0</v>
      </c>
      <c r="AC58" s="56">
        <f>ROUND(Y58*AB58,0)</f>
        <v>0</v>
      </c>
      <c r="AD58" s="9"/>
    </row>
    <row r="59" spans="2:30" x14ac:dyDescent="0.25">
      <c r="B59" s="62" t="s">
        <v>110</v>
      </c>
      <c r="C59" s="62"/>
      <c r="D59" s="62"/>
      <c r="E59" s="62"/>
      <c r="F59" s="62"/>
      <c r="G59" s="62"/>
      <c r="H59" s="164" t="s">
        <v>22</v>
      </c>
      <c r="I59" s="129">
        <v>4123852</v>
      </c>
      <c r="J59" s="165" t="s">
        <v>111</v>
      </c>
      <c r="K59" s="166">
        <f>K54</f>
        <v>3.7039999999999998E-3</v>
      </c>
      <c r="L59" s="50">
        <f>ROUND(I59*K59,0)</f>
        <v>15275</v>
      </c>
      <c r="O59" s="1"/>
      <c r="P59" s="165"/>
      <c r="Q59" s="165"/>
      <c r="V59" s="662" t="s">
        <v>112</v>
      </c>
      <c r="W59" s="662"/>
      <c r="X59" s="662"/>
      <c r="Y59" s="662"/>
      <c r="Z59" s="662"/>
      <c r="AA59" s="662"/>
      <c r="AB59" s="662"/>
      <c r="AC59" s="662"/>
      <c r="AD59" s="9"/>
    </row>
    <row r="60" spans="2:30" x14ac:dyDescent="0.25">
      <c r="B60" s="62" t="s">
        <v>112</v>
      </c>
      <c r="C60" s="62"/>
      <c r="D60" s="62"/>
      <c r="E60" s="62"/>
      <c r="F60" s="62"/>
      <c r="G60" s="62"/>
      <c r="H60" s="62"/>
      <c r="I60" s="62"/>
      <c r="J60" s="62"/>
      <c r="K60" s="62"/>
      <c r="L60" s="62"/>
      <c r="O60" s="1"/>
      <c r="P60" s="165"/>
      <c r="Q60" s="165"/>
      <c r="V60" s="663" t="s">
        <v>113</v>
      </c>
      <c r="W60" s="663"/>
      <c r="X60" s="664">
        <f>+G61</f>
        <v>0</v>
      </c>
      <c r="Y60" s="664"/>
      <c r="Z60" s="664"/>
      <c r="AA60" s="664"/>
      <c r="AB60" s="664"/>
      <c r="AC60" s="664"/>
      <c r="AD60" s="9"/>
    </row>
    <row r="61" spans="2:30" ht="15" customHeight="1" x14ac:dyDescent="0.25">
      <c r="B61" s="167" t="s">
        <v>113</v>
      </c>
      <c r="C61" s="62"/>
      <c r="D61" s="62"/>
      <c r="E61" s="62"/>
      <c r="F61" s="62"/>
      <c r="G61" s="168">
        <v>0</v>
      </c>
      <c r="H61" s="168"/>
      <c r="I61" s="168"/>
      <c r="J61" s="168"/>
      <c r="K61" s="168"/>
      <c r="L61" s="168"/>
      <c r="O61" s="1"/>
      <c r="P61" s="165"/>
      <c r="Q61" s="165"/>
      <c r="V61" s="663" t="s">
        <v>114</v>
      </c>
      <c r="W61" s="663"/>
      <c r="X61" s="664">
        <f>+G62</f>
        <v>0</v>
      </c>
      <c r="Y61" s="664"/>
      <c r="Z61" s="664"/>
      <c r="AA61" s="664"/>
      <c r="AB61" s="664"/>
      <c r="AC61" s="664"/>
      <c r="AD61" s="9"/>
    </row>
    <row r="62" spans="2:30" ht="13.5" customHeight="1" x14ac:dyDescent="0.25">
      <c r="B62" s="167" t="s">
        <v>114</v>
      </c>
      <c r="C62" s="62"/>
      <c r="D62" s="62"/>
      <c r="E62" s="62"/>
      <c r="F62" s="62"/>
      <c r="G62" s="168">
        <v>0</v>
      </c>
      <c r="H62" s="168"/>
      <c r="I62" s="168"/>
      <c r="J62" s="168"/>
      <c r="K62" s="168"/>
      <c r="L62" s="168"/>
      <c r="N62" s="165"/>
      <c r="O62" s="165"/>
      <c r="P62" s="165"/>
      <c r="Q62" s="165"/>
      <c r="V62" s="663" t="s">
        <v>115</v>
      </c>
      <c r="W62" s="663"/>
      <c r="X62" s="664">
        <v>0</v>
      </c>
      <c r="Y62" s="664"/>
      <c r="Z62" s="664"/>
      <c r="AA62" s="664"/>
      <c r="AB62" s="664"/>
      <c r="AC62" s="664"/>
      <c r="AD62" s="9"/>
    </row>
    <row r="63" spans="2:30" ht="13.5" hidden="1" customHeight="1" x14ac:dyDescent="0.25">
      <c r="B63" s="62" t="s">
        <v>115</v>
      </c>
      <c r="C63" s="62"/>
      <c r="D63" s="62"/>
      <c r="E63" s="62"/>
      <c r="F63" s="62"/>
      <c r="G63" s="168">
        <v>0</v>
      </c>
      <c r="H63" s="168"/>
      <c r="I63" s="168"/>
      <c r="J63" s="168"/>
      <c r="K63" s="168"/>
      <c r="L63" s="168"/>
      <c r="O63" s="1"/>
      <c r="P63" s="165"/>
      <c r="Q63" s="165"/>
      <c r="V63" s="662" t="s">
        <v>116</v>
      </c>
      <c r="W63" s="662"/>
      <c r="X63" s="662"/>
      <c r="Y63" s="662"/>
      <c r="Z63" s="662"/>
      <c r="AA63" s="662"/>
      <c r="AB63" s="662"/>
      <c r="AC63" s="662"/>
      <c r="AD63" s="117"/>
    </row>
    <row r="64" spans="2:30" ht="13.5" customHeight="1" x14ac:dyDescent="0.25">
      <c r="B64" s="62" t="s">
        <v>116</v>
      </c>
      <c r="C64" s="62"/>
      <c r="D64" s="62"/>
      <c r="E64" s="62"/>
      <c r="F64" s="62"/>
      <c r="G64" s="62"/>
      <c r="H64" s="62"/>
      <c r="I64" s="62"/>
      <c r="J64" s="62"/>
      <c r="K64" s="62"/>
      <c r="L64" s="62"/>
      <c r="M64" s="116"/>
      <c r="N64" s="18"/>
      <c r="O64" s="1"/>
      <c r="V64" s="663" t="s">
        <v>117</v>
      </c>
      <c r="W64" s="663"/>
      <c r="X64" s="664">
        <f>+G65</f>
        <v>4123852</v>
      </c>
      <c r="Y64" s="664"/>
      <c r="Z64" s="664"/>
      <c r="AA64" s="664"/>
      <c r="AB64" s="664"/>
      <c r="AC64" s="664"/>
      <c r="AD64" s="9"/>
    </row>
    <row r="65" spans="1:30" ht="12.75" customHeight="1" x14ac:dyDescent="0.25">
      <c r="B65" s="167" t="s">
        <v>117</v>
      </c>
      <c r="C65" s="62"/>
      <c r="D65" s="62"/>
      <c r="E65" s="62"/>
      <c r="F65" s="62"/>
      <c r="G65" s="168">
        <f>+I59</f>
        <v>4123852</v>
      </c>
      <c r="H65" s="168"/>
      <c r="I65" s="168"/>
      <c r="J65" s="168"/>
      <c r="K65" s="168"/>
      <c r="L65" s="168"/>
      <c r="O65" s="1"/>
      <c r="V65" s="663" t="s">
        <v>118</v>
      </c>
      <c r="W65" s="663"/>
      <c r="X65" s="664">
        <f>+G66</f>
        <v>0</v>
      </c>
      <c r="Y65" s="664"/>
      <c r="Z65" s="664"/>
      <c r="AA65" s="664"/>
      <c r="AB65" s="664"/>
      <c r="AC65" s="664"/>
      <c r="AD65" s="20"/>
    </row>
    <row r="66" spans="1:30" ht="15" customHeight="1" x14ac:dyDescent="0.25">
      <c r="B66" s="167" t="s">
        <v>118</v>
      </c>
      <c r="C66" s="62"/>
      <c r="D66" s="62"/>
      <c r="E66" s="62"/>
      <c r="F66" s="62"/>
      <c r="G66" s="168">
        <v>0</v>
      </c>
      <c r="H66" s="168"/>
      <c r="I66" s="168"/>
      <c r="J66" s="168"/>
      <c r="K66" s="168"/>
      <c r="L66" s="168"/>
      <c r="M66" s="18"/>
      <c r="N66" s="3"/>
      <c r="O66" s="169"/>
      <c r="P66" s="169"/>
      <c r="Q66" s="169"/>
      <c r="V66" s="651" t="s">
        <v>119</v>
      </c>
      <c r="W66" s="651"/>
      <c r="X66" s="651"/>
      <c r="Y66" s="661">
        <f>+I67</f>
        <v>96774526</v>
      </c>
      <c r="Z66" s="661"/>
      <c r="AA66" s="162" t="s">
        <v>111</v>
      </c>
      <c r="AB66" s="163">
        <f>AB54</f>
        <v>0</v>
      </c>
      <c r="AC66" s="56">
        <f>ROUND(Y66*AB66,0)</f>
        <v>0</v>
      </c>
      <c r="AD66" s="9"/>
    </row>
    <row r="67" spans="1:30" ht="20.25" customHeight="1" x14ac:dyDescent="0.25">
      <c r="B67" s="13" t="s">
        <v>119</v>
      </c>
      <c r="C67" s="13"/>
      <c r="D67" s="13"/>
      <c r="E67" s="13"/>
      <c r="F67" s="13"/>
      <c r="H67" s="164" t="s">
        <v>25</v>
      </c>
      <c r="I67" s="129">
        <v>96774526</v>
      </c>
      <c r="J67" s="165" t="s">
        <v>111</v>
      </c>
      <c r="K67" s="166">
        <f>K54</f>
        <v>3.7039999999999998E-3</v>
      </c>
      <c r="L67" s="50">
        <f>ROUND(I67*K67,0)</f>
        <v>358453</v>
      </c>
      <c r="O67" s="1"/>
      <c r="V67" s="651" t="s">
        <v>120</v>
      </c>
      <c r="W67" s="651"/>
      <c r="X67" s="651"/>
      <c r="Y67" s="651"/>
      <c r="Z67" s="651"/>
      <c r="AA67" s="651"/>
      <c r="AB67" s="651"/>
      <c r="AC67" s="651"/>
      <c r="AD67" s="9"/>
    </row>
    <row r="68" spans="1:30" ht="20.25" customHeight="1" x14ac:dyDescent="0.25">
      <c r="B68" s="13" t="s">
        <v>120</v>
      </c>
      <c r="C68" s="13"/>
      <c r="D68" s="13"/>
      <c r="E68" s="13"/>
      <c r="F68" s="13"/>
      <c r="H68" s="13"/>
      <c r="I68" s="13"/>
      <c r="J68" s="82"/>
      <c r="K68" s="13"/>
      <c r="L68" s="13"/>
      <c r="O68" s="1"/>
      <c r="V68" s="667" t="s">
        <v>121</v>
      </c>
      <c r="W68" s="667"/>
      <c r="X68" s="667"/>
      <c r="Y68" s="661">
        <f>+I69</f>
        <v>0</v>
      </c>
      <c r="Z68" s="661"/>
      <c r="AA68" s="162" t="s">
        <v>111</v>
      </c>
      <c r="AB68" s="163">
        <f>AB57</f>
        <v>0</v>
      </c>
      <c r="AC68" s="56">
        <f>ROUND(Y68*AB68,0)</f>
        <v>0</v>
      </c>
      <c r="AD68" s="9"/>
    </row>
    <row r="69" spans="1:30" ht="15" customHeight="1" x14ac:dyDescent="0.25">
      <c r="B69" s="170" t="s">
        <v>121</v>
      </c>
      <c r="C69" s="13"/>
      <c r="D69" s="13"/>
      <c r="E69" s="13"/>
      <c r="F69" s="13"/>
      <c r="H69" s="164" t="s">
        <v>23</v>
      </c>
      <c r="I69" s="129">
        <v>0</v>
      </c>
      <c r="J69" s="165" t="s">
        <v>111</v>
      </c>
      <c r="K69" s="166">
        <f>K57</f>
        <v>3.7950000000000002E-3</v>
      </c>
      <c r="L69" s="50">
        <f>ROUND(I69*K69,0)</f>
        <v>0</v>
      </c>
      <c r="O69" s="1"/>
      <c r="V69" s="651" t="s">
        <v>122</v>
      </c>
      <c r="W69" s="651"/>
      <c r="X69" s="651"/>
      <c r="Y69" s="668">
        <f>+I70</f>
        <v>-3460775</v>
      </c>
      <c r="Z69" s="668"/>
      <c r="AA69" s="162" t="s">
        <v>111</v>
      </c>
      <c r="AB69" s="163">
        <f>AB54</f>
        <v>0</v>
      </c>
      <c r="AC69" s="56">
        <f>ROUND(Y69*AB69,0)</f>
        <v>0</v>
      </c>
      <c r="AD69" s="9"/>
    </row>
    <row r="70" spans="1:30" ht="20.25" customHeight="1" x14ac:dyDescent="0.25">
      <c r="B70" s="13" t="s">
        <v>122</v>
      </c>
      <c r="C70" s="13"/>
      <c r="D70" s="13"/>
      <c r="E70" s="13"/>
      <c r="F70" s="13"/>
      <c r="H70" s="164" t="s">
        <v>22</v>
      </c>
      <c r="I70" s="129">
        <v>-3460775</v>
      </c>
      <c r="J70" s="165" t="s">
        <v>111</v>
      </c>
      <c r="K70" s="166">
        <f>K54</f>
        <v>3.7039999999999998E-3</v>
      </c>
      <c r="L70" s="50">
        <f>ROUND(I70*K70,0)</f>
        <v>-12819</v>
      </c>
      <c r="O70" s="1"/>
      <c r="V70" s="651" t="s">
        <v>123</v>
      </c>
      <c r="W70" s="651"/>
      <c r="X70" s="651"/>
      <c r="Y70" s="665">
        <f>+I71</f>
        <v>1874788</v>
      </c>
      <c r="Z70" s="665"/>
      <c r="AA70" s="162" t="s">
        <v>111</v>
      </c>
      <c r="AB70" s="163">
        <f>AB54</f>
        <v>0</v>
      </c>
      <c r="AC70" s="56">
        <f>ROUND(Y70*AB70,0)</f>
        <v>0</v>
      </c>
      <c r="AD70" s="9"/>
    </row>
    <row r="71" spans="1:30" ht="20.25" customHeight="1" x14ac:dyDescent="0.25">
      <c r="B71" s="13" t="s">
        <v>123</v>
      </c>
      <c r="C71" s="13"/>
      <c r="D71" s="13"/>
      <c r="E71" s="13"/>
      <c r="F71" s="13"/>
      <c r="H71" s="164" t="s">
        <v>22</v>
      </c>
      <c r="I71" s="129">
        <v>1874788</v>
      </c>
      <c r="J71" s="165" t="s">
        <v>111</v>
      </c>
      <c r="K71" s="166">
        <f>K54</f>
        <v>3.7039999999999998E-3</v>
      </c>
      <c r="L71" s="50">
        <f>ROUND(I71*K71,0)</f>
        <v>6944</v>
      </c>
      <c r="O71" s="1"/>
      <c r="V71" s="651" t="s">
        <v>124</v>
      </c>
      <c r="W71" s="651"/>
      <c r="X71" s="651"/>
      <c r="Y71" s="665">
        <f>+I72</f>
        <v>14223298</v>
      </c>
      <c r="Z71" s="665"/>
      <c r="AA71" s="162" t="s">
        <v>111</v>
      </c>
      <c r="AB71" s="163">
        <f>AB57</f>
        <v>0</v>
      </c>
      <c r="AC71" s="56">
        <f>ROUND(Y71*AB71,0)</f>
        <v>0</v>
      </c>
      <c r="AD71" s="9"/>
    </row>
    <row r="72" spans="1:30" ht="21" customHeight="1" x14ac:dyDescent="0.25">
      <c r="B72" s="13" t="s">
        <v>124</v>
      </c>
      <c r="C72" s="13"/>
      <c r="D72" s="13"/>
      <c r="E72" s="13"/>
      <c r="F72" s="13"/>
      <c r="H72" s="164" t="s">
        <v>23</v>
      </c>
      <c r="I72" s="171">
        <v>14223298</v>
      </c>
      <c r="J72" s="165" t="s">
        <v>111</v>
      </c>
      <c r="K72" s="166">
        <f>K57</f>
        <v>3.7950000000000002E-3</v>
      </c>
      <c r="L72" s="50">
        <f>ROUND(I72*K72,0)</f>
        <v>53977</v>
      </c>
      <c r="O72" s="1"/>
      <c r="V72" s="623" t="s">
        <v>125</v>
      </c>
      <c r="W72" s="623"/>
      <c r="X72" s="623"/>
      <c r="Y72" s="623"/>
      <c r="Z72" s="623"/>
      <c r="AA72" s="623"/>
      <c r="AB72" s="623"/>
      <c r="AC72" s="60"/>
      <c r="AD72" s="9"/>
    </row>
    <row r="73" spans="1:30" ht="17.25" customHeight="1" x14ac:dyDescent="0.25">
      <c r="B73" s="13" t="s">
        <v>125</v>
      </c>
      <c r="C73" s="13"/>
      <c r="D73" s="13"/>
      <c r="E73" s="13"/>
      <c r="F73" s="13"/>
      <c r="H73" s="13"/>
      <c r="I73" s="13"/>
      <c r="J73" s="82"/>
      <c r="K73" s="13"/>
      <c r="L73" s="59"/>
      <c r="O73" s="1"/>
      <c r="V73" s="651" t="s">
        <v>126</v>
      </c>
      <c r="W73" s="651"/>
      <c r="X73" s="651"/>
      <c r="Y73" s="651"/>
      <c r="Z73" s="651"/>
      <c r="AA73" s="651"/>
      <c r="AB73" s="651"/>
      <c r="AC73" s="651"/>
      <c r="AD73" s="9"/>
    </row>
    <row r="74" spans="1:30" ht="31.5" x14ac:dyDescent="0.25">
      <c r="B74" s="13" t="s">
        <v>126</v>
      </c>
      <c r="C74" s="13"/>
      <c r="D74" s="27" t="s">
        <v>13</v>
      </c>
      <c r="E74" s="27" t="s">
        <v>14</v>
      </c>
      <c r="F74" s="27"/>
      <c r="H74" s="164" t="s">
        <v>26</v>
      </c>
      <c r="I74" s="172"/>
      <c r="J74" s="164"/>
      <c r="K74" s="172"/>
      <c r="L74" s="112"/>
      <c r="O74" s="1"/>
      <c r="V74" s="666" t="s">
        <v>127</v>
      </c>
      <c r="W74" s="666"/>
      <c r="X74" s="173" t="s">
        <v>128</v>
      </c>
      <c r="Y74" s="174"/>
      <c r="Z74" s="175">
        <f>+I75</f>
        <v>428</v>
      </c>
      <c r="AA74" s="176" t="s">
        <v>129</v>
      </c>
      <c r="AB74" s="177">
        <f>+K75</f>
        <v>361</v>
      </c>
      <c r="AC74" s="56">
        <f>ROUND(AB74*Z74,0)</f>
        <v>154508</v>
      </c>
      <c r="AD74" s="9"/>
    </row>
    <row r="75" spans="1:30" ht="19.5" customHeight="1" x14ac:dyDescent="0.25">
      <c r="A75" s="1" t="s">
        <v>130</v>
      </c>
      <c r="B75" s="178" t="s">
        <v>127</v>
      </c>
      <c r="C75" s="179" t="s">
        <v>128</v>
      </c>
      <c r="D75" s="178">
        <v>403</v>
      </c>
      <c r="E75" s="178">
        <v>453</v>
      </c>
      <c r="F75" s="178">
        <v>0</v>
      </c>
      <c r="G75" s="180">
        <f>IF(E75=0,D75,E75)</f>
        <v>453</v>
      </c>
      <c r="H75" s="181"/>
      <c r="I75" s="182">
        <f>AVERAGE(G75,D75)</f>
        <v>428</v>
      </c>
      <c r="J75" s="183" t="s">
        <v>129</v>
      </c>
      <c r="K75" s="184">
        <v>361</v>
      </c>
      <c r="L75" s="50">
        <f>ROUND(K75*I75,0)</f>
        <v>154508</v>
      </c>
      <c r="N75" s="1">
        <v>7802</v>
      </c>
      <c r="O75" s="1">
        <v>0</v>
      </c>
      <c r="V75" s="666" t="s">
        <v>127</v>
      </c>
      <c r="W75" s="666"/>
      <c r="X75" s="173" t="s">
        <v>131</v>
      </c>
      <c r="Y75" s="185"/>
      <c r="Z75" s="186">
        <f>+I76</f>
        <v>4</v>
      </c>
      <c r="AA75" s="176" t="s">
        <v>129</v>
      </c>
      <c r="AB75" s="187">
        <f>+K76</f>
        <v>1358</v>
      </c>
      <c r="AC75" s="56">
        <f>ROUND(AB75*Z75,0)</f>
        <v>5432</v>
      </c>
      <c r="AD75" s="9"/>
    </row>
    <row r="76" spans="1:30" ht="19.5" customHeight="1" x14ac:dyDescent="0.25">
      <c r="A76" s="1" t="s">
        <v>132</v>
      </c>
      <c r="B76" s="178" t="s">
        <v>127</v>
      </c>
      <c r="C76" s="179" t="s">
        <v>131</v>
      </c>
      <c r="D76" s="178">
        <v>5</v>
      </c>
      <c r="E76" s="178">
        <v>3</v>
      </c>
      <c r="F76" s="178">
        <v>0</v>
      </c>
      <c r="G76" s="180">
        <f>IF(E76=0,D76,E76)</f>
        <v>3</v>
      </c>
      <c r="H76" s="181"/>
      <c r="I76" s="182">
        <f>AVERAGE(G76,D76)</f>
        <v>4</v>
      </c>
      <c r="J76" s="183" t="s">
        <v>129</v>
      </c>
      <c r="K76" s="188">
        <v>1358</v>
      </c>
      <c r="L76" s="50">
        <f>ROUND(K76*I76,0)</f>
        <v>5432</v>
      </c>
      <c r="N76" s="1">
        <v>7802</v>
      </c>
      <c r="O76" s="1">
        <v>110</v>
      </c>
      <c r="V76" s="651" t="s">
        <v>133</v>
      </c>
      <c r="W76" s="651"/>
      <c r="X76" s="651"/>
      <c r="Y76" s="661">
        <f>+I77</f>
        <v>33305823</v>
      </c>
      <c r="Z76" s="661"/>
      <c r="AA76" s="176" t="s">
        <v>129</v>
      </c>
      <c r="AB76" s="163">
        <f>AB54</f>
        <v>0</v>
      </c>
      <c r="AC76" s="56">
        <f>ROUND(Y76*AB76,0)</f>
        <v>0</v>
      </c>
      <c r="AD76" s="9"/>
    </row>
    <row r="77" spans="1:30" ht="26.25" customHeight="1" x14ac:dyDescent="0.25">
      <c r="B77" s="13" t="s">
        <v>133</v>
      </c>
      <c r="C77" s="13"/>
      <c r="D77" s="13"/>
      <c r="E77" s="13"/>
      <c r="F77" s="13"/>
      <c r="H77" s="164" t="s">
        <v>134</v>
      </c>
      <c r="I77" s="189">
        <v>33305823</v>
      </c>
      <c r="J77" s="165" t="s">
        <v>111</v>
      </c>
      <c r="K77" s="166">
        <f>K54</f>
        <v>3.7039999999999998E-3</v>
      </c>
      <c r="L77" s="50">
        <f>ROUND(I77*K77,0)</f>
        <v>123365</v>
      </c>
      <c r="O77" s="1"/>
      <c r="V77" s="651" t="str">
        <f>+B78</f>
        <v>15.  Additional Allocation (WFTE share)</v>
      </c>
      <c r="W77" s="651"/>
      <c r="X77" s="651"/>
      <c r="Y77" s="661">
        <f>+I78</f>
        <v>680688</v>
      </c>
      <c r="Z77" s="661"/>
      <c r="AA77" s="176" t="s">
        <v>129</v>
      </c>
      <c r="AB77" s="163">
        <f>AB54</f>
        <v>0</v>
      </c>
      <c r="AC77" s="56">
        <f>ROUND(Y77*AB77,0)</f>
        <v>0</v>
      </c>
      <c r="AD77" s="9"/>
    </row>
    <row r="78" spans="1:30" ht="26.25" customHeight="1" x14ac:dyDescent="0.25">
      <c r="B78" s="669" t="s">
        <v>135</v>
      </c>
      <c r="C78" s="669"/>
      <c r="D78" s="669"/>
      <c r="E78" s="13"/>
      <c r="F78" s="13"/>
      <c r="H78" s="164" t="s">
        <v>136</v>
      </c>
      <c r="I78" s="190">
        <v>680688</v>
      </c>
      <c r="J78" s="165" t="s">
        <v>111</v>
      </c>
      <c r="K78" s="166">
        <f>K54</f>
        <v>3.7039999999999998E-3</v>
      </c>
      <c r="L78" s="50">
        <f>ROUND(I78*K78,0)</f>
        <v>2521</v>
      </c>
      <c r="O78" s="1"/>
      <c r="V78" s="651" t="str">
        <f t="shared" ref="V78:V79" si="11">+B79</f>
        <v>16.  Florida Teachers Lead Program Stipend</v>
      </c>
      <c r="W78" s="651"/>
      <c r="X78" s="651"/>
      <c r="Y78" s="191"/>
      <c r="Z78" s="191"/>
      <c r="AA78" s="191"/>
      <c r="AB78" s="191"/>
      <c r="AC78" s="134"/>
      <c r="AD78" s="9"/>
    </row>
    <row r="79" spans="1:30" ht="21" customHeight="1" x14ac:dyDescent="0.25">
      <c r="B79" s="669" t="s">
        <v>137</v>
      </c>
      <c r="C79" s="669"/>
      <c r="D79" s="669"/>
      <c r="E79" s="13"/>
      <c r="F79" s="13"/>
      <c r="H79" s="164"/>
      <c r="I79" s="172"/>
      <c r="J79" s="172"/>
      <c r="K79" s="172"/>
      <c r="L79" s="129"/>
      <c r="N79" s="192"/>
      <c r="O79" s="1"/>
      <c r="Q79" s="164"/>
      <c r="V79" s="651" t="str">
        <f t="shared" si="11"/>
        <v>17.  Food Service Allocation</v>
      </c>
      <c r="W79" s="651"/>
      <c r="X79" s="651"/>
      <c r="Y79" s="191"/>
      <c r="Z79" s="191"/>
      <c r="AA79" s="191"/>
      <c r="AB79" s="191"/>
      <c r="AC79" s="193"/>
      <c r="AD79" s="9"/>
    </row>
    <row r="80" spans="1:30" ht="21" customHeight="1" x14ac:dyDescent="0.25">
      <c r="B80" s="669" t="s">
        <v>138</v>
      </c>
      <c r="C80" s="669"/>
      <c r="D80" s="669"/>
      <c r="E80" s="13"/>
      <c r="F80" s="13"/>
      <c r="H80" s="194" t="s">
        <v>139</v>
      </c>
      <c r="I80" s="195"/>
      <c r="J80" s="195"/>
      <c r="K80" s="195"/>
      <c r="L80" s="196"/>
      <c r="N80" s="197"/>
      <c r="O80" s="1"/>
      <c r="Q80" s="164"/>
      <c r="V80" s="191"/>
      <c r="W80" s="191"/>
      <c r="X80" s="191"/>
      <c r="Y80" s="191"/>
      <c r="Z80" s="191"/>
      <c r="AA80" s="191"/>
      <c r="AB80" s="191"/>
      <c r="AC80" s="193"/>
      <c r="AD80" s="9"/>
    </row>
    <row r="81" spans="1:30" ht="21" customHeight="1" thickBot="1" x14ac:dyDescent="0.3">
      <c r="B81" s="13"/>
      <c r="C81" s="13"/>
      <c r="D81" s="13"/>
      <c r="E81" s="13"/>
      <c r="F81" s="13"/>
      <c r="G81" s="13"/>
      <c r="H81" s="13"/>
      <c r="I81" s="13"/>
      <c r="J81" s="13"/>
      <c r="K81" s="13"/>
      <c r="L81" s="196"/>
      <c r="M81" s="198"/>
      <c r="N81" s="197"/>
      <c r="O81" s="1"/>
      <c r="Q81" s="164"/>
      <c r="V81" s="191" t="s">
        <v>140</v>
      </c>
      <c r="W81" s="191"/>
      <c r="X81" s="191"/>
      <c r="Y81" s="191"/>
      <c r="Z81" s="191"/>
      <c r="AA81" s="191"/>
      <c r="AB81" s="191"/>
      <c r="AC81" s="199">
        <f>SUM(AC44:AC80)</f>
        <v>159940</v>
      </c>
      <c r="AD81" s="200"/>
    </row>
    <row r="82" spans="1:30" ht="22.5" customHeight="1" thickTop="1" thickBot="1" x14ac:dyDescent="0.3">
      <c r="B82" s="13" t="s">
        <v>141</v>
      </c>
      <c r="C82" s="13"/>
      <c r="D82" s="13"/>
      <c r="E82" s="13"/>
      <c r="F82" s="13"/>
      <c r="G82" s="13"/>
      <c r="H82" s="13"/>
      <c r="I82" s="13"/>
      <c r="J82" s="13"/>
      <c r="K82" s="13"/>
      <c r="L82" s="201">
        <f>SUM(L44:L81)</f>
        <v>4633718</v>
      </c>
      <c r="M82" s="202"/>
      <c r="N82" s="203"/>
      <c r="O82" s="1"/>
      <c r="Q82" s="164"/>
      <c r="V82" s="191"/>
      <c r="W82" s="191"/>
      <c r="X82" s="191"/>
      <c r="Y82" s="191"/>
      <c r="Z82" s="191"/>
      <c r="AA82" s="191"/>
      <c r="AB82" s="191"/>
      <c r="AC82" s="204"/>
      <c r="AD82" s="200"/>
    </row>
    <row r="83" spans="1:30" ht="27.75" customHeight="1" thickTop="1" x14ac:dyDescent="0.25">
      <c r="B83" s="13" t="s">
        <v>142</v>
      </c>
      <c r="C83" s="13"/>
      <c r="D83" s="13"/>
      <c r="E83" s="13"/>
      <c r="F83" s="13"/>
      <c r="G83" s="13"/>
      <c r="H83" s="13"/>
      <c r="I83" s="13"/>
      <c r="J83" s="13"/>
      <c r="K83" s="82" t="s">
        <v>143</v>
      </c>
      <c r="L83" s="205" t="s">
        <v>144</v>
      </c>
      <c r="M83" s="202"/>
      <c r="N83" s="203"/>
      <c r="O83" s="1"/>
      <c r="Q83" s="164"/>
      <c r="V83" s="9" t="s">
        <v>145</v>
      </c>
      <c r="W83" s="9"/>
      <c r="X83" s="9"/>
      <c r="Y83" s="9"/>
      <c r="Z83" s="9"/>
      <c r="AA83" s="9"/>
      <c r="AB83" s="9"/>
      <c r="AC83" s="9"/>
      <c r="AD83" s="206"/>
    </row>
    <row r="84" spans="1:30" ht="18.75" customHeight="1" thickBot="1" x14ac:dyDescent="0.3">
      <c r="B84" s="13" t="s">
        <v>146</v>
      </c>
      <c r="C84" s="13"/>
      <c r="D84" s="13"/>
      <c r="E84" s="13"/>
      <c r="F84" s="13"/>
      <c r="G84" s="13"/>
      <c r="H84" s="13"/>
      <c r="I84" s="13"/>
      <c r="J84" s="13"/>
      <c r="K84" s="207" t="str">
        <f>IF(G26=0,"",IF((G11+G13+SUM(G15:G21))/G26&gt;0.75,1,""))</f>
        <v/>
      </c>
      <c r="L84" s="201">
        <f>'3392'!AC81</f>
        <v>159940</v>
      </c>
      <c r="M84" s="202"/>
      <c r="N84" s="203"/>
      <c r="O84" s="1"/>
      <c r="Q84" s="164"/>
      <c r="V84" s="208" t="s">
        <v>147</v>
      </c>
      <c r="W84" s="208"/>
      <c r="X84" s="208"/>
      <c r="Y84" s="208"/>
      <c r="Z84" s="208"/>
      <c r="AA84" s="208"/>
      <c r="AB84" s="208"/>
      <c r="AC84" s="208"/>
      <c r="AD84" s="9"/>
    </row>
    <row r="85" spans="1:30" ht="18.75" customHeight="1" thickTop="1" x14ac:dyDescent="0.25">
      <c r="B85" s="13"/>
      <c r="C85" s="13"/>
      <c r="D85" s="13"/>
      <c r="E85" s="13"/>
      <c r="F85" s="13"/>
      <c r="G85" s="13"/>
      <c r="H85" s="13"/>
      <c r="I85" s="13"/>
      <c r="J85" s="13"/>
      <c r="M85" s="202"/>
      <c r="N85" s="203"/>
      <c r="O85" s="1"/>
      <c r="Q85" s="164"/>
      <c r="V85" s="208" t="s">
        <v>148</v>
      </c>
      <c r="W85" s="208"/>
      <c r="X85" s="208"/>
      <c r="Y85" s="208"/>
      <c r="Z85" s="208"/>
      <c r="AA85" s="208"/>
      <c r="AB85" s="208"/>
      <c r="AC85" s="208"/>
      <c r="AD85" s="206"/>
    </row>
    <row r="86" spans="1:30" ht="18.75" customHeight="1" x14ac:dyDescent="0.25">
      <c r="B86" s="2" t="s">
        <v>149</v>
      </c>
      <c r="C86" s="13"/>
      <c r="D86" s="13"/>
      <c r="E86" s="13"/>
      <c r="F86" s="13"/>
      <c r="G86" s="13"/>
      <c r="H86" s="13"/>
      <c r="I86" s="13"/>
      <c r="J86" s="209" t="s">
        <v>150</v>
      </c>
      <c r="K86" s="210">
        <f>IF(K84=1,L84,L82)</f>
        <v>4633718</v>
      </c>
      <c r="L86" s="211">
        <f>IF(G26=0,0,IF(G26&gt;250,-(((250/G26)*K86)*IF(M86="H",0.02,0.05)),IF(M86="H",-0.02*K86,-0.05*K86)))</f>
        <v>-84647.10567466059</v>
      </c>
      <c r="M86" s="212" t="str">
        <f>IF(B123="2801","H",IF(B123="2911","H",IF(B123="3382","H"," ")))</f>
        <v xml:space="preserve"> </v>
      </c>
      <c r="N86" s="203"/>
      <c r="O86" s="1"/>
      <c r="Q86" s="164"/>
      <c r="V86" s="208" t="s">
        <v>151</v>
      </c>
      <c r="W86" s="208"/>
      <c r="X86" s="208"/>
      <c r="Y86" s="208"/>
      <c r="Z86" s="208"/>
      <c r="AA86" s="208"/>
      <c r="AB86" s="208"/>
      <c r="AC86" s="208"/>
      <c r="AD86" s="206"/>
    </row>
    <row r="87" spans="1:30" ht="18.75" customHeight="1" x14ac:dyDescent="0.25">
      <c r="B87" s="2" t="s">
        <v>152</v>
      </c>
      <c r="C87" s="13"/>
      <c r="D87" s="13"/>
      <c r="E87" s="13"/>
      <c r="F87" s="13"/>
      <c r="G87" s="13"/>
      <c r="H87" s="13"/>
      <c r="I87" s="13"/>
      <c r="J87" s="13"/>
      <c r="K87" s="213"/>
      <c r="L87" s="205">
        <f>L82+L86</f>
        <v>4549070.8943253392</v>
      </c>
      <c r="M87" s="202"/>
      <c r="N87" s="203"/>
      <c r="O87" s="1"/>
      <c r="Q87" s="164"/>
      <c r="V87" s="198"/>
      <c r="W87" s="198"/>
      <c r="X87" s="198"/>
      <c r="Y87" s="198"/>
      <c r="Z87" s="198"/>
      <c r="AA87" s="198"/>
      <c r="AB87" s="198"/>
      <c r="AC87" s="198"/>
      <c r="AD87" s="214"/>
    </row>
    <row r="88" spans="1:30" x14ac:dyDescent="0.25">
      <c r="V88" s="198"/>
      <c r="W88" s="198"/>
      <c r="X88" s="198"/>
      <c r="Y88" s="198"/>
      <c r="Z88" s="198"/>
      <c r="AA88" s="198"/>
      <c r="AB88" s="198"/>
      <c r="AC88" s="198"/>
      <c r="AD88" s="215"/>
    </row>
    <row r="89" spans="1:30" ht="18.75" customHeight="1" x14ac:dyDescent="0.25">
      <c r="A89" s="1" t="s">
        <v>153</v>
      </c>
      <c r="B89" s="13" t="s">
        <v>154</v>
      </c>
      <c r="C89" s="13"/>
      <c r="D89" s="13">
        <v>2366412</v>
      </c>
      <c r="E89" s="13">
        <v>375166</v>
      </c>
      <c r="F89" s="13">
        <v>3866722</v>
      </c>
      <c r="G89" s="13"/>
      <c r="H89" s="13"/>
      <c r="I89" s="13"/>
      <c r="J89" s="13"/>
      <c r="K89" s="213"/>
      <c r="L89" s="84">
        <f>-F89-350301</f>
        <v>-4217023</v>
      </c>
      <c r="M89" s="202"/>
      <c r="N89" s="203"/>
      <c r="O89" s="1"/>
      <c r="Q89" s="164"/>
      <c r="V89" s="198">
        <v>2801</v>
      </c>
      <c r="W89" s="198"/>
      <c r="X89" s="198"/>
      <c r="Y89" s="198"/>
      <c r="Z89" s="198"/>
      <c r="AA89" s="198"/>
      <c r="AB89" s="198"/>
      <c r="AC89" s="198"/>
      <c r="AD89" s="214"/>
    </row>
    <row r="90" spans="1:30" ht="18.75" customHeight="1" x14ac:dyDescent="0.25">
      <c r="B90" s="13" t="s">
        <v>155</v>
      </c>
      <c r="C90" s="13"/>
      <c r="D90" s="13"/>
      <c r="E90" s="13"/>
      <c r="F90" s="13"/>
      <c r="G90" s="13"/>
      <c r="H90" s="13"/>
      <c r="I90" s="13"/>
      <c r="J90" s="13"/>
      <c r="K90" s="213"/>
      <c r="L90" s="205">
        <f>L87+L89</f>
        <v>332047.89432533924</v>
      </c>
      <c r="M90" s="202"/>
      <c r="N90" s="203"/>
      <c r="O90" s="1"/>
      <c r="Q90" s="164"/>
      <c r="V90" s="198">
        <v>2911</v>
      </c>
      <c r="W90" s="216"/>
      <c r="X90" s="216"/>
      <c r="Y90" s="216"/>
      <c r="Z90" s="216"/>
      <c r="AA90" s="216"/>
      <c r="AB90" s="216"/>
      <c r="AC90" s="216"/>
      <c r="AD90" s="214"/>
    </row>
    <row r="91" spans="1:30" ht="18.75" customHeight="1" x14ac:dyDescent="0.25">
      <c r="B91" s="13" t="s">
        <v>156</v>
      </c>
      <c r="C91" s="13"/>
      <c r="D91" s="13"/>
      <c r="E91" s="13"/>
      <c r="F91" s="13"/>
      <c r="G91" s="13"/>
      <c r="H91" s="13"/>
      <c r="I91" s="13"/>
      <c r="J91" s="13"/>
      <c r="K91" s="213"/>
      <c r="L91" s="205">
        <v>1</v>
      </c>
      <c r="M91" s="202"/>
      <c r="N91" s="203"/>
      <c r="O91" s="1"/>
      <c r="Q91" s="164"/>
      <c r="V91" s="198">
        <v>3382</v>
      </c>
      <c r="W91" s="216"/>
      <c r="X91" s="216"/>
      <c r="Y91" s="216"/>
      <c r="Z91" s="216"/>
      <c r="AA91" s="216"/>
      <c r="AB91" s="216"/>
      <c r="AC91" s="216"/>
      <c r="AD91" s="214"/>
    </row>
    <row r="92" spans="1:30" ht="18.75" customHeight="1" thickBot="1" x14ac:dyDescent="0.3">
      <c r="B92" s="13" t="s">
        <v>157</v>
      </c>
      <c r="C92" s="13"/>
      <c r="D92" s="13"/>
      <c r="E92" s="13"/>
      <c r="F92" s="13"/>
      <c r="G92" s="13"/>
      <c r="H92" s="13"/>
      <c r="I92" s="13"/>
      <c r="J92" s="13"/>
      <c r="K92" s="213"/>
      <c r="L92" s="217">
        <f>L90/L91</f>
        <v>332047.89432533924</v>
      </c>
      <c r="M92" s="202"/>
      <c r="N92" s="203"/>
      <c r="O92" s="1"/>
      <c r="Q92" s="164"/>
      <c r="V92" s="218"/>
      <c r="W92" s="218"/>
      <c r="X92" s="218"/>
      <c r="Y92" s="218"/>
      <c r="Z92" s="218"/>
      <c r="AA92" s="218"/>
      <c r="AB92" s="218"/>
      <c r="AC92" s="218"/>
      <c r="AD92" s="219"/>
    </row>
    <row r="93" spans="1:30" ht="18.75" customHeight="1" thickTop="1" x14ac:dyDescent="0.25">
      <c r="N93" s="219"/>
      <c r="O93" s="220"/>
      <c r="P93" s="219"/>
      <c r="Q93" s="219"/>
      <c r="V93" s="218"/>
      <c r="W93" s="218"/>
      <c r="X93" s="218"/>
      <c r="Y93" s="218"/>
      <c r="Z93" s="218"/>
      <c r="AA93" s="218"/>
      <c r="AB93" s="218"/>
      <c r="AC93" s="218"/>
      <c r="AD93" s="214"/>
    </row>
    <row r="94" spans="1:30" ht="18.75" customHeight="1" thickBot="1" x14ac:dyDescent="0.3">
      <c r="B94" s="221" t="s">
        <v>158</v>
      </c>
      <c r="C94" s="13"/>
      <c r="D94" s="13"/>
      <c r="E94" s="13"/>
      <c r="G94" s="13"/>
      <c r="H94" s="13"/>
      <c r="I94" s="13"/>
      <c r="J94" s="13"/>
      <c r="L94" s="222">
        <f>IF(M86="H",(K86*0.02)+L86,(K86*0.05)+L86)</f>
        <v>147038.79432533943</v>
      </c>
      <c r="M94" s="202"/>
      <c r="V94" s="223"/>
      <c r="W94" s="223"/>
      <c r="X94" s="223"/>
      <c r="Y94" s="223"/>
      <c r="Z94" s="223"/>
      <c r="AA94" s="223"/>
      <c r="AB94" s="223"/>
      <c r="AC94" s="223"/>
      <c r="AD94" s="214"/>
    </row>
    <row r="95" spans="1:30" ht="21.75" customHeight="1" thickTop="1" x14ac:dyDescent="0.25">
      <c r="B95" s="224" t="s">
        <v>159</v>
      </c>
      <c r="C95" s="224"/>
      <c r="D95" s="224"/>
      <c r="E95" s="224"/>
      <c r="F95" s="224"/>
      <c r="G95" s="224"/>
      <c r="H95" s="224"/>
      <c r="I95" s="224"/>
      <c r="J95" s="224"/>
      <c r="K95" s="224"/>
      <c r="L95" s="224"/>
      <c r="M95" s="219"/>
      <c r="V95" s="223"/>
      <c r="W95" s="223"/>
      <c r="X95" s="223"/>
      <c r="Y95" s="223"/>
      <c r="Z95" s="223"/>
      <c r="AA95" s="223"/>
      <c r="AB95" s="223"/>
      <c r="AC95" s="223"/>
      <c r="AD95" s="214"/>
    </row>
    <row r="96" spans="1:30" x14ac:dyDescent="0.25">
      <c r="B96" s="225"/>
      <c r="V96" s="223"/>
      <c r="W96" s="223"/>
      <c r="X96" s="223"/>
      <c r="Y96" s="223"/>
      <c r="Z96" s="223"/>
      <c r="AA96" s="223"/>
      <c r="AB96" s="223"/>
      <c r="AC96" s="223"/>
      <c r="AD96" s="219"/>
    </row>
    <row r="97" spans="2:30" x14ac:dyDescent="0.25">
      <c r="B97" s="225"/>
      <c r="V97" s="223"/>
      <c r="W97" s="223"/>
      <c r="X97" s="223"/>
      <c r="Y97" s="223"/>
      <c r="Z97" s="223"/>
      <c r="AA97" s="223"/>
      <c r="AB97" s="223"/>
      <c r="AC97" s="223"/>
      <c r="AD97" s="219"/>
    </row>
    <row r="98" spans="2:30" hidden="1" x14ac:dyDescent="0.25">
      <c r="B98" s="226" t="s">
        <v>160</v>
      </c>
      <c r="C98" s="227"/>
      <c r="V98" s="228"/>
      <c r="W98" s="228"/>
      <c r="X98" s="228"/>
      <c r="Y98" s="228"/>
      <c r="Z98" s="228"/>
      <c r="AA98" s="228"/>
      <c r="AB98" s="228"/>
      <c r="AC98" s="228"/>
    </row>
    <row r="99" spans="2:30" hidden="1" x14ac:dyDescent="0.25">
      <c r="B99" s="229"/>
      <c r="C99" s="227"/>
      <c r="V99" s="225"/>
      <c r="W99" s="13"/>
      <c r="X99" s="13"/>
      <c r="Y99" s="13"/>
      <c r="Z99" s="13"/>
      <c r="AA99" s="13"/>
      <c r="AB99" s="13"/>
      <c r="AC99" s="13"/>
    </row>
    <row r="100" spans="2:30" hidden="1" x14ac:dyDescent="0.25">
      <c r="B100" s="230" t="s">
        <v>161</v>
      </c>
      <c r="C100" s="226" t="s">
        <v>162</v>
      </c>
      <c r="V100" s="225"/>
    </row>
    <row r="101" spans="2:30" hidden="1" x14ac:dyDescent="0.25">
      <c r="B101" s="230" t="s">
        <v>163</v>
      </c>
      <c r="C101" s="226" t="s">
        <v>164</v>
      </c>
      <c r="V101" s="225"/>
    </row>
    <row r="102" spans="2:30" hidden="1" x14ac:dyDescent="0.25">
      <c r="B102" s="230" t="s">
        <v>165</v>
      </c>
      <c r="C102" s="226" t="s">
        <v>166</v>
      </c>
      <c r="V102" s="225"/>
      <c r="W102" s="231"/>
      <c r="X102" s="231"/>
      <c r="Y102" s="231"/>
      <c r="Z102" s="231"/>
      <c r="AA102" s="231"/>
      <c r="AB102" s="231"/>
      <c r="AC102" s="231"/>
      <c r="AD102" s="231"/>
    </row>
    <row r="103" spans="2:30" hidden="1" x14ac:dyDescent="0.25">
      <c r="B103" s="230" t="s">
        <v>167</v>
      </c>
      <c r="C103" s="226" t="s">
        <v>168</v>
      </c>
      <c r="V103" s="225"/>
    </row>
    <row r="104" spans="2:30" hidden="1" x14ac:dyDescent="0.25">
      <c r="B104" s="232"/>
      <c r="C104" s="226" t="s">
        <v>169</v>
      </c>
      <c r="V104" s="225"/>
    </row>
    <row r="105" spans="2:30" hidden="1" x14ac:dyDescent="0.25">
      <c r="B105" s="230" t="s">
        <v>170</v>
      </c>
      <c r="C105" s="226" t="s">
        <v>171</v>
      </c>
      <c r="V105" s="225"/>
    </row>
    <row r="106" spans="2:30" hidden="1" x14ac:dyDescent="0.25">
      <c r="B106" s="230" t="s">
        <v>172</v>
      </c>
      <c r="C106" s="226" t="s">
        <v>173</v>
      </c>
      <c r="V106" s="225"/>
    </row>
    <row r="107" spans="2:30" hidden="1" x14ac:dyDescent="0.25">
      <c r="B107" s="230" t="s">
        <v>277</v>
      </c>
      <c r="C107" s="226" t="s">
        <v>175</v>
      </c>
      <c r="V107" s="225"/>
    </row>
    <row r="108" spans="2:30" hidden="1" x14ac:dyDescent="0.25">
      <c r="B108" s="230" t="s">
        <v>176</v>
      </c>
      <c r="C108" s="226" t="s">
        <v>177</v>
      </c>
      <c r="V108" s="225"/>
    </row>
    <row r="109" spans="2:30" hidden="1" x14ac:dyDescent="0.25">
      <c r="B109" s="230" t="s">
        <v>178</v>
      </c>
      <c r="C109" s="226" t="s">
        <v>179</v>
      </c>
      <c r="V109" s="225"/>
    </row>
    <row r="110" spans="2:30" hidden="1" x14ac:dyDescent="0.25">
      <c r="B110" s="232"/>
      <c r="C110" s="226"/>
      <c r="V110" s="225"/>
    </row>
    <row r="111" spans="2:30" hidden="1" x14ac:dyDescent="0.25">
      <c r="B111" s="230" t="s">
        <v>180</v>
      </c>
      <c r="C111" s="226" t="s">
        <v>181</v>
      </c>
      <c r="V111" s="225"/>
    </row>
    <row r="112" spans="2:30" hidden="1" x14ac:dyDescent="0.25">
      <c r="B112" s="230" t="s">
        <v>180</v>
      </c>
      <c r="C112" s="226" t="s">
        <v>182</v>
      </c>
    </row>
    <row r="113" spans="2:3" hidden="1" x14ac:dyDescent="0.25">
      <c r="B113" s="230" t="s">
        <v>183</v>
      </c>
      <c r="C113" s="226" t="s">
        <v>184</v>
      </c>
    </row>
    <row r="114" spans="2:3" hidden="1" x14ac:dyDescent="0.25">
      <c r="B114" s="230" t="s">
        <v>185</v>
      </c>
      <c r="C114" s="226" t="s">
        <v>186</v>
      </c>
    </row>
    <row r="115" spans="2:3" hidden="1" x14ac:dyDescent="0.25">
      <c r="B115" s="230" t="s">
        <v>183</v>
      </c>
      <c r="C115" s="226" t="s">
        <v>187</v>
      </c>
    </row>
    <row r="116" spans="2:3" hidden="1" x14ac:dyDescent="0.25">
      <c r="B116" s="230" t="s">
        <v>188</v>
      </c>
      <c r="C116" s="226" t="s">
        <v>189</v>
      </c>
    </row>
    <row r="117" spans="2:3" hidden="1" x14ac:dyDescent="0.25">
      <c r="B117" s="230" t="s">
        <v>190</v>
      </c>
      <c r="C117" s="226" t="s">
        <v>191</v>
      </c>
    </row>
    <row r="118" spans="2:3" hidden="1" x14ac:dyDescent="0.25">
      <c r="B118" s="232" t="s">
        <v>192</v>
      </c>
      <c r="C118" s="226" t="s">
        <v>193</v>
      </c>
    </row>
    <row r="119" spans="2:3" hidden="1" x14ac:dyDescent="0.25">
      <c r="B119" s="232"/>
      <c r="C119" s="226"/>
    </row>
    <row r="120" spans="2:3" hidden="1" x14ac:dyDescent="0.25">
      <c r="B120" s="230" t="s">
        <v>161</v>
      </c>
      <c r="C120" s="226" t="s">
        <v>194</v>
      </c>
    </row>
    <row r="121" spans="2:3" hidden="1" x14ac:dyDescent="0.25">
      <c r="B121" s="230" t="s">
        <v>195</v>
      </c>
      <c r="C121" s="226" t="s">
        <v>196</v>
      </c>
    </row>
    <row r="122" spans="2:3" hidden="1" x14ac:dyDescent="0.25">
      <c r="B122" s="230" t="s">
        <v>197</v>
      </c>
      <c r="C122" s="226" t="s">
        <v>198</v>
      </c>
    </row>
    <row r="123" spans="2:3" hidden="1" x14ac:dyDescent="0.25">
      <c r="B123" s="230" t="s">
        <v>278</v>
      </c>
      <c r="C123" s="226" t="s">
        <v>200</v>
      </c>
    </row>
    <row r="124" spans="2:3" hidden="1" x14ac:dyDescent="0.25">
      <c r="B124" s="230" t="s">
        <v>279</v>
      </c>
      <c r="C124" s="226" t="s">
        <v>202</v>
      </c>
    </row>
    <row r="125" spans="2:3" hidden="1" x14ac:dyDescent="0.25">
      <c r="B125" s="230" t="s">
        <v>203</v>
      </c>
      <c r="C125" s="226" t="s">
        <v>204</v>
      </c>
    </row>
    <row r="126" spans="2:3" hidden="1" x14ac:dyDescent="0.25">
      <c r="B126" s="230" t="s">
        <v>203</v>
      </c>
      <c r="C126" s="226" t="s">
        <v>205</v>
      </c>
    </row>
    <row r="127" spans="2:3" hidden="1" x14ac:dyDescent="0.25">
      <c r="B127" s="230" t="s">
        <v>203</v>
      </c>
      <c r="C127" s="226" t="s">
        <v>206</v>
      </c>
    </row>
    <row r="128" spans="2:3" hidden="1" x14ac:dyDescent="0.25">
      <c r="B128" s="230" t="s">
        <v>203</v>
      </c>
      <c r="C128" s="226" t="s">
        <v>207</v>
      </c>
    </row>
    <row r="129" spans="2:3" hidden="1" x14ac:dyDescent="0.25">
      <c r="B129" s="230" t="s">
        <v>167</v>
      </c>
      <c r="C129" s="226" t="s">
        <v>208</v>
      </c>
    </row>
    <row r="130" spans="2:3" hidden="1" x14ac:dyDescent="0.25">
      <c r="B130" s="230" t="s">
        <v>209</v>
      </c>
      <c r="C130" s="226" t="s">
        <v>210</v>
      </c>
    </row>
    <row r="131" spans="2:3" hidden="1" x14ac:dyDescent="0.25">
      <c r="B131" s="230" t="s">
        <v>203</v>
      </c>
      <c r="C131" s="226" t="s">
        <v>211</v>
      </c>
    </row>
    <row r="132" spans="2:3" hidden="1" x14ac:dyDescent="0.25">
      <c r="B132" s="226"/>
      <c r="C132" s="226"/>
    </row>
    <row r="133" spans="2:3" hidden="1" x14ac:dyDescent="0.25">
      <c r="B133" s="226"/>
      <c r="C133" s="226"/>
    </row>
    <row r="134" spans="2:3" hidden="1" x14ac:dyDescent="0.25">
      <c r="B134" s="232"/>
      <c r="C134" s="232"/>
    </row>
    <row r="135" spans="2:3" hidden="1" x14ac:dyDescent="0.25">
      <c r="B135" s="232">
        <f>NvsElapsedTime</f>
        <v>1.15740767796524E-5</v>
      </c>
      <c r="C135" s="232"/>
    </row>
    <row r="136" spans="2:3" hidden="1" x14ac:dyDescent="0.25">
      <c r="B136" s="233">
        <f>NvsEndTime</f>
        <v>41754.487928240698</v>
      </c>
      <c r="C136" s="233" t="s">
        <v>212</v>
      </c>
    </row>
    <row r="137" spans="2:3" x14ac:dyDescent="0.25">
      <c r="B137" s="226"/>
      <c r="C137" s="234"/>
    </row>
    <row r="138" spans="2:3" x14ac:dyDescent="0.25">
      <c r="B138" s="226"/>
      <c r="C138" s="226"/>
    </row>
    <row r="139" spans="2:3" x14ac:dyDescent="0.25">
      <c r="B139" s="226"/>
      <c r="C139" s="226"/>
    </row>
    <row r="140" spans="2:3" x14ac:dyDescent="0.25">
      <c r="B140" s="226"/>
      <c r="C140" s="226"/>
    </row>
    <row r="141" spans="2:3" x14ac:dyDescent="0.25">
      <c r="B141" s="226"/>
      <c r="C141" s="226"/>
    </row>
    <row r="142" spans="2:3" x14ac:dyDescent="0.25">
      <c r="B142" s="226"/>
      <c r="C142" s="226"/>
    </row>
    <row r="143" spans="2:3" x14ac:dyDescent="0.25">
      <c r="B143" s="226"/>
      <c r="C143" s="226"/>
    </row>
    <row r="144" spans="2:3" x14ac:dyDescent="0.25">
      <c r="B144" s="226"/>
      <c r="C144" s="226"/>
    </row>
    <row r="145" spans="2:3" x14ac:dyDescent="0.25">
      <c r="B145" s="226"/>
      <c r="C145" s="226"/>
    </row>
    <row r="146" spans="2:3" x14ac:dyDescent="0.25">
      <c r="B146" s="226"/>
      <c r="C146" s="226"/>
    </row>
    <row r="147" spans="2:3" x14ac:dyDescent="0.25">
      <c r="B147" s="226"/>
      <c r="C147" s="226"/>
    </row>
    <row r="148" spans="2:3" x14ac:dyDescent="0.25">
      <c r="B148" s="226"/>
      <c r="C148" s="226"/>
    </row>
    <row r="149" spans="2:3" x14ac:dyDescent="0.25">
      <c r="B149" s="226"/>
      <c r="C149" s="226"/>
    </row>
    <row r="150" spans="2:3" x14ac:dyDescent="0.25">
      <c r="B150" s="226"/>
      <c r="C150" s="226"/>
    </row>
    <row r="151" spans="2:3" x14ac:dyDescent="0.25">
      <c r="B151" s="226"/>
      <c r="C151" s="226"/>
    </row>
  </sheetData>
  <mergeCells count="151">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9:W9"/>
    <mergeCell ref="X9:Y9"/>
    <mergeCell ref="Z9:AA9"/>
    <mergeCell ref="V10:W10"/>
    <mergeCell ref="X10:Y10"/>
    <mergeCell ref="Z10:AA10"/>
    <mergeCell ref="V7:W7"/>
    <mergeCell ref="X7:Y7"/>
    <mergeCell ref="Z7:AA7"/>
    <mergeCell ref="AB7:AC7"/>
    <mergeCell ref="V8:W8"/>
    <mergeCell ref="X8:Y8"/>
    <mergeCell ref="Z8:AA8"/>
    <mergeCell ref="W2:AC2"/>
    <mergeCell ref="V3:AC3"/>
    <mergeCell ref="V4:AC4"/>
    <mergeCell ref="V5:W5"/>
    <mergeCell ref="X5:Y5"/>
    <mergeCell ref="V6:AC6"/>
  </mergeCells>
  <printOptions horizontalCentered="1"/>
  <pageMargins left="0" right="0" top="0.67" bottom="0.2" header="0.25" footer="0.196850393700787"/>
  <pageSetup scale="63" fitToWidth="2" fitToHeight="2" orientation="portrait" horizontalDpi="4294967295" verticalDpi="4294967295" r:id="rId1"/>
  <headerFooter alignWithMargins="0">
    <oddHeader>&amp;L&amp;8&amp;F
&amp;D &amp;T</oddHeader>
    <oddFooter>&amp;C&amp;P</oddFooter>
  </headerFooter>
  <rowBreaks count="1" manualBreakCount="1">
    <brk id="51" max="16383" man="1"/>
  </row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D151"/>
  <sheetViews>
    <sheetView topLeftCell="B2" zoomScale="70" zoomScaleNormal="70" workbookViewId="0">
      <selection activeCell="D28" sqref="D28:E34"/>
    </sheetView>
  </sheetViews>
  <sheetFormatPr defaultColWidth="8.7109375" defaultRowHeight="15.75" x14ac:dyDescent="0.25"/>
  <cols>
    <col min="1" max="1" width="11.28515625" style="1" hidden="1" customWidth="1"/>
    <col min="2" max="2" width="10.28515625" style="2" customWidth="1"/>
    <col min="3" max="3" width="29" style="1" customWidth="1"/>
    <col min="4" max="5" width="12.28515625" style="1" customWidth="1"/>
    <col min="6" max="6" width="12.28515625" style="1" hidden="1" customWidth="1"/>
    <col min="7" max="7" width="16.140625" style="1" customWidth="1"/>
    <col min="8" max="8" width="6.7109375" style="1" customWidth="1"/>
    <col min="9" max="9" width="14.140625" style="1" customWidth="1"/>
    <col min="10" max="10" width="12.85546875" style="1" customWidth="1"/>
    <col min="11" max="11" width="17.42578125" style="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28515625" style="1" customWidth="1"/>
    <col min="18" max="18" width="8.85546875" style="1"/>
    <col min="19" max="21" width="0" style="1" hidden="1" customWidth="1"/>
    <col min="22" max="23" width="8.85546875" style="1"/>
    <col min="24" max="24" width="12.7109375" style="1" customWidth="1"/>
    <col min="25" max="27" width="8.85546875" style="1"/>
    <col min="28" max="28" width="13.140625" style="1" bestFit="1" customWidth="1"/>
    <col min="29" max="16384" width="8.7109375" style="1"/>
  </cols>
  <sheetData>
    <row r="1" spans="1:30" ht="15.6"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7"/>
      <c r="N2" s="3"/>
      <c r="O2" s="1"/>
      <c r="V2" s="8">
        <f>'3392 June Final'!B2</f>
        <v>50</v>
      </c>
      <c r="W2" s="606" t="s">
        <v>4</v>
      </c>
      <c r="X2" s="607"/>
      <c r="Y2" s="608"/>
      <c r="Z2" s="608"/>
      <c r="AA2" s="608"/>
      <c r="AB2" s="608"/>
      <c r="AC2" s="608"/>
      <c r="AD2" s="9"/>
    </row>
    <row r="3" spans="1:30" ht="20.25" x14ac:dyDescent="0.3">
      <c r="B3" s="10" t="str">
        <f>"Revenue Estimate Worksheet for "&amp;B124</f>
        <v>Revenue Estimate Worksheet for Charter Sch of Boynton Beach</v>
      </c>
      <c r="C3" s="11"/>
      <c r="D3" s="11"/>
      <c r="E3" s="11"/>
      <c r="F3" s="11"/>
      <c r="G3" s="11"/>
      <c r="H3" s="11"/>
      <c r="I3" s="11"/>
      <c r="J3" s="11"/>
      <c r="K3" s="11"/>
      <c r="L3" s="11"/>
      <c r="M3" s="10"/>
      <c r="N3" s="10"/>
      <c r="O3" s="10"/>
      <c r="P3" s="10"/>
      <c r="Q3" s="10"/>
      <c r="V3" s="609" t="s">
        <v>5</v>
      </c>
      <c r="W3" s="609"/>
      <c r="X3" s="609"/>
      <c r="Y3" s="609"/>
      <c r="Z3" s="609"/>
      <c r="AA3" s="609"/>
      <c r="AB3" s="609"/>
      <c r="AC3" s="609"/>
      <c r="AD3" s="12"/>
    </row>
    <row r="4" spans="1:30" ht="18.75" x14ac:dyDescent="0.3">
      <c r="B4" s="2" t="s">
        <v>6</v>
      </c>
      <c r="C4" s="13"/>
      <c r="D4" s="13"/>
      <c r="E4" s="13"/>
      <c r="F4" s="13"/>
      <c r="G4" s="13"/>
      <c r="H4" s="13"/>
      <c r="I4" s="13"/>
      <c r="J4" s="13"/>
      <c r="K4" s="13"/>
      <c r="L4" s="13"/>
      <c r="M4" s="14"/>
      <c r="N4" s="14"/>
      <c r="O4" s="14"/>
      <c r="P4" s="14"/>
      <c r="Q4" s="14"/>
      <c r="V4" s="610" t="str">
        <f>+Based_on_the_Second_Calculation_of_the_FEFP_2010_11</f>
        <v>Based on the Fourth Calculation of the FEFP 2013-14</v>
      </c>
      <c r="W4" s="610"/>
      <c r="X4" s="610"/>
      <c r="Y4" s="610"/>
      <c r="Z4" s="610"/>
      <c r="AA4" s="610"/>
      <c r="AB4" s="610"/>
      <c r="AC4" s="610"/>
      <c r="AD4" s="15"/>
    </row>
    <row r="5" spans="1:30" ht="18.75" customHeight="1" x14ac:dyDescent="0.25">
      <c r="B5" s="16" t="s">
        <v>7</v>
      </c>
      <c r="C5" s="16"/>
      <c r="D5" s="16"/>
      <c r="E5" s="16"/>
      <c r="F5" s="16"/>
      <c r="G5" s="17" t="s">
        <v>8</v>
      </c>
      <c r="H5" s="17"/>
      <c r="I5" s="17"/>
      <c r="J5" s="17"/>
      <c r="K5" s="17"/>
      <c r="L5" s="17"/>
      <c r="M5" s="18"/>
      <c r="N5" s="18"/>
      <c r="O5" s="18"/>
      <c r="P5" s="18"/>
      <c r="Q5" s="18"/>
      <c r="V5" s="611" t="s">
        <v>7</v>
      </c>
      <c r="W5" s="611"/>
      <c r="X5" s="612" t="s">
        <v>8</v>
      </c>
      <c r="Y5" s="612"/>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613" t="s">
        <v>9</v>
      </c>
      <c r="W6" s="613"/>
      <c r="X6" s="613"/>
      <c r="Y6" s="613"/>
      <c r="Z6" s="613"/>
      <c r="AA6" s="613"/>
      <c r="AB6" s="613"/>
      <c r="AC6" s="613"/>
      <c r="AD6" s="22"/>
    </row>
    <row r="7" spans="1:30" ht="18" customHeight="1" x14ac:dyDescent="0.25">
      <c r="B7" s="23" t="s">
        <v>10</v>
      </c>
      <c r="C7" s="23"/>
      <c r="D7" s="23"/>
      <c r="E7" s="23"/>
      <c r="F7" s="23"/>
      <c r="G7" s="24">
        <v>3752.3</v>
      </c>
      <c r="H7" s="24"/>
      <c r="I7" s="23" t="s">
        <v>11</v>
      </c>
      <c r="J7" s="23"/>
      <c r="K7" s="25">
        <v>1.0326</v>
      </c>
      <c r="L7" s="25"/>
      <c r="O7" s="1"/>
      <c r="V7" s="620" t="s">
        <v>10</v>
      </c>
      <c r="W7" s="620"/>
      <c r="X7" s="621">
        <f>'3392 June Final'!G7</f>
        <v>3752.3</v>
      </c>
      <c r="Y7" s="621"/>
      <c r="Z7" s="622" t="s">
        <v>11</v>
      </c>
      <c r="AA7" s="622"/>
      <c r="AB7" s="602">
        <f>+K7</f>
        <v>1.0326</v>
      </c>
      <c r="AC7" s="602"/>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603" t="s">
        <v>12</v>
      </c>
      <c r="W8" s="603"/>
      <c r="X8" s="604" t="s">
        <v>15</v>
      </c>
      <c r="Y8" s="604"/>
      <c r="Z8" s="605" t="s">
        <v>16</v>
      </c>
      <c r="AA8" s="605"/>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614" t="s">
        <v>22</v>
      </c>
      <c r="W9" s="614"/>
      <c r="X9" s="615" t="s">
        <v>23</v>
      </c>
      <c r="Y9" s="615"/>
      <c r="Z9" s="616" t="s">
        <v>24</v>
      </c>
      <c r="AA9" s="616"/>
      <c r="AB9" s="43" t="s">
        <v>25</v>
      </c>
      <c r="AC9" s="44" t="s">
        <v>26</v>
      </c>
      <c r="AD9" s="9"/>
    </row>
    <row r="10" spans="1:30" x14ac:dyDescent="0.25">
      <c r="A10" s="1" t="s">
        <v>27</v>
      </c>
      <c r="B10" s="45" t="s">
        <v>28</v>
      </c>
      <c r="C10" s="45"/>
      <c r="D10" s="45">
        <v>105.72</v>
      </c>
      <c r="E10" s="45">
        <v>100.7</v>
      </c>
      <c r="F10" s="45">
        <v>129.59</v>
      </c>
      <c r="G10" s="46">
        <f t="shared" ref="G10:G25" si="0">D10+E10</f>
        <v>206.42000000000002</v>
      </c>
      <c r="H10" s="47"/>
      <c r="I10" s="48">
        <v>1.125</v>
      </c>
      <c r="J10" s="48"/>
      <c r="K10" s="49">
        <f t="shared" ref="K10:K25" si="1">ROUND(G10*I10,4)</f>
        <v>232.2225</v>
      </c>
      <c r="L10" s="50">
        <f t="shared" ref="L10:L25" si="2">ROUND(ROUND(K10*$G$7,4)*($K$7),0)</f>
        <v>899775</v>
      </c>
      <c r="N10" s="51">
        <v>5101</v>
      </c>
      <c r="O10" s="52">
        <v>101</v>
      </c>
      <c r="P10" s="53"/>
      <c r="Q10" s="54"/>
      <c r="V10" s="617" t="s">
        <v>28</v>
      </c>
      <c r="W10" s="617"/>
      <c r="X10" s="618">
        <f>IF('3392 June Final'!K$84=1,'3392 June Final'!G10,0)</f>
        <v>0</v>
      </c>
      <c r="Y10" s="618"/>
      <c r="Z10" s="619">
        <v>1</v>
      </c>
      <c r="AA10" s="619"/>
      <c r="AB10" s="55">
        <f t="shared" ref="AB10:AB25" si="3">ROUND(X10*Z10,4)</f>
        <v>0</v>
      </c>
      <c r="AC10" s="56">
        <f t="shared" ref="AC10:AC25" si="4">ROUND(ROUND(AB10*$X$7,4)*($AB$7),0)</f>
        <v>0</v>
      </c>
      <c r="AD10" s="9">
        <v>1</v>
      </c>
    </row>
    <row r="11" spans="1:30" x14ac:dyDescent="0.25">
      <c r="A11" s="1" t="s">
        <v>29</v>
      </c>
      <c r="B11" s="13" t="s">
        <v>30</v>
      </c>
      <c r="C11" s="13"/>
      <c r="D11" s="13">
        <v>12.09</v>
      </c>
      <c r="E11" s="13">
        <v>11.09</v>
      </c>
      <c r="F11" s="13">
        <v>19.62</v>
      </c>
      <c r="G11" s="46">
        <f t="shared" si="0"/>
        <v>23.18</v>
      </c>
      <c r="H11" s="47"/>
      <c r="I11" s="57">
        <f>I10</f>
        <v>1.125</v>
      </c>
      <c r="J11" s="57"/>
      <c r="K11" s="49">
        <f t="shared" si="1"/>
        <v>26.077500000000001</v>
      </c>
      <c r="L11" s="50">
        <f t="shared" si="2"/>
        <v>101041</v>
      </c>
      <c r="M11" s="1" t="str">
        <f>IF(ROUND(G11,2)=ROUND(SUM(G28:G30),2)," ","CHECK 2. PK-3 Lines Below")</f>
        <v xml:space="preserve"> </v>
      </c>
      <c r="N11" s="51">
        <v>5101</v>
      </c>
      <c r="O11" s="58" t="s">
        <v>31</v>
      </c>
      <c r="P11" s="53"/>
      <c r="Q11" s="54"/>
      <c r="V11" s="623" t="s">
        <v>30</v>
      </c>
      <c r="W11" s="623"/>
      <c r="X11" s="618">
        <f>IF('3392 June Final'!K$84=1,'3392 June Final'!G11,0)</f>
        <v>0</v>
      </c>
      <c r="Y11" s="618"/>
      <c r="Z11" s="624">
        <v>1</v>
      </c>
      <c r="AA11" s="624"/>
      <c r="AB11" s="55">
        <f t="shared" si="3"/>
        <v>0</v>
      </c>
      <c r="AC11" s="56">
        <f t="shared" si="4"/>
        <v>0</v>
      </c>
      <c r="AD11" s="9"/>
    </row>
    <row r="12" spans="1:30" x14ac:dyDescent="0.25">
      <c r="A12" s="1" t="s">
        <v>32</v>
      </c>
      <c r="B12" s="13" t="s">
        <v>33</v>
      </c>
      <c r="C12" s="13"/>
      <c r="D12" s="13">
        <v>126.26</v>
      </c>
      <c r="E12" s="13">
        <v>116.48</v>
      </c>
      <c r="F12" s="13">
        <v>152.41</v>
      </c>
      <c r="G12" s="46">
        <f t="shared" si="0"/>
        <v>242.74</v>
      </c>
      <c r="H12" s="47"/>
      <c r="I12" s="57">
        <v>1</v>
      </c>
      <c r="J12" s="57"/>
      <c r="K12" s="49">
        <f t="shared" si="1"/>
        <v>242.74</v>
      </c>
      <c r="L12" s="50">
        <f t="shared" si="2"/>
        <v>940526</v>
      </c>
      <c r="N12" s="51">
        <v>5102</v>
      </c>
      <c r="O12" s="52">
        <v>102</v>
      </c>
      <c r="P12" s="53"/>
      <c r="Q12" s="54"/>
      <c r="V12" s="623" t="s">
        <v>33</v>
      </c>
      <c r="W12" s="623"/>
      <c r="X12" s="618">
        <f>IF('3392 June Final'!K$84=1,'3392 June Final'!G12,0)</f>
        <v>0</v>
      </c>
      <c r="Y12" s="618"/>
      <c r="Z12" s="624">
        <v>1</v>
      </c>
      <c r="AA12" s="624"/>
      <c r="AB12" s="55">
        <f t="shared" si="3"/>
        <v>0</v>
      </c>
      <c r="AC12" s="56">
        <f t="shared" si="4"/>
        <v>0</v>
      </c>
      <c r="AD12" s="9"/>
    </row>
    <row r="13" spans="1:30" x14ac:dyDescent="0.25">
      <c r="A13" s="1" t="s">
        <v>34</v>
      </c>
      <c r="B13" s="13" t="s">
        <v>35</v>
      </c>
      <c r="C13" s="13"/>
      <c r="D13" s="13">
        <v>27.35</v>
      </c>
      <c r="E13" s="13">
        <v>23.64</v>
      </c>
      <c r="F13" s="13">
        <v>38.4</v>
      </c>
      <c r="G13" s="46">
        <f t="shared" si="0"/>
        <v>50.99</v>
      </c>
      <c r="H13" s="47"/>
      <c r="I13" s="57">
        <f>I12</f>
        <v>1</v>
      </c>
      <c r="J13" s="57"/>
      <c r="K13" s="49">
        <f t="shared" si="1"/>
        <v>50.99</v>
      </c>
      <c r="L13" s="50">
        <f t="shared" si="2"/>
        <v>197567</v>
      </c>
      <c r="M13" s="1" t="str">
        <f>IF(ROUND(G13,2)=ROUND(SUM(G31:G33),2)," ","CHECK 2. PK-3 Lines Below")</f>
        <v xml:space="preserve"> </v>
      </c>
      <c r="N13" s="51">
        <v>5102</v>
      </c>
      <c r="O13" s="58" t="s">
        <v>36</v>
      </c>
      <c r="P13" s="53"/>
      <c r="Q13" s="54"/>
      <c r="V13" s="623" t="s">
        <v>35</v>
      </c>
      <c r="W13" s="623"/>
      <c r="X13" s="618">
        <f>IF('3392 June Final'!K$84=1,'3392 June Final'!G13,0)</f>
        <v>0</v>
      </c>
      <c r="Y13" s="618"/>
      <c r="Z13" s="624">
        <v>1</v>
      </c>
      <c r="AA13" s="624"/>
      <c r="AB13" s="55">
        <f t="shared" si="3"/>
        <v>0</v>
      </c>
      <c r="AC13" s="56">
        <f t="shared" si="4"/>
        <v>0</v>
      </c>
      <c r="AD13" s="9"/>
    </row>
    <row r="14" spans="1:30" x14ac:dyDescent="0.25">
      <c r="A14" s="1" t="s">
        <v>37</v>
      </c>
      <c r="B14" s="13" t="s">
        <v>38</v>
      </c>
      <c r="C14" s="13"/>
      <c r="D14" s="13">
        <v>10.82</v>
      </c>
      <c r="E14" s="13">
        <v>8.17</v>
      </c>
      <c r="F14" s="13">
        <v>11.83</v>
      </c>
      <c r="G14" s="46">
        <f t="shared" si="0"/>
        <v>18.990000000000002</v>
      </c>
      <c r="H14" s="47"/>
      <c r="I14" s="57">
        <v>1.0109999999999999</v>
      </c>
      <c r="J14" s="57"/>
      <c r="K14" s="49">
        <f t="shared" si="1"/>
        <v>19.198899999999998</v>
      </c>
      <c r="L14" s="50">
        <f t="shared" si="2"/>
        <v>74389</v>
      </c>
      <c r="N14" s="51">
        <v>5103</v>
      </c>
      <c r="O14" s="52">
        <v>103</v>
      </c>
      <c r="P14" s="53"/>
      <c r="Q14" s="54"/>
      <c r="V14" s="623" t="s">
        <v>38</v>
      </c>
      <c r="W14" s="623"/>
      <c r="X14" s="618">
        <f>IF('3392 June Final'!K$84=1,'3392 June Final'!G14,0)</f>
        <v>0</v>
      </c>
      <c r="Y14" s="618"/>
      <c r="Z14" s="624">
        <v>1</v>
      </c>
      <c r="AA14" s="624"/>
      <c r="AB14" s="55">
        <f t="shared" si="3"/>
        <v>0</v>
      </c>
      <c r="AC14" s="56">
        <f t="shared" si="4"/>
        <v>0</v>
      </c>
      <c r="AD14" s="9"/>
    </row>
    <row r="15" spans="1:30" x14ac:dyDescent="0.25">
      <c r="A15" s="1" t="s">
        <v>39</v>
      </c>
      <c r="B15" s="13" t="s">
        <v>40</v>
      </c>
      <c r="C15" s="13"/>
      <c r="D15" s="13">
        <v>3.52</v>
      </c>
      <c r="E15" s="13">
        <v>3.77</v>
      </c>
      <c r="F15" s="13">
        <v>3.86</v>
      </c>
      <c r="G15" s="46">
        <f t="shared" si="0"/>
        <v>7.29</v>
      </c>
      <c r="H15" s="47"/>
      <c r="I15" s="57">
        <f>I14</f>
        <v>1.0109999999999999</v>
      </c>
      <c r="J15" s="57"/>
      <c r="K15" s="49">
        <f t="shared" si="1"/>
        <v>7.3701999999999996</v>
      </c>
      <c r="L15" s="59">
        <f t="shared" si="2"/>
        <v>28557</v>
      </c>
      <c r="M15" s="1" t="str">
        <f>IF(ROUND(G15,2)=ROUND(SUM(G34:G36),2)," ","CHECK 2. PK-3 Lines Below")</f>
        <v xml:space="preserve"> </v>
      </c>
      <c r="N15" s="51">
        <v>5103</v>
      </c>
      <c r="O15" s="58" t="s">
        <v>41</v>
      </c>
      <c r="P15" s="53"/>
      <c r="Q15" s="54"/>
      <c r="V15" s="623" t="s">
        <v>40</v>
      </c>
      <c r="W15" s="623"/>
      <c r="X15" s="618">
        <f>IF('3392 June Final'!K$84=1,'3392 June Final'!G15,0)</f>
        <v>0</v>
      </c>
      <c r="Y15" s="618"/>
      <c r="Z15" s="624">
        <v>1</v>
      </c>
      <c r="AA15" s="624"/>
      <c r="AB15" s="55">
        <f t="shared" si="3"/>
        <v>0</v>
      </c>
      <c r="AC15" s="60">
        <f t="shared" si="4"/>
        <v>0</v>
      </c>
      <c r="AD15" s="9"/>
    </row>
    <row r="16" spans="1:30" x14ac:dyDescent="0.25">
      <c r="A16" s="1" t="s">
        <v>42</v>
      </c>
      <c r="B16" s="13" t="s">
        <v>43</v>
      </c>
      <c r="C16" s="13"/>
      <c r="D16" s="13">
        <v>0</v>
      </c>
      <c r="E16" s="13">
        <v>0</v>
      </c>
      <c r="F16" s="13">
        <v>0</v>
      </c>
      <c r="G16" s="46">
        <f t="shared" si="0"/>
        <v>0</v>
      </c>
      <c r="H16" s="47"/>
      <c r="I16" s="57">
        <v>3.5579999999999998</v>
      </c>
      <c r="J16" s="57"/>
      <c r="K16" s="49">
        <f t="shared" si="1"/>
        <v>0</v>
      </c>
      <c r="L16" s="50">
        <f t="shared" si="2"/>
        <v>0</v>
      </c>
      <c r="N16" s="51">
        <v>5101</v>
      </c>
      <c r="O16" s="53">
        <v>254</v>
      </c>
      <c r="P16" s="53"/>
      <c r="Q16" s="54"/>
      <c r="V16" s="623" t="s">
        <v>43</v>
      </c>
      <c r="W16" s="623"/>
      <c r="X16" s="618">
        <f>IF('3392 June Final'!K$84=1,'3392 June Final'!G16,0)</f>
        <v>0</v>
      </c>
      <c r="Y16" s="618"/>
      <c r="Z16" s="624">
        <v>1</v>
      </c>
      <c r="AA16" s="624"/>
      <c r="AB16" s="55">
        <f t="shared" si="3"/>
        <v>0</v>
      </c>
      <c r="AC16" s="56">
        <f t="shared" si="4"/>
        <v>0</v>
      </c>
      <c r="AD16" s="9"/>
    </row>
    <row r="17" spans="1:30" x14ac:dyDescent="0.25">
      <c r="A17" s="1" t="s">
        <v>44</v>
      </c>
      <c r="B17" s="13" t="s">
        <v>45</v>
      </c>
      <c r="C17" s="13"/>
      <c r="D17" s="13">
        <v>0</v>
      </c>
      <c r="E17" s="13">
        <v>0</v>
      </c>
      <c r="F17" s="13">
        <v>0</v>
      </c>
      <c r="G17" s="46">
        <f t="shared" si="0"/>
        <v>0</v>
      </c>
      <c r="H17" s="47"/>
      <c r="I17" s="57">
        <f>I16</f>
        <v>3.5579999999999998</v>
      </c>
      <c r="J17" s="57"/>
      <c r="K17" s="49">
        <f t="shared" si="1"/>
        <v>0</v>
      </c>
      <c r="L17" s="50">
        <f t="shared" si="2"/>
        <v>0</v>
      </c>
      <c r="N17" s="51">
        <v>5102</v>
      </c>
      <c r="O17" s="54">
        <v>254</v>
      </c>
      <c r="P17" s="53"/>
      <c r="Q17" s="54"/>
      <c r="V17" s="623" t="s">
        <v>45</v>
      </c>
      <c r="W17" s="623"/>
      <c r="X17" s="618">
        <f>IF('3392 June Final'!K$84=1,'3392 June Final'!G17,0)</f>
        <v>0</v>
      </c>
      <c r="Y17" s="618"/>
      <c r="Z17" s="624">
        <v>1</v>
      </c>
      <c r="AA17" s="624"/>
      <c r="AB17" s="55">
        <f t="shared" si="3"/>
        <v>0</v>
      </c>
      <c r="AC17" s="56">
        <f t="shared" si="4"/>
        <v>0</v>
      </c>
      <c r="AD17" s="9"/>
    </row>
    <row r="18" spans="1:30" x14ac:dyDescent="0.25">
      <c r="A18" s="1" t="s">
        <v>46</v>
      </c>
      <c r="B18" s="13" t="s">
        <v>47</v>
      </c>
      <c r="C18" s="13"/>
      <c r="D18" s="13">
        <v>0</v>
      </c>
      <c r="E18" s="13">
        <v>0</v>
      </c>
      <c r="F18" s="13">
        <v>0</v>
      </c>
      <c r="G18" s="46">
        <f t="shared" si="0"/>
        <v>0</v>
      </c>
      <c r="H18" s="47"/>
      <c r="I18" s="57">
        <f>I17</f>
        <v>3.5579999999999998</v>
      </c>
      <c r="J18" s="57"/>
      <c r="K18" s="49">
        <f t="shared" si="1"/>
        <v>0</v>
      </c>
      <c r="L18" s="50">
        <f t="shared" si="2"/>
        <v>0</v>
      </c>
      <c r="N18" s="51">
        <v>5103</v>
      </c>
      <c r="O18" s="54">
        <v>254</v>
      </c>
      <c r="P18" s="53"/>
      <c r="Q18" s="54"/>
      <c r="V18" s="623" t="s">
        <v>47</v>
      </c>
      <c r="W18" s="623"/>
      <c r="X18" s="618">
        <f>IF('3392 June Final'!K$84=1,'3392 June Final'!G18,0)</f>
        <v>0</v>
      </c>
      <c r="Y18" s="618"/>
      <c r="Z18" s="624">
        <v>1</v>
      </c>
      <c r="AA18" s="624"/>
      <c r="AB18" s="55">
        <f t="shared" si="3"/>
        <v>0</v>
      </c>
      <c r="AC18" s="56">
        <f t="shared" si="4"/>
        <v>0</v>
      </c>
      <c r="AD18" s="9"/>
    </row>
    <row r="19" spans="1:30" ht="15" customHeight="1" x14ac:dyDescent="0.25">
      <c r="A19" s="1" t="s">
        <v>48</v>
      </c>
      <c r="B19" s="13" t="s">
        <v>49</v>
      </c>
      <c r="C19" s="13"/>
      <c r="D19" s="13">
        <v>0</v>
      </c>
      <c r="E19" s="13">
        <v>0</v>
      </c>
      <c r="F19" s="13">
        <v>0</v>
      </c>
      <c r="G19" s="46">
        <f t="shared" si="0"/>
        <v>0</v>
      </c>
      <c r="H19" s="47"/>
      <c r="I19" s="57">
        <v>5.0890000000000004</v>
      </c>
      <c r="J19" s="57"/>
      <c r="K19" s="49">
        <f t="shared" si="1"/>
        <v>0</v>
      </c>
      <c r="L19" s="50">
        <f t="shared" si="2"/>
        <v>0</v>
      </c>
      <c r="N19" s="51">
        <v>5101</v>
      </c>
      <c r="O19" s="53">
        <v>255</v>
      </c>
      <c r="P19" s="53"/>
      <c r="Q19" s="54"/>
      <c r="V19" s="623" t="s">
        <v>49</v>
      </c>
      <c r="W19" s="623"/>
      <c r="X19" s="618">
        <f>IF('3392 June Final'!K$84=1,'3392 June Final'!G19,0)</f>
        <v>0</v>
      </c>
      <c r="Y19" s="618"/>
      <c r="Z19" s="624">
        <v>1</v>
      </c>
      <c r="AA19" s="624"/>
      <c r="AB19" s="55">
        <f t="shared" si="3"/>
        <v>0</v>
      </c>
      <c r="AC19" s="56">
        <f t="shared" si="4"/>
        <v>0</v>
      </c>
      <c r="AD19" s="9"/>
    </row>
    <row r="20" spans="1:30" ht="15" customHeight="1" x14ac:dyDescent="0.25">
      <c r="A20" s="1" t="s">
        <v>50</v>
      </c>
      <c r="B20" s="13" t="s">
        <v>51</v>
      </c>
      <c r="C20" s="13"/>
      <c r="D20" s="13">
        <v>0</v>
      </c>
      <c r="E20" s="13">
        <v>0</v>
      </c>
      <c r="F20" s="13">
        <v>0</v>
      </c>
      <c r="G20" s="46">
        <f t="shared" si="0"/>
        <v>0</v>
      </c>
      <c r="H20" s="47"/>
      <c r="I20" s="57">
        <f>I19</f>
        <v>5.0890000000000004</v>
      </c>
      <c r="J20" s="57"/>
      <c r="K20" s="49">
        <f t="shared" si="1"/>
        <v>0</v>
      </c>
      <c r="L20" s="50">
        <f t="shared" si="2"/>
        <v>0</v>
      </c>
      <c r="N20" s="51">
        <v>5102</v>
      </c>
      <c r="O20" s="54">
        <v>255</v>
      </c>
      <c r="P20" s="53"/>
      <c r="Q20" s="54"/>
      <c r="V20" s="623" t="s">
        <v>51</v>
      </c>
      <c r="W20" s="623"/>
      <c r="X20" s="618">
        <f>IF('3392 June Final'!K$84=1,'3392 June Final'!G20,0)</f>
        <v>0</v>
      </c>
      <c r="Y20" s="618"/>
      <c r="Z20" s="624">
        <v>1</v>
      </c>
      <c r="AA20" s="624"/>
      <c r="AB20" s="55">
        <f t="shared" si="3"/>
        <v>0</v>
      </c>
      <c r="AC20" s="56">
        <f t="shared" si="4"/>
        <v>0</v>
      </c>
      <c r="AD20" s="9"/>
    </row>
    <row r="21" spans="1:30" ht="15" customHeight="1" x14ac:dyDescent="0.25">
      <c r="A21" s="1" t="s">
        <v>52</v>
      </c>
      <c r="B21" s="13" t="s">
        <v>53</v>
      </c>
      <c r="C21" s="13"/>
      <c r="D21" s="13">
        <v>0</v>
      </c>
      <c r="E21" s="13">
        <v>0</v>
      </c>
      <c r="F21" s="13">
        <v>0</v>
      </c>
      <c r="G21" s="46">
        <f t="shared" si="0"/>
        <v>0</v>
      </c>
      <c r="H21" s="47"/>
      <c r="I21" s="57">
        <f>I20</f>
        <v>5.0890000000000004</v>
      </c>
      <c r="J21" s="57"/>
      <c r="K21" s="49">
        <f t="shared" si="1"/>
        <v>0</v>
      </c>
      <c r="L21" s="50">
        <f t="shared" si="2"/>
        <v>0</v>
      </c>
      <c r="N21" s="51">
        <v>5103</v>
      </c>
      <c r="O21" s="54">
        <v>255</v>
      </c>
      <c r="P21" s="53"/>
      <c r="Q21" s="54"/>
      <c r="V21" s="623" t="s">
        <v>53</v>
      </c>
      <c r="W21" s="623"/>
      <c r="X21" s="618">
        <f>IF('3392 June Final'!K$84=1,'3392 June Final'!G21,0)</f>
        <v>0</v>
      </c>
      <c r="Y21" s="618"/>
      <c r="Z21" s="624">
        <v>1</v>
      </c>
      <c r="AA21" s="624"/>
      <c r="AB21" s="55">
        <f t="shared" si="3"/>
        <v>0</v>
      </c>
      <c r="AC21" s="56">
        <f t="shared" si="4"/>
        <v>0</v>
      </c>
      <c r="AD21" s="9"/>
    </row>
    <row r="22" spans="1:30" x14ac:dyDescent="0.25">
      <c r="A22" s="1" t="s">
        <v>54</v>
      </c>
      <c r="B22" s="13" t="s">
        <v>55</v>
      </c>
      <c r="C22" s="13"/>
      <c r="D22" s="13">
        <v>47.39</v>
      </c>
      <c r="E22" s="13">
        <v>52.73</v>
      </c>
      <c r="F22" s="13">
        <v>77.790000000000006</v>
      </c>
      <c r="G22" s="46">
        <f t="shared" si="0"/>
        <v>100.12</v>
      </c>
      <c r="H22" s="47"/>
      <c r="I22" s="57">
        <v>1.145</v>
      </c>
      <c r="J22" s="57"/>
      <c r="K22" s="49">
        <f t="shared" si="1"/>
        <v>114.6374</v>
      </c>
      <c r="L22" s="50">
        <f t="shared" si="2"/>
        <v>444177</v>
      </c>
      <c r="N22" s="51">
        <v>5101</v>
      </c>
      <c r="O22" s="52">
        <v>130</v>
      </c>
      <c r="P22" s="53"/>
      <c r="Q22" s="54"/>
      <c r="V22" s="623" t="s">
        <v>55</v>
      </c>
      <c r="W22" s="623"/>
      <c r="X22" s="618">
        <f>IF('3392 June Final'!K$84=1,'3392 June Final'!G22,0)</f>
        <v>0</v>
      </c>
      <c r="Y22" s="618"/>
      <c r="Z22" s="624">
        <v>1</v>
      </c>
      <c r="AA22" s="624"/>
      <c r="AB22" s="55">
        <f t="shared" si="3"/>
        <v>0</v>
      </c>
      <c r="AC22" s="56">
        <f t="shared" si="4"/>
        <v>0</v>
      </c>
      <c r="AD22" s="9"/>
    </row>
    <row r="23" spans="1:30" x14ac:dyDescent="0.25">
      <c r="A23" s="1" t="s">
        <v>56</v>
      </c>
      <c r="B23" s="13" t="s">
        <v>57</v>
      </c>
      <c r="C23" s="13"/>
      <c r="D23" s="13">
        <v>16.2</v>
      </c>
      <c r="E23" s="13">
        <v>15.78</v>
      </c>
      <c r="F23" s="13">
        <v>0</v>
      </c>
      <c r="G23" s="46">
        <f t="shared" si="0"/>
        <v>31.979999999999997</v>
      </c>
      <c r="H23" s="47"/>
      <c r="I23" s="57">
        <f>I22</f>
        <v>1.145</v>
      </c>
      <c r="J23" s="57"/>
      <c r="K23" s="49">
        <f t="shared" si="1"/>
        <v>36.617100000000001</v>
      </c>
      <c r="L23" s="50">
        <f t="shared" si="2"/>
        <v>141878</v>
      </c>
      <c r="N23" s="51">
        <v>5102</v>
      </c>
      <c r="O23" s="52">
        <v>130</v>
      </c>
      <c r="P23" s="53"/>
      <c r="Q23" s="54"/>
      <c r="V23" s="623" t="s">
        <v>57</v>
      </c>
      <c r="W23" s="623"/>
      <c r="X23" s="618">
        <f>IF('3392 June Final'!K$84=1,'3392 June Final'!G23,0)</f>
        <v>0</v>
      </c>
      <c r="Y23" s="618"/>
      <c r="Z23" s="624">
        <v>1</v>
      </c>
      <c r="AA23" s="624"/>
      <c r="AB23" s="55">
        <f t="shared" si="3"/>
        <v>0</v>
      </c>
      <c r="AC23" s="56">
        <f t="shared" si="4"/>
        <v>0</v>
      </c>
      <c r="AD23" s="9"/>
    </row>
    <row r="24" spans="1:30" x14ac:dyDescent="0.25">
      <c r="A24" s="1" t="s">
        <v>58</v>
      </c>
      <c r="B24" s="13" t="s">
        <v>59</v>
      </c>
      <c r="C24" s="13"/>
      <c r="D24" s="13">
        <v>1.2</v>
      </c>
      <c r="E24" s="13">
        <v>0.87</v>
      </c>
      <c r="F24" s="13">
        <v>0</v>
      </c>
      <c r="G24" s="46">
        <f t="shared" si="0"/>
        <v>2.0699999999999998</v>
      </c>
      <c r="H24" s="47"/>
      <c r="I24" s="57">
        <f>I23</f>
        <v>1.145</v>
      </c>
      <c r="J24" s="57"/>
      <c r="K24" s="49">
        <f t="shared" si="1"/>
        <v>2.3702000000000001</v>
      </c>
      <c r="L24" s="50">
        <f t="shared" si="2"/>
        <v>9184</v>
      </c>
      <c r="N24" s="51">
        <v>5103</v>
      </c>
      <c r="O24" s="52">
        <v>130</v>
      </c>
      <c r="P24" s="53"/>
      <c r="Q24" s="54"/>
      <c r="V24" s="623" t="s">
        <v>59</v>
      </c>
      <c r="W24" s="623"/>
      <c r="X24" s="618">
        <f>IF('3392 June Final'!K$84=1,'3392 June Final'!G24,0)</f>
        <v>0</v>
      </c>
      <c r="Y24" s="618"/>
      <c r="Z24" s="624">
        <v>1</v>
      </c>
      <c r="AA24" s="624"/>
      <c r="AB24" s="55">
        <f t="shared" si="3"/>
        <v>0</v>
      </c>
      <c r="AC24" s="56">
        <f t="shared" si="4"/>
        <v>0</v>
      </c>
      <c r="AD24" s="9"/>
    </row>
    <row r="25" spans="1:30" ht="16.5" thickBot="1" x14ac:dyDescent="0.3">
      <c r="A25" s="1" t="s">
        <v>60</v>
      </c>
      <c r="B25" s="13" t="s">
        <v>61</v>
      </c>
      <c r="C25" s="13"/>
      <c r="D25" s="13">
        <v>0.23</v>
      </c>
      <c r="E25" s="13">
        <v>0.23</v>
      </c>
      <c r="F25" s="13">
        <v>0.27</v>
      </c>
      <c r="G25" s="46">
        <f t="shared" si="0"/>
        <v>0.46</v>
      </c>
      <c r="H25" s="47"/>
      <c r="I25" s="57">
        <v>1.0109999999999999</v>
      </c>
      <c r="J25" s="57"/>
      <c r="K25" s="49">
        <f t="shared" si="1"/>
        <v>0.46510000000000001</v>
      </c>
      <c r="L25" s="50">
        <f t="shared" si="2"/>
        <v>1802</v>
      </c>
      <c r="N25" s="51">
        <v>5310</v>
      </c>
      <c r="O25" s="52">
        <v>300</v>
      </c>
      <c r="P25" s="53"/>
      <c r="Q25" s="54"/>
      <c r="V25" s="623" t="s">
        <v>61</v>
      </c>
      <c r="W25" s="623"/>
      <c r="X25" s="618">
        <f>IF('3392 June Final'!K$84=1,'3392 June Final'!G25,0)</f>
        <v>0</v>
      </c>
      <c r="Y25" s="618"/>
      <c r="Z25" s="624">
        <v>1</v>
      </c>
      <c r="AA25" s="624"/>
      <c r="AB25" s="55">
        <f t="shared" si="3"/>
        <v>0</v>
      </c>
      <c r="AC25" s="56">
        <f t="shared" si="4"/>
        <v>0</v>
      </c>
      <c r="AD25" s="9"/>
    </row>
    <row r="26" spans="1:30" ht="20.25" customHeight="1" thickBot="1" x14ac:dyDescent="0.3">
      <c r="B26" s="62" t="s">
        <v>62</v>
      </c>
      <c r="C26" s="62"/>
      <c r="D26" s="63">
        <f>SUM(D10:D25)</f>
        <v>350.78</v>
      </c>
      <c r="E26" s="63">
        <f>SUM(E10:E25)</f>
        <v>333.46000000000004</v>
      </c>
      <c r="F26" s="63"/>
      <c r="G26" s="63">
        <f>SUM(G10:G25)</f>
        <v>684.24000000000012</v>
      </c>
      <c r="H26" s="64"/>
      <c r="I26" s="64"/>
      <c r="J26" s="65"/>
      <c r="K26" s="66">
        <f>SUM(K10:K25)</f>
        <v>732.68889999999988</v>
      </c>
      <c r="L26" s="67">
        <f>SUM(L10:L25)</f>
        <v>2838896</v>
      </c>
      <c r="N26" s="54"/>
      <c r="O26" s="68"/>
      <c r="P26" s="54"/>
      <c r="Q26" s="54"/>
      <c r="V26" s="625" t="s">
        <v>62</v>
      </c>
      <c r="W26" s="625"/>
      <c r="X26" s="626">
        <f>SUM(X10:X25)</f>
        <v>0</v>
      </c>
      <c r="Y26" s="626"/>
      <c r="Z26" s="627"/>
      <c r="AA26" s="628"/>
      <c r="AB26" s="69">
        <f>SUM(AB10:AB25)</f>
        <v>0</v>
      </c>
      <c r="AC26" s="70">
        <f>SUM(AC10:AC25)</f>
        <v>0</v>
      </c>
      <c r="AD26" s="9"/>
    </row>
    <row r="27" spans="1:30" ht="51.75" customHeight="1" x14ac:dyDescent="0.25">
      <c r="B27" s="62" t="s">
        <v>63</v>
      </c>
      <c r="C27" s="62"/>
      <c r="D27" s="71" t="s">
        <v>13</v>
      </c>
      <c r="E27" s="71" t="s">
        <v>14</v>
      </c>
      <c r="F27" s="27"/>
      <c r="G27" s="72" t="s">
        <v>64</v>
      </c>
      <c r="H27" s="73"/>
      <c r="I27" s="74" t="s">
        <v>65</v>
      </c>
      <c r="J27" s="74" t="s">
        <v>66</v>
      </c>
      <c r="K27" s="75" t="s">
        <v>67</v>
      </c>
      <c r="N27" s="54"/>
      <c r="O27" s="68"/>
      <c r="P27" s="54"/>
      <c r="Q27" s="54"/>
      <c r="V27" s="629" t="s">
        <v>63</v>
      </c>
      <c r="W27" s="629"/>
      <c r="X27" s="630" t="s">
        <v>64</v>
      </c>
      <c r="Y27" s="630"/>
      <c r="Z27" s="76" t="s">
        <v>65</v>
      </c>
      <c r="AA27" s="77" t="s">
        <v>66</v>
      </c>
      <c r="AB27" s="78" t="s">
        <v>67</v>
      </c>
      <c r="AC27" s="9"/>
      <c r="AD27" s="9"/>
    </row>
    <row r="28" spans="1:30" ht="15.75" customHeight="1" x14ac:dyDescent="0.25">
      <c r="A28" s="1" t="s">
        <v>68</v>
      </c>
      <c r="B28" s="631" t="s">
        <v>69</v>
      </c>
      <c r="C28" s="632"/>
      <c r="D28" s="579">
        <v>10.02</v>
      </c>
      <c r="E28" s="579">
        <v>9.5299999999999994</v>
      </c>
      <c r="F28" s="79">
        <v>19</v>
      </c>
      <c r="G28" s="46">
        <f t="shared" ref="G28:G36" si="5">D28+E28</f>
        <v>19.549999999999997</v>
      </c>
      <c r="H28" s="80"/>
      <c r="I28" s="81" t="s">
        <v>70</v>
      </c>
      <c r="J28" s="82">
        <v>251</v>
      </c>
      <c r="K28" s="83">
        <v>1047</v>
      </c>
      <c r="L28" s="84">
        <f t="shared" ref="L28:L36" si="6">ROUND(G28*K28,0)</f>
        <v>20469</v>
      </c>
      <c r="N28" s="337">
        <v>5101</v>
      </c>
      <c r="O28" s="54">
        <v>251</v>
      </c>
      <c r="P28" s="86"/>
      <c r="Q28" s="87"/>
      <c r="V28" s="637" t="s">
        <v>69</v>
      </c>
      <c r="W28" s="637"/>
      <c r="X28" s="638"/>
      <c r="Y28" s="638"/>
      <c r="Z28" s="88" t="s">
        <v>70</v>
      </c>
      <c r="AA28" s="330">
        <v>251</v>
      </c>
      <c r="AB28" s="90">
        <f t="shared" ref="AB28:AB36" si="7">+K28</f>
        <v>1047</v>
      </c>
      <c r="AC28" s="91">
        <f t="shared" ref="AC28:AC36" si="8">ROUND(X28*AB28,0)</f>
        <v>0</v>
      </c>
      <c r="AD28" s="9"/>
    </row>
    <row r="29" spans="1:30" x14ac:dyDescent="0.25">
      <c r="A29" s="1" t="s">
        <v>71</v>
      </c>
      <c r="B29" s="633"/>
      <c r="C29" s="634"/>
      <c r="D29" s="579">
        <v>2.0699999999999998</v>
      </c>
      <c r="E29" s="579">
        <v>1.56</v>
      </c>
      <c r="F29" s="92">
        <v>1</v>
      </c>
      <c r="G29" s="46">
        <f t="shared" si="5"/>
        <v>3.63</v>
      </c>
      <c r="H29" s="80"/>
      <c r="I29" s="82" t="s">
        <v>70</v>
      </c>
      <c r="J29" s="82">
        <v>252</v>
      </c>
      <c r="K29" s="83">
        <v>3380</v>
      </c>
      <c r="L29" s="84">
        <f t="shared" si="6"/>
        <v>12269</v>
      </c>
      <c r="N29" s="337">
        <v>5101</v>
      </c>
      <c r="O29" s="54">
        <v>252</v>
      </c>
      <c r="P29" s="86"/>
      <c r="Q29" s="87"/>
      <c r="V29" s="637"/>
      <c r="W29" s="637"/>
      <c r="X29" s="638"/>
      <c r="Y29" s="638"/>
      <c r="Z29" s="330" t="s">
        <v>70</v>
      </c>
      <c r="AA29" s="330">
        <v>252</v>
      </c>
      <c r="AB29" s="90">
        <f t="shared" si="7"/>
        <v>3380</v>
      </c>
      <c r="AC29" s="91">
        <f t="shared" si="8"/>
        <v>0</v>
      </c>
      <c r="AD29" s="9"/>
    </row>
    <row r="30" spans="1:30" x14ac:dyDescent="0.25">
      <c r="A30" s="1" t="s">
        <v>72</v>
      </c>
      <c r="B30" s="633"/>
      <c r="C30" s="634"/>
      <c r="D30" s="579">
        <v>0</v>
      </c>
      <c r="E30" s="579">
        <v>0</v>
      </c>
      <c r="F30" s="92">
        <v>0.5</v>
      </c>
      <c r="G30" s="46">
        <f t="shared" si="5"/>
        <v>0</v>
      </c>
      <c r="H30" s="80"/>
      <c r="I30" s="82" t="s">
        <v>70</v>
      </c>
      <c r="J30" s="82">
        <v>253</v>
      </c>
      <c r="K30" s="83">
        <v>6896</v>
      </c>
      <c r="L30" s="84">
        <f t="shared" si="6"/>
        <v>0</v>
      </c>
      <c r="N30" s="337">
        <v>5101</v>
      </c>
      <c r="O30" s="54">
        <v>253</v>
      </c>
      <c r="P30" s="86"/>
      <c r="Q30" s="68"/>
      <c r="V30" s="637"/>
      <c r="W30" s="637"/>
      <c r="X30" s="638"/>
      <c r="Y30" s="638"/>
      <c r="Z30" s="330" t="s">
        <v>70</v>
      </c>
      <c r="AA30" s="330">
        <v>253</v>
      </c>
      <c r="AB30" s="90">
        <f t="shared" si="7"/>
        <v>6896</v>
      </c>
      <c r="AC30" s="91">
        <f t="shared" si="8"/>
        <v>0</v>
      </c>
      <c r="AD30" s="9"/>
    </row>
    <row r="31" spans="1:30" x14ac:dyDescent="0.25">
      <c r="A31" s="1" t="s">
        <v>73</v>
      </c>
      <c r="B31" s="633"/>
      <c r="C31" s="634"/>
      <c r="D31" s="579">
        <v>27.35</v>
      </c>
      <c r="E31" s="579">
        <v>23.64</v>
      </c>
      <c r="F31" s="92">
        <v>28.5</v>
      </c>
      <c r="G31" s="46">
        <f t="shared" si="5"/>
        <v>50.99</v>
      </c>
      <c r="H31" s="80"/>
      <c r="I31" s="93" t="s">
        <v>74</v>
      </c>
      <c r="J31" s="82">
        <v>251</v>
      </c>
      <c r="K31" s="83">
        <v>1173</v>
      </c>
      <c r="L31" s="84">
        <f t="shared" si="6"/>
        <v>59811</v>
      </c>
      <c r="N31" s="337">
        <v>5102</v>
      </c>
      <c r="O31" s="54">
        <v>251</v>
      </c>
      <c r="P31" s="86"/>
      <c r="Q31" s="68"/>
      <c r="V31" s="637"/>
      <c r="W31" s="637"/>
      <c r="X31" s="638"/>
      <c r="Y31" s="638"/>
      <c r="Z31" s="94" t="s">
        <v>74</v>
      </c>
      <c r="AA31" s="330">
        <v>251</v>
      </c>
      <c r="AB31" s="90">
        <f t="shared" si="7"/>
        <v>1173</v>
      </c>
      <c r="AC31" s="91">
        <f t="shared" si="8"/>
        <v>0</v>
      </c>
      <c r="AD31" s="9"/>
    </row>
    <row r="32" spans="1:30" x14ac:dyDescent="0.25">
      <c r="A32" s="1" t="s">
        <v>75</v>
      </c>
      <c r="B32" s="633"/>
      <c r="C32" s="634"/>
      <c r="D32" s="579">
        <v>0</v>
      </c>
      <c r="E32" s="579">
        <v>0</v>
      </c>
      <c r="F32" s="92">
        <v>0.5</v>
      </c>
      <c r="G32" s="46">
        <f t="shared" si="5"/>
        <v>0</v>
      </c>
      <c r="H32" s="80"/>
      <c r="I32" s="93" t="s">
        <v>74</v>
      </c>
      <c r="J32" s="82">
        <v>252</v>
      </c>
      <c r="K32" s="83">
        <v>3506</v>
      </c>
      <c r="L32" s="84">
        <f t="shared" si="6"/>
        <v>0</v>
      </c>
      <c r="N32" s="337">
        <v>5102</v>
      </c>
      <c r="O32" s="54">
        <v>252</v>
      </c>
      <c r="P32" s="86"/>
      <c r="Q32" s="54"/>
      <c r="V32" s="637"/>
      <c r="W32" s="637"/>
      <c r="X32" s="638"/>
      <c r="Y32" s="638"/>
      <c r="Z32" s="94" t="s">
        <v>74</v>
      </c>
      <c r="AA32" s="330">
        <v>252</v>
      </c>
      <c r="AB32" s="90">
        <f t="shared" si="7"/>
        <v>3506</v>
      </c>
      <c r="AC32" s="91">
        <f t="shared" si="8"/>
        <v>0</v>
      </c>
      <c r="AD32" s="9"/>
    </row>
    <row r="33" spans="1:30" x14ac:dyDescent="0.25">
      <c r="A33" s="1" t="s">
        <v>76</v>
      </c>
      <c r="B33" s="633"/>
      <c r="C33" s="634"/>
      <c r="D33" s="579">
        <v>0</v>
      </c>
      <c r="E33" s="579">
        <v>0</v>
      </c>
      <c r="F33" s="92">
        <v>0</v>
      </c>
      <c r="G33" s="46">
        <f t="shared" si="5"/>
        <v>0</v>
      </c>
      <c r="H33" s="80"/>
      <c r="I33" s="93" t="s">
        <v>74</v>
      </c>
      <c r="J33" s="82">
        <v>253</v>
      </c>
      <c r="K33" s="83">
        <v>7023</v>
      </c>
      <c r="L33" s="84">
        <f t="shared" si="6"/>
        <v>0</v>
      </c>
      <c r="N33" s="337">
        <v>5102</v>
      </c>
      <c r="O33" s="54">
        <v>253</v>
      </c>
      <c r="P33" s="86"/>
      <c r="Q33" s="87"/>
      <c r="V33" s="637"/>
      <c r="W33" s="637"/>
      <c r="X33" s="638"/>
      <c r="Y33" s="638"/>
      <c r="Z33" s="94" t="s">
        <v>74</v>
      </c>
      <c r="AA33" s="330">
        <v>253</v>
      </c>
      <c r="AB33" s="90">
        <f t="shared" si="7"/>
        <v>7023</v>
      </c>
      <c r="AC33" s="91">
        <f t="shared" si="8"/>
        <v>0</v>
      </c>
      <c r="AD33" s="9"/>
    </row>
    <row r="34" spans="1:30" x14ac:dyDescent="0.25">
      <c r="A34" s="1" t="s">
        <v>77</v>
      </c>
      <c r="B34" s="633"/>
      <c r="C34" s="634"/>
      <c r="D34" s="579">
        <v>3.52</v>
      </c>
      <c r="E34" s="579">
        <v>3.77</v>
      </c>
      <c r="F34" s="92">
        <v>8</v>
      </c>
      <c r="G34" s="46">
        <f t="shared" si="5"/>
        <v>7.29</v>
      </c>
      <c r="H34" s="80"/>
      <c r="I34" s="93" t="s">
        <v>78</v>
      </c>
      <c r="J34" s="82">
        <v>251</v>
      </c>
      <c r="K34" s="83">
        <v>835</v>
      </c>
      <c r="L34" s="84">
        <f t="shared" si="6"/>
        <v>6087</v>
      </c>
      <c r="N34" s="337">
        <v>5103</v>
      </c>
      <c r="O34" s="54">
        <v>251</v>
      </c>
      <c r="P34" s="86"/>
      <c r="Q34" s="87"/>
      <c r="V34" s="637"/>
      <c r="W34" s="637"/>
      <c r="X34" s="638"/>
      <c r="Y34" s="638"/>
      <c r="Z34" s="94" t="s">
        <v>78</v>
      </c>
      <c r="AA34" s="330">
        <v>251</v>
      </c>
      <c r="AB34" s="90">
        <f t="shared" si="7"/>
        <v>835</v>
      </c>
      <c r="AC34" s="91">
        <f t="shared" si="8"/>
        <v>0</v>
      </c>
      <c r="AD34" s="9"/>
    </row>
    <row r="35" spans="1:30" x14ac:dyDescent="0.25">
      <c r="A35" s="1" t="s">
        <v>79</v>
      </c>
      <c r="B35" s="633"/>
      <c r="C35" s="634"/>
      <c r="D35" s="13">
        <v>0</v>
      </c>
      <c r="E35" s="13">
        <v>0</v>
      </c>
      <c r="F35" s="92">
        <v>0.5</v>
      </c>
      <c r="G35" s="46">
        <f t="shared" si="5"/>
        <v>0</v>
      </c>
      <c r="H35" s="80"/>
      <c r="I35" s="93" t="s">
        <v>78</v>
      </c>
      <c r="J35" s="82">
        <v>252</v>
      </c>
      <c r="K35" s="83">
        <v>3168</v>
      </c>
      <c r="L35" s="84">
        <f t="shared" si="6"/>
        <v>0</v>
      </c>
      <c r="N35" s="337">
        <v>5103</v>
      </c>
      <c r="O35" s="54">
        <v>252</v>
      </c>
      <c r="P35" s="86"/>
      <c r="Q35" s="95"/>
      <c r="V35" s="637"/>
      <c r="W35" s="637"/>
      <c r="X35" s="638"/>
      <c r="Y35" s="638"/>
      <c r="Z35" s="94" t="s">
        <v>78</v>
      </c>
      <c r="AA35" s="330">
        <v>252</v>
      </c>
      <c r="AB35" s="90">
        <f t="shared" si="7"/>
        <v>3168</v>
      </c>
      <c r="AC35" s="91">
        <f t="shared" si="8"/>
        <v>0</v>
      </c>
      <c r="AD35" s="9"/>
    </row>
    <row r="36" spans="1:30" ht="16.5" thickBot="1" x14ac:dyDescent="0.3">
      <c r="A36" s="1" t="s">
        <v>80</v>
      </c>
      <c r="B36" s="635"/>
      <c r="C36" s="636"/>
      <c r="D36" s="13">
        <v>0</v>
      </c>
      <c r="E36" s="13">
        <v>0</v>
      </c>
      <c r="F36" s="92">
        <v>0</v>
      </c>
      <c r="G36" s="46">
        <f t="shared" si="5"/>
        <v>0</v>
      </c>
      <c r="H36" s="80"/>
      <c r="I36" s="93" t="s">
        <v>78</v>
      </c>
      <c r="J36" s="82">
        <v>253</v>
      </c>
      <c r="K36" s="83">
        <v>6685</v>
      </c>
      <c r="L36" s="96">
        <f t="shared" si="6"/>
        <v>0</v>
      </c>
      <c r="N36" s="337">
        <v>5103</v>
      </c>
      <c r="O36" s="54">
        <v>253</v>
      </c>
      <c r="P36" s="86"/>
      <c r="Q36" s="97"/>
      <c r="V36" s="637"/>
      <c r="W36" s="637"/>
      <c r="X36" s="645"/>
      <c r="Y36" s="645"/>
      <c r="Z36" s="94" t="s">
        <v>78</v>
      </c>
      <c r="AA36" s="330">
        <v>253</v>
      </c>
      <c r="AB36" s="90">
        <f t="shared" si="7"/>
        <v>6685</v>
      </c>
      <c r="AC36" s="98">
        <f t="shared" si="8"/>
        <v>0</v>
      </c>
      <c r="AD36" s="9"/>
    </row>
    <row r="37" spans="1:30" ht="18.75" customHeight="1" x14ac:dyDescent="0.25">
      <c r="B37" s="13" t="s">
        <v>81</v>
      </c>
      <c r="C37" s="13"/>
      <c r="D37" s="63">
        <f>SUM(D28:D36)</f>
        <v>42.96</v>
      </c>
      <c r="E37" s="63">
        <f>SUM(E28:E36)</f>
        <v>38.500000000000007</v>
      </c>
      <c r="F37" s="63"/>
      <c r="G37" s="63">
        <f>SUM(G28:G36)</f>
        <v>81.460000000000008</v>
      </c>
      <c r="H37" s="64"/>
      <c r="I37" s="13" t="s">
        <v>82</v>
      </c>
      <c r="J37" s="13"/>
      <c r="K37" s="13"/>
      <c r="L37" s="50">
        <f>SUM(L28:L36)</f>
        <v>98636</v>
      </c>
      <c r="N37" s="54"/>
      <c r="O37" s="68"/>
      <c r="P37" s="54"/>
      <c r="Q37" s="54"/>
      <c r="V37" s="646" t="s">
        <v>81</v>
      </c>
      <c r="W37" s="646"/>
      <c r="X37" s="626">
        <f>SUM(X28:X36)</f>
        <v>0</v>
      </c>
      <c r="Y37" s="626"/>
      <c r="Z37" s="646" t="s">
        <v>82</v>
      </c>
      <c r="AA37" s="646"/>
      <c r="AB37" s="646"/>
      <c r="AC37" s="56">
        <f>SUM(AC28:AC36)</f>
        <v>0</v>
      </c>
      <c r="AD37" s="9"/>
    </row>
    <row r="38" spans="1:30" ht="30.75" customHeight="1" x14ac:dyDescent="0.25">
      <c r="B38" s="99" t="s">
        <v>83</v>
      </c>
      <c r="C38" s="99"/>
      <c r="D38" s="99"/>
      <c r="E38" s="99"/>
      <c r="F38" s="99"/>
      <c r="G38" s="99"/>
      <c r="H38" s="100"/>
      <c r="I38" s="99"/>
      <c r="J38" s="99"/>
      <c r="K38" s="99"/>
      <c r="L38" s="99"/>
      <c r="M38" s="101"/>
      <c r="N38" s="54"/>
      <c r="O38" s="68"/>
      <c r="P38" s="54"/>
      <c r="Q38" s="54"/>
      <c r="V38" s="639" t="s">
        <v>83</v>
      </c>
      <c r="W38" s="639"/>
      <c r="X38" s="639"/>
      <c r="Y38" s="639"/>
      <c r="Z38" s="639"/>
      <c r="AA38" s="639"/>
      <c r="AB38" s="639"/>
      <c r="AC38" s="639"/>
      <c r="AD38" s="102"/>
    </row>
    <row r="39" spans="1:30" ht="15.75" customHeight="1" x14ac:dyDescent="0.25">
      <c r="B39" s="103" t="s">
        <v>84</v>
      </c>
      <c r="C39" s="103"/>
      <c r="D39" s="103"/>
      <c r="E39" s="103"/>
      <c r="F39" s="103"/>
      <c r="G39" s="104">
        <v>34389540</v>
      </c>
      <c r="H39" s="104"/>
      <c r="I39" s="13" t="s">
        <v>85</v>
      </c>
      <c r="J39" s="13"/>
      <c r="K39" s="13"/>
      <c r="L39" s="13"/>
      <c r="O39" s="1"/>
      <c r="V39" s="640" t="s">
        <v>84</v>
      </c>
      <c r="W39" s="640"/>
      <c r="X39" s="641">
        <f>+G39</f>
        <v>34389540</v>
      </c>
      <c r="Y39" s="641"/>
      <c r="Z39" s="642" t="s">
        <v>85</v>
      </c>
      <c r="AA39" s="642"/>
      <c r="AB39" s="642"/>
      <c r="AC39" s="642"/>
      <c r="AD39" s="9"/>
    </row>
    <row r="40" spans="1:30" ht="15.75" customHeight="1" x14ac:dyDescent="0.25">
      <c r="B40" s="105" t="s">
        <v>86</v>
      </c>
      <c r="C40" s="105"/>
      <c r="D40" s="105"/>
      <c r="E40" s="105"/>
      <c r="F40" s="105"/>
      <c r="G40" s="106">
        <v>180284.81</v>
      </c>
      <c r="H40" s="106"/>
      <c r="I40" s="106"/>
      <c r="J40" s="106"/>
      <c r="K40" s="50">
        <f>ROUND(G39/G40,0)</f>
        <v>191</v>
      </c>
      <c r="L40" s="50">
        <f>ROUND(K40*$G$26,0)</f>
        <v>130690</v>
      </c>
      <c r="N40" s="107"/>
      <c r="O40" s="107"/>
      <c r="P40" s="107"/>
      <c r="Q40" s="107"/>
      <c r="V40" s="643" t="s">
        <v>86</v>
      </c>
      <c r="W40" s="643"/>
      <c r="X40" s="644">
        <f>+G40</f>
        <v>180284.81</v>
      </c>
      <c r="Y40" s="644"/>
      <c r="Z40" s="644"/>
      <c r="AA40" s="644"/>
      <c r="AB40" s="56">
        <f>ROUND(X39/X40,0)</f>
        <v>191</v>
      </c>
      <c r="AC40" s="56">
        <f>ROUND(AB40*$X$26,0)</f>
        <v>0</v>
      </c>
      <c r="AD40" s="9"/>
    </row>
    <row r="41" spans="1:30" ht="15.75" customHeight="1" x14ac:dyDescent="0.25">
      <c r="B41" s="108" t="s">
        <v>87</v>
      </c>
      <c r="C41" s="108"/>
      <c r="D41" s="108"/>
      <c r="E41" s="108"/>
      <c r="F41" s="108"/>
      <c r="G41" s="108"/>
      <c r="H41" s="108"/>
      <c r="I41" s="108"/>
      <c r="J41" s="108"/>
      <c r="K41" s="108"/>
      <c r="L41" s="108"/>
      <c r="N41" s="101"/>
      <c r="O41" s="109"/>
      <c r="P41" s="101"/>
      <c r="Q41" s="101"/>
      <c r="V41" s="652" t="s">
        <v>87</v>
      </c>
      <c r="W41" s="652"/>
      <c r="X41" s="652"/>
      <c r="Y41" s="652"/>
      <c r="Z41" s="652"/>
      <c r="AA41" s="652"/>
      <c r="AB41" s="652"/>
      <c r="AC41" s="652"/>
      <c r="AD41" s="9"/>
    </row>
    <row r="42" spans="1:30" ht="28.5" customHeight="1" x14ac:dyDescent="0.25">
      <c r="B42" s="99" t="s">
        <v>88</v>
      </c>
      <c r="C42" s="99"/>
      <c r="D42" s="99"/>
      <c r="E42" s="99"/>
      <c r="F42" s="99"/>
      <c r="G42" s="99"/>
      <c r="H42" s="99"/>
      <c r="I42" s="99"/>
      <c r="J42" s="99"/>
      <c r="K42" s="99"/>
      <c r="L42" s="99"/>
      <c r="M42" s="107"/>
      <c r="O42" s="1"/>
      <c r="V42" s="639" t="s">
        <v>88</v>
      </c>
      <c r="W42" s="639"/>
      <c r="X42" s="639"/>
      <c r="Y42" s="639"/>
      <c r="Z42" s="639"/>
      <c r="AA42" s="639"/>
      <c r="AB42" s="639"/>
      <c r="AC42" s="639"/>
      <c r="AD42" s="334"/>
    </row>
    <row r="43" spans="1:30" x14ac:dyDescent="0.25">
      <c r="B43" s="111" t="s">
        <v>89</v>
      </c>
      <c r="C43" s="111"/>
      <c r="D43" s="111"/>
      <c r="E43" s="111"/>
      <c r="F43" s="111"/>
      <c r="G43" s="111"/>
      <c r="H43" s="111"/>
      <c r="I43" s="111"/>
      <c r="J43" s="111"/>
      <c r="K43" s="111"/>
      <c r="L43" s="111"/>
      <c r="M43" s="112"/>
      <c r="N43" s="101"/>
      <c r="O43" s="101"/>
      <c r="P43" s="101"/>
      <c r="Q43" s="101"/>
      <c r="V43" s="653" t="s">
        <v>89</v>
      </c>
      <c r="W43" s="653"/>
      <c r="X43" s="653"/>
      <c r="Y43" s="653"/>
      <c r="Z43" s="653"/>
      <c r="AA43" s="653"/>
      <c r="AB43" s="653"/>
      <c r="AC43" s="653"/>
      <c r="AD43" s="113"/>
    </row>
    <row r="44" spans="1:30" ht="24" customHeight="1" x14ac:dyDescent="0.25">
      <c r="B44" s="62" t="s">
        <v>90</v>
      </c>
      <c r="C44" s="62"/>
      <c r="D44" s="62"/>
      <c r="E44" s="62"/>
      <c r="F44" s="62"/>
      <c r="G44" s="62"/>
      <c r="H44" s="62"/>
      <c r="I44" s="62"/>
      <c r="J44" s="62"/>
      <c r="K44" s="62"/>
      <c r="L44" s="114">
        <f>SUM(L26,L37,L40)</f>
        <v>3068222</v>
      </c>
      <c r="O44" s="1"/>
      <c r="V44" s="654" t="s">
        <v>90</v>
      </c>
      <c r="W44" s="654"/>
      <c r="X44" s="654"/>
      <c r="Y44" s="654"/>
      <c r="Z44" s="654"/>
      <c r="AA44" s="654"/>
      <c r="AB44" s="654"/>
      <c r="AC44" s="115">
        <f>SUM(AC26,AC37,AC40)</f>
        <v>0</v>
      </c>
      <c r="AD44" s="9"/>
    </row>
    <row r="45" spans="1:30" ht="30.75" customHeight="1" x14ac:dyDescent="0.25">
      <c r="B45" s="99" t="s">
        <v>91</v>
      </c>
      <c r="C45" s="99"/>
      <c r="D45" s="99"/>
      <c r="E45" s="99"/>
      <c r="F45" s="99"/>
      <c r="G45" s="99"/>
      <c r="H45" s="99"/>
      <c r="I45" s="99"/>
      <c r="J45" s="99"/>
      <c r="K45" s="99"/>
      <c r="L45" s="99"/>
      <c r="M45" s="116"/>
      <c r="O45" s="1"/>
      <c r="V45" s="639" t="s">
        <v>91</v>
      </c>
      <c r="W45" s="639"/>
      <c r="X45" s="639"/>
      <c r="Y45" s="639"/>
      <c r="Z45" s="639"/>
      <c r="AA45" s="639"/>
      <c r="AB45" s="639"/>
      <c r="AC45" s="639"/>
      <c r="AD45" s="333"/>
    </row>
    <row r="46" spans="1:30" ht="18.75" customHeight="1" x14ac:dyDescent="0.25">
      <c r="B46" s="1"/>
      <c r="C46" s="118" t="s">
        <v>92</v>
      </c>
      <c r="D46" s="118"/>
      <c r="E46" s="118"/>
      <c r="F46" s="118"/>
      <c r="G46" s="118" t="s">
        <v>93</v>
      </c>
      <c r="H46" s="119"/>
      <c r="I46" s="120" t="s">
        <v>94</v>
      </c>
      <c r="J46" s="121"/>
      <c r="K46" s="121"/>
      <c r="L46" s="121"/>
      <c r="M46" s="122"/>
      <c r="O46" s="1"/>
      <c r="V46" s="9"/>
      <c r="W46" s="336" t="s">
        <v>92</v>
      </c>
      <c r="X46" s="655" t="s">
        <v>95</v>
      </c>
      <c r="Y46" s="655"/>
      <c r="Z46" s="656" t="s">
        <v>94</v>
      </c>
      <c r="AA46" s="656"/>
      <c r="AB46" s="656"/>
      <c r="AC46" s="656"/>
      <c r="AD46" s="124"/>
    </row>
    <row r="47" spans="1:30" ht="18.75" customHeight="1" x14ac:dyDescent="0.25">
      <c r="B47" s="107" t="s">
        <v>96</v>
      </c>
      <c r="C47" s="125">
        <f>K10+K11+K16+K19+K22</f>
        <v>372.93740000000003</v>
      </c>
      <c r="D47" s="125"/>
      <c r="E47" s="125"/>
      <c r="F47" s="125"/>
      <c r="G47" s="126">
        <f>K7</f>
        <v>1.0326</v>
      </c>
      <c r="H47" s="126"/>
      <c r="I47" s="127">
        <v>1316.85</v>
      </c>
      <c r="J47" s="128" t="s">
        <v>97</v>
      </c>
      <c r="K47" s="129">
        <f>ROUND(C47*G47*I47,0)</f>
        <v>507113</v>
      </c>
      <c r="L47" s="130"/>
      <c r="O47" s="1"/>
      <c r="V47" s="334" t="s">
        <v>96</v>
      </c>
      <c r="W47" s="131">
        <f>AB10+AB11+AB16+AB19+AB22</f>
        <v>0</v>
      </c>
      <c r="X47" s="647">
        <f>AB7</f>
        <v>1.0326</v>
      </c>
      <c r="Y47" s="647"/>
      <c r="Z47" s="132">
        <f>+I47</f>
        <v>1316.85</v>
      </c>
      <c r="AA47" s="133" t="s">
        <v>97</v>
      </c>
      <c r="AB47" s="134">
        <f>ROUND(W47*X47*Z47,0)</f>
        <v>0</v>
      </c>
      <c r="AC47" s="135"/>
      <c r="AD47" s="9"/>
    </row>
    <row r="48" spans="1:30" ht="18" customHeight="1" x14ac:dyDescent="0.25">
      <c r="B48" s="136" t="s">
        <v>74</v>
      </c>
      <c r="C48" s="125">
        <f>K12+K13+K17+K20+K23</f>
        <v>330.34710000000001</v>
      </c>
      <c r="D48" s="125"/>
      <c r="E48" s="125"/>
      <c r="F48" s="125"/>
      <c r="G48" s="126">
        <f>K7</f>
        <v>1.0326</v>
      </c>
      <c r="H48" s="126"/>
      <c r="I48" s="127">
        <v>898.23</v>
      </c>
      <c r="J48" s="128" t="s">
        <v>97</v>
      </c>
      <c r="K48" s="129">
        <f>ROUND(C48*G48*I48,0)</f>
        <v>306401</v>
      </c>
      <c r="L48" s="62"/>
      <c r="O48" s="1"/>
      <c r="V48" s="137" t="s">
        <v>74</v>
      </c>
      <c r="W48" s="131">
        <f>AB12+AB13+AB17+AB20+AB23</f>
        <v>0</v>
      </c>
      <c r="X48" s="647">
        <f>AB7</f>
        <v>1.0326</v>
      </c>
      <c r="Y48" s="647"/>
      <c r="Z48" s="132">
        <f>+I48</f>
        <v>898.23</v>
      </c>
      <c r="AA48" s="133" t="s">
        <v>97</v>
      </c>
      <c r="AB48" s="134">
        <f>ROUND(W48*X48*Z48,0)</f>
        <v>0</v>
      </c>
      <c r="AC48" s="138"/>
      <c r="AD48" s="9"/>
    </row>
    <row r="49" spans="2:30" ht="19.5" customHeight="1" thickBot="1" x14ac:dyDescent="0.3">
      <c r="B49" s="139" t="s">
        <v>78</v>
      </c>
      <c r="C49" s="140">
        <f>K14+K15+K18+K21+K24+K25</f>
        <v>29.404399999999999</v>
      </c>
      <c r="D49" s="125"/>
      <c r="E49" s="125"/>
      <c r="F49" s="125"/>
      <c r="G49" s="126">
        <f>K7</f>
        <v>1.0326</v>
      </c>
      <c r="H49" s="126"/>
      <c r="I49" s="127">
        <v>900.39</v>
      </c>
      <c r="J49" s="128" t="s">
        <v>97</v>
      </c>
      <c r="K49" s="129">
        <f>ROUND(C49*G49*I49,0)</f>
        <v>27339</v>
      </c>
      <c r="L49" s="62"/>
      <c r="M49" s="112"/>
      <c r="N49" s="141"/>
      <c r="O49" s="142"/>
      <c r="P49" s="101"/>
      <c r="Q49" s="143"/>
      <c r="V49" s="144" t="s">
        <v>78</v>
      </c>
      <c r="W49" s="145">
        <f>AB14+AB15+AB18+AB21+AB24+AB25</f>
        <v>0</v>
      </c>
      <c r="X49" s="647">
        <f>AB7</f>
        <v>1.0326</v>
      </c>
      <c r="Y49" s="647"/>
      <c r="Z49" s="132">
        <f>+I49</f>
        <v>900.39</v>
      </c>
      <c r="AA49" s="133" t="s">
        <v>97</v>
      </c>
      <c r="AB49" s="134">
        <f>ROUND(W49*X49*Z49,0)</f>
        <v>0</v>
      </c>
      <c r="AC49" s="138"/>
      <c r="AD49" s="113"/>
    </row>
    <row r="50" spans="2:30" ht="24" customHeight="1" thickBot="1" x14ac:dyDescent="0.3">
      <c r="B50" s="146" t="s">
        <v>98</v>
      </c>
      <c r="C50" s="147">
        <f>SUM(C47:C49)</f>
        <v>732.68889999999999</v>
      </c>
      <c r="D50" s="148"/>
      <c r="E50" s="149"/>
      <c r="F50" s="149"/>
      <c r="G50" s="150" t="s">
        <v>99</v>
      </c>
      <c r="H50" s="150"/>
      <c r="I50" s="150"/>
      <c r="J50" s="150"/>
      <c r="K50" s="150"/>
      <c r="L50" s="50">
        <f>IF(B2=75,0,K49+K48+K47)</f>
        <v>840853</v>
      </c>
      <c r="N50" s="3"/>
      <c r="O50" s="1"/>
      <c r="V50" s="335" t="s">
        <v>98</v>
      </c>
      <c r="W50" s="152">
        <f>SUM(W47:W49)</f>
        <v>0</v>
      </c>
      <c r="X50" s="648" t="s">
        <v>99</v>
      </c>
      <c r="Y50" s="649"/>
      <c r="Z50" s="649"/>
      <c r="AA50" s="649"/>
      <c r="AB50" s="649"/>
      <c r="AC50" s="56">
        <f>IF(V2=75,0,AB49+AB48+AB47)</f>
        <v>0</v>
      </c>
      <c r="AD50" s="9"/>
    </row>
    <row r="51" spans="2:30" ht="19.5" customHeight="1" x14ac:dyDescent="0.25">
      <c r="B51" s="153" t="s">
        <v>100</v>
      </c>
      <c r="C51" s="153"/>
      <c r="D51" s="153"/>
      <c r="E51" s="153"/>
      <c r="F51" s="153"/>
      <c r="G51" s="153"/>
      <c r="H51" s="153"/>
      <c r="I51" s="153"/>
      <c r="J51" s="153"/>
      <c r="K51" s="153"/>
      <c r="L51" s="153"/>
      <c r="M51" s="141"/>
      <c r="N51" s="101"/>
      <c r="O51" s="1"/>
      <c r="V51" s="650" t="s">
        <v>100</v>
      </c>
      <c r="W51" s="650"/>
      <c r="X51" s="650"/>
      <c r="Y51" s="650"/>
      <c r="Z51" s="650"/>
      <c r="AA51" s="650"/>
      <c r="AB51" s="650"/>
      <c r="AC51" s="650"/>
      <c r="AD51" s="154"/>
    </row>
    <row r="52" spans="2:30" ht="27.75" customHeight="1" x14ac:dyDescent="0.25">
      <c r="B52" s="13" t="s">
        <v>101</v>
      </c>
      <c r="C52" s="13"/>
      <c r="D52" s="13"/>
      <c r="E52" s="13"/>
      <c r="F52" s="13"/>
      <c r="G52" s="13"/>
      <c r="H52" s="13"/>
      <c r="I52" s="13"/>
      <c r="J52" s="13"/>
      <c r="K52" s="13"/>
      <c r="L52" s="13"/>
      <c r="O52" s="1"/>
      <c r="V52" s="651" t="s">
        <v>101</v>
      </c>
      <c r="W52" s="651"/>
      <c r="X52" s="651"/>
      <c r="Y52" s="651"/>
      <c r="Z52" s="651"/>
      <c r="AA52" s="651"/>
      <c r="AB52" s="651"/>
      <c r="AC52" s="651"/>
      <c r="AD52" s="9"/>
    </row>
    <row r="53" spans="2:30" x14ac:dyDescent="0.25">
      <c r="B53" s="13" t="s">
        <v>102</v>
      </c>
      <c r="C53" s="13"/>
      <c r="D53" s="13"/>
      <c r="E53" s="13"/>
      <c r="F53" s="13"/>
      <c r="G53" s="155">
        <f>K26</f>
        <v>732.68889999999988</v>
      </c>
      <c r="H53" s="57" t="s">
        <v>103</v>
      </c>
      <c r="I53" s="57"/>
      <c r="J53" s="156">
        <v>197823.77</v>
      </c>
      <c r="K53" s="156"/>
      <c r="L53" s="156"/>
      <c r="N53" s="3"/>
      <c r="O53" s="1"/>
      <c r="V53" s="657" t="s">
        <v>102</v>
      </c>
      <c r="W53" s="657"/>
      <c r="X53" s="157">
        <f>AB26</f>
        <v>0</v>
      </c>
      <c r="Y53" s="658" t="s">
        <v>103</v>
      </c>
      <c r="Z53" s="658"/>
      <c r="AA53" s="659">
        <f>+J53</f>
        <v>197823.77</v>
      </c>
      <c r="AB53" s="659"/>
      <c r="AC53" s="659"/>
      <c r="AD53" s="9"/>
    </row>
    <row r="54" spans="2:30" x14ac:dyDescent="0.25">
      <c r="B54" s="13" t="s">
        <v>104</v>
      </c>
      <c r="C54" s="13"/>
      <c r="D54" s="13"/>
      <c r="E54" s="13"/>
      <c r="F54" s="13"/>
      <c r="G54" s="13"/>
      <c r="H54" s="13"/>
      <c r="I54" s="13"/>
      <c r="J54" s="13"/>
      <c r="K54" s="158">
        <f>ROUND(G53/J53,6)</f>
        <v>3.7039999999999998E-3</v>
      </c>
      <c r="L54" s="158"/>
      <c r="N54" s="101"/>
      <c r="O54" s="1"/>
      <c r="V54" s="657" t="s">
        <v>104</v>
      </c>
      <c r="W54" s="657"/>
      <c r="X54" s="657"/>
      <c r="Y54" s="657"/>
      <c r="Z54" s="657"/>
      <c r="AA54" s="657"/>
      <c r="AB54" s="660">
        <f>ROUND(X53/AA53,6)</f>
        <v>0</v>
      </c>
      <c r="AC54" s="660"/>
      <c r="AD54" s="9"/>
    </row>
    <row r="55" spans="2:30" ht="24" customHeight="1" x14ac:dyDescent="0.25">
      <c r="B55" s="13" t="s">
        <v>105</v>
      </c>
      <c r="C55" s="13"/>
      <c r="D55" s="13"/>
      <c r="E55" s="13"/>
      <c r="F55" s="13"/>
      <c r="G55" s="13"/>
      <c r="H55" s="13"/>
      <c r="I55" s="13"/>
      <c r="J55" s="13"/>
      <c r="K55" s="13"/>
      <c r="L55" s="13"/>
      <c r="O55" s="1"/>
      <c r="V55" s="651" t="s">
        <v>105</v>
      </c>
      <c r="W55" s="651"/>
      <c r="X55" s="651"/>
      <c r="Y55" s="651"/>
      <c r="Z55" s="651"/>
      <c r="AA55" s="651"/>
      <c r="AB55" s="651"/>
      <c r="AC55" s="651"/>
      <c r="AD55" s="9"/>
    </row>
    <row r="56" spans="2:30" x14ac:dyDescent="0.25">
      <c r="B56" s="13" t="s">
        <v>106</v>
      </c>
      <c r="C56" s="13"/>
      <c r="D56" s="13"/>
      <c r="E56" s="13"/>
      <c r="F56" s="13"/>
      <c r="G56" s="159">
        <f>G26</f>
        <v>684.24000000000012</v>
      </c>
      <c r="H56" s="57" t="s">
        <v>107</v>
      </c>
      <c r="I56" s="57"/>
      <c r="J56" s="156">
        <f>+G40</f>
        <v>180284.81</v>
      </c>
      <c r="K56" s="156"/>
      <c r="L56" s="156"/>
      <c r="O56" s="1"/>
      <c r="V56" s="657" t="s">
        <v>106</v>
      </c>
      <c r="W56" s="657"/>
      <c r="X56" s="160">
        <f>X26</f>
        <v>0</v>
      </c>
      <c r="Y56" s="658" t="s">
        <v>107</v>
      </c>
      <c r="Z56" s="658"/>
      <c r="AA56" s="659">
        <f>+J56</f>
        <v>180284.81</v>
      </c>
      <c r="AB56" s="659"/>
      <c r="AC56" s="659"/>
      <c r="AD56" s="9"/>
    </row>
    <row r="57" spans="2:30" x14ac:dyDescent="0.25">
      <c r="B57" s="13" t="s">
        <v>108</v>
      </c>
      <c r="C57" s="13"/>
      <c r="D57" s="13"/>
      <c r="E57" s="13"/>
      <c r="F57" s="13"/>
      <c r="G57" s="13"/>
      <c r="H57" s="13"/>
      <c r="I57" s="13"/>
      <c r="J57" s="13"/>
      <c r="K57" s="158">
        <f>ROUND(G56/J56,6)</f>
        <v>3.7950000000000002E-3</v>
      </c>
      <c r="L57" s="158"/>
      <c r="O57" s="1"/>
      <c r="V57" s="657" t="s">
        <v>108</v>
      </c>
      <c r="W57" s="657"/>
      <c r="X57" s="657"/>
      <c r="Y57" s="657"/>
      <c r="Z57" s="657"/>
      <c r="AA57" s="657"/>
      <c r="AB57" s="660">
        <f>ROUND(X56/AA56,6)</f>
        <v>0</v>
      </c>
      <c r="AC57" s="660"/>
      <c r="AD57" s="9"/>
    </row>
    <row r="58" spans="2:30" ht="20.25" customHeight="1" x14ac:dyDescent="0.25">
      <c r="B58" s="161" t="s">
        <v>109</v>
      </c>
      <c r="C58" s="161"/>
      <c r="D58" s="161"/>
      <c r="E58" s="161"/>
      <c r="F58" s="161"/>
      <c r="G58" s="161"/>
      <c r="H58" s="161"/>
      <c r="I58" s="161"/>
      <c r="J58" s="161"/>
      <c r="K58" s="161"/>
      <c r="L58" s="161"/>
      <c r="N58" s="18"/>
      <c r="O58" s="18"/>
      <c r="V58" s="629" t="s">
        <v>110</v>
      </c>
      <c r="W58" s="629"/>
      <c r="X58" s="629"/>
      <c r="Y58" s="661">
        <f>X65+X64+X62+X61+X60</f>
        <v>4123852</v>
      </c>
      <c r="Z58" s="661"/>
      <c r="AA58" s="332" t="s">
        <v>111</v>
      </c>
      <c r="AB58" s="163">
        <f>AB54</f>
        <v>0</v>
      </c>
      <c r="AC58" s="56">
        <f>ROUND(Y58*AB58,0)</f>
        <v>0</v>
      </c>
      <c r="AD58" s="9"/>
    </row>
    <row r="59" spans="2:30" x14ac:dyDescent="0.25">
      <c r="B59" s="62" t="s">
        <v>110</v>
      </c>
      <c r="C59" s="62"/>
      <c r="D59" s="62"/>
      <c r="E59" s="62"/>
      <c r="F59" s="62"/>
      <c r="G59" s="62"/>
      <c r="H59" s="164" t="s">
        <v>22</v>
      </c>
      <c r="I59" s="129">
        <v>4123852</v>
      </c>
      <c r="J59" s="165" t="s">
        <v>111</v>
      </c>
      <c r="K59" s="166">
        <f>K54</f>
        <v>3.7039999999999998E-3</v>
      </c>
      <c r="L59" s="50">
        <f>ROUND(I59*K59,0)</f>
        <v>15275</v>
      </c>
      <c r="O59" s="1"/>
      <c r="P59" s="165"/>
      <c r="Q59" s="165"/>
      <c r="V59" s="662" t="s">
        <v>112</v>
      </c>
      <c r="W59" s="662"/>
      <c r="X59" s="662"/>
      <c r="Y59" s="662"/>
      <c r="Z59" s="662"/>
      <c r="AA59" s="662"/>
      <c r="AB59" s="662"/>
      <c r="AC59" s="662"/>
      <c r="AD59" s="9"/>
    </row>
    <row r="60" spans="2:30" x14ac:dyDescent="0.25">
      <c r="B60" s="62" t="s">
        <v>112</v>
      </c>
      <c r="C60" s="62"/>
      <c r="D60" s="62"/>
      <c r="E60" s="62"/>
      <c r="F60" s="62"/>
      <c r="G60" s="62"/>
      <c r="H60" s="62"/>
      <c r="I60" s="62"/>
      <c r="J60" s="62"/>
      <c r="K60" s="62"/>
      <c r="L60" s="62"/>
      <c r="O60" s="1"/>
      <c r="P60" s="165"/>
      <c r="Q60" s="165"/>
      <c r="V60" s="663" t="s">
        <v>113</v>
      </c>
      <c r="W60" s="663"/>
      <c r="X60" s="664">
        <f>+G61</f>
        <v>0</v>
      </c>
      <c r="Y60" s="664"/>
      <c r="Z60" s="664"/>
      <c r="AA60" s="664"/>
      <c r="AB60" s="664"/>
      <c r="AC60" s="664"/>
      <c r="AD60" s="9"/>
    </row>
    <row r="61" spans="2:30" ht="15" customHeight="1" x14ac:dyDescent="0.25">
      <c r="B61" s="167" t="s">
        <v>113</v>
      </c>
      <c r="C61" s="62"/>
      <c r="D61" s="62"/>
      <c r="E61" s="62"/>
      <c r="F61" s="62"/>
      <c r="G61" s="168">
        <v>0</v>
      </c>
      <c r="H61" s="168"/>
      <c r="I61" s="168"/>
      <c r="J61" s="168"/>
      <c r="K61" s="168"/>
      <c r="L61" s="168"/>
      <c r="O61" s="1"/>
      <c r="P61" s="165"/>
      <c r="Q61" s="165"/>
      <c r="V61" s="663" t="s">
        <v>114</v>
      </c>
      <c r="W61" s="663"/>
      <c r="X61" s="664">
        <f>+G62</f>
        <v>0</v>
      </c>
      <c r="Y61" s="664"/>
      <c r="Z61" s="664"/>
      <c r="AA61" s="664"/>
      <c r="AB61" s="664"/>
      <c r="AC61" s="664"/>
      <c r="AD61" s="9"/>
    </row>
    <row r="62" spans="2:30" ht="13.5" customHeight="1" x14ac:dyDescent="0.25">
      <c r="B62" s="167" t="s">
        <v>114</v>
      </c>
      <c r="C62" s="62"/>
      <c r="D62" s="62"/>
      <c r="E62" s="62"/>
      <c r="F62" s="62"/>
      <c r="G62" s="168">
        <v>0</v>
      </c>
      <c r="H62" s="168"/>
      <c r="I62" s="168"/>
      <c r="J62" s="168"/>
      <c r="K62" s="168"/>
      <c r="L62" s="168"/>
      <c r="N62" s="165"/>
      <c r="O62" s="165"/>
      <c r="P62" s="165"/>
      <c r="Q62" s="165"/>
      <c r="V62" s="663" t="s">
        <v>115</v>
      </c>
      <c r="W62" s="663"/>
      <c r="X62" s="664">
        <v>0</v>
      </c>
      <c r="Y62" s="664"/>
      <c r="Z62" s="664"/>
      <c r="AA62" s="664"/>
      <c r="AB62" s="664"/>
      <c r="AC62" s="664"/>
      <c r="AD62" s="9"/>
    </row>
    <row r="63" spans="2:30" ht="13.5" hidden="1" customHeight="1" x14ac:dyDescent="0.25">
      <c r="B63" s="62" t="s">
        <v>115</v>
      </c>
      <c r="C63" s="62"/>
      <c r="D63" s="62"/>
      <c r="E63" s="62"/>
      <c r="F63" s="62"/>
      <c r="G63" s="168">
        <v>0</v>
      </c>
      <c r="H63" s="168"/>
      <c r="I63" s="168"/>
      <c r="J63" s="168"/>
      <c r="K63" s="168"/>
      <c r="L63" s="168"/>
      <c r="O63" s="1"/>
      <c r="P63" s="165"/>
      <c r="Q63" s="165"/>
      <c r="V63" s="662" t="s">
        <v>116</v>
      </c>
      <c r="W63" s="662"/>
      <c r="X63" s="662"/>
      <c r="Y63" s="662"/>
      <c r="Z63" s="662"/>
      <c r="AA63" s="662"/>
      <c r="AB63" s="662"/>
      <c r="AC63" s="662"/>
      <c r="AD63" s="333"/>
    </row>
    <row r="64" spans="2:30" ht="13.5" customHeight="1" x14ac:dyDescent="0.25">
      <c r="B64" s="62" t="s">
        <v>116</v>
      </c>
      <c r="C64" s="62"/>
      <c r="D64" s="62"/>
      <c r="E64" s="62"/>
      <c r="F64" s="62"/>
      <c r="G64" s="62"/>
      <c r="H64" s="62"/>
      <c r="I64" s="62"/>
      <c r="J64" s="62"/>
      <c r="K64" s="62"/>
      <c r="L64" s="62"/>
      <c r="M64" s="116"/>
      <c r="N64" s="18"/>
      <c r="O64" s="1"/>
      <c r="V64" s="663" t="s">
        <v>117</v>
      </c>
      <c r="W64" s="663"/>
      <c r="X64" s="664">
        <f>+G65</f>
        <v>4123852</v>
      </c>
      <c r="Y64" s="664"/>
      <c r="Z64" s="664"/>
      <c r="AA64" s="664"/>
      <c r="AB64" s="664"/>
      <c r="AC64" s="664"/>
      <c r="AD64" s="9"/>
    </row>
    <row r="65" spans="1:30" ht="12.75" customHeight="1" x14ac:dyDescent="0.25">
      <c r="B65" s="167" t="s">
        <v>117</v>
      </c>
      <c r="C65" s="62"/>
      <c r="D65" s="62"/>
      <c r="E65" s="62"/>
      <c r="F65" s="62"/>
      <c r="G65" s="168">
        <f>+I59</f>
        <v>4123852</v>
      </c>
      <c r="H65" s="168"/>
      <c r="I65" s="168"/>
      <c r="J65" s="168"/>
      <c r="K65" s="168"/>
      <c r="L65" s="168"/>
      <c r="O65" s="1"/>
      <c r="V65" s="663" t="s">
        <v>118</v>
      </c>
      <c r="W65" s="663"/>
      <c r="X65" s="664">
        <f>+G66</f>
        <v>0</v>
      </c>
      <c r="Y65" s="664"/>
      <c r="Z65" s="664"/>
      <c r="AA65" s="664"/>
      <c r="AB65" s="664"/>
      <c r="AC65" s="664"/>
      <c r="AD65" s="20"/>
    </row>
    <row r="66" spans="1:30" ht="15" customHeight="1" x14ac:dyDescent="0.25">
      <c r="B66" s="167" t="s">
        <v>118</v>
      </c>
      <c r="C66" s="62"/>
      <c r="D66" s="62"/>
      <c r="E66" s="62"/>
      <c r="F66" s="62"/>
      <c r="G66" s="168">
        <v>0</v>
      </c>
      <c r="H66" s="168"/>
      <c r="I66" s="168"/>
      <c r="J66" s="168"/>
      <c r="K66" s="168"/>
      <c r="L66" s="168"/>
      <c r="M66" s="18"/>
      <c r="N66" s="3"/>
      <c r="O66" s="169"/>
      <c r="P66" s="169"/>
      <c r="Q66" s="169"/>
      <c r="V66" s="651" t="s">
        <v>119</v>
      </c>
      <c r="W66" s="651"/>
      <c r="X66" s="651"/>
      <c r="Y66" s="661">
        <f>+I67</f>
        <v>96774526</v>
      </c>
      <c r="Z66" s="661"/>
      <c r="AA66" s="332" t="s">
        <v>111</v>
      </c>
      <c r="AB66" s="163">
        <f>AB54</f>
        <v>0</v>
      </c>
      <c r="AC66" s="56">
        <f>ROUND(Y66*AB66,0)</f>
        <v>0</v>
      </c>
      <c r="AD66" s="9"/>
    </row>
    <row r="67" spans="1:30" ht="20.25" customHeight="1" x14ac:dyDescent="0.25">
      <c r="B67" s="13" t="s">
        <v>119</v>
      </c>
      <c r="C67" s="13"/>
      <c r="D67" s="13"/>
      <c r="E67" s="13"/>
      <c r="F67" s="13"/>
      <c r="H67" s="164" t="s">
        <v>25</v>
      </c>
      <c r="I67" s="129">
        <v>96774526</v>
      </c>
      <c r="J67" s="165" t="s">
        <v>111</v>
      </c>
      <c r="K67" s="166">
        <f>K54</f>
        <v>3.7039999999999998E-3</v>
      </c>
      <c r="L67" s="50">
        <f>ROUND(I67*K67,0)</f>
        <v>358453</v>
      </c>
      <c r="O67" s="1"/>
      <c r="V67" s="651" t="s">
        <v>120</v>
      </c>
      <c r="W67" s="651"/>
      <c r="X67" s="651"/>
      <c r="Y67" s="651"/>
      <c r="Z67" s="651"/>
      <c r="AA67" s="651"/>
      <c r="AB67" s="651"/>
      <c r="AC67" s="651"/>
      <c r="AD67" s="9"/>
    </row>
    <row r="68" spans="1:30" ht="20.25" customHeight="1" x14ac:dyDescent="0.25">
      <c r="B68" s="13" t="s">
        <v>120</v>
      </c>
      <c r="C68" s="13"/>
      <c r="D68" s="13"/>
      <c r="E68" s="13"/>
      <c r="F68" s="13"/>
      <c r="H68" s="13"/>
      <c r="I68" s="13"/>
      <c r="J68" s="82"/>
      <c r="K68" s="13"/>
      <c r="L68" s="13"/>
      <c r="O68" s="1"/>
      <c r="V68" s="667" t="s">
        <v>121</v>
      </c>
      <c r="W68" s="667"/>
      <c r="X68" s="667"/>
      <c r="Y68" s="661">
        <f>+I69</f>
        <v>0</v>
      </c>
      <c r="Z68" s="661"/>
      <c r="AA68" s="332" t="s">
        <v>111</v>
      </c>
      <c r="AB68" s="163">
        <f>AB57</f>
        <v>0</v>
      </c>
      <c r="AC68" s="56">
        <f>ROUND(Y68*AB68,0)</f>
        <v>0</v>
      </c>
      <c r="AD68" s="9"/>
    </row>
    <row r="69" spans="1:30" ht="15" customHeight="1" x14ac:dyDescent="0.25">
      <c r="B69" s="170" t="s">
        <v>121</v>
      </c>
      <c r="C69" s="13"/>
      <c r="D69" s="13"/>
      <c r="E69" s="13"/>
      <c r="F69" s="13"/>
      <c r="H69" s="164" t="s">
        <v>23</v>
      </c>
      <c r="I69" s="129">
        <v>0</v>
      </c>
      <c r="J69" s="165" t="s">
        <v>111</v>
      </c>
      <c r="K69" s="166">
        <f>K57</f>
        <v>3.7950000000000002E-3</v>
      </c>
      <c r="L69" s="50">
        <f>ROUND(I69*K69,0)</f>
        <v>0</v>
      </c>
      <c r="O69" s="1"/>
      <c r="V69" s="651" t="s">
        <v>122</v>
      </c>
      <c r="W69" s="651"/>
      <c r="X69" s="651"/>
      <c r="Y69" s="668">
        <f>+I70</f>
        <v>-3460775</v>
      </c>
      <c r="Z69" s="668"/>
      <c r="AA69" s="332" t="s">
        <v>111</v>
      </c>
      <c r="AB69" s="163">
        <f>AB54</f>
        <v>0</v>
      </c>
      <c r="AC69" s="56">
        <f>ROUND(Y69*AB69,0)</f>
        <v>0</v>
      </c>
      <c r="AD69" s="9"/>
    </row>
    <row r="70" spans="1:30" ht="20.25" customHeight="1" x14ac:dyDescent="0.25">
      <c r="B70" s="13" t="s">
        <v>122</v>
      </c>
      <c r="C70" s="13"/>
      <c r="D70" s="13"/>
      <c r="E70" s="13"/>
      <c r="F70" s="13"/>
      <c r="H70" s="164" t="s">
        <v>22</v>
      </c>
      <c r="I70" s="129">
        <v>-3460775</v>
      </c>
      <c r="J70" s="165" t="s">
        <v>111</v>
      </c>
      <c r="K70" s="166">
        <f>K54</f>
        <v>3.7039999999999998E-3</v>
      </c>
      <c r="L70" s="50">
        <f>ROUND(I70*K70,0)</f>
        <v>-12819</v>
      </c>
      <c r="O70" s="1"/>
      <c r="V70" s="651" t="s">
        <v>123</v>
      </c>
      <c r="W70" s="651"/>
      <c r="X70" s="651"/>
      <c r="Y70" s="665">
        <f>+I71</f>
        <v>1874788</v>
      </c>
      <c r="Z70" s="665"/>
      <c r="AA70" s="332" t="s">
        <v>111</v>
      </c>
      <c r="AB70" s="163">
        <f>AB54</f>
        <v>0</v>
      </c>
      <c r="AC70" s="56">
        <f>ROUND(Y70*AB70,0)</f>
        <v>0</v>
      </c>
      <c r="AD70" s="9"/>
    </row>
    <row r="71" spans="1:30" ht="20.25" customHeight="1" x14ac:dyDescent="0.25">
      <c r="B71" s="13" t="s">
        <v>123</v>
      </c>
      <c r="C71" s="13"/>
      <c r="D71" s="13"/>
      <c r="E71" s="13"/>
      <c r="F71" s="13"/>
      <c r="H71" s="164" t="s">
        <v>22</v>
      </c>
      <c r="I71" s="129">
        <v>1874788</v>
      </c>
      <c r="J71" s="165" t="s">
        <v>111</v>
      </c>
      <c r="K71" s="166">
        <f>K54</f>
        <v>3.7039999999999998E-3</v>
      </c>
      <c r="L71" s="50">
        <f>ROUND(I71*K71,0)</f>
        <v>6944</v>
      </c>
      <c r="O71" s="1"/>
      <c r="V71" s="651" t="s">
        <v>124</v>
      </c>
      <c r="W71" s="651"/>
      <c r="X71" s="651"/>
      <c r="Y71" s="665">
        <f>+I72</f>
        <v>14223298</v>
      </c>
      <c r="Z71" s="665"/>
      <c r="AA71" s="332" t="s">
        <v>111</v>
      </c>
      <c r="AB71" s="163">
        <f>AB57</f>
        <v>0</v>
      </c>
      <c r="AC71" s="56">
        <f>ROUND(Y71*AB71,0)</f>
        <v>0</v>
      </c>
      <c r="AD71" s="9"/>
    </row>
    <row r="72" spans="1:30" ht="21" customHeight="1" x14ac:dyDescent="0.25">
      <c r="B72" s="13" t="s">
        <v>124</v>
      </c>
      <c r="C72" s="13"/>
      <c r="D72" s="13"/>
      <c r="E72" s="13"/>
      <c r="F72" s="13"/>
      <c r="H72" s="164" t="s">
        <v>23</v>
      </c>
      <c r="I72" s="171">
        <v>14223298</v>
      </c>
      <c r="J72" s="165" t="s">
        <v>111</v>
      </c>
      <c r="K72" s="166">
        <f>K57</f>
        <v>3.7950000000000002E-3</v>
      </c>
      <c r="L72" s="50">
        <f>ROUND(I72*K72,0)</f>
        <v>53977</v>
      </c>
      <c r="O72" s="1"/>
      <c r="V72" s="623" t="s">
        <v>125</v>
      </c>
      <c r="W72" s="623"/>
      <c r="X72" s="623"/>
      <c r="Y72" s="623"/>
      <c r="Z72" s="623"/>
      <c r="AA72" s="623"/>
      <c r="AB72" s="623"/>
      <c r="AC72" s="60"/>
      <c r="AD72" s="9"/>
    </row>
    <row r="73" spans="1:30" ht="17.25" customHeight="1" x14ac:dyDescent="0.25">
      <c r="B73" s="13" t="s">
        <v>125</v>
      </c>
      <c r="C73" s="13"/>
      <c r="D73" s="13"/>
      <c r="E73" s="13"/>
      <c r="F73" s="13"/>
      <c r="H73" s="13"/>
      <c r="I73" s="13"/>
      <c r="J73" s="82"/>
      <c r="K73" s="13"/>
      <c r="L73" s="59"/>
      <c r="O73" s="1"/>
      <c r="V73" s="651" t="s">
        <v>126</v>
      </c>
      <c r="W73" s="651"/>
      <c r="X73" s="651"/>
      <c r="Y73" s="651"/>
      <c r="Z73" s="651"/>
      <c r="AA73" s="651"/>
      <c r="AB73" s="651"/>
      <c r="AC73" s="651"/>
      <c r="AD73" s="9"/>
    </row>
    <row r="74" spans="1:30" ht="31.5" x14ac:dyDescent="0.25">
      <c r="B74" s="13" t="s">
        <v>126</v>
      </c>
      <c r="C74" s="13"/>
      <c r="D74" s="27" t="s">
        <v>13</v>
      </c>
      <c r="E74" s="27" t="s">
        <v>14</v>
      </c>
      <c r="F74" s="27"/>
      <c r="H74" s="164" t="s">
        <v>26</v>
      </c>
      <c r="I74" s="172"/>
      <c r="J74" s="164"/>
      <c r="K74" s="172"/>
      <c r="L74" s="112"/>
      <c r="O74" s="1"/>
      <c r="V74" s="666" t="s">
        <v>127</v>
      </c>
      <c r="W74" s="666"/>
      <c r="X74" s="173" t="s">
        <v>128</v>
      </c>
      <c r="Y74" s="174"/>
      <c r="Z74" s="175">
        <f>+I75</f>
        <v>428</v>
      </c>
      <c r="AA74" s="331" t="s">
        <v>129</v>
      </c>
      <c r="AB74" s="177">
        <f>+K75</f>
        <v>361</v>
      </c>
      <c r="AC74" s="56">
        <f>ROUND(AB74*Z74,0)</f>
        <v>154508</v>
      </c>
      <c r="AD74" s="9"/>
    </row>
    <row r="75" spans="1:30" ht="19.5" customHeight="1" x14ac:dyDescent="0.25">
      <c r="A75" s="1" t="s">
        <v>130</v>
      </c>
      <c r="B75" s="178" t="s">
        <v>127</v>
      </c>
      <c r="C75" s="179" t="s">
        <v>128</v>
      </c>
      <c r="D75" s="178">
        <v>403</v>
      </c>
      <c r="E75" s="178">
        <v>453</v>
      </c>
      <c r="F75" s="178">
        <v>0</v>
      </c>
      <c r="G75" s="180">
        <f>IF(E75=0,D75,E75)</f>
        <v>453</v>
      </c>
      <c r="H75" s="181"/>
      <c r="I75" s="182">
        <f>AVERAGE(G75,D75)</f>
        <v>428</v>
      </c>
      <c r="J75" s="183" t="s">
        <v>129</v>
      </c>
      <c r="K75" s="184">
        <v>361</v>
      </c>
      <c r="L75" s="50">
        <f>ROUND(K75*I75,0)</f>
        <v>154508</v>
      </c>
      <c r="N75" s="1">
        <v>7802</v>
      </c>
      <c r="O75" s="1">
        <v>0</v>
      </c>
      <c r="V75" s="666" t="s">
        <v>127</v>
      </c>
      <c r="W75" s="666"/>
      <c r="X75" s="173" t="s">
        <v>131</v>
      </c>
      <c r="Y75" s="185"/>
      <c r="Z75" s="186">
        <f>+I76</f>
        <v>4</v>
      </c>
      <c r="AA75" s="331" t="s">
        <v>129</v>
      </c>
      <c r="AB75" s="187">
        <f>+K76</f>
        <v>1358</v>
      </c>
      <c r="AC75" s="56">
        <f>ROUND(AB75*Z75,0)</f>
        <v>5432</v>
      </c>
      <c r="AD75" s="9"/>
    </row>
    <row r="76" spans="1:30" ht="19.5" customHeight="1" x14ac:dyDescent="0.25">
      <c r="A76" s="1" t="s">
        <v>132</v>
      </c>
      <c r="B76" s="178" t="s">
        <v>127</v>
      </c>
      <c r="C76" s="179" t="s">
        <v>131</v>
      </c>
      <c r="D76" s="178">
        <v>5</v>
      </c>
      <c r="E76" s="178">
        <v>3</v>
      </c>
      <c r="F76" s="178">
        <v>0</v>
      </c>
      <c r="G76" s="180">
        <f>IF(E76=0,D76,E76)</f>
        <v>3</v>
      </c>
      <c r="H76" s="181"/>
      <c r="I76" s="182">
        <f>AVERAGE(G76,D76)</f>
        <v>4</v>
      </c>
      <c r="J76" s="183" t="s">
        <v>129</v>
      </c>
      <c r="K76" s="188">
        <v>1358</v>
      </c>
      <c r="L76" s="50">
        <f>ROUND(K76*I76,0)</f>
        <v>5432</v>
      </c>
      <c r="N76" s="1">
        <v>7802</v>
      </c>
      <c r="O76" s="1">
        <v>110</v>
      </c>
      <c r="V76" s="651" t="s">
        <v>133</v>
      </c>
      <c r="W76" s="651"/>
      <c r="X76" s="651"/>
      <c r="Y76" s="661">
        <f>+I77</f>
        <v>33305823</v>
      </c>
      <c r="Z76" s="661"/>
      <c r="AA76" s="331" t="s">
        <v>129</v>
      </c>
      <c r="AB76" s="163">
        <f>AB54</f>
        <v>0</v>
      </c>
      <c r="AC76" s="56">
        <f>ROUND(Y76*AB76,0)</f>
        <v>0</v>
      </c>
      <c r="AD76" s="9"/>
    </row>
    <row r="77" spans="1:30" ht="26.25" customHeight="1" x14ac:dyDescent="0.25">
      <c r="B77" s="13" t="s">
        <v>133</v>
      </c>
      <c r="C77" s="13"/>
      <c r="D77" s="13"/>
      <c r="E77" s="13"/>
      <c r="F77" s="13"/>
      <c r="H77" s="164" t="s">
        <v>134</v>
      </c>
      <c r="I77" s="189">
        <v>33305823</v>
      </c>
      <c r="J77" s="165" t="s">
        <v>111</v>
      </c>
      <c r="K77" s="166">
        <f>K54</f>
        <v>3.7039999999999998E-3</v>
      </c>
      <c r="L77" s="50">
        <f>ROUND(I77*K77,0)</f>
        <v>123365</v>
      </c>
      <c r="O77" s="1"/>
      <c r="V77" s="651" t="str">
        <f>+B78</f>
        <v>15.  Additional Allocation (WFTE share)</v>
      </c>
      <c r="W77" s="651"/>
      <c r="X77" s="651"/>
      <c r="Y77" s="661">
        <f>+I78</f>
        <v>680688</v>
      </c>
      <c r="Z77" s="661"/>
      <c r="AA77" s="331" t="s">
        <v>129</v>
      </c>
      <c r="AB77" s="163">
        <f>AB54</f>
        <v>0</v>
      </c>
      <c r="AC77" s="56">
        <f>ROUND(Y77*AB77,0)</f>
        <v>0</v>
      </c>
      <c r="AD77" s="9"/>
    </row>
    <row r="78" spans="1:30" ht="26.25" customHeight="1" x14ac:dyDescent="0.25">
      <c r="B78" s="669" t="s">
        <v>135</v>
      </c>
      <c r="C78" s="669"/>
      <c r="D78" s="669"/>
      <c r="E78" s="13"/>
      <c r="F78" s="13"/>
      <c r="H78" s="164" t="s">
        <v>136</v>
      </c>
      <c r="I78" s="190">
        <v>680688</v>
      </c>
      <c r="J78" s="165" t="s">
        <v>111</v>
      </c>
      <c r="K78" s="166">
        <f>K54</f>
        <v>3.7039999999999998E-3</v>
      </c>
      <c r="L78" s="50">
        <f>ROUND(I78*K78,0)</f>
        <v>2521</v>
      </c>
      <c r="O78" s="1"/>
      <c r="V78" s="651" t="str">
        <f>+B79</f>
        <v>16.  Florida Teachers Lead Program Stipend</v>
      </c>
      <c r="W78" s="651"/>
      <c r="X78" s="651"/>
      <c r="Y78" s="191"/>
      <c r="Z78" s="191"/>
      <c r="AA78" s="191"/>
      <c r="AB78" s="191"/>
      <c r="AC78" s="134"/>
      <c r="AD78" s="9"/>
    </row>
    <row r="79" spans="1:30" ht="21" customHeight="1" x14ac:dyDescent="0.25">
      <c r="B79" s="669" t="s">
        <v>137</v>
      </c>
      <c r="C79" s="669"/>
      <c r="D79" s="669"/>
      <c r="E79" s="13"/>
      <c r="F79" s="13"/>
      <c r="H79" s="164"/>
      <c r="I79" s="172"/>
      <c r="J79" s="172"/>
      <c r="K79" s="172"/>
      <c r="L79" s="129"/>
      <c r="N79" s="192"/>
      <c r="O79" s="1"/>
      <c r="Q79" s="164"/>
      <c r="V79" s="651" t="str">
        <f>+B80</f>
        <v>17.  Food Service Allocation</v>
      </c>
      <c r="W79" s="651"/>
      <c r="X79" s="651"/>
      <c r="Y79" s="191"/>
      <c r="Z79" s="191"/>
      <c r="AA79" s="191"/>
      <c r="AB79" s="191"/>
      <c r="AC79" s="193"/>
      <c r="AD79" s="9"/>
    </row>
    <row r="80" spans="1:30" ht="21" customHeight="1" x14ac:dyDescent="0.25">
      <c r="B80" s="669" t="s">
        <v>138</v>
      </c>
      <c r="C80" s="669"/>
      <c r="D80" s="669"/>
      <c r="E80" s="13"/>
      <c r="F80" s="13"/>
      <c r="H80" s="194" t="s">
        <v>139</v>
      </c>
      <c r="I80" s="195"/>
      <c r="J80" s="195"/>
      <c r="K80" s="195"/>
      <c r="L80" s="196"/>
      <c r="N80" s="197"/>
      <c r="O80" s="1"/>
      <c r="Q80" s="164"/>
      <c r="V80" s="191"/>
      <c r="W80" s="191"/>
      <c r="X80" s="191"/>
      <c r="Y80" s="191"/>
      <c r="Z80" s="191"/>
      <c r="AA80" s="191"/>
      <c r="AB80" s="191"/>
      <c r="AC80" s="193"/>
      <c r="AD80" s="9"/>
    </row>
    <row r="81" spans="1:30" ht="21" customHeight="1" thickBot="1" x14ac:dyDescent="0.3">
      <c r="B81" s="13"/>
      <c r="C81" s="13"/>
      <c r="D81" s="13"/>
      <c r="E81" s="13"/>
      <c r="F81" s="13"/>
      <c r="G81" s="13"/>
      <c r="H81" s="13"/>
      <c r="I81" s="13"/>
      <c r="J81" s="13"/>
      <c r="K81" s="13"/>
      <c r="L81" s="196"/>
      <c r="M81" s="198"/>
      <c r="N81" s="197"/>
      <c r="O81" s="1"/>
      <c r="Q81" s="164"/>
      <c r="V81" s="191" t="s">
        <v>140</v>
      </c>
      <c r="W81" s="191"/>
      <c r="X81" s="191"/>
      <c r="Y81" s="191"/>
      <c r="Z81" s="191"/>
      <c r="AA81" s="191"/>
      <c r="AB81" s="191"/>
      <c r="AC81" s="199">
        <f>SUM(AC44:AC80)</f>
        <v>159940</v>
      </c>
      <c r="AD81" s="200"/>
    </row>
    <row r="82" spans="1:30" ht="22.5" customHeight="1" thickTop="1" thickBot="1" x14ac:dyDescent="0.3">
      <c r="B82" s="13" t="s">
        <v>141</v>
      </c>
      <c r="C82" s="13"/>
      <c r="D82" s="13"/>
      <c r="E82" s="13"/>
      <c r="F82" s="13"/>
      <c r="G82" s="13"/>
      <c r="H82" s="13"/>
      <c r="I82" s="13"/>
      <c r="J82" s="13"/>
      <c r="K82" s="13"/>
      <c r="L82" s="201">
        <f>SUM(L44:L81)</f>
        <v>4616731</v>
      </c>
      <c r="M82" s="202"/>
      <c r="N82" s="203"/>
      <c r="O82" s="1"/>
      <c r="Q82" s="164"/>
      <c r="V82" s="191"/>
      <c r="W82" s="191"/>
      <c r="X82" s="191"/>
      <c r="Y82" s="191"/>
      <c r="Z82" s="191"/>
      <c r="AA82" s="191"/>
      <c r="AB82" s="191"/>
      <c r="AC82" s="204"/>
      <c r="AD82" s="200"/>
    </row>
    <row r="83" spans="1:30" ht="27.75" customHeight="1" thickTop="1" x14ac:dyDescent="0.25">
      <c r="B83" s="13" t="s">
        <v>142</v>
      </c>
      <c r="C83" s="13"/>
      <c r="D83" s="13"/>
      <c r="E83" s="13"/>
      <c r="F83" s="13"/>
      <c r="G83" s="13"/>
      <c r="H83" s="13"/>
      <c r="I83" s="13"/>
      <c r="J83" s="13"/>
      <c r="K83" s="82" t="s">
        <v>143</v>
      </c>
      <c r="L83" s="205" t="s">
        <v>144</v>
      </c>
      <c r="M83" s="202"/>
      <c r="N83" s="203"/>
      <c r="O83" s="1"/>
      <c r="Q83" s="164"/>
      <c r="V83" s="9" t="s">
        <v>145</v>
      </c>
      <c r="W83" s="9"/>
      <c r="X83" s="9"/>
      <c r="Y83" s="9"/>
      <c r="Z83" s="9"/>
      <c r="AA83" s="9"/>
      <c r="AB83" s="9"/>
      <c r="AC83" s="9"/>
      <c r="AD83" s="206"/>
    </row>
    <row r="84" spans="1:30" ht="18.75" customHeight="1" thickBot="1" x14ac:dyDescent="0.3">
      <c r="B84" s="13" t="s">
        <v>146</v>
      </c>
      <c r="C84" s="13"/>
      <c r="D84" s="13"/>
      <c r="E84" s="13"/>
      <c r="F84" s="13"/>
      <c r="G84" s="13"/>
      <c r="H84" s="13"/>
      <c r="I84" s="13"/>
      <c r="J84" s="13"/>
      <c r="K84" s="207" t="str">
        <f>IF(G26=0,"",IF((G11+G13+SUM(G15:G21))/G26&gt;0.75,1,""))</f>
        <v/>
      </c>
      <c r="L84" s="201">
        <f>'3392 June Final'!AC81</f>
        <v>159940</v>
      </c>
      <c r="M84" s="202"/>
      <c r="N84" s="203"/>
      <c r="O84" s="1"/>
      <c r="Q84" s="164"/>
      <c r="V84" s="208" t="s">
        <v>147</v>
      </c>
      <c r="W84" s="208"/>
      <c r="X84" s="208"/>
      <c r="Y84" s="208"/>
      <c r="Z84" s="208"/>
      <c r="AA84" s="208"/>
      <c r="AB84" s="208"/>
      <c r="AC84" s="208"/>
      <c r="AD84" s="9"/>
    </row>
    <row r="85" spans="1:30" ht="18.75" customHeight="1" thickTop="1" x14ac:dyDescent="0.25">
      <c r="B85" s="13"/>
      <c r="C85" s="13"/>
      <c r="D85" s="13"/>
      <c r="E85" s="13"/>
      <c r="F85" s="13"/>
      <c r="G85" s="13"/>
      <c r="H85" s="13"/>
      <c r="I85" s="13"/>
      <c r="J85" s="13"/>
      <c r="M85" s="202"/>
      <c r="N85" s="203"/>
      <c r="O85" s="1"/>
      <c r="Q85" s="164"/>
      <c r="V85" s="208" t="s">
        <v>148</v>
      </c>
      <c r="W85" s="208"/>
      <c r="X85" s="208"/>
      <c r="Y85" s="208"/>
      <c r="Z85" s="208"/>
      <c r="AA85" s="208"/>
      <c r="AB85" s="208"/>
      <c r="AC85" s="208"/>
      <c r="AD85" s="206"/>
    </row>
    <row r="86" spans="1:30" ht="18.75" customHeight="1" x14ac:dyDescent="0.25">
      <c r="B86" s="2" t="s">
        <v>149</v>
      </c>
      <c r="C86" s="13"/>
      <c r="D86" s="13"/>
      <c r="E86" s="13"/>
      <c r="F86" s="13"/>
      <c r="G86" s="13"/>
      <c r="H86" s="13"/>
      <c r="I86" s="13"/>
      <c r="J86" s="209" t="s">
        <v>150</v>
      </c>
      <c r="K86" s="210">
        <f>IF(K84=1,L84,L82)</f>
        <v>4616731</v>
      </c>
      <c r="L86" s="211">
        <f>IF(G26=0,0,IF(G26&gt;250,-(((250/G26)*K86)*IF(M86="H",0.02,0.05)),IF(M86="H",-0.02*K86,-0.05*K86)))</f>
        <v>-84340.490909622342</v>
      </c>
      <c r="M86" s="212" t="str">
        <f>IF(B123="2801","H",IF(B123="2911","H",IF(B123="3382","H"," ")))</f>
        <v xml:space="preserve"> </v>
      </c>
      <c r="N86" s="203"/>
      <c r="O86" s="1"/>
      <c r="Q86" s="164"/>
      <c r="V86" s="208" t="s">
        <v>151</v>
      </c>
      <c r="W86" s="208"/>
      <c r="X86" s="208"/>
      <c r="Y86" s="208"/>
      <c r="Z86" s="208"/>
      <c r="AA86" s="208"/>
      <c r="AB86" s="208"/>
      <c r="AC86" s="208"/>
      <c r="AD86" s="206"/>
    </row>
    <row r="87" spans="1:30" ht="18.75" customHeight="1" x14ac:dyDescent="0.25">
      <c r="B87" s="2" t="s">
        <v>152</v>
      </c>
      <c r="C87" s="13"/>
      <c r="D87" s="13"/>
      <c r="E87" s="13"/>
      <c r="F87" s="13"/>
      <c r="G87" s="13"/>
      <c r="H87" s="13"/>
      <c r="I87" s="13"/>
      <c r="J87" s="13"/>
      <c r="K87" s="213"/>
      <c r="L87" s="205">
        <f>L82+L86</f>
        <v>4532390.5090903779</v>
      </c>
      <c r="M87" s="202"/>
      <c r="N87" s="203"/>
      <c r="O87" s="1"/>
      <c r="Q87" s="164"/>
      <c r="V87" s="198"/>
      <c r="W87" s="198"/>
      <c r="X87" s="198"/>
      <c r="Y87" s="198"/>
      <c r="Z87" s="198"/>
      <c r="AA87" s="198"/>
      <c r="AB87" s="198"/>
      <c r="AC87" s="198"/>
      <c r="AD87" s="214"/>
    </row>
    <row r="88" spans="1:30" x14ac:dyDescent="0.25">
      <c r="V88" s="198"/>
      <c r="W88" s="198"/>
      <c r="X88" s="198"/>
      <c r="Y88" s="198"/>
      <c r="Z88" s="198"/>
      <c r="AA88" s="198"/>
      <c r="AB88" s="198"/>
      <c r="AC88" s="198"/>
      <c r="AD88" s="215"/>
    </row>
    <row r="89" spans="1:30" ht="18.75" customHeight="1" x14ac:dyDescent="0.25">
      <c r="A89" s="1" t="s">
        <v>153</v>
      </c>
      <c r="B89" s="13" t="s">
        <v>154</v>
      </c>
      <c r="C89" s="13"/>
      <c r="D89" s="13">
        <v>2366412</v>
      </c>
      <c r="E89" s="13">
        <v>375166</v>
      </c>
      <c r="F89" s="13">
        <v>3866722</v>
      </c>
      <c r="G89" s="13"/>
      <c r="H89" s="13"/>
      <c r="I89" s="13"/>
      <c r="J89" s="13"/>
      <c r="K89" s="213"/>
      <c r="L89" s="84">
        <v>-4549070.8943253402</v>
      </c>
      <c r="M89" s="202"/>
      <c r="N89" s="203"/>
      <c r="O89" s="1"/>
      <c r="Q89" s="164"/>
      <c r="V89" s="198">
        <v>2801</v>
      </c>
      <c r="W89" s="198"/>
      <c r="X89" s="198"/>
      <c r="Y89" s="198"/>
      <c r="Z89" s="198"/>
      <c r="AA89" s="198"/>
      <c r="AB89" s="198"/>
      <c r="AC89" s="198"/>
      <c r="AD89" s="214"/>
    </row>
    <row r="90" spans="1:30" ht="18.75" customHeight="1" x14ac:dyDescent="0.25">
      <c r="B90" s="13" t="s">
        <v>155</v>
      </c>
      <c r="C90" s="13"/>
      <c r="D90" s="13"/>
      <c r="E90" s="13"/>
      <c r="F90" s="13"/>
      <c r="G90" s="13"/>
      <c r="H90" s="13"/>
      <c r="I90" s="13"/>
      <c r="J90" s="13"/>
      <c r="K90" s="213"/>
      <c r="L90" s="205">
        <f>L87+L89</f>
        <v>-16680.385234962218</v>
      </c>
      <c r="M90" s="202"/>
      <c r="N90" s="203"/>
      <c r="O90" s="1"/>
      <c r="Q90" s="164"/>
      <c r="V90" s="198">
        <v>2911</v>
      </c>
      <c r="W90" s="216"/>
      <c r="X90" s="216"/>
      <c r="Y90" s="216"/>
      <c r="Z90" s="216"/>
      <c r="AA90" s="216"/>
      <c r="AB90" s="216"/>
      <c r="AC90" s="216"/>
      <c r="AD90" s="214"/>
    </row>
    <row r="91" spans="1:30" ht="18.75" customHeight="1" x14ac:dyDescent="0.25">
      <c r="B91" s="13" t="s">
        <v>156</v>
      </c>
      <c r="C91" s="13"/>
      <c r="D91" s="13"/>
      <c r="E91" s="13"/>
      <c r="F91" s="13"/>
      <c r="G91" s="13"/>
      <c r="H91" s="13"/>
      <c r="I91" s="13"/>
      <c r="J91" s="13"/>
      <c r="K91" s="213"/>
      <c r="L91" s="205">
        <v>1</v>
      </c>
      <c r="M91" s="202"/>
      <c r="N91" s="203"/>
      <c r="O91" s="1"/>
      <c r="Q91" s="164"/>
      <c r="V91" s="198">
        <v>3382</v>
      </c>
      <c r="W91" s="216"/>
      <c r="X91" s="216"/>
      <c r="Y91" s="216"/>
      <c r="Z91" s="216"/>
      <c r="AA91" s="216"/>
      <c r="AB91" s="216"/>
      <c r="AC91" s="216"/>
      <c r="AD91" s="214"/>
    </row>
    <row r="92" spans="1:30" ht="18.75" customHeight="1" thickBot="1" x14ac:dyDescent="0.3">
      <c r="B92" s="13" t="s">
        <v>434</v>
      </c>
      <c r="C92" s="13"/>
      <c r="D92" s="13"/>
      <c r="E92" s="13"/>
      <c r="F92" s="13"/>
      <c r="G92" s="13"/>
      <c r="H92" s="13"/>
      <c r="I92" s="13"/>
      <c r="J92" s="13"/>
      <c r="K92" s="213"/>
      <c r="L92" s="217">
        <f>L90/L91</f>
        <v>-16680.385234962218</v>
      </c>
      <c r="M92" s="202"/>
      <c r="N92" s="203"/>
      <c r="O92" s="1"/>
      <c r="Q92" s="164"/>
      <c r="V92" s="218"/>
      <c r="W92" s="218"/>
      <c r="X92" s="218"/>
      <c r="Y92" s="218"/>
      <c r="Z92" s="218"/>
      <c r="AA92" s="218"/>
      <c r="AB92" s="218"/>
      <c r="AC92" s="218"/>
      <c r="AD92" s="219"/>
    </row>
    <row r="93" spans="1:30" ht="18.75" customHeight="1" thickTop="1" x14ac:dyDescent="0.25">
      <c r="N93" s="219"/>
      <c r="O93" s="220"/>
      <c r="P93" s="219"/>
      <c r="Q93" s="219"/>
      <c r="V93" s="218"/>
      <c r="W93" s="218"/>
      <c r="X93" s="218"/>
      <c r="Y93" s="218"/>
      <c r="Z93" s="218"/>
      <c r="AA93" s="218"/>
      <c r="AB93" s="218"/>
      <c r="AC93" s="218"/>
      <c r="AD93" s="214"/>
    </row>
    <row r="94" spans="1:30" ht="18.75" customHeight="1" thickBot="1" x14ac:dyDescent="0.3">
      <c r="B94" s="221" t="s">
        <v>158</v>
      </c>
      <c r="C94" s="13"/>
      <c r="D94" s="13"/>
      <c r="E94" s="13"/>
      <c r="G94" s="13"/>
      <c r="H94" s="13"/>
      <c r="I94" s="13"/>
      <c r="J94" s="13"/>
      <c r="L94" s="222">
        <v>0</v>
      </c>
      <c r="M94" s="202"/>
      <c r="V94" s="223"/>
      <c r="W94" s="223"/>
      <c r="X94" s="223"/>
      <c r="Y94" s="223"/>
      <c r="Z94" s="223"/>
      <c r="AA94" s="223"/>
      <c r="AB94" s="223"/>
      <c r="AC94" s="223"/>
      <c r="AD94" s="214"/>
    </row>
    <row r="95" spans="1:30" ht="21.75" customHeight="1" thickTop="1" x14ac:dyDescent="0.25">
      <c r="B95" s="224" t="s">
        <v>159</v>
      </c>
      <c r="C95" s="224"/>
      <c r="D95" s="224"/>
      <c r="E95" s="224"/>
      <c r="F95" s="224"/>
      <c r="G95" s="224"/>
      <c r="H95" s="224"/>
      <c r="I95" s="224"/>
      <c r="J95" s="224"/>
      <c r="K95" s="224"/>
      <c r="L95" s="224"/>
      <c r="M95" s="219"/>
      <c r="V95" s="223"/>
      <c r="W95" s="223"/>
      <c r="X95" s="223"/>
      <c r="Y95" s="223"/>
      <c r="Z95" s="223"/>
      <c r="AA95" s="223"/>
      <c r="AB95" s="223"/>
      <c r="AC95" s="223"/>
      <c r="AD95" s="214"/>
    </row>
    <row r="96" spans="1:30" x14ac:dyDescent="0.25">
      <c r="B96" s="225"/>
      <c r="V96" s="223"/>
      <c r="W96" s="223"/>
      <c r="X96" s="223"/>
      <c r="Y96" s="223"/>
      <c r="Z96" s="223"/>
      <c r="AA96" s="223"/>
      <c r="AB96" s="223"/>
      <c r="AC96" s="223"/>
      <c r="AD96" s="219"/>
    </row>
    <row r="97" spans="2:30" x14ac:dyDescent="0.25">
      <c r="B97" s="225"/>
      <c r="V97" s="223"/>
      <c r="W97" s="223"/>
      <c r="X97" s="223"/>
      <c r="Y97" s="223"/>
      <c r="Z97" s="223"/>
      <c r="AA97" s="223"/>
      <c r="AB97" s="223"/>
      <c r="AC97" s="223"/>
      <c r="AD97" s="219"/>
    </row>
    <row r="98" spans="2:30" hidden="1" x14ac:dyDescent="0.25">
      <c r="B98" s="226" t="s">
        <v>160</v>
      </c>
      <c r="C98" s="227"/>
      <c r="V98" s="228"/>
      <c r="W98" s="228"/>
      <c r="X98" s="228"/>
      <c r="Y98" s="228"/>
      <c r="Z98" s="228"/>
      <c r="AA98" s="228"/>
      <c r="AB98" s="228"/>
      <c r="AC98" s="228"/>
    </row>
    <row r="99" spans="2:30" hidden="1" x14ac:dyDescent="0.25">
      <c r="B99" s="229"/>
      <c r="C99" s="227"/>
      <c r="V99" s="225"/>
      <c r="W99" s="13"/>
      <c r="X99" s="13"/>
      <c r="Y99" s="13"/>
      <c r="Z99" s="13"/>
      <c r="AA99" s="13"/>
      <c r="AB99" s="13"/>
      <c r="AC99" s="13"/>
    </row>
    <row r="100" spans="2:30" hidden="1" x14ac:dyDescent="0.25">
      <c r="B100" s="230" t="s">
        <v>161</v>
      </c>
      <c r="C100" s="226" t="s">
        <v>162</v>
      </c>
      <c r="V100" s="225"/>
    </row>
    <row r="101" spans="2:30" hidden="1" x14ac:dyDescent="0.25">
      <c r="B101" s="230" t="s">
        <v>163</v>
      </c>
      <c r="C101" s="226" t="s">
        <v>164</v>
      </c>
      <c r="V101" s="225"/>
    </row>
    <row r="102" spans="2:30" hidden="1" x14ac:dyDescent="0.25">
      <c r="B102" s="230" t="s">
        <v>165</v>
      </c>
      <c r="C102" s="226" t="s">
        <v>166</v>
      </c>
      <c r="V102" s="225"/>
      <c r="W102" s="231"/>
      <c r="X102" s="231"/>
      <c r="Y102" s="231"/>
      <c r="Z102" s="231"/>
      <c r="AA102" s="231"/>
      <c r="AB102" s="231"/>
      <c r="AC102" s="231"/>
      <c r="AD102" s="231"/>
    </row>
    <row r="103" spans="2:30" hidden="1" x14ac:dyDescent="0.25">
      <c r="B103" s="230" t="s">
        <v>167</v>
      </c>
      <c r="C103" s="226" t="s">
        <v>168</v>
      </c>
      <c r="V103" s="225"/>
    </row>
    <row r="104" spans="2:30" hidden="1" x14ac:dyDescent="0.25">
      <c r="B104" s="232"/>
      <c r="C104" s="226" t="s">
        <v>169</v>
      </c>
      <c r="V104" s="225"/>
    </row>
    <row r="105" spans="2:30" hidden="1" x14ac:dyDescent="0.25">
      <c r="B105" s="230" t="s">
        <v>170</v>
      </c>
      <c r="C105" s="226" t="s">
        <v>171</v>
      </c>
      <c r="V105" s="225"/>
    </row>
    <row r="106" spans="2:30" hidden="1" x14ac:dyDescent="0.25">
      <c r="B106" s="230" t="s">
        <v>172</v>
      </c>
      <c r="C106" s="226" t="s">
        <v>173</v>
      </c>
      <c r="V106" s="225"/>
    </row>
    <row r="107" spans="2:30" hidden="1" x14ac:dyDescent="0.25">
      <c r="B107" s="230" t="s">
        <v>277</v>
      </c>
      <c r="C107" s="226" t="s">
        <v>175</v>
      </c>
      <c r="V107" s="225"/>
    </row>
    <row r="108" spans="2:30" hidden="1" x14ac:dyDescent="0.25">
      <c r="B108" s="230" t="s">
        <v>176</v>
      </c>
      <c r="C108" s="226" t="s">
        <v>177</v>
      </c>
      <c r="V108" s="225"/>
    </row>
    <row r="109" spans="2:30" hidden="1" x14ac:dyDescent="0.25">
      <c r="B109" s="230" t="s">
        <v>178</v>
      </c>
      <c r="C109" s="226" t="s">
        <v>179</v>
      </c>
      <c r="V109" s="225"/>
    </row>
    <row r="110" spans="2:30" hidden="1" x14ac:dyDescent="0.25">
      <c r="B110" s="232"/>
      <c r="C110" s="226"/>
      <c r="V110" s="225"/>
    </row>
    <row r="111" spans="2:30" hidden="1" x14ac:dyDescent="0.25">
      <c r="B111" s="230" t="s">
        <v>180</v>
      </c>
      <c r="C111" s="226" t="s">
        <v>181</v>
      </c>
      <c r="V111" s="225"/>
    </row>
    <row r="112" spans="2:30" hidden="1" x14ac:dyDescent="0.25">
      <c r="B112" s="230" t="s">
        <v>180</v>
      </c>
      <c r="C112" s="226" t="s">
        <v>182</v>
      </c>
    </row>
    <row r="113" spans="2:3" hidden="1" x14ac:dyDescent="0.25">
      <c r="B113" s="230" t="s">
        <v>183</v>
      </c>
      <c r="C113" s="226" t="s">
        <v>184</v>
      </c>
    </row>
    <row r="114" spans="2:3" hidden="1" x14ac:dyDescent="0.25">
      <c r="B114" s="230" t="s">
        <v>185</v>
      </c>
      <c r="C114" s="226" t="s">
        <v>186</v>
      </c>
    </row>
    <row r="115" spans="2:3" hidden="1" x14ac:dyDescent="0.25">
      <c r="B115" s="230" t="s">
        <v>183</v>
      </c>
      <c r="C115" s="226" t="s">
        <v>187</v>
      </c>
    </row>
    <row r="116" spans="2:3" hidden="1" x14ac:dyDescent="0.25">
      <c r="B116" s="230" t="s">
        <v>188</v>
      </c>
      <c r="C116" s="226" t="s">
        <v>189</v>
      </c>
    </row>
    <row r="117" spans="2:3" hidden="1" x14ac:dyDescent="0.25">
      <c r="B117" s="230" t="s">
        <v>190</v>
      </c>
      <c r="C117" s="226" t="s">
        <v>191</v>
      </c>
    </row>
    <row r="118" spans="2:3" hidden="1" x14ac:dyDescent="0.25">
      <c r="B118" s="232" t="s">
        <v>192</v>
      </c>
      <c r="C118" s="226" t="s">
        <v>193</v>
      </c>
    </row>
    <row r="119" spans="2:3" hidden="1" x14ac:dyDescent="0.25">
      <c r="B119" s="232"/>
      <c r="C119" s="226"/>
    </row>
    <row r="120" spans="2:3" hidden="1" x14ac:dyDescent="0.25">
      <c r="B120" s="230" t="s">
        <v>161</v>
      </c>
      <c r="C120" s="226" t="s">
        <v>194</v>
      </c>
    </row>
    <row r="121" spans="2:3" hidden="1" x14ac:dyDescent="0.25">
      <c r="B121" s="230" t="s">
        <v>195</v>
      </c>
      <c r="C121" s="226" t="s">
        <v>196</v>
      </c>
    </row>
    <row r="122" spans="2:3" hidden="1" x14ac:dyDescent="0.25">
      <c r="B122" s="230" t="s">
        <v>197</v>
      </c>
      <c r="C122" s="226" t="s">
        <v>198</v>
      </c>
    </row>
    <row r="123" spans="2:3" hidden="1" x14ac:dyDescent="0.25">
      <c r="B123" s="230" t="s">
        <v>278</v>
      </c>
      <c r="C123" s="226" t="s">
        <v>200</v>
      </c>
    </row>
    <row r="124" spans="2:3" hidden="1" x14ac:dyDescent="0.25">
      <c r="B124" s="230" t="s">
        <v>279</v>
      </c>
      <c r="C124" s="226" t="s">
        <v>202</v>
      </c>
    </row>
    <row r="125" spans="2:3" hidden="1" x14ac:dyDescent="0.25">
      <c r="B125" s="230" t="s">
        <v>203</v>
      </c>
      <c r="C125" s="226" t="s">
        <v>204</v>
      </c>
    </row>
    <row r="126" spans="2:3" hidden="1" x14ac:dyDescent="0.25">
      <c r="B126" s="230" t="s">
        <v>203</v>
      </c>
      <c r="C126" s="226" t="s">
        <v>205</v>
      </c>
    </row>
    <row r="127" spans="2:3" hidden="1" x14ac:dyDescent="0.25">
      <c r="B127" s="230" t="s">
        <v>203</v>
      </c>
      <c r="C127" s="226" t="s">
        <v>206</v>
      </c>
    </row>
    <row r="128" spans="2:3" hidden="1" x14ac:dyDescent="0.25">
      <c r="B128" s="230" t="s">
        <v>203</v>
      </c>
      <c r="C128" s="226" t="s">
        <v>207</v>
      </c>
    </row>
    <row r="129" spans="2:3" hidden="1" x14ac:dyDescent="0.25">
      <c r="B129" s="230" t="s">
        <v>167</v>
      </c>
      <c r="C129" s="226" t="s">
        <v>208</v>
      </c>
    </row>
    <row r="130" spans="2:3" hidden="1" x14ac:dyDescent="0.25">
      <c r="B130" s="230" t="s">
        <v>209</v>
      </c>
      <c r="C130" s="226" t="s">
        <v>210</v>
      </c>
    </row>
    <row r="131" spans="2:3" hidden="1" x14ac:dyDescent="0.25">
      <c r="B131" s="230" t="s">
        <v>203</v>
      </c>
      <c r="C131" s="226" t="s">
        <v>211</v>
      </c>
    </row>
    <row r="132" spans="2:3" hidden="1" x14ac:dyDescent="0.25">
      <c r="B132" s="226"/>
      <c r="C132" s="226"/>
    </row>
    <row r="133" spans="2:3" hidden="1" x14ac:dyDescent="0.25">
      <c r="B133" s="226"/>
      <c r="C133" s="226"/>
    </row>
    <row r="134" spans="2:3" hidden="1" x14ac:dyDescent="0.25">
      <c r="B134" s="232"/>
      <c r="C134" s="232"/>
    </row>
    <row r="135" spans="2:3" hidden="1" x14ac:dyDescent="0.25">
      <c r="B135" s="232">
        <f>NvsElapsedTime</f>
        <v>1.15740767796524E-5</v>
      </c>
      <c r="C135" s="232"/>
    </row>
    <row r="136" spans="2:3" hidden="1" x14ac:dyDescent="0.25">
      <c r="B136" s="233">
        <f>NvsEndTime</f>
        <v>41754.487928240698</v>
      </c>
      <c r="C136" s="233" t="s">
        <v>212</v>
      </c>
    </row>
    <row r="137" spans="2:3" x14ac:dyDescent="0.25">
      <c r="B137" s="226"/>
      <c r="C137" s="234"/>
    </row>
    <row r="138" spans="2:3" x14ac:dyDescent="0.25">
      <c r="B138" s="226"/>
      <c r="C138" s="226"/>
    </row>
    <row r="139" spans="2:3" x14ac:dyDescent="0.25">
      <c r="B139" s="226"/>
      <c r="C139" s="226"/>
    </row>
    <row r="140" spans="2:3" x14ac:dyDescent="0.25">
      <c r="B140" s="226"/>
      <c r="C140" s="226"/>
    </row>
    <row r="141" spans="2:3" x14ac:dyDescent="0.25">
      <c r="B141" s="226"/>
      <c r="C141" s="226"/>
    </row>
    <row r="142" spans="2:3" x14ac:dyDescent="0.25">
      <c r="B142" s="226"/>
      <c r="C142" s="226"/>
    </row>
    <row r="143" spans="2:3" x14ac:dyDescent="0.25">
      <c r="B143" s="226"/>
      <c r="C143" s="226"/>
    </row>
    <row r="144" spans="2:3" x14ac:dyDescent="0.25">
      <c r="B144" s="226"/>
      <c r="C144" s="226"/>
    </row>
    <row r="145" spans="2:3" x14ac:dyDescent="0.25">
      <c r="B145" s="226"/>
      <c r="C145" s="226"/>
    </row>
    <row r="146" spans="2:3" x14ac:dyDescent="0.25">
      <c r="B146" s="226"/>
      <c r="C146" s="226"/>
    </row>
    <row r="147" spans="2:3" x14ac:dyDescent="0.25">
      <c r="B147" s="226"/>
      <c r="C147" s="226"/>
    </row>
    <row r="148" spans="2:3" x14ac:dyDescent="0.25">
      <c r="B148" s="226"/>
      <c r="C148" s="226"/>
    </row>
    <row r="149" spans="2:3" x14ac:dyDescent="0.25">
      <c r="B149" s="226"/>
      <c r="C149" s="226"/>
    </row>
    <row r="150" spans="2:3" x14ac:dyDescent="0.25">
      <c r="B150" s="226"/>
      <c r="C150" s="226"/>
    </row>
    <row r="151" spans="2:3" x14ac:dyDescent="0.25">
      <c r="B151" s="226"/>
      <c r="C151" s="226"/>
    </row>
  </sheetData>
  <mergeCells count="151">
    <mergeCell ref="B80:D80"/>
    <mergeCell ref="V76:X76"/>
    <mergeCell ref="Y76:Z76"/>
    <mergeCell ref="V77:X77"/>
    <mergeCell ref="Y77:Z77"/>
    <mergeCell ref="B78:D78"/>
    <mergeCell ref="V78:X78"/>
    <mergeCell ref="V70:X70"/>
    <mergeCell ref="Y70:Z70"/>
    <mergeCell ref="V71:X71"/>
    <mergeCell ref="Y71:Z71"/>
    <mergeCell ref="V72:AB72"/>
    <mergeCell ref="V73:AC73"/>
    <mergeCell ref="V74:W74"/>
    <mergeCell ref="V75:W75"/>
    <mergeCell ref="B79:D79"/>
    <mergeCell ref="V79:X79"/>
    <mergeCell ref="V65:W65"/>
    <mergeCell ref="X65:AC65"/>
    <mergeCell ref="V66:X66"/>
    <mergeCell ref="Y66:Z66"/>
    <mergeCell ref="V67:AC67"/>
    <mergeCell ref="V68:X68"/>
    <mergeCell ref="Y68:Z68"/>
    <mergeCell ref="V69:X69"/>
    <mergeCell ref="Y69:Z69"/>
    <mergeCell ref="V60:W60"/>
    <mergeCell ref="X60:AC60"/>
    <mergeCell ref="V61:W61"/>
    <mergeCell ref="X61:AC61"/>
    <mergeCell ref="V62:W62"/>
    <mergeCell ref="X62:AC62"/>
    <mergeCell ref="V63:AC63"/>
    <mergeCell ref="V64:W64"/>
    <mergeCell ref="X64:AC64"/>
    <mergeCell ref="V55:AC55"/>
    <mergeCell ref="V56:W56"/>
    <mergeCell ref="Y56:Z56"/>
    <mergeCell ref="AA56:AC56"/>
    <mergeCell ref="V57:AA57"/>
    <mergeCell ref="AB57:AC57"/>
    <mergeCell ref="V58:X58"/>
    <mergeCell ref="Y58:Z58"/>
    <mergeCell ref="V59:AC59"/>
    <mergeCell ref="X49:Y49"/>
    <mergeCell ref="X50:AB50"/>
    <mergeCell ref="V51:AC51"/>
    <mergeCell ref="V52:AC52"/>
    <mergeCell ref="V53:W53"/>
    <mergeCell ref="Y53:Z53"/>
    <mergeCell ref="AA53:AC53"/>
    <mergeCell ref="V54:AA54"/>
    <mergeCell ref="AB54:AC54"/>
    <mergeCell ref="V41:AC41"/>
    <mergeCell ref="V42:AC42"/>
    <mergeCell ref="V43:AC43"/>
    <mergeCell ref="V44:AB44"/>
    <mergeCell ref="V45:AC45"/>
    <mergeCell ref="X46:Y46"/>
    <mergeCell ref="Z46:AC46"/>
    <mergeCell ref="X47:Y47"/>
    <mergeCell ref="X48:Y48"/>
    <mergeCell ref="V37:W37"/>
    <mergeCell ref="X37:Y37"/>
    <mergeCell ref="Z37:AB37"/>
    <mergeCell ref="V38:AC38"/>
    <mergeCell ref="V39:W39"/>
    <mergeCell ref="X39:Y39"/>
    <mergeCell ref="Z39:AC39"/>
    <mergeCell ref="V40:W40"/>
    <mergeCell ref="X40:AA40"/>
    <mergeCell ref="V26:W26"/>
    <mergeCell ref="X26:Y26"/>
    <mergeCell ref="Z26:AA26"/>
    <mergeCell ref="V27:W27"/>
    <mergeCell ref="X27:Y27"/>
    <mergeCell ref="B28:C36"/>
    <mergeCell ref="V28:W36"/>
    <mergeCell ref="X28:Y28"/>
    <mergeCell ref="X29:Y29"/>
    <mergeCell ref="X30:Y30"/>
    <mergeCell ref="X31:Y31"/>
    <mergeCell ref="X32:Y32"/>
    <mergeCell ref="X33:Y33"/>
    <mergeCell ref="X34:Y34"/>
    <mergeCell ref="X35:Y35"/>
    <mergeCell ref="X36:Y36"/>
    <mergeCell ref="V23:W23"/>
    <mergeCell ref="X23:Y23"/>
    <mergeCell ref="Z23:AA23"/>
    <mergeCell ref="V24:W24"/>
    <mergeCell ref="X24:Y24"/>
    <mergeCell ref="Z24:AA24"/>
    <mergeCell ref="V25:W25"/>
    <mergeCell ref="X25:Y25"/>
    <mergeCell ref="Z25:AA25"/>
    <mergeCell ref="V20:W20"/>
    <mergeCell ref="X20:Y20"/>
    <mergeCell ref="Z20:AA20"/>
    <mergeCell ref="V21:W21"/>
    <mergeCell ref="X21:Y21"/>
    <mergeCell ref="Z21:AA21"/>
    <mergeCell ref="V22:W22"/>
    <mergeCell ref="X22:Y22"/>
    <mergeCell ref="Z22:AA22"/>
    <mergeCell ref="V17:W17"/>
    <mergeCell ref="X17:Y17"/>
    <mergeCell ref="Z17:AA17"/>
    <mergeCell ref="V18:W18"/>
    <mergeCell ref="X18:Y18"/>
    <mergeCell ref="Z18:AA18"/>
    <mergeCell ref="V19:W19"/>
    <mergeCell ref="X19:Y19"/>
    <mergeCell ref="Z19:AA19"/>
    <mergeCell ref="V14:W14"/>
    <mergeCell ref="X14:Y14"/>
    <mergeCell ref="Z14:AA14"/>
    <mergeCell ref="V15:W15"/>
    <mergeCell ref="X15:Y15"/>
    <mergeCell ref="Z15:AA15"/>
    <mergeCell ref="V16:W16"/>
    <mergeCell ref="X16:Y16"/>
    <mergeCell ref="Z16:AA16"/>
    <mergeCell ref="V11:W11"/>
    <mergeCell ref="X11:Y11"/>
    <mergeCell ref="Z11:AA11"/>
    <mergeCell ref="V12:W12"/>
    <mergeCell ref="X12:Y12"/>
    <mergeCell ref="Z12:AA12"/>
    <mergeCell ref="V13:W13"/>
    <mergeCell ref="X13:Y13"/>
    <mergeCell ref="Z13:AA13"/>
    <mergeCell ref="V8:W8"/>
    <mergeCell ref="X8:Y8"/>
    <mergeCell ref="Z8:AA8"/>
    <mergeCell ref="V9:W9"/>
    <mergeCell ref="X9:Y9"/>
    <mergeCell ref="Z9:AA9"/>
    <mergeCell ref="V10:W10"/>
    <mergeCell ref="X10:Y10"/>
    <mergeCell ref="Z10:AA10"/>
    <mergeCell ref="W2:AC2"/>
    <mergeCell ref="V3:AC3"/>
    <mergeCell ref="V4:AC4"/>
    <mergeCell ref="V5:W5"/>
    <mergeCell ref="X5:Y5"/>
    <mergeCell ref="V6:AC6"/>
    <mergeCell ref="V7:W7"/>
    <mergeCell ref="X7:Y7"/>
    <mergeCell ref="Z7:AA7"/>
    <mergeCell ref="AB7:AC7"/>
  </mergeCells>
  <printOptions horizontalCentered="1"/>
  <pageMargins left="0" right="0" top="0.67" bottom="0.2" header="0.25" footer="0.196850393700787"/>
  <pageSetup scale="63" fitToWidth="2" fitToHeight="2" orientation="portrait" horizontalDpi="4294967295" verticalDpi="4294967295" r:id="rId1"/>
  <headerFooter alignWithMargins="0">
    <oddHeader>&amp;L&amp;8&amp;F
&amp;D &amp;T</oddHeader>
    <oddFooter>&amp;C&amp;P</oddFooter>
  </headerFooter>
  <rowBreaks count="1" manualBreakCount="1">
    <brk id="51" max="16383" man="1"/>
  </row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pageSetUpPr fitToPage="1"/>
  </sheetPr>
  <dimension ref="A1:AD151"/>
  <sheetViews>
    <sheetView topLeftCell="B2" zoomScale="70" zoomScaleNormal="70" workbookViewId="0">
      <selection activeCell="B2" sqref="B2"/>
    </sheetView>
  </sheetViews>
  <sheetFormatPr defaultColWidth="8.85546875" defaultRowHeight="15.75" x14ac:dyDescent="0.25"/>
  <cols>
    <col min="1" max="1" width="11.28515625" style="1" hidden="1" customWidth="1"/>
    <col min="2" max="2" width="10.28515625" style="2" customWidth="1"/>
    <col min="3" max="3" width="29" style="1" customWidth="1"/>
    <col min="4" max="5" width="12.28515625" style="1" customWidth="1"/>
    <col min="6" max="6" width="12.28515625" style="1" hidden="1" customWidth="1"/>
    <col min="7" max="7" width="16.7109375" style="1" customWidth="1"/>
    <col min="8" max="8" width="6.7109375" style="1" customWidth="1"/>
    <col min="9" max="9" width="14.28515625" style="1" customWidth="1"/>
    <col min="10" max="10" width="12.85546875" style="1" customWidth="1"/>
    <col min="11" max="11" width="16.85546875" style="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28515625" style="1" customWidth="1"/>
    <col min="18" max="18" width="8.85546875" style="1"/>
    <col min="19" max="21" width="0" style="1" hidden="1" customWidth="1"/>
    <col min="22" max="23" width="8.85546875" style="1"/>
    <col min="24" max="24" width="12.7109375" style="1" customWidth="1"/>
    <col min="25" max="27" width="8.85546875" style="1"/>
    <col min="28" max="28" width="13.140625" style="1" bestFit="1" customWidth="1"/>
    <col min="29" max="16384" width="8.85546875" style="1"/>
  </cols>
  <sheetData>
    <row r="1" spans="1:30" ht="15.6"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7"/>
      <c r="N2" s="3"/>
      <c r="O2" s="1"/>
      <c r="V2" s="8">
        <f>'3394'!B2</f>
        <v>50</v>
      </c>
      <c r="W2" s="606" t="s">
        <v>4</v>
      </c>
      <c r="X2" s="607"/>
      <c r="Y2" s="608"/>
      <c r="Z2" s="608"/>
      <c r="AA2" s="608"/>
      <c r="AB2" s="608"/>
      <c r="AC2" s="608"/>
      <c r="AD2" s="9"/>
    </row>
    <row r="3" spans="1:30" ht="20.25" x14ac:dyDescent="0.3">
      <c r="B3" s="10" t="str">
        <f>"Revenue Estimate Worksheet for "&amp;B124</f>
        <v>Revenue Estimate Worksheet for Montessori Acad Early Enrich</v>
      </c>
      <c r="C3" s="11"/>
      <c r="D3" s="11"/>
      <c r="E3" s="11"/>
      <c r="F3" s="11"/>
      <c r="G3" s="11"/>
      <c r="H3" s="11"/>
      <c r="I3" s="11"/>
      <c r="J3" s="11"/>
      <c r="K3" s="11"/>
      <c r="L3" s="11"/>
      <c r="M3" s="10"/>
      <c r="N3" s="10"/>
      <c r="O3" s="10"/>
      <c r="P3" s="10"/>
      <c r="Q3" s="10"/>
      <c r="V3" s="609" t="s">
        <v>5</v>
      </c>
      <c r="W3" s="609"/>
      <c r="X3" s="609"/>
      <c r="Y3" s="609"/>
      <c r="Z3" s="609"/>
      <c r="AA3" s="609"/>
      <c r="AB3" s="609"/>
      <c r="AC3" s="609"/>
      <c r="AD3" s="12"/>
    </row>
    <row r="4" spans="1:30" ht="18.75" x14ac:dyDescent="0.3">
      <c r="B4" s="2" t="s">
        <v>6</v>
      </c>
      <c r="C4" s="13"/>
      <c r="D4" s="13"/>
      <c r="E4" s="13"/>
      <c r="F4" s="13"/>
      <c r="G4" s="13"/>
      <c r="H4" s="13"/>
      <c r="I4" s="13"/>
      <c r="J4" s="13"/>
      <c r="K4" s="13"/>
      <c r="L4" s="13"/>
      <c r="M4" s="14"/>
      <c r="N4" s="14"/>
      <c r="O4" s="14"/>
      <c r="P4" s="14"/>
      <c r="Q4" s="14"/>
      <c r="V4" s="610" t="str">
        <f>+Based_on_the_Second_Calculation_of_the_FEFP_2010_11</f>
        <v>Based on the Fourth Calculation of the FEFP 2013-14</v>
      </c>
      <c r="W4" s="610"/>
      <c r="X4" s="610"/>
      <c r="Y4" s="610"/>
      <c r="Z4" s="610"/>
      <c r="AA4" s="610"/>
      <c r="AB4" s="610"/>
      <c r="AC4" s="610"/>
      <c r="AD4" s="15"/>
    </row>
    <row r="5" spans="1:30" ht="18.75" customHeight="1" x14ac:dyDescent="0.25">
      <c r="B5" s="16" t="s">
        <v>7</v>
      </c>
      <c r="C5" s="16"/>
      <c r="D5" s="16"/>
      <c r="E5" s="16"/>
      <c r="F5" s="16"/>
      <c r="G5" s="17" t="s">
        <v>8</v>
      </c>
      <c r="H5" s="17"/>
      <c r="I5" s="17"/>
      <c r="J5" s="17"/>
      <c r="K5" s="17"/>
      <c r="L5" s="17"/>
      <c r="M5" s="18"/>
      <c r="N5" s="18"/>
      <c r="O5" s="18"/>
      <c r="P5" s="18"/>
      <c r="Q5" s="18"/>
      <c r="V5" s="611" t="s">
        <v>7</v>
      </c>
      <c r="W5" s="611"/>
      <c r="X5" s="612" t="s">
        <v>8</v>
      </c>
      <c r="Y5" s="612"/>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613" t="s">
        <v>9</v>
      </c>
      <c r="W6" s="613"/>
      <c r="X6" s="613"/>
      <c r="Y6" s="613"/>
      <c r="Z6" s="613"/>
      <c r="AA6" s="613"/>
      <c r="AB6" s="613"/>
      <c r="AC6" s="613"/>
      <c r="AD6" s="22"/>
    </row>
    <row r="7" spans="1:30" ht="18" customHeight="1" x14ac:dyDescent="0.25">
      <c r="B7" s="23" t="s">
        <v>10</v>
      </c>
      <c r="C7" s="23"/>
      <c r="D7" s="23"/>
      <c r="E7" s="23"/>
      <c r="F7" s="23"/>
      <c r="G7" s="24">
        <v>3752.3</v>
      </c>
      <c r="H7" s="24"/>
      <c r="I7" s="23" t="s">
        <v>11</v>
      </c>
      <c r="J7" s="23"/>
      <c r="K7" s="25">
        <v>1.0326</v>
      </c>
      <c r="L7" s="25"/>
      <c r="O7" s="1"/>
      <c r="V7" s="620" t="s">
        <v>10</v>
      </c>
      <c r="W7" s="620"/>
      <c r="X7" s="621">
        <f>'3394'!G7</f>
        <v>3752.3</v>
      </c>
      <c r="Y7" s="621"/>
      <c r="Z7" s="622" t="s">
        <v>11</v>
      </c>
      <c r="AA7" s="622"/>
      <c r="AB7" s="602">
        <f>+K7</f>
        <v>1.0326</v>
      </c>
      <c r="AC7" s="602"/>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603" t="s">
        <v>12</v>
      </c>
      <c r="W8" s="603"/>
      <c r="X8" s="604" t="s">
        <v>15</v>
      </c>
      <c r="Y8" s="604"/>
      <c r="Z8" s="605" t="s">
        <v>16</v>
      </c>
      <c r="AA8" s="605"/>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614" t="s">
        <v>22</v>
      </c>
      <c r="W9" s="614"/>
      <c r="X9" s="615" t="s">
        <v>23</v>
      </c>
      <c r="Y9" s="615"/>
      <c r="Z9" s="616" t="s">
        <v>24</v>
      </c>
      <c r="AA9" s="616"/>
      <c r="AB9" s="43" t="s">
        <v>25</v>
      </c>
      <c r="AC9" s="44" t="s">
        <v>26</v>
      </c>
      <c r="AD9" s="9"/>
    </row>
    <row r="10" spans="1:30" x14ac:dyDescent="0.25">
      <c r="A10" s="1" t="s">
        <v>27</v>
      </c>
      <c r="B10" s="45" t="s">
        <v>28</v>
      </c>
      <c r="C10" s="45"/>
      <c r="D10" s="45">
        <v>18.489999999999998</v>
      </c>
      <c r="E10" s="45">
        <v>19.559999999999999</v>
      </c>
      <c r="F10" s="45">
        <v>22.73</v>
      </c>
      <c r="G10" s="46">
        <f>D10+E10</f>
        <v>38.049999999999997</v>
      </c>
      <c r="H10" s="47"/>
      <c r="I10" s="48">
        <v>1.125</v>
      </c>
      <c r="J10" s="48"/>
      <c r="K10" s="49">
        <f>ROUND(G10*I10,4)</f>
        <v>42.8063</v>
      </c>
      <c r="L10" s="50">
        <f>ROUND(ROUND(K10*$G$7,4)*($K$7),0)</f>
        <v>165858</v>
      </c>
      <c r="N10" s="51">
        <v>5101</v>
      </c>
      <c r="O10" s="52">
        <v>101</v>
      </c>
      <c r="P10" s="53"/>
      <c r="Q10" s="54"/>
      <c r="V10" s="617" t="s">
        <v>28</v>
      </c>
      <c r="W10" s="617"/>
      <c r="X10" s="618">
        <f>IF('3394'!K$84=1,'3394'!G10,0)</f>
        <v>0</v>
      </c>
      <c r="Y10" s="618"/>
      <c r="Z10" s="619">
        <v>1</v>
      </c>
      <c r="AA10" s="619"/>
      <c r="AB10" s="55">
        <f t="shared" ref="AB10:AB25" si="0">ROUND(X10*Z10,4)</f>
        <v>0</v>
      </c>
      <c r="AC10" s="56">
        <f t="shared" ref="AC10:AC25" si="1">ROUND(ROUND(AB10*$X$7,4)*($AB$7),0)</f>
        <v>0</v>
      </c>
      <c r="AD10" s="9">
        <v>1</v>
      </c>
    </row>
    <row r="11" spans="1:30" x14ac:dyDescent="0.25">
      <c r="A11" s="1" t="s">
        <v>29</v>
      </c>
      <c r="B11" s="13" t="s">
        <v>30</v>
      </c>
      <c r="C11" s="13"/>
      <c r="D11" s="13">
        <v>43.43</v>
      </c>
      <c r="E11" s="13">
        <v>40.65</v>
      </c>
      <c r="F11" s="13">
        <v>52.64</v>
      </c>
      <c r="G11" s="46">
        <f t="shared" ref="G11:G25" si="2">D11+E11</f>
        <v>84.08</v>
      </c>
      <c r="H11" s="47"/>
      <c r="I11" s="57">
        <f>I10</f>
        <v>1.125</v>
      </c>
      <c r="J11" s="57"/>
      <c r="K11" s="49">
        <f t="shared" ref="K11:K25" si="3">ROUND(G11*I11,4)</f>
        <v>94.59</v>
      </c>
      <c r="L11" s="50">
        <f t="shared" ref="L11:L25" si="4">ROUND(ROUND(K11*$G$7,4)*($K$7),0)</f>
        <v>366501</v>
      </c>
      <c r="M11" s="1" t="str">
        <f>IF(ROUND(G11,2)=ROUND(SUM(G28:G30),2)," ","CHECK 2. PK-3 Lines Below")</f>
        <v xml:space="preserve"> </v>
      </c>
      <c r="N11" s="51">
        <v>5101</v>
      </c>
      <c r="O11" s="58" t="s">
        <v>31</v>
      </c>
      <c r="P11" s="53"/>
      <c r="Q11" s="54"/>
      <c r="V11" s="623" t="s">
        <v>30</v>
      </c>
      <c r="W11" s="623"/>
      <c r="X11" s="618">
        <f>IF('3394'!K$84=1,'3394'!G11,0)</f>
        <v>0</v>
      </c>
      <c r="Y11" s="618"/>
      <c r="Z11" s="624">
        <v>1</v>
      </c>
      <c r="AA11" s="624"/>
      <c r="AB11" s="55">
        <f t="shared" si="0"/>
        <v>0</v>
      </c>
      <c r="AC11" s="56">
        <f t="shared" si="1"/>
        <v>0</v>
      </c>
      <c r="AD11" s="9"/>
    </row>
    <row r="12" spans="1:30" x14ac:dyDescent="0.25">
      <c r="A12" s="1" t="s">
        <v>32</v>
      </c>
      <c r="B12" s="13" t="s">
        <v>33</v>
      </c>
      <c r="C12" s="13"/>
      <c r="D12" s="13">
        <v>17.22</v>
      </c>
      <c r="E12" s="13">
        <v>16.8</v>
      </c>
      <c r="F12" s="13">
        <v>22.91</v>
      </c>
      <c r="G12" s="46">
        <f t="shared" si="2"/>
        <v>34.019999999999996</v>
      </c>
      <c r="H12" s="47"/>
      <c r="I12" s="57">
        <v>1</v>
      </c>
      <c r="J12" s="57"/>
      <c r="K12" s="49">
        <f t="shared" si="3"/>
        <v>34.020000000000003</v>
      </c>
      <c r="L12" s="50">
        <f t="shared" si="4"/>
        <v>131815</v>
      </c>
      <c r="N12" s="51">
        <v>5102</v>
      </c>
      <c r="O12" s="52">
        <v>102</v>
      </c>
      <c r="P12" s="53"/>
      <c r="Q12" s="54"/>
      <c r="V12" s="623" t="s">
        <v>33</v>
      </c>
      <c r="W12" s="623"/>
      <c r="X12" s="618">
        <f>IF('3394'!K$84=1,'3394'!G12,0)</f>
        <v>0</v>
      </c>
      <c r="Y12" s="618"/>
      <c r="Z12" s="624">
        <v>1</v>
      </c>
      <c r="AA12" s="624"/>
      <c r="AB12" s="55">
        <f t="shared" si="0"/>
        <v>0</v>
      </c>
      <c r="AC12" s="56">
        <f t="shared" si="1"/>
        <v>0</v>
      </c>
      <c r="AD12" s="9"/>
    </row>
    <row r="13" spans="1:30" x14ac:dyDescent="0.25">
      <c r="A13" s="1" t="s">
        <v>34</v>
      </c>
      <c r="B13" s="13" t="s">
        <v>35</v>
      </c>
      <c r="C13" s="13"/>
      <c r="D13" s="13">
        <v>9.51</v>
      </c>
      <c r="E13" s="13">
        <v>9</v>
      </c>
      <c r="F13" s="13">
        <v>12.23</v>
      </c>
      <c r="G13" s="46">
        <f t="shared" si="2"/>
        <v>18.509999999999998</v>
      </c>
      <c r="H13" s="47"/>
      <c r="I13" s="57">
        <f>I12</f>
        <v>1</v>
      </c>
      <c r="J13" s="57"/>
      <c r="K13" s="49">
        <f t="shared" si="3"/>
        <v>18.510000000000002</v>
      </c>
      <c r="L13" s="50">
        <f t="shared" si="4"/>
        <v>71719</v>
      </c>
      <c r="M13" s="1" t="str">
        <f>IF(ROUND(G13,2)=ROUND(SUM(G31:G33),2)," ","CHECK 2. PK-3 Lines Below")</f>
        <v xml:space="preserve"> </v>
      </c>
      <c r="N13" s="51">
        <v>5102</v>
      </c>
      <c r="O13" s="58" t="s">
        <v>36</v>
      </c>
      <c r="P13" s="53"/>
      <c r="Q13" s="54"/>
      <c r="V13" s="623" t="s">
        <v>35</v>
      </c>
      <c r="W13" s="623"/>
      <c r="X13" s="618">
        <f>IF('3394'!K$84=1,'3394'!G13,0)</f>
        <v>0</v>
      </c>
      <c r="Y13" s="618"/>
      <c r="Z13" s="624">
        <v>1</v>
      </c>
      <c r="AA13" s="624"/>
      <c r="AB13" s="55">
        <f t="shared" si="0"/>
        <v>0</v>
      </c>
      <c r="AC13" s="56">
        <f t="shared" si="1"/>
        <v>0</v>
      </c>
      <c r="AD13" s="9"/>
    </row>
    <row r="14" spans="1:30" x14ac:dyDescent="0.25">
      <c r="A14" s="1" t="s">
        <v>37</v>
      </c>
      <c r="B14" s="13" t="s">
        <v>38</v>
      </c>
      <c r="C14" s="13"/>
      <c r="D14" s="13">
        <v>0</v>
      </c>
      <c r="E14" s="13">
        <v>0</v>
      </c>
      <c r="F14" s="13">
        <v>0</v>
      </c>
      <c r="G14" s="46">
        <f t="shared" si="2"/>
        <v>0</v>
      </c>
      <c r="H14" s="47"/>
      <c r="I14" s="57">
        <v>1.0109999999999999</v>
      </c>
      <c r="J14" s="57"/>
      <c r="K14" s="49">
        <f t="shared" si="3"/>
        <v>0</v>
      </c>
      <c r="L14" s="50">
        <f t="shared" si="4"/>
        <v>0</v>
      </c>
      <c r="N14" s="51">
        <v>5103</v>
      </c>
      <c r="O14" s="52">
        <v>103</v>
      </c>
      <c r="P14" s="53"/>
      <c r="Q14" s="54"/>
      <c r="V14" s="623" t="s">
        <v>38</v>
      </c>
      <c r="W14" s="623"/>
      <c r="X14" s="618">
        <f>IF('3394'!K$84=1,'3394'!G14,0)</f>
        <v>0</v>
      </c>
      <c r="Y14" s="618"/>
      <c r="Z14" s="624">
        <v>1</v>
      </c>
      <c r="AA14" s="624"/>
      <c r="AB14" s="55">
        <f t="shared" si="0"/>
        <v>0</v>
      </c>
      <c r="AC14" s="56">
        <f t="shared" si="1"/>
        <v>0</v>
      </c>
      <c r="AD14" s="9"/>
    </row>
    <row r="15" spans="1:30" x14ac:dyDescent="0.25">
      <c r="A15" s="1" t="s">
        <v>39</v>
      </c>
      <c r="B15" s="13" t="s">
        <v>40</v>
      </c>
      <c r="C15" s="13"/>
      <c r="D15" s="13">
        <v>0</v>
      </c>
      <c r="E15" s="13">
        <v>0</v>
      </c>
      <c r="F15" s="13">
        <v>0</v>
      </c>
      <c r="G15" s="46">
        <f t="shared" si="2"/>
        <v>0</v>
      </c>
      <c r="H15" s="47"/>
      <c r="I15" s="57">
        <f>I14</f>
        <v>1.0109999999999999</v>
      </c>
      <c r="J15" s="57"/>
      <c r="K15" s="49">
        <f t="shared" si="3"/>
        <v>0</v>
      </c>
      <c r="L15" s="59">
        <f t="shared" si="4"/>
        <v>0</v>
      </c>
      <c r="M15" s="1" t="str">
        <f>IF(ROUND(G15,2)=ROUND(SUM(G34:G36),2)," ","CHECK 2. PK-3 Lines Below")</f>
        <v xml:space="preserve"> </v>
      </c>
      <c r="N15" s="51">
        <v>5103</v>
      </c>
      <c r="O15" s="58" t="s">
        <v>41</v>
      </c>
      <c r="P15" s="53"/>
      <c r="Q15" s="54"/>
      <c r="V15" s="623" t="s">
        <v>40</v>
      </c>
      <c r="W15" s="623"/>
      <c r="X15" s="618">
        <f>IF('3394'!K$84=1,'3394'!G15,0)</f>
        <v>0</v>
      </c>
      <c r="Y15" s="618"/>
      <c r="Z15" s="624">
        <v>1</v>
      </c>
      <c r="AA15" s="624"/>
      <c r="AB15" s="55">
        <f t="shared" si="0"/>
        <v>0</v>
      </c>
      <c r="AC15" s="60">
        <f t="shared" si="1"/>
        <v>0</v>
      </c>
      <c r="AD15" s="9"/>
    </row>
    <row r="16" spans="1:30" x14ac:dyDescent="0.25">
      <c r="A16" s="1" t="s">
        <v>42</v>
      </c>
      <c r="B16" s="13" t="s">
        <v>43</v>
      </c>
      <c r="C16" s="13"/>
      <c r="D16" s="13">
        <v>0</v>
      </c>
      <c r="E16" s="13">
        <v>0.98</v>
      </c>
      <c r="F16" s="13">
        <v>0</v>
      </c>
      <c r="G16" s="46">
        <f t="shared" si="2"/>
        <v>0.98</v>
      </c>
      <c r="H16" s="47"/>
      <c r="I16" s="57">
        <v>3.5579999999999998</v>
      </c>
      <c r="J16" s="57"/>
      <c r="K16" s="49">
        <f t="shared" si="3"/>
        <v>3.4868000000000001</v>
      </c>
      <c r="L16" s="50">
        <f t="shared" si="4"/>
        <v>13510</v>
      </c>
      <c r="N16" s="51">
        <v>5101</v>
      </c>
      <c r="O16" s="53">
        <v>254</v>
      </c>
      <c r="P16" s="53"/>
      <c r="Q16" s="54"/>
      <c r="V16" s="623" t="s">
        <v>43</v>
      </c>
      <c r="W16" s="623"/>
      <c r="X16" s="618">
        <f>IF('3394'!K$84=1,'3394'!G16,0)</f>
        <v>0</v>
      </c>
      <c r="Y16" s="618"/>
      <c r="Z16" s="624">
        <v>1</v>
      </c>
      <c r="AA16" s="624"/>
      <c r="AB16" s="55">
        <f t="shared" si="0"/>
        <v>0</v>
      </c>
      <c r="AC16" s="56">
        <f t="shared" si="1"/>
        <v>0</v>
      </c>
      <c r="AD16" s="9"/>
    </row>
    <row r="17" spans="1:30" x14ac:dyDescent="0.25">
      <c r="A17" s="1" t="s">
        <v>44</v>
      </c>
      <c r="B17" s="13" t="s">
        <v>45</v>
      </c>
      <c r="C17" s="13"/>
      <c r="D17" s="13">
        <v>0</v>
      </c>
      <c r="E17" s="13">
        <v>0</v>
      </c>
      <c r="F17" s="13">
        <v>0</v>
      </c>
      <c r="G17" s="46">
        <f t="shared" si="2"/>
        <v>0</v>
      </c>
      <c r="H17" s="47"/>
      <c r="I17" s="57">
        <f>I16</f>
        <v>3.5579999999999998</v>
      </c>
      <c r="J17" s="57"/>
      <c r="K17" s="49">
        <f t="shared" si="3"/>
        <v>0</v>
      </c>
      <c r="L17" s="50">
        <f t="shared" si="4"/>
        <v>0</v>
      </c>
      <c r="N17" s="51">
        <v>5102</v>
      </c>
      <c r="O17" s="54">
        <v>254</v>
      </c>
      <c r="P17" s="53"/>
      <c r="Q17" s="54"/>
      <c r="V17" s="623" t="s">
        <v>45</v>
      </c>
      <c r="W17" s="623"/>
      <c r="X17" s="618">
        <f>IF('3394'!K$84=1,'3394'!G17,0)</f>
        <v>0</v>
      </c>
      <c r="Y17" s="618"/>
      <c r="Z17" s="624">
        <v>1</v>
      </c>
      <c r="AA17" s="624"/>
      <c r="AB17" s="55">
        <f t="shared" si="0"/>
        <v>0</v>
      </c>
      <c r="AC17" s="56">
        <f t="shared" si="1"/>
        <v>0</v>
      </c>
      <c r="AD17" s="9"/>
    </row>
    <row r="18" spans="1:30" x14ac:dyDescent="0.25">
      <c r="A18" s="1" t="s">
        <v>46</v>
      </c>
      <c r="B18" s="13" t="s">
        <v>47</v>
      </c>
      <c r="C18" s="13"/>
      <c r="D18" s="13">
        <v>0</v>
      </c>
      <c r="E18" s="13">
        <v>0</v>
      </c>
      <c r="F18" s="13">
        <v>0</v>
      </c>
      <c r="G18" s="46">
        <f t="shared" si="2"/>
        <v>0</v>
      </c>
      <c r="H18" s="47"/>
      <c r="I18" s="57">
        <f>I17</f>
        <v>3.5579999999999998</v>
      </c>
      <c r="J18" s="57"/>
      <c r="K18" s="49">
        <f t="shared" si="3"/>
        <v>0</v>
      </c>
      <c r="L18" s="50">
        <f t="shared" si="4"/>
        <v>0</v>
      </c>
      <c r="N18" s="51">
        <v>5103</v>
      </c>
      <c r="O18" s="54">
        <v>254</v>
      </c>
      <c r="P18" s="53"/>
      <c r="Q18" s="54"/>
      <c r="V18" s="623" t="s">
        <v>47</v>
      </c>
      <c r="W18" s="623"/>
      <c r="X18" s="618">
        <f>IF('3394'!K$84=1,'3394'!G18,0)</f>
        <v>0</v>
      </c>
      <c r="Y18" s="618"/>
      <c r="Z18" s="624">
        <v>1</v>
      </c>
      <c r="AA18" s="624"/>
      <c r="AB18" s="55">
        <f t="shared" si="0"/>
        <v>0</v>
      </c>
      <c r="AC18" s="56">
        <f t="shared" si="1"/>
        <v>0</v>
      </c>
      <c r="AD18" s="9"/>
    </row>
    <row r="19" spans="1:30" ht="15" customHeight="1" x14ac:dyDescent="0.25">
      <c r="A19" s="1" t="s">
        <v>48</v>
      </c>
      <c r="B19" s="13" t="s">
        <v>49</v>
      </c>
      <c r="C19" s="13"/>
      <c r="D19" s="13">
        <v>0</v>
      </c>
      <c r="E19" s="13">
        <v>0</v>
      </c>
      <c r="F19" s="13">
        <v>0</v>
      </c>
      <c r="G19" s="46">
        <f t="shared" si="2"/>
        <v>0</v>
      </c>
      <c r="H19" s="47"/>
      <c r="I19" s="57">
        <v>5.0890000000000004</v>
      </c>
      <c r="J19" s="57"/>
      <c r="K19" s="49">
        <f t="shared" si="3"/>
        <v>0</v>
      </c>
      <c r="L19" s="50">
        <f t="shared" si="4"/>
        <v>0</v>
      </c>
      <c r="N19" s="51">
        <v>5101</v>
      </c>
      <c r="O19" s="53">
        <v>255</v>
      </c>
      <c r="P19" s="53"/>
      <c r="Q19" s="54"/>
      <c r="V19" s="623" t="s">
        <v>49</v>
      </c>
      <c r="W19" s="623"/>
      <c r="X19" s="618">
        <f>IF('3394'!K$84=1,'3394'!G19,0)</f>
        <v>0</v>
      </c>
      <c r="Y19" s="618"/>
      <c r="Z19" s="624">
        <v>1</v>
      </c>
      <c r="AA19" s="624"/>
      <c r="AB19" s="55">
        <f t="shared" si="0"/>
        <v>0</v>
      </c>
      <c r="AC19" s="56">
        <f t="shared" si="1"/>
        <v>0</v>
      </c>
      <c r="AD19" s="9"/>
    </row>
    <row r="20" spans="1:30" ht="15" customHeight="1" x14ac:dyDescent="0.25">
      <c r="A20" s="1" t="s">
        <v>50</v>
      </c>
      <c r="B20" s="13" t="s">
        <v>51</v>
      </c>
      <c r="C20" s="13"/>
      <c r="D20" s="13">
        <v>0</v>
      </c>
      <c r="E20" s="13">
        <v>0</v>
      </c>
      <c r="F20" s="13">
        <v>0</v>
      </c>
      <c r="G20" s="46">
        <f t="shared" si="2"/>
        <v>0</v>
      </c>
      <c r="H20" s="47"/>
      <c r="I20" s="57">
        <f>I19</f>
        <v>5.0890000000000004</v>
      </c>
      <c r="J20" s="57"/>
      <c r="K20" s="49">
        <f t="shared" si="3"/>
        <v>0</v>
      </c>
      <c r="L20" s="50">
        <f t="shared" si="4"/>
        <v>0</v>
      </c>
      <c r="N20" s="51">
        <v>5102</v>
      </c>
      <c r="O20" s="54">
        <v>255</v>
      </c>
      <c r="P20" s="53"/>
      <c r="Q20" s="54"/>
      <c r="V20" s="623" t="s">
        <v>51</v>
      </c>
      <c r="W20" s="623"/>
      <c r="X20" s="618">
        <f>IF('3394'!K$84=1,'3394'!G20,0)</f>
        <v>0</v>
      </c>
      <c r="Y20" s="618"/>
      <c r="Z20" s="624">
        <v>1</v>
      </c>
      <c r="AA20" s="624"/>
      <c r="AB20" s="55">
        <f t="shared" si="0"/>
        <v>0</v>
      </c>
      <c r="AC20" s="56">
        <f t="shared" si="1"/>
        <v>0</v>
      </c>
      <c r="AD20" s="9"/>
    </row>
    <row r="21" spans="1:30" ht="15" customHeight="1" x14ac:dyDescent="0.25">
      <c r="A21" s="1" t="s">
        <v>52</v>
      </c>
      <c r="B21" s="13" t="s">
        <v>53</v>
      </c>
      <c r="C21" s="13"/>
      <c r="D21" s="13">
        <v>0</v>
      </c>
      <c r="E21" s="13">
        <v>0</v>
      </c>
      <c r="F21" s="13">
        <v>0</v>
      </c>
      <c r="G21" s="46">
        <f t="shared" si="2"/>
        <v>0</v>
      </c>
      <c r="H21" s="47"/>
      <c r="I21" s="57">
        <f>I20</f>
        <v>5.0890000000000004</v>
      </c>
      <c r="J21" s="57"/>
      <c r="K21" s="49">
        <f t="shared" si="3"/>
        <v>0</v>
      </c>
      <c r="L21" s="50">
        <f t="shared" si="4"/>
        <v>0</v>
      </c>
      <c r="N21" s="51">
        <v>5103</v>
      </c>
      <c r="O21" s="54">
        <v>255</v>
      </c>
      <c r="P21" s="53"/>
      <c r="Q21" s="54"/>
      <c r="V21" s="623" t="s">
        <v>53</v>
      </c>
      <c r="W21" s="623"/>
      <c r="X21" s="618">
        <f>IF('3394'!K$84=1,'3394'!G21,0)</f>
        <v>0</v>
      </c>
      <c r="Y21" s="618"/>
      <c r="Z21" s="624">
        <v>1</v>
      </c>
      <c r="AA21" s="624"/>
      <c r="AB21" s="55">
        <f t="shared" si="0"/>
        <v>0</v>
      </c>
      <c r="AC21" s="56">
        <f t="shared" si="1"/>
        <v>0</v>
      </c>
      <c r="AD21" s="9"/>
    </row>
    <row r="22" spans="1:30" x14ac:dyDescent="0.25">
      <c r="A22" s="1" t="s">
        <v>54</v>
      </c>
      <c r="B22" s="13" t="s">
        <v>55</v>
      </c>
      <c r="C22" s="13"/>
      <c r="D22" s="13">
        <v>11.81</v>
      </c>
      <c r="E22" s="13">
        <v>13.21</v>
      </c>
      <c r="F22" s="13">
        <v>14.29</v>
      </c>
      <c r="G22" s="46">
        <f t="shared" si="2"/>
        <v>25.020000000000003</v>
      </c>
      <c r="H22" s="47"/>
      <c r="I22" s="57">
        <v>1.145</v>
      </c>
      <c r="J22" s="57"/>
      <c r="K22" s="49">
        <f t="shared" si="3"/>
        <v>28.6479</v>
      </c>
      <c r="L22" s="50">
        <f t="shared" si="4"/>
        <v>111000</v>
      </c>
      <c r="N22" s="51">
        <v>5101</v>
      </c>
      <c r="O22" s="52">
        <v>130</v>
      </c>
      <c r="P22" s="53"/>
      <c r="Q22" s="54"/>
      <c r="V22" s="623" t="s">
        <v>55</v>
      </c>
      <c r="W22" s="623"/>
      <c r="X22" s="618">
        <f>IF('3394'!K$84=1,'3394'!G22,0)</f>
        <v>0</v>
      </c>
      <c r="Y22" s="618"/>
      <c r="Z22" s="624">
        <v>1</v>
      </c>
      <c r="AA22" s="624"/>
      <c r="AB22" s="55">
        <f t="shared" si="0"/>
        <v>0</v>
      </c>
      <c r="AC22" s="56">
        <f t="shared" si="1"/>
        <v>0</v>
      </c>
      <c r="AD22" s="9"/>
    </row>
    <row r="23" spans="1:30" x14ac:dyDescent="0.25">
      <c r="A23" s="1" t="s">
        <v>56</v>
      </c>
      <c r="B23" s="13" t="s">
        <v>57</v>
      </c>
      <c r="C23" s="13"/>
      <c r="D23" s="13">
        <v>0</v>
      </c>
      <c r="E23" s="13">
        <v>0</v>
      </c>
      <c r="F23" s="13">
        <v>0</v>
      </c>
      <c r="G23" s="46">
        <f t="shared" si="2"/>
        <v>0</v>
      </c>
      <c r="H23" s="47"/>
      <c r="I23" s="57">
        <f>I22</f>
        <v>1.145</v>
      </c>
      <c r="J23" s="57"/>
      <c r="K23" s="49">
        <f t="shared" si="3"/>
        <v>0</v>
      </c>
      <c r="L23" s="50">
        <f t="shared" si="4"/>
        <v>0</v>
      </c>
      <c r="N23" s="51">
        <v>5102</v>
      </c>
      <c r="O23" s="52">
        <v>130</v>
      </c>
      <c r="P23" s="53"/>
      <c r="Q23" s="54"/>
      <c r="V23" s="623" t="s">
        <v>57</v>
      </c>
      <c r="W23" s="623"/>
      <c r="X23" s="618">
        <f>IF('3394'!K$84=1,'3394'!G23,0)</f>
        <v>0</v>
      </c>
      <c r="Y23" s="618"/>
      <c r="Z23" s="624">
        <v>1</v>
      </c>
      <c r="AA23" s="624"/>
      <c r="AB23" s="55">
        <f t="shared" si="0"/>
        <v>0</v>
      </c>
      <c r="AC23" s="56">
        <f t="shared" si="1"/>
        <v>0</v>
      </c>
      <c r="AD23" s="9"/>
    </row>
    <row r="24" spans="1:30" x14ac:dyDescent="0.25">
      <c r="A24" s="1" t="s">
        <v>58</v>
      </c>
      <c r="B24" s="13" t="s">
        <v>59</v>
      </c>
      <c r="C24" s="13"/>
      <c r="D24" s="13">
        <v>0</v>
      </c>
      <c r="E24" s="13">
        <v>0</v>
      </c>
      <c r="F24" s="13">
        <v>0</v>
      </c>
      <c r="G24" s="46">
        <f t="shared" si="2"/>
        <v>0</v>
      </c>
      <c r="H24" s="47"/>
      <c r="I24" s="57">
        <f>I23</f>
        <v>1.145</v>
      </c>
      <c r="J24" s="57"/>
      <c r="K24" s="49">
        <f t="shared" si="3"/>
        <v>0</v>
      </c>
      <c r="L24" s="50">
        <f t="shared" si="4"/>
        <v>0</v>
      </c>
      <c r="N24" s="51">
        <v>5103</v>
      </c>
      <c r="O24" s="52">
        <v>130</v>
      </c>
      <c r="P24" s="53"/>
      <c r="Q24" s="54"/>
      <c r="V24" s="623" t="s">
        <v>59</v>
      </c>
      <c r="W24" s="623"/>
      <c r="X24" s="618">
        <f>IF('3394'!K$84=1,'3394'!G24,0)</f>
        <v>0</v>
      </c>
      <c r="Y24" s="618"/>
      <c r="Z24" s="624">
        <v>1</v>
      </c>
      <c r="AA24" s="624"/>
      <c r="AB24" s="55">
        <f t="shared" si="0"/>
        <v>0</v>
      </c>
      <c r="AC24" s="56">
        <f t="shared" si="1"/>
        <v>0</v>
      </c>
      <c r="AD24" s="9"/>
    </row>
    <row r="25" spans="1:30" ht="16.5" thickBot="1" x14ac:dyDescent="0.3">
      <c r="A25" s="1" t="s">
        <v>60</v>
      </c>
      <c r="B25" s="13" t="s">
        <v>61</v>
      </c>
      <c r="C25" s="13"/>
      <c r="D25" s="13">
        <v>0</v>
      </c>
      <c r="E25" s="13">
        <v>0</v>
      </c>
      <c r="F25" s="13">
        <v>0</v>
      </c>
      <c r="G25" s="46">
        <f t="shared" si="2"/>
        <v>0</v>
      </c>
      <c r="H25" s="47"/>
      <c r="I25" s="57">
        <v>1.0109999999999999</v>
      </c>
      <c r="J25" s="57"/>
      <c r="K25" s="49">
        <f t="shared" si="3"/>
        <v>0</v>
      </c>
      <c r="L25" s="50">
        <f t="shared" si="4"/>
        <v>0</v>
      </c>
      <c r="N25" s="51">
        <v>5310</v>
      </c>
      <c r="O25" s="52">
        <v>300</v>
      </c>
      <c r="P25" s="53"/>
      <c r="Q25" s="54"/>
      <c r="V25" s="623" t="s">
        <v>61</v>
      </c>
      <c r="W25" s="623"/>
      <c r="X25" s="618">
        <f>IF('3394'!K$84=1,'3394'!G25,0)</f>
        <v>0</v>
      </c>
      <c r="Y25" s="618"/>
      <c r="Z25" s="624">
        <v>1</v>
      </c>
      <c r="AA25" s="624"/>
      <c r="AB25" s="55">
        <f t="shared" si="0"/>
        <v>0</v>
      </c>
      <c r="AC25" s="56">
        <f t="shared" si="1"/>
        <v>0</v>
      </c>
      <c r="AD25" s="9"/>
    </row>
    <row r="26" spans="1:30" ht="20.25" customHeight="1" thickBot="1" x14ac:dyDescent="0.3">
      <c r="B26" s="62" t="s">
        <v>62</v>
      </c>
      <c r="C26" s="62"/>
      <c r="D26" s="63">
        <f t="shared" ref="D26:E26" si="5">SUM(D10:D25)</f>
        <v>100.46000000000001</v>
      </c>
      <c r="E26" s="63">
        <f t="shared" si="5"/>
        <v>100.19999999999999</v>
      </c>
      <c r="F26" s="63"/>
      <c r="G26" s="63">
        <f>SUM(G10:G25)</f>
        <v>200.65999999999997</v>
      </c>
      <c r="H26" s="64"/>
      <c r="I26" s="64"/>
      <c r="J26" s="65"/>
      <c r="K26" s="66">
        <f>SUM(K10:K25)</f>
        <v>222.06099999999998</v>
      </c>
      <c r="L26" s="67">
        <f>SUM(L10:L25)</f>
        <v>860403</v>
      </c>
      <c r="N26" s="54"/>
      <c r="O26" s="68"/>
      <c r="P26" s="54"/>
      <c r="Q26" s="54"/>
      <c r="V26" s="625" t="s">
        <v>62</v>
      </c>
      <c r="W26" s="625"/>
      <c r="X26" s="626">
        <f>SUM(X10:X25)</f>
        <v>0</v>
      </c>
      <c r="Y26" s="626"/>
      <c r="Z26" s="627"/>
      <c r="AA26" s="628"/>
      <c r="AB26" s="69">
        <f>SUM(AB10:AB25)</f>
        <v>0</v>
      </c>
      <c r="AC26" s="70">
        <f>SUM(AC10:AC25)</f>
        <v>0</v>
      </c>
      <c r="AD26" s="9"/>
    </row>
    <row r="27" spans="1:30" ht="51.75" customHeight="1" x14ac:dyDescent="0.25">
      <c r="B27" s="62" t="s">
        <v>63</v>
      </c>
      <c r="C27" s="62"/>
      <c r="D27" s="71" t="s">
        <v>13</v>
      </c>
      <c r="E27" s="71" t="s">
        <v>14</v>
      </c>
      <c r="F27" s="27"/>
      <c r="G27" s="72" t="s">
        <v>64</v>
      </c>
      <c r="H27" s="73"/>
      <c r="I27" s="74" t="s">
        <v>65</v>
      </c>
      <c r="J27" s="74" t="s">
        <v>66</v>
      </c>
      <c r="K27" s="75" t="s">
        <v>67</v>
      </c>
      <c r="N27" s="54"/>
      <c r="O27" s="68"/>
      <c r="P27" s="54"/>
      <c r="Q27" s="54"/>
      <c r="V27" s="629" t="s">
        <v>63</v>
      </c>
      <c r="W27" s="629"/>
      <c r="X27" s="630" t="s">
        <v>64</v>
      </c>
      <c r="Y27" s="630"/>
      <c r="Z27" s="76" t="s">
        <v>65</v>
      </c>
      <c r="AA27" s="77" t="s">
        <v>66</v>
      </c>
      <c r="AB27" s="78" t="s">
        <v>67</v>
      </c>
      <c r="AC27" s="9"/>
      <c r="AD27" s="9"/>
    </row>
    <row r="28" spans="1:30" ht="15.75" customHeight="1" x14ac:dyDescent="0.25">
      <c r="A28" s="1" t="s">
        <v>68</v>
      </c>
      <c r="B28" s="631" t="s">
        <v>69</v>
      </c>
      <c r="C28" s="632"/>
      <c r="D28" s="13">
        <v>37.450000000000003</v>
      </c>
      <c r="E28" s="13">
        <v>35.5</v>
      </c>
      <c r="F28" s="79">
        <v>41</v>
      </c>
      <c r="G28" s="46">
        <f t="shared" ref="G28:G36" si="6">D28+E28</f>
        <v>72.95</v>
      </c>
      <c r="H28" s="80"/>
      <c r="I28" s="81" t="s">
        <v>70</v>
      </c>
      <c r="J28" s="82">
        <v>251</v>
      </c>
      <c r="K28" s="83">
        <v>1047</v>
      </c>
      <c r="L28" s="84">
        <f>ROUND(G28*K28,0)</f>
        <v>76379</v>
      </c>
      <c r="N28" s="85">
        <v>5101</v>
      </c>
      <c r="O28" s="54">
        <v>251</v>
      </c>
      <c r="P28" s="86"/>
      <c r="Q28" s="87"/>
      <c r="V28" s="637" t="s">
        <v>69</v>
      </c>
      <c r="W28" s="637"/>
      <c r="X28" s="638"/>
      <c r="Y28" s="638"/>
      <c r="Z28" s="88" t="s">
        <v>70</v>
      </c>
      <c r="AA28" s="89">
        <v>251</v>
      </c>
      <c r="AB28" s="90">
        <f>+K28</f>
        <v>1047</v>
      </c>
      <c r="AC28" s="91">
        <f t="shared" ref="AC28:AC36" si="7">ROUND(X28*AB28,0)</f>
        <v>0</v>
      </c>
      <c r="AD28" s="9"/>
    </row>
    <row r="29" spans="1:30" x14ac:dyDescent="0.25">
      <c r="A29" s="1" t="s">
        <v>71</v>
      </c>
      <c r="B29" s="633"/>
      <c r="C29" s="634"/>
      <c r="D29" s="13">
        <v>5.0999999999999996</v>
      </c>
      <c r="E29" s="13">
        <v>5.15</v>
      </c>
      <c r="F29" s="92">
        <v>3</v>
      </c>
      <c r="G29" s="46">
        <f t="shared" si="6"/>
        <v>10.25</v>
      </c>
      <c r="H29" s="80"/>
      <c r="I29" s="82" t="s">
        <v>70</v>
      </c>
      <c r="J29" s="82">
        <v>252</v>
      </c>
      <c r="K29" s="83">
        <v>3380</v>
      </c>
      <c r="L29" s="84">
        <f t="shared" ref="L29:L36" si="8">ROUND(G29*K29,0)</f>
        <v>34645</v>
      </c>
      <c r="N29" s="85">
        <v>5101</v>
      </c>
      <c r="O29" s="54">
        <v>252</v>
      </c>
      <c r="P29" s="86"/>
      <c r="Q29" s="87"/>
      <c r="V29" s="637"/>
      <c r="W29" s="637"/>
      <c r="X29" s="638"/>
      <c r="Y29" s="638"/>
      <c r="Z29" s="89" t="s">
        <v>70</v>
      </c>
      <c r="AA29" s="89">
        <v>252</v>
      </c>
      <c r="AB29" s="90">
        <f t="shared" ref="AB29:AB36" si="9">+K29</f>
        <v>3380</v>
      </c>
      <c r="AC29" s="91">
        <f t="shared" si="7"/>
        <v>0</v>
      </c>
      <c r="AD29" s="9"/>
    </row>
    <row r="30" spans="1:30" x14ac:dyDescent="0.25">
      <c r="A30" s="1" t="s">
        <v>72</v>
      </c>
      <c r="B30" s="633"/>
      <c r="C30" s="634"/>
      <c r="D30" s="13">
        <v>0.88</v>
      </c>
      <c r="E30" s="13">
        <v>0</v>
      </c>
      <c r="F30" s="92">
        <v>6.5</v>
      </c>
      <c r="G30" s="46">
        <f t="shared" si="6"/>
        <v>0.88</v>
      </c>
      <c r="H30" s="80"/>
      <c r="I30" s="82" t="s">
        <v>70</v>
      </c>
      <c r="J30" s="82">
        <v>253</v>
      </c>
      <c r="K30" s="83">
        <v>6896</v>
      </c>
      <c r="L30" s="84">
        <f t="shared" si="8"/>
        <v>6068</v>
      </c>
      <c r="N30" s="85">
        <v>5101</v>
      </c>
      <c r="O30" s="54">
        <v>253</v>
      </c>
      <c r="P30" s="86"/>
      <c r="Q30" s="68"/>
      <c r="V30" s="637"/>
      <c r="W30" s="637"/>
      <c r="X30" s="638"/>
      <c r="Y30" s="638"/>
      <c r="Z30" s="89" t="s">
        <v>70</v>
      </c>
      <c r="AA30" s="89">
        <v>253</v>
      </c>
      <c r="AB30" s="90">
        <f t="shared" si="9"/>
        <v>6896</v>
      </c>
      <c r="AC30" s="91">
        <f t="shared" si="7"/>
        <v>0</v>
      </c>
      <c r="AD30" s="9"/>
    </row>
    <row r="31" spans="1:30" x14ac:dyDescent="0.25">
      <c r="A31" s="1" t="s">
        <v>73</v>
      </c>
      <c r="B31" s="633"/>
      <c r="C31" s="634"/>
      <c r="D31" s="13">
        <v>9.51</v>
      </c>
      <c r="E31" s="13">
        <v>9</v>
      </c>
      <c r="F31" s="92">
        <v>4</v>
      </c>
      <c r="G31" s="46">
        <f t="shared" si="6"/>
        <v>18.509999999999998</v>
      </c>
      <c r="H31" s="80"/>
      <c r="I31" s="93" t="s">
        <v>74</v>
      </c>
      <c r="J31" s="82">
        <v>251</v>
      </c>
      <c r="K31" s="83">
        <v>1173</v>
      </c>
      <c r="L31" s="84">
        <f t="shared" si="8"/>
        <v>21712</v>
      </c>
      <c r="N31" s="85">
        <v>5102</v>
      </c>
      <c r="O31" s="54">
        <v>251</v>
      </c>
      <c r="P31" s="86"/>
      <c r="Q31" s="68"/>
      <c r="V31" s="637"/>
      <c r="W31" s="637"/>
      <c r="X31" s="638"/>
      <c r="Y31" s="638"/>
      <c r="Z31" s="94" t="s">
        <v>74</v>
      </c>
      <c r="AA31" s="89">
        <v>251</v>
      </c>
      <c r="AB31" s="90">
        <f t="shared" si="9"/>
        <v>1173</v>
      </c>
      <c r="AC31" s="91">
        <f t="shared" si="7"/>
        <v>0</v>
      </c>
      <c r="AD31" s="9"/>
    </row>
    <row r="32" spans="1:30" x14ac:dyDescent="0.25">
      <c r="A32" s="1" t="s">
        <v>75</v>
      </c>
      <c r="B32" s="633"/>
      <c r="C32" s="634"/>
      <c r="D32" s="13">
        <v>0</v>
      </c>
      <c r="E32" s="13">
        <v>0</v>
      </c>
      <c r="F32" s="92">
        <v>0</v>
      </c>
      <c r="G32" s="46">
        <f t="shared" si="6"/>
        <v>0</v>
      </c>
      <c r="H32" s="80"/>
      <c r="I32" s="93" t="s">
        <v>74</v>
      </c>
      <c r="J32" s="82">
        <v>252</v>
      </c>
      <c r="K32" s="83">
        <v>3506</v>
      </c>
      <c r="L32" s="84">
        <f t="shared" si="8"/>
        <v>0</v>
      </c>
      <c r="N32" s="85">
        <v>5102</v>
      </c>
      <c r="O32" s="54">
        <v>252</v>
      </c>
      <c r="P32" s="86"/>
      <c r="Q32" s="54"/>
      <c r="V32" s="637"/>
      <c r="W32" s="637"/>
      <c r="X32" s="638"/>
      <c r="Y32" s="638"/>
      <c r="Z32" s="94" t="s">
        <v>74</v>
      </c>
      <c r="AA32" s="89">
        <v>252</v>
      </c>
      <c r="AB32" s="90">
        <f t="shared" si="9"/>
        <v>3506</v>
      </c>
      <c r="AC32" s="91">
        <f t="shared" si="7"/>
        <v>0</v>
      </c>
      <c r="AD32" s="9"/>
    </row>
    <row r="33" spans="1:30" x14ac:dyDescent="0.25">
      <c r="A33" s="1" t="s">
        <v>76</v>
      </c>
      <c r="B33" s="633"/>
      <c r="C33" s="634"/>
      <c r="D33" s="13">
        <v>0</v>
      </c>
      <c r="E33" s="13">
        <v>0</v>
      </c>
      <c r="F33" s="92">
        <v>0</v>
      </c>
      <c r="G33" s="46">
        <f t="shared" si="6"/>
        <v>0</v>
      </c>
      <c r="H33" s="80"/>
      <c r="I33" s="93" t="s">
        <v>74</v>
      </c>
      <c r="J33" s="82">
        <v>253</v>
      </c>
      <c r="K33" s="83">
        <v>7023</v>
      </c>
      <c r="L33" s="84">
        <f t="shared" si="8"/>
        <v>0</v>
      </c>
      <c r="N33" s="85">
        <v>5102</v>
      </c>
      <c r="O33" s="54">
        <v>253</v>
      </c>
      <c r="P33" s="86"/>
      <c r="Q33" s="87"/>
      <c r="V33" s="637"/>
      <c r="W33" s="637"/>
      <c r="X33" s="638"/>
      <c r="Y33" s="638"/>
      <c r="Z33" s="94" t="s">
        <v>74</v>
      </c>
      <c r="AA33" s="89">
        <v>253</v>
      </c>
      <c r="AB33" s="90">
        <f t="shared" si="9"/>
        <v>7023</v>
      </c>
      <c r="AC33" s="91">
        <f t="shared" si="7"/>
        <v>0</v>
      </c>
      <c r="AD33" s="9"/>
    </row>
    <row r="34" spans="1:30" x14ac:dyDescent="0.25">
      <c r="A34" s="1" t="s">
        <v>77</v>
      </c>
      <c r="B34" s="633"/>
      <c r="C34" s="634"/>
      <c r="D34" s="13">
        <v>0</v>
      </c>
      <c r="E34" s="13">
        <v>0</v>
      </c>
      <c r="F34" s="92">
        <v>0</v>
      </c>
      <c r="G34" s="46">
        <f t="shared" si="6"/>
        <v>0</v>
      </c>
      <c r="H34" s="80"/>
      <c r="I34" s="93" t="s">
        <v>78</v>
      </c>
      <c r="J34" s="82">
        <v>251</v>
      </c>
      <c r="K34" s="83">
        <v>835</v>
      </c>
      <c r="L34" s="84">
        <f t="shared" si="8"/>
        <v>0</v>
      </c>
      <c r="N34" s="85">
        <v>5103</v>
      </c>
      <c r="O34" s="54">
        <v>251</v>
      </c>
      <c r="P34" s="86"/>
      <c r="Q34" s="87"/>
      <c r="V34" s="637"/>
      <c r="W34" s="637"/>
      <c r="X34" s="638"/>
      <c r="Y34" s="638"/>
      <c r="Z34" s="94" t="s">
        <v>78</v>
      </c>
      <c r="AA34" s="89">
        <v>251</v>
      </c>
      <c r="AB34" s="90">
        <f t="shared" si="9"/>
        <v>835</v>
      </c>
      <c r="AC34" s="91">
        <f t="shared" si="7"/>
        <v>0</v>
      </c>
      <c r="AD34" s="9"/>
    </row>
    <row r="35" spans="1:30" x14ac:dyDescent="0.25">
      <c r="A35" s="1" t="s">
        <v>79</v>
      </c>
      <c r="B35" s="633"/>
      <c r="C35" s="634"/>
      <c r="D35" s="13">
        <v>0</v>
      </c>
      <c r="E35" s="13">
        <v>0</v>
      </c>
      <c r="F35" s="92">
        <v>0</v>
      </c>
      <c r="G35" s="46">
        <f t="shared" si="6"/>
        <v>0</v>
      </c>
      <c r="H35" s="80"/>
      <c r="I35" s="93" t="s">
        <v>78</v>
      </c>
      <c r="J35" s="82">
        <v>252</v>
      </c>
      <c r="K35" s="83">
        <v>3168</v>
      </c>
      <c r="L35" s="84">
        <f t="shared" si="8"/>
        <v>0</v>
      </c>
      <c r="N35" s="85">
        <v>5103</v>
      </c>
      <c r="O35" s="54">
        <v>252</v>
      </c>
      <c r="P35" s="86"/>
      <c r="Q35" s="95"/>
      <c r="V35" s="637"/>
      <c r="W35" s="637"/>
      <c r="X35" s="638"/>
      <c r="Y35" s="638"/>
      <c r="Z35" s="94" t="s">
        <v>78</v>
      </c>
      <c r="AA35" s="89">
        <v>252</v>
      </c>
      <c r="AB35" s="90">
        <f t="shared" si="9"/>
        <v>3168</v>
      </c>
      <c r="AC35" s="91">
        <f t="shared" si="7"/>
        <v>0</v>
      </c>
      <c r="AD35" s="9"/>
    </row>
    <row r="36" spans="1:30" ht="16.5" thickBot="1" x14ac:dyDescent="0.3">
      <c r="A36" s="1" t="s">
        <v>80</v>
      </c>
      <c r="B36" s="635"/>
      <c r="C36" s="636"/>
      <c r="D36" s="13">
        <v>0</v>
      </c>
      <c r="E36" s="13">
        <v>0</v>
      </c>
      <c r="F36" s="92">
        <v>0</v>
      </c>
      <c r="G36" s="46">
        <f t="shared" si="6"/>
        <v>0</v>
      </c>
      <c r="H36" s="80"/>
      <c r="I36" s="93" t="s">
        <v>78</v>
      </c>
      <c r="J36" s="82">
        <v>253</v>
      </c>
      <c r="K36" s="83">
        <v>6685</v>
      </c>
      <c r="L36" s="96">
        <f t="shared" si="8"/>
        <v>0</v>
      </c>
      <c r="N36" s="85">
        <v>5103</v>
      </c>
      <c r="O36" s="54">
        <v>253</v>
      </c>
      <c r="P36" s="86"/>
      <c r="Q36" s="97"/>
      <c r="V36" s="637"/>
      <c r="W36" s="637"/>
      <c r="X36" s="645"/>
      <c r="Y36" s="645"/>
      <c r="Z36" s="94" t="s">
        <v>78</v>
      </c>
      <c r="AA36" s="89">
        <v>253</v>
      </c>
      <c r="AB36" s="90">
        <f t="shared" si="9"/>
        <v>6685</v>
      </c>
      <c r="AC36" s="98">
        <f t="shared" si="7"/>
        <v>0</v>
      </c>
      <c r="AD36" s="9"/>
    </row>
    <row r="37" spans="1:30" ht="18.75" customHeight="1" x14ac:dyDescent="0.25">
      <c r="B37" s="13" t="s">
        <v>81</v>
      </c>
      <c r="C37" s="13"/>
      <c r="D37" s="63">
        <f t="shared" ref="D37:E37" si="10">SUM(D28:D36)</f>
        <v>52.940000000000005</v>
      </c>
      <c r="E37" s="63">
        <f t="shared" si="10"/>
        <v>49.65</v>
      </c>
      <c r="F37" s="63"/>
      <c r="G37" s="63">
        <f>SUM(G28:G36)</f>
        <v>102.59</v>
      </c>
      <c r="H37" s="64"/>
      <c r="I37" s="13" t="s">
        <v>82</v>
      </c>
      <c r="J37" s="13"/>
      <c r="K37" s="13"/>
      <c r="L37" s="50">
        <f>SUM(L28:L36)</f>
        <v>138804</v>
      </c>
      <c r="N37" s="54"/>
      <c r="O37" s="68"/>
      <c r="P37" s="54"/>
      <c r="Q37" s="54"/>
      <c r="V37" s="646" t="s">
        <v>81</v>
      </c>
      <c r="W37" s="646"/>
      <c r="X37" s="626">
        <f>SUM(X28:X36)</f>
        <v>0</v>
      </c>
      <c r="Y37" s="626"/>
      <c r="Z37" s="646" t="s">
        <v>82</v>
      </c>
      <c r="AA37" s="646"/>
      <c r="AB37" s="646"/>
      <c r="AC37" s="56">
        <f>SUM(AC28:AC36)</f>
        <v>0</v>
      </c>
      <c r="AD37" s="9"/>
    </row>
    <row r="38" spans="1:30" ht="30.75" customHeight="1" x14ac:dyDescent="0.25">
      <c r="B38" s="99" t="s">
        <v>83</v>
      </c>
      <c r="C38" s="99"/>
      <c r="D38" s="99"/>
      <c r="E38" s="99"/>
      <c r="F38" s="99"/>
      <c r="G38" s="99"/>
      <c r="H38" s="100"/>
      <c r="I38" s="99"/>
      <c r="J38" s="99"/>
      <c r="K38" s="99"/>
      <c r="L38" s="99"/>
      <c r="M38" s="101"/>
      <c r="N38" s="54"/>
      <c r="O38" s="68"/>
      <c r="P38" s="54"/>
      <c r="Q38" s="54"/>
      <c r="V38" s="639" t="s">
        <v>83</v>
      </c>
      <c r="W38" s="639"/>
      <c r="X38" s="639"/>
      <c r="Y38" s="639"/>
      <c r="Z38" s="639"/>
      <c r="AA38" s="639"/>
      <c r="AB38" s="639"/>
      <c r="AC38" s="639"/>
      <c r="AD38" s="102"/>
    </row>
    <row r="39" spans="1:30" ht="15.75" customHeight="1" x14ac:dyDescent="0.25">
      <c r="B39" s="103" t="s">
        <v>84</v>
      </c>
      <c r="C39" s="103"/>
      <c r="D39" s="103"/>
      <c r="E39" s="103"/>
      <c r="F39" s="103"/>
      <c r="G39" s="104">
        <v>34389540</v>
      </c>
      <c r="H39" s="104"/>
      <c r="I39" s="13" t="s">
        <v>85</v>
      </c>
      <c r="J39" s="13"/>
      <c r="K39" s="13"/>
      <c r="L39" s="13"/>
      <c r="O39" s="1"/>
      <c r="V39" s="640" t="s">
        <v>84</v>
      </c>
      <c r="W39" s="640"/>
      <c r="X39" s="641">
        <f>+G39</f>
        <v>34389540</v>
      </c>
      <c r="Y39" s="641"/>
      <c r="Z39" s="642" t="s">
        <v>85</v>
      </c>
      <c r="AA39" s="642"/>
      <c r="AB39" s="642"/>
      <c r="AC39" s="642"/>
      <c r="AD39" s="9"/>
    </row>
    <row r="40" spans="1:30" ht="15.75" customHeight="1" x14ac:dyDescent="0.25">
      <c r="B40" s="105" t="s">
        <v>86</v>
      </c>
      <c r="C40" s="105"/>
      <c r="D40" s="105"/>
      <c r="E40" s="105"/>
      <c r="F40" s="105"/>
      <c r="G40" s="106">
        <v>180284.81</v>
      </c>
      <c r="H40" s="106"/>
      <c r="I40" s="106"/>
      <c r="J40" s="106"/>
      <c r="K40" s="50">
        <f>ROUND(G39/G40,0)</f>
        <v>191</v>
      </c>
      <c r="L40" s="50">
        <f>ROUND(K40*$G$26,0)</f>
        <v>38326</v>
      </c>
      <c r="N40" s="107"/>
      <c r="O40" s="107"/>
      <c r="P40" s="107"/>
      <c r="Q40" s="107"/>
      <c r="V40" s="643" t="s">
        <v>86</v>
      </c>
      <c r="W40" s="643"/>
      <c r="X40" s="644">
        <f>+G40</f>
        <v>180284.81</v>
      </c>
      <c r="Y40" s="644"/>
      <c r="Z40" s="644"/>
      <c r="AA40" s="644"/>
      <c r="AB40" s="56">
        <f>ROUND(X39/X40,0)</f>
        <v>191</v>
      </c>
      <c r="AC40" s="56">
        <f>ROUND(AB40*$X$26,0)</f>
        <v>0</v>
      </c>
      <c r="AD40" s="9"/>
    </row>
    <row r="41" spans="1:30" ht="15.75" customHeight="1" x14ac:dyDescent="0.25">
      <c r="B41" s="108" t="s">
        <v>87</v>
      </c>
      <c r="C41" s="108"/>
      <c r="D41" s="108"/>
      <c r="E41" s="108"/>
      <c r="F41" s="108"/>
      <c r="G41" s="108"/>
      <c r="H41" s="108"/>
      <c r="I41" s="108"/>
      <c r="J41" s="108"/>
      <c r="K41" s="108"/>
      <c r="L41" s="108"/>
      <c r="N41" s="101"/>
      <c r="O41" s="109"/>
      <c r="P41" s="101"/>
      <c r="Q41" s="101"/>
      <c r="V41" s="652" t="s">
        <v>87</v>
      </c>
      <c r="W41" s="652"/>
      <c r="X41" s="652"/>
      <c r="Y41" s="652"/>
      <c r="Z41" s="652"/>
      <c r="AA41" s="652"/>
      <c r="AB41" s="652"/>
      <c r="AC41" s="652"/>
      <c r="AD41" s="9"/>
    </row>
    <row r="42" spans="1:30" ht="28.5" customHeight="1" x14ac:dyDescent="0.25">
      <c r="B42" s="99" t="s">
        <v>88</v>
      </c>
      <c r="C42" s="99"/>
      <c r="D42" s="99"/>
      <c r="E42" s="99"/>
      <c r="F42" s="99"/>
      <c r="G42" s="99"/>
      <c r="H42" s="99"/>
      <c r="I42" s="99"/>
      <c r="J42" s="99"/>
      <c r="K42" s="99"/>
      <c r="L42" s="99"/>
      <c r="M42" s="107"/>
      <c r="O42" s="1"/>
      <c r="V42" s="639" t="s">
        <v>88</v>
      </c>
      <c r="W42" s="639"/>
      <c r="X42" s="639"/>
      <c r="Y42" s="639"/>
      <c r="Z42" s="639"/>
      <c r="AA42" s="639"/>
      <c r="AB42" s="639"/>
      <c r="AC42" s="639"/>
      <c r="AD42" s="110"/>
    </row>
    <row r="43" spans="1:30" x14ac:dyDescent="0.25">
      <c r="B43" s="111" t="s">
        <v>89</v>
      </c>
      <c r="C43" s="111"/>
      <c r="D43" s="111"/>
      <c r="E43" s="111"/>
      <c r="F43" s="111"/>
      <c r="G43" s="111"/>
      <c r="H43" s="111"/>
      <c r="I43" s="111"/>
      <c r="J43" s="111"/>
      <c r="K43" s="111"/>
      <c r="L43" s="111"/>
      <c r="M43" s="112"/>
      <c r="N43" s="101"/>
      <c r="O43" s="101"/>
      <c r="P43" s="101"/>
      <c r="Q43" s="101"/>
      <c r="V43" s="653" t="s">
        <v>89</v>
      </c>
      <c r="W43" s="653"/>
      <c r="X43" s="653"/>
      <c r="Y43" s="653"/>
      <c r="Z43" s="653"/>
      <c r="AA43" s="653"/>
      <c r="AB43" s="653"/>
      <c r="AC43" s="653"/>
      <c r="AD43" s="113"/>
    </row>
    <row r="44" spans="1:30" ht="24" customHeight="1" x14ac:dyDescent="0.25">
      <c r="B44" s="62" t="s">
        <v>90</v>
      </c>
      <c r="C44" s="62"/>
      <c r="D44" s="62"/>
      <c r="E44" s="62"/>
      <c r="F44" s="62"/>
      <c r="G44" s="62"/>
      <c r="H44" s="62"/>
      <c r="I44" s="62"/>
      <c r="J44" s="62"/>
      <c r="K44" s="62"/>
      <c r="L44" s="114">
        <f>SUM(L26,L37,L40)</f>
        <v>1037533</v>
      </c>
      <c r="O44" s="1"/>
      <c r="V44" s="654" t="s">
        <v>90</v>
      </c>
      <c r="W44" s="654"/>
      <c r="X44" s="654"/>
      <c r="Y44" s="654"/>
      <c r="Z44" s="654"/>
      <c r="AA44" s="654"/>
      <c r="AB44" s="654"/>
      <c r="AC44" s="115">
        <f>SUM(AC26,AC37,AC40)</f>
        <v>0</v>
      </c>
      <c r="AD44" s="9"/>
    </row>
    <row r="45" spans="1:30" ht="30.75" customHeight="1" x14ac:dyDescent="0.25">
      <c r="B45" s="99" t="s">
        <v>91</v>
      </c>
      <c r="C45" s="99"/>
      <c r="D45" s="99"/>
      <c r="E45" s="99"/>
      <c r="F45" s="99"/>
      <c r="G45" s="99"/>
      <c r="H45" s="99"/>
      <c r="I45" s="99"/>
      <c r="J45" s="99"/>
      <c r="K45" s="99"/>
      <c r="L45" s="99"/>
      <c r="M45" s="116"/>
      <c r="O45" s="1"/>
      <c r="V45" s="639" t="s">
        <v>91</v>
      </c>
      <c r="W45" s="639"/>
      <c r="X45" s="639"/>
      <c r="Y45" s="639"/>
      <c r="Z45" s="639"/>
      <c r="AA45" s="639"/>
      <c r="AB45" s="639"/>
      <c r="AC45" s="639"/>
      <c r="AD45" s="117"/>
    </row>
    <row r="46" spans="1:30" ht="18.75" customHeight="1" x14ac:dyDescent="0.25">
      <c r="B46" s="1"/>
      <c r="C46" s="118" t="s">
        <v>92</v>
      </c>
      <c r="D46" s="118"/>
      <c r="E46" s="118"/>
      <c r="F46" s="118"/>
      <c r="G46" s="118" t="s">
        <v>93</v>
      </c>
      <c r="H46" s="119"/>
      <c r="I46" s="120" t="s">
        <v>94</v>
      </c>
      <c r="J46" s="121"/>
      <c r="K46" s="121"/>
      <c r="L46" s="121"/>
      <c r="M46" s="122"/>
      <c r="O46" s="1"/>
      <c r="V46" s="9"/>
      <c r="W46" s="123" t="s">
        <v>92</v>
      </c>
      <c r="X46" s="655" t="s">
        <v>95</v>
      </c>
      <c r="Y46" s="655"/>
      <c r="Z46" s="656" t="s">
        <v>94</v>
      </c>
      <c r="AA46" s="656"/>
      <c r="AB46" s="656"/>
      <c r="AC46" s="656"/>
      <c r="AD46" s="124"/>
    </row>
    <row r="47" spans="1:30" ht="18.75" customHeight="1" x14ac:dyDescent="0.25">
      <c r="B47" s="107" t="s">
        <v>96</v>
      </c>
      <c r="C47" s="125">
        <f>K10+K11+K16+K19+K22</f>
        <v>169.53099999999998</v>
      </c>
      <c r="D47" s="125"/>
      <c r="E47" s="125"/>
      <c r="F47" s="125"/>
      <c r="G47" s="126">
        <f>K7</f>
        <v>1.0326</v>
      </c>
      <c r="H47" s="126"/>
      <c r="I47" s="127">
        <v>1316.85</v>
      </c>
      <c r="J47" s="128" t="s">
        <v>97</v>
      </c>
      <c r="K47" s="129">
        <f>ROUND(C47*G47*I47,0)</f>
        <v>230525</v>
      </c>
      <c r="L47" s="130"/>
      <c r="O47" s="1"/>
      <c r="V47" s="110" t="s">
        <v>96</v>
      </c>
      <c r="W47" s="131">
        <f>AB10+AB11+AB16+AB19+AB22</f>
        <v>0</v>
      </c>
      <c r="X47" s="647">
        <f>AB7</f>
        <v>1.0326</v>
      </c>
      <c r="Y47" s="647"/>
      <c r="Z47" s="132">
        <f>+I47</f>
        <v>1316.85</v>
      </c>
      <c r="AA47" s="133" t="s">
        <v>97</v>
      </c>
      <c r="AB47" s="134">
        <f>ROUND(W47*X47*Z47,0)</f>
        <v>0</v>
      </c>
      <c r="AC47" s="135"/>
      <c r="AD47" s="9"/>
    </row>
    <row r="48" spans="1:30" ht="18" customHeight="1" x14ac:dyDescent="0.25">
      <c r="B48" s="136" t="s">
        <v>74</v>
      </c>
      <c r="C48" s="125">
        <f>K12+K13+K17+K20+K23</f>
        <v>52.53</v>
      </c>
      <c r="D48" s="125"/>
      <c r="E48" s="125"/>
      <c r="F48" s="125"/>
      <c r="G48" s="126">
        <f>K7</f>
        <v>1.0326</v>
      </c>
      <c r="H48" s="126"/>
      <c r="I48" s="127">
        <v>898.23</v>
      </c>
      <c r="J48" s="128" t="s">
        <v>97</v>
      </c>
      <c r="K48" s="129">
        <f>ROUND(C48*G48*I48,0)</f>
        <v>48722</v>
      </c>
      <c r="L48" s="62"/>
      <c r="O48" s="1"/>
      <c r="V48" s="137" t="s">
        <v>74</v>
      </c>
      <c r="W48" s="131">
        <f>AB12+AB13+AB17+AB20+AB23</f>
        <v>0</v>
      </c>
      <c r="X48" s="647">
        <f>AB7</f>
        <v>1.0326</v>
      </c>
      <c r="Y48" s="647"/>
      <c r="Z48" s="132">
        <f>+I48</f>
        <v>898.23</v>
      </c>
      <c r="AA48" s="133" t="s">
        <v>97</v>
      </c>
      <c r="AB48" s="134">
        <f>ROUND(W48*X48*Z48,0)</f>
        <v>0</v>
      </c>
      <c r="AC48" s="138"/>
      <c r="AD48" s="9"/>
    </row>
    <row r="49" spans="2:30" ht="19.5" customHeight="1" thickBot="1" x14ac:dyDescent="0.3">
      <c r="B49" s="139" t="s">
        <v>78</v>
      </c>
      <c r="C49" s="140">
        <f>K14+K15+K18+K21+K24+K25</f>
        <v>0</v>
      </c>
      <c r="D49" s="125"/>
      <c r="E49" s="125"/>
      <c r="F49" s="125"/>
      <c r="G49" s="126">
        <f>K7</f>
        <v>1.0326</v>
      </c>
      <c r="H49" s="126"/>
      <c r="I49" s="127">
        <v>900.39</v>
      </c>
      <c r="J49" s="128" t="s">
        <v>97</v>
      </c>
      <c r="K49" s="129">
        <f>ROUND(C49*G49*I49,0)</f>
        <v>0</v>
      </c>
      <c r="L49" s="62"/>
      <c r="M49" s="112"/>
      <c r="N49" s="141"/>
      <c r="O49" s="142"/>
      <c r="P49" s="101"/>
      <c r="Q49" s="143"/>
      <c r="V49" s="144" t="s">
        <v>78</v>
      </c>
      <c r="W49" s="145">
        <f>AB14+AB15+AB18+AB21+AB24+AB25</f>
        <v>0</v>
      </c>
      <c r="X49" s="647">
        <f>AB7</f>
        <v>1.0326</v>
      </c>
      <c r="Y49" s="647"/>
      <c r="Z49" s="132">
        <f>+I49</f>
        <v>900.39</v>
      </c>
      <c r="AA49" s="133" t="s">
        <v>97</v>
      </c>
      <c r="AB49" s="134">
        <f>ROUND(W49*X49*Z49,0)</f>
        <v>0</v>
      </c>
      <c r="AC49" s="138"/>
      <c r="AD49" s="113"/>
    </row>
    <row r="50" spans="2:30" ht="24" customHeight="1" thickBot="1" x14ac:dyDescent="0.3">
      <c r="B50" s="146" t="s">
        <v>98</v>
      </c>
      <c r="C50" s="147">
        <f>SUM(C47:C49)</f>
        <v>222.06099999999998</v>
      </c>
      <c r="D50" s="148"/>
      <c r="E50" s="149"/>
      <c r="F50" s="149"/>
      <c r="G50" s="150" t="s">
        <v>99</v>
      </c>
      <c r="H50" s="150"/>
      <c r="I50" s="150"/>
      <c r="J50" s="150"/>
      <c r="K50" s="150"/>
      <c r="L50" s="50">
        <f>IF(B2=75,0,K49+K48+K47)</f>
        <v>279247</v>
      </c>
      <c r="N50" s="3"/>
      <c r="O50" s="1"/>
      <c r="V50" s="151" t="s">
        <v>98</v>
      </c>
      <c r="W50" s="152">
        <f>SUM(W47:W49)</f>
        <v>0</v>
      </c>
      <c r="X50" s="648" t="s">
        <v>99</v>
      </c>
      <c r="Y50" s="649"/>
      <c r="Z50" s="649"/>
      <c r="AA50" s="649"/>
      <c r="AB50" s="649"/>
      <c r="AC50" s="56">
        <f>IF(V2=75,0,AB49+AB48+AB47)</f>
        <v>0</v>
      </c>
      <c r="AD50" s="9"/>
    </row>
    <row r="51" spans="2:30" ht="19.5" customHeight="1" x14ac:dyDescent="0.25">
      <c r="B51" s="153" t="s">
        <v>100</v>
      </c>
      <c r="C51" s="153"/>
      <c r="D51" s="153"/>
      <c r="E51" s="153"/>
      <c r="F51" s="153"/>
      <c r="G51" s="153"/>
      <c r="H51" s="153"/>
      <c r="I51" s="153"/>
      <c r="J51" s="153"/>
      <c r="K51" s="153"/>
      <c r="L51" s="153"/>
      <c r="M51" s="141"/>
      <c r="N51" s="101"/>
      <c r="O51" s="1"/>
      <c r="V51" s="650" t="s">
        <v>100</v>
      </c>
      <c r="W51" s="650"/>
      <c r="X51" s="650"/>
      <c r="Y51" s="650"/>
      <c r="Z51" s="650"/>
      <c r="AA51" s="650"/>
      <c r="AB51" s="650"/>
      <c r="AC51" s="650"/>
      <c r="AD51" s="154"/>
    </row>
    <row r="52" spans="2:30" ht="27.75" customHeight="1" x14ac:dyDescent="0.25">
      <c r="B52" s="13" t="s">
        <v>101</v>
      </c>
      <c r="C52" s="13"/>
      <c r="D52" s="13"/>
      <c r="E52" s="13"/>
      <c r="F52" s="13"/>
      <c r="G52" s="13"/>
      <c r="H52" s="13"/>
      <c r="I52" s="13"/>
      <c r="J52" s="13"/>
      <c r="K52" s="13"/>
      <c r="L52" s="13"/>
      <c r="O52" s="1"/>
      <c r="V52" s="651" t="s">
        <v>101</v>
      </c>
      <c r="W52" s="651"/>
      <c r="X52" s="651"/>
      <c r="Y52" s="651"/>
      <c r="Z52" s="651"/>
      <c r="AA52" s="651"/>
      <c r="AB52" s="651"/>
      <c r="AC52" s="651"/>
      <c r="AD52" s="9"/>
    </row>
    <row r="53" spans="2:30" x14ac:dyDescent="0.25">
      <c r="B53" s="13" t="s">
        <v>102</v>
      </c>
      <c r="C53" s="13"/>
      <c r="D53" s="13"/>
      <c r="E53" s="13"/>
      <c r="F53" s="13"/>
      <c r="G53" s="155">
        <f>K26</f>
        <v>222.06099999999998</v>
      </c>
      <c r="H53" s="57" t="s">
        <v>103</v>
      </c>
      <c r="I53" s="57"/>
      <c r="J53" s="156">
        <v>197823.77</v>
      </c>
      <c r="K53" s="156"/>
      <c r="L53" s="156"/>
      <c r="N53" s="3"/>
      <c r="O53" s="1"/>
      <c r="V53" s="657" t="s">
        <v>102</v>
      </c>
      <c r="W53" s="657"/>
      <c r="X53" s="157">
        <f>AB26</f>
        <v>0</v>
      </c>
      <c r="Y53" s="658" t="s">
        <v>103</v>
      </c>
      <c r="Z53" s="658"/>
      <c r="AA53" s="659">
        <f>+J53</f>
        <v>197823.77</v>
      </c>
      <c r="AB53" s="659"/>
      <c r="AC53" s="659"/>
      <c r="AD53" s="9"/>
    </row>
    <row r="54" spans="2:30" x14ac:dyDescent="0.25">
      <c r="B54" s="13" t="s">
        <v>104</v>
      </c>
      <c r="C54" s="13"/>
      <c r="D54" s="13"/>
      <c r="E54" s="13"/>
      <c r="F54" s="13"/>
      <c r="G54" s="13"/>
      <c r="H54" s="13"/>
      <c r="I54" s="13"/>
      <c r="J54" s="13"/>
      <c r="K54" s="158">
        <f>ROUND(G53/J53,6)</f>
        <v>1.1230000000000001E-3</v>
      </c>
      <c r="L54" s="158"/>
      <c r="N54" s="101"/>
      <c r="O54" s="1"/>
      <c r="V54" s="657" t="s">
        <v>104</v>
      </c>
      <c r="W54" s="657"/>
      <c r="X54" s="657"/>
      <c r="Y54" s="657"/>
      <c r="Z54" s="657"/>
      <c r="AA54" s="657"/>
      <c r="AB54" s="660">
        <f>ROUND(X53/AA53,6)</f>
        <v>0</v>
      </c>
      <c r="AC54" s="660"/>
      <c r="AD54" s="9"/>
    </row>
    <row r="55" spans="2:30" ht="24" customHeight="1" x14ac:dyDescent="0.25">
      <c r="B55" s="13" t="s">
        <v>105</v>
      </c>
      <c r="C55" s="13"/>
      <c r="D55" s="13"/>
      <c r="E55" s="13"/>
      <c r="F55" s="13"/>
      <c r="G55" s="13"/>
      <c r="H55" s="13"/>
      <c r="I55" s="13"/>
      <c r="J55" s="13"/>
      <c r="K55" s="13"/>
      <c r="L55" s="13"/>
      <c r="O55" s="1"/>
      <c r="V55" s="651" t="s">
        <v>105</v>
      </c>
      <c r="W55" s="651"/>
      <c r="X55" s="651"/>
      <c r="Y55" s="651"/>
      <c r="Z55" s="651"/>
      <c r="AA55" s="651"/>
      <c r="AB55" s="651"/>
      <c r="AC55" s="651"/>
      <c r="AD55" s="9"/>
    </row>
    <row r="56" spans="2:30" x14ac:dyDescent="0.25">
      <c r="B56" s="13" t="s">
        <v>106</v>
      </c>
      <c r="C56" s="13"/>
      <c r="D56" s="13"/>
      <c r="E56" s="13"/>
      <c r="F56" s="13"/>
      <c r="G56" s="159">
        <f>G26</f>
        <v>200.65999999999997</v>
      </c>
      <c r="H56" s="57" t="s">
        <v>107</v>
      </c>
      <c r="I56" s="57"/>
      <c r="J56" s="156">
        <f>+G40</f>
        <v>180284.81</v>
      </c>
      <c r="K56" s="156"/>
      <c r="L56" s="156"/>
      <c r="O56" s="1"/>
      <c r="V56" s="657" t="s">
        <v>106</v>
      </c>
      <c r="W56" s="657"/>
      <c r="X56" s="160">
        <f>X26</f>
        <v>0</v>
      </c>
      <c r="Y56" s="658" t="s">
        <v>107</v>
      </c>
      <c r="Z56" s="658"/>
      <c r="AA56" s="659">
        <f>+J56</f>
        <v>180284.81</v>
      </c>
      <c r="AB56" s="659"/>
      <c r="AC56" s="659"/>
      <c r="AD56" s="9"/>
    </row>
    <row r="57" spans="2:30" x14ac:dyDescent="0.25">
      <c r="B57" s="13" t="s">
        <v>108</v>
      </c>
      <c r="C57" s="13"/>
      <c r="D57" s="13"/>
      <c r="E57" s="13"/>
      <c r="F57" s="13"/>
      <c r="G57" s="13"/>
      <c r="H57" s="13"/>
      <c r="I57" s="13"/>
      <c r="J57" s="13"/>
      <c r="K57" s="158">
        <f>ROUND(G56/J56,6)</f>
        <v>1.1130000000000001E-3</v>
      </c>
      <c r="L57" s="158"/>
      <c r="O57" s="1"/>
      <c r="V57" s="657" t="s">
        <v>108</v>
      </c>
      <c r="W57" s="657"/>
      <c r="X57" s="657"/>
      <c r="Y57" s="657"/>
      <c r="Z57" s="657"/>
      <c r="AA57" s="657"/>
      <c r="AB57" s="660">
        <f>ROUND(X56/AA56,6)</f>
        <v>0</v>
      </c>
      <c r="AC57" s="660"/>
      <c r="AD57" s="9"/>
    </row>
    <row r="58" spans="2:30" ht="20.25" customHeight="1" x14ac:dyDescent="0.25">
      <c r="B58" s="161" t="s">
        <v>109</v>
      </c>
      <c r="C58" s="161"/>
      <c r="D58" s="161"/>
      <c r="E58" s="161"/>
      <c r="F58" s="161"/>
      <c r="G58" s="161"/>
      <c r="H58" s="161"/>
      <c r="I58" s="161"/>
      <c r="J58" s="161"/>
      <c r="K58" s="161"/>
      <c r="L58" s="161"/>
      <c r="N58" s="18"/>
      <c r="O58" s="18"/>
      <c r="V58" s="629" t="s">
        <v>110</v>
      </c>
      <c r="W58" s="629"/>
      <c r="X58" s="629"/>
      <c r="Y58" s="661">
        <f>X65+X64+X62+X61+X60</f>
        <v>4123852</v>
      </c>
      <c r="Z58" s="661"/>
      <c r="AA58" s="162" t="s">
        <v>111</v>
      </c>
      <c r="AB58" s="163">
        <f>AB54</f>
        <v>0</v>
      </c>
      <c r="AC58" s="56">
        <f>ROUND(Y58*AB58,0)</f>
        <v>0</v>
      </c>
      <c r="AD58" s="9"/>
    </row>
    <row r="59" spans="2:30" x14ac:dyDescent="0.25">
      <c r="B59" s="62" t="s">
        <v>110</v>
      </c>
      <c r="C59" s="62"/>
      <c r="D59" s="62"/>
      <c r="E59" s="62"/>
      <c r="F59" s="62"/>
      <c r="G59" s="62"/>
      <c r="H59" s="164" t="s">
        <v>22</v>
      </c>
      <c r="I59" s="129">
        <v>4123852</v>
      </c>
      <c r="J59" s="165" t="s">
        <v>111</v>
      </c>
      <c r="K59" s="166">
        <f>K54</f>
        <v>1.1230000000000001E-3</v>
      </c>
      <c r="L59" s="50">
        <f>ROUND(I59*K59,0)</f>
        <v>4631</v>
      </c>
      <c r="O59" s="1"/>
      <c r="P59" s="165"/>
      <c r="Q59" s="165"/>
      <c r="V59" s="662" t="s">
        <v>112</v>
      </c>
      <c r="W59" s="662"/>
      <c r="X59" s="662"/>
      <c r="Y59" s="662"/>
      <c r="Z59" s="662"/>
      <c r="AA59" s="662"/>
      <c r="AB59" s="662"/>
      <c r="AC59" s="662"/>
      <c r="AD59" s="9"/>
    </row>
    <row r="60" spans="2:30" x14ac:dyDescent="0.25">
      <c r="B60" s="62" t="s">
        <v>112</v>
      </c>
      <c r="C60" s="62"/>
      <c r="D60" s="62"/>
      <c r="E60" s="62"/>
      <c r="F60" s="62"/>
      <c r="G60" s="62"/>
      <c r="H60" s="62"/>
      <c r="I60" s="62"/>
      <c r="J60" s="62"/>
      <c r="K60" s="62"/>
      <c r="L60" s="62"/>
      <c r="O60" s="1"/>
      <c r="P60" s="165"/>
      <c r="Q60" s="165"/>
      <c r="V60" s="663" t="s">
        <v>113</v>
      </c>
      <c r="W60" s="663"/>
      <c r="X60" s="664">
        <f>+G61</f>
        <v>0</v>
      </c>
      <c r="Y60" s="664"/>
      <c r="Z60" s="664"/>
      <c r="AA60" s="664"/>
      <c r="AB60" s="664"/>
      <c r="AC60" s="664"/>
      <c r="AD60" s="9"/>
    </row>
    <row r="61" spans="2:30" ht="15" customHeight="1" x14ac:dyDescent="0.25">
      <c r="B61" s="167" t="s">
        <v>113</v>
      </c>
      <c r="C61" s="62"/>
      <c r="D61" s="62"/>
      <c r="E61" s="62"/>
      <c r="F61" s="62"/>
      <c r="G61" s="168">
        <v>0</v>
      </c>
      <c r="H61" s="168"/>
      <c r="I61" s="168"/>
      <c r="J61" s="168"/>
      <c r="K61" s="168"/>
      <c r="L61" s="168"/>
      <c r="O61" s="1"/>
      <c r="P61" s="165"/>
      <c r="Q61" s="165"/>
      <c r="V61" s="663" t="s">
        <v>114</v>
      </c>
      <c r="W61" s="663"/>
      <c r="X61" s="664">
        <f>+G62</f>
        <v>0</v>
      </c>
      <c r="Y61" s="664"/>
      <c r="Z61" s="664"/>
      <c r="AA61" s="664"/>
      <c r="AB61" s="664"/>
      <c r="AC61" s="664"/>
      <c r="AD61" s="9"/>
    </row>
    <row r="62" spans="2:30" ht="13.5" customHeight="1" x14ac:dyDescent="0.25">
      <c r="B62" s="167" t="s">
        <v>114</v>
      </c>
      <c r="C62" s="62"/>
      <c r="D62" s="62"/>
      <c r="E62" s="62"/>
      <c r="F62" s="62"/>
      <c r="G62" s="168">
        <v>0</v>
      </c>
      <c r="H62" s="168"/>
      <c r="I62" s="168"/>
      <c r="J62" s="168"/>
      <c r="K62" s="168"/>
      <c r="L62" s="168"/>
      <c r="N62" s="165"/>
      <c r="O62" s="165"/>
      <c r="P62" s="165"/>
      <c r="Q62" s="165"/>
      <c r="V62" s="663" t="s">
        <v>115</v>
      </c>
      <c r="W62" s="663"/>
      <c r="X62" s="664">
        <v>0</v>
      </c>
      <c r="Y62" s="664"/>
      <c r="Z62" s="664"/>
      <c r="AA62" s="664"/>
      <c r="AB62" s="664"/>
      <c r="AC62" s="664"/>
      <c r="AD62" s="9"/>
    </row>
    <row r="63" spans="2:30" ht="13.5" hidden="1" customHeight="1" x14ac:dyDescent="0.25">
      <c r="B63" s="62" t="s">
        <v>115</v>
      </c>
      <c r="C63" s="62"/>
      <c r="D63" s="62"/>
      <c r="E63" s="62"/>
      <c r="F63" s="62"/>
      <c r="G63" s="168">
        <v>0</v>
      </c>
      <c r="H63" s="168"/>
      <c r="I63" s="168"/>
      <c r="J63" s="168"/>
      <c r="K63" s="168"/>
      <c r="L63" s="168"/>
      <c r="O63" s="1"/>
      <c r="P63" s="165"/>
      <c r="Q63" s="165"/>
      <c r="V63" s="662" t="s">
        <v>116</v>
      </c>
      <c r="W63" s="662"/>
      <c r="X63" s="662"/>
      <c r="Y63" s="662"/>
      <c r="Z63" s="662"/>
      <c r="AA63" s="662"/>
      <c r="AB63" s="662"/>
      <c r="AC63" s="662"/>
      <c r="AD63" s="117"/>
    </row>
    <row r="64" spans="2:30" ht="13.5" customHeight="1" x14ac:dyDescent="0.25">
      <c r="B64" s="62" t="s">
        <v>116</v>
      </c>
      <c r="C64" s="62"/>
      <c r="D64" s="62"/>
      <c r="E64" s="62"/>
      <c r="F64" s="62"/>
      <c r="G64" s="62"/>
      <c r="H64" s="62"/>
      <c r="I64" s="62"/>
      <c r="J64" s="62"/>
      <c r="K64" s="62"/>
      <c r="L64" s="62"/>
      <c r="M64" s="116"/>
      <c r="N64" s="18"/>
      <c r="O64" s="1"/>
      <c r="V64" s="663" t="s">
        <v>117</v>
      </c>
      <c r="W64" s="663"/>
      <c r="X64" s="664">
        <f>+G65</f>
        <v>4123852</v>
      </c>
      <c r="Y64" s="664"/>
      <c r="Z64" s="664"/>
      <c r="AA64" s="664"/>
      <c r="AB64" s="664"/>
      <c r="AC64" s="664"/>
      <c r="AD64" s="9"/>
    </row>
    <row r="65" spans="1:30" ht="12.75" customHeight="1" x14ac:dyDescent="0.25">
      <c r="B65" s="167" t="s">
        <v>117</v>
      </c>
      <c r="C65" s="62"/>
      <c r="D65" s="62"/>
      <c r="E65" s="62"/>
      <c r="F65" s="62"/>
      <c r="G65" s="168">
        <f>+I59</f>
        <v>4123852</v>
      </c>
      <c r="H65" s="168"/>
      <c r="I65" s="168"/>
      <c r="J65" s="168"/>
      <c r="K65" s="168"/>
      <c r="L65" s="168"/>
      <c r="O65" s="1"/>
      <c r="V65" s="663" t="s">
        <v>118</v>
      </c>
      <c r="W65" s="663"/>
      <c r="X65" s="664">
        <f>+G66</f>
        <v>0</v>
      </c>
      <c r="Y65" s="664"/>
      <c r="Z65" s="664"/>
      <c r="AA65" s="664"/>
      <c r="AB65" s="664"/>
      <c r="AC65" s="664"/>
      <c r="AD65" s="20"/>
    </row>
    <row r="66" spans="1:30" ht="15" customHeight="1" x14ac:dyDescent="0.25">
      <c r="B66" s="167" t="s">
        <v>118</v>
      </c>
      <c r="C66" s="62"/>
      <c r="D66" s="62"/>
      <c r="E66" s="62"/>
      <c r="F66" s="62"/>
      <c r="G66" s="168">
        <v>0</v>
      </c>
      <c r="H66" s="168"/>
      <c r="I66" s="168"/>
      <c r="J66" s="168"/>
      <c r="K66" s="168"/>
      <c r="L66" s="168"/>
      <c r="M66" s="18"/>
      <c r="N66" s="3"/>
      <c r="O66" s="169"/>
      <c r="P66" s="169"/>
      <c r="Q66" s="169"/>
      <c r="V66" s="651" t="s">
        <v>119</v>
      </c>
      <c r="W66" s="651"/>
      <c r="X66" s="651"/>
      <c r="Y66" s="661">
        <f>+I67</f>
        <v>96774526</v>
      </c>
      <c r="Z66" s="661"/>
      <c r="AA66" s="162" t="s">
        <v>111</v>
      </c>
      <c r="AB66" s="163">
        <f>AB54</f>
        <v>0</v>
      </c>
      <c r="AC66" s="56">
        <f>ROUND(Y66*AB66,0)</f>
        <v>0</v>
      </c>
      <c r="AD66" s="9"/>
    </row>
    <row r="67" spans="1:30" ht="20.25" customHeight="1" x14ac:dyDescent="0.25">
      <c r="B67" s="13" t="s">
        <v>119</v>
      </c>
      <c r="C67" s="13"/>
      <c r="D67" s="13"/>
      <c r="E67" s="13"/>
      <c r="F67" s="13"/>
      <c r="H67" s="164" t="s">
        <v>25</v>
      </c>
      <c r="I67" s="129">
        <v>96774526</v>
      </c>
      <c r="J67" s="165" t="s">
        <v>111</v>
      </c>
      <c r="K67" s="166">
        <f>K54</f>
        <v>1.1230000000000001E-3</v>
      </c>
      <c r="L67" s="50">
        <f>ROUND(I67*K67,0)</f>
        <v>108678</v>
      </c>
      <c r="O67" s="1"/>
      <c r="V67" s="651" t="s">
        <v>120</v>
      </c>
      <c r="W67" s="651"/>
      <c r="X67" s="651"/>
      <c r="Y67" s="651"/>
      <c r="Z67" s="651"/>
      <c r="AA67" s="651"/>
      <c r="AB67" s="651"/>
      <c r="AC67" s="651"/>
      <c r="AD67" s="9"/>
    </row>
    <row r="68" spans="1:30" ht="20.25" customHeight="1" x14ac:dyDescent="0.25">
      <c r="B68" s="13" t="s">
        <v>120</v>
      </c>
      <c r="C68" s="13"/>
      <c r="D68" s="13"/>
      <c r="E68" s="13"/>
      <c r="F68" s="13"/>
      <c r="H68" s="13"/>
      <c r="I68" s="13"/>
      <c r="J68" s="82"/>
      <c r="K68" s="13"/>
      <c r="L68" s="13"/>
      <c r="O68" s="1"/>
      <c r="V68" s="667" t="s">
        <v>121</v>
      </c>
      <c r="W68" s="667"/>
      <c r="X68" s="667"/>
      <c r="Y68" s="661">
        <f>+I69</f>
        <v>0</v>
      </c>
      <c r="Z68" s="661"/>
      <c r="AA68" s="162" t="s">
        <v>111</v>
      </c>
      <c r="AB68" s="163">
        <f>AB57</f>
        <v>0</v>
      </c>
      <c r="AC68" s="56">
        <f>ROUND(Y68*AB68,0)</f>
        <v>0</v>
      </c>
      <c r="AD68" s="9"/>
    </row>
    <row r="69" spans="1:30" ht="15" customHeight="1" x14ac:dyDescent="0.25">
      <c r="B69" s="170" t="s">
        <v>121</v>
      </c>
      <c r="C69" s="13"/>
      <c r="D69" s="13"/>
      <c r="E69" s="13"/>
      <c r="F69" s="13"/>
      <c r="H69" s="164" t="s">
        <v>23</v>
      </c>
      <c r="I69" s="129">
        <v>0</v>
      </c>
      <c r="J69" s="165" t="s">
        <v>111</v>
      </c>
      <c r="K69" s="166">
        <f>K57</f>
        <v>1.1130000000000001E-3</v>
      </c>
      <c r="L69" s="50">
        <f>ROUND(I69*K69,0)</f>
        <v>0</v>
      </c>
      <c r="O69" s="1"/>
      <c r="V69" s="651" t="s">
        <v>122</v>
      </c>
      <c r="W69" s="651"/>
      <c r="X69" s="651"/>
      <c r="Y69" s="668">
        <f>+I70</f>
        <v>-3460775</v>
      </c>
      <c r="Z69" s="668"/>
      <c r="AA69" s="162" t="s">
        <v>111</v>
      </c>
      <c r="AB69" s="163">
        <f>AB54</f>
        <v>0</v>
      </c>
      <c r="AC69" s="56">
        <f>ROUND(Y69*AB69,0)</f>
        <v>0</v>
      </c>
      <c r="AD69" s="9"/>
    </row>
    <row r="70" spans="1:30" ht="20.25" customHeight="1" x14ac:dyDescent="0.25">
      <c r="B70" s="13" t="s">
        <v>122</v>
      </c>
      <c r="C70" s="13"/>
      <c r="D70" s="13"/>
      <c r="E70" s="13"/>
      <c r="F70" s="13"/>
      <c r="H70" s="164" t="s">
        <v>22</v>
      </c>
      <c r="I70" s="129">
        <v>-3460775</v>
      </c>
      <c r="J70" s="165" t="s">
        <v>111</v>
      </c>
      <c r="K70" s="166">
        <f>K54</f>
        <v>1.1230000000000001E-3</v>
      </c>
      <c r="L70" s="50">
        <f>ROUND(I70*K70,0)</f>
        <v>-3886</v>
      </c>
      <c r="O70" s="1"/>
      <c r="V70" s="651" t="s">
        <v>123</v>
      </c>
      <c r="W70" s="651"/>
      <c r="X70" s="651"/>
      <c r="Y70" s="665">
        <f>+I71</f>
        <v>1874788</v>
      </c>
      <c r="Z70" s="665"/>
      <c r="AA70" s="162" t="s">
        <v>111</v>
      </c>
      <c r="AB70" s="163">
        <f>AB54</f>
        <v>0</v>
      </c>
      <c r="AC70" s="56">
        <f>ROUND(Y70*AB70,0)</f>
        <v>0</v>
      </c>
      <c r="AD70" s="9"/>
    </row>
    <row r="71" spans="1:30" ht="20.25" customHeight="1" x14ac:dyDescent="0.25">
      <c r="B71" s="13" t="s">
        <v>123</v>
      </c>
      <c r="C71" s="13"/>
      <c r="D71" s="13"/>
      <c r="E71" s="13"/>
      <c r="F71" s="13"/>
      <c r="H71" s="164" t="s">
        <v>22</v>
      </c>
      <c r="I71" s="129">
        <v>1874788</v>
      </c>
      <c r="J71" s="165" t="s">
        <v>111</v>
      </c>
      <c r="K71" s="166">
        <f>K54</f>
        <v>1.1230000000000001E-3</v>
      </c>
      <c r="L71" s="50">
        <f>ROUND(I71*K71,0)</f>
        <v>2105</v>
      </c>
      <c r="O71" s="1"/>
      <c r="V71" s="651" t="s">
        <v>124</v>
      </c>
      <c r="W71" s="651"/>
      <c r="X71" s="651"/>
      <c r="Y71" s="665">
        <f>+I72</f>
        <v>14223298</v>
      </c>
      <c r="Z71" s="665"/>
      <c r="AA71" s="162" t="s">
        <v>111</v>
      </c>
      <c r="AB71" s="163">
        <f>AB57</f>
        <v>0</v>
      </c>
      <c r="AC71" s="56">
        <f>ROUND(Y71*AB71,0)</f>
        <v>0</v>
      </c>
      <c r="AD71" s="9"/>
    </row>
    <row r="72" spans="1:30" ht="21" customHeight="1" x14ac:dyDescent="0.25">
      <c r="B72" s="13" t="s">
        <v>124</v>
      </c>
      <c r="C72" s="13"/>
      <c r="D72" s="13"/>
      <c r="E72" s="13"/>
      <c r="F72" s="13"/>
      <c r="H72" s="164" t="s">
        <v>23</v>
      </c>
      <c r="I72" s="171">
        <v>14223298</v>
      </c>
      <c r="J72" s="165" t="s">
        <v>111</v>
      </c>
      <c r="K72" s="166">
        <f>K57</f>
        <v>1.1130000000000001E-3</v>
      </c>
      <c r="L72" s="50">
        <f>ROUND(I72*K72,0)</f>
        <v>15831</v>
      </c>
      <c r="O72" s="1"/>
      <c r="V72" s="623" t="s">
        <v>125</v>
      </c>
      <c r="W72" s="623"/>
      <c r="X72" s="623"/>
      <c r="Y72" s="623"/>
      <c r="Z72" s="623"/>
      <c r="AA72" s="623"/>
      <c r="AB72" s="623"/>
      <c r="AC72" s="60"/>
      <c r="AD72" s="9"/>
    </row>
    <row r="73" spans="1:30" ht="17.25" customHeight="1" x14ac:dyDescent="0.25">
      <c r="B73" s="13" t="s">
        <v>125</v>
      </c>
      <c r="C73" s="13"/>
      <c r="D73" s="13"/>
      <c r="E73" s="13"/>
      <c r="F73" s="13"/>
      <c r="H73" s="13"/>
      <c r="I73" s="13"/>
      <c r="J73" s="82"/>
      <c r="K73" s="13"/>
      <c r="L73" s="59"/>
      <c r="O73" s="1"/>
      <c r="V73" s="651" t="s">
        <v>126</v>
      </c>
      <c r="W73" s="651"/>
      <c r="X73" s="651"/>
      <c r="Y73" s="651"/>
      <c r="Z73" s="651"/>
      <c r="AA73" s="651"/>
      <c r="AB73" s="651"/>
      <c r="AC73" s="651"/>
      <c r="AD73" s="9"/>
    </row>
    <row r="74" spans="1:30" ht="31.5" x14ac:dyDescent="0.25">
      <c r="B74" s="13" t="s">
        <v>126</v>
      </c>
      <c r="C74" s="13"/>
      <c r="D74" s="27" t="s">
        <v>13</v>
      </c>
      <c r="E74" s="27" t="s">
        <v>14</v>
      </c>
      <c r="F74" s="27"/>
      <c r="H74" s="164" t="s">
        <v>26</v>
      </c>
      <c r="I74" s="172"/>
      <c r="J74" s="164"/>
      <c r="K74" s="172"/>
      <c r="L74" s="112"/>
      <c r="O74" s="1"/>
      <c r="V74" s="666" t="s">
        <v>127</v>
      </c>
      <c r="W74" s="666"/>
      <c r="X74" s="173" t="s">
        <v>128</v>
      </c>
      <c r="Y74" s="174"/>
      <c r="Z74" s="175">
        <f>+I75</f>
        <v>54</v>
      </c>
      <c r="AA74" s="176" t="s">
        <v>129</v>
      </c>
      <c r="AB74" s="177">
        <f>+K75</f>
        <v>361</v>
      </c>
      <c r="AC74" s="56">
        <f>ROUND(AB74*Z74,0)</f>
        <v>19494</v>
      </c>
      <c r="AD74" s="9"/>
    </row>
    <row r="75" spans="1:30" ht="19.5" customHeight="1" x14ac:dyDescent="0.25">
      <c r="A75" s="1" t="s">
        <v>130</v>
      </c>
      <c r="B75" s="178" t="s">
        <v>127</v>
      </c>
      <c r="C75" s="179" t="s">
        <v>128</v>
      </c>
      <c r="D75" s="178">
        <v>43</v>
      </c>
      <c r="E75" s="178">
        <v>65</v>
      </c>
      <c r="F75" s="178">
        <v>0</v>
      </c>
      <c r="G75" s="180">
        <f>IF(E75=0,D75,E75)</f>
        <v>65</v>
      </c>
      <c r="H75" s="181"/>
      <c r="I75" s="182">
        <f>AVERAGE(G75,D75)</f>
        <v>54</v>
      </c>
      <c r="J75" s="183" t="s">
        <v>129</v>
      </c>
      <c r="K75" s="184">
        <v>361</v>
      </c>
      <c r="L75" s="50">
        <f>ROUND(K75*I75,0)</f>
        <v>19494</v>
      </c>
      <c r="N75" s="1">
        <v>7802</v>
      </c>
      <c r="O75" s="1">
        <v>0</v>
      </c>
      <c r="V75" s="666" t="s">
        <v>127</v>
      </c>
      <c r="W75" s="666"/>
      <c r="X75" s="173" t="s">
        <v>131</v>
      </c>
      <c r="Y75" s="185"/>
      <c r="Z75" s="186">
        <f>+I76</f>
        <v>4</v>
      </c>
      <c r="AA75" s="176" t="s">
        <v>129</v>
      </c>
      <c r="AB75" s="187">
        <f>+K76</f>
        <v>1358</v>
      </c>
      <c r="AC75" s="56">
        <f>ROUND(AB75*Z75,0)</f>
        <v>5432</v>
      </c>
      <c r="AD75" s="9"/>
    </row>
    <row r="76" spans="1:30" ht="19.5" customHeight="1" x14ac:dyDescent="0.25">
      <c r="A76" s="1" t="s">
        <v>132</v>
      </c>
      <c r="B76" s="178" t="s">
        <v>127</v>
      </c>
      <c r="C76" s="179" t="s">
        <v>131</v>
      </c>
      <c r="D76" s="178">
        <v>4</v>
      </c>
      <c r="E76" s="178">
        <v>4</v>
      </c>
      <c r="F76" s="178">
        <v>0</v>
      </c>
      <c r="G76" s="180">
        <f>IF(E76=0,D76,E76)</f>
        <v>4</v>
      </c>
      <c r="H76" s="181"/>
      <c r="I76" s="182">
        <f>AVERAGE(G76,D76)</f>
        <v>4</v>
      </c>
      <c r="J76" s="183" t="s">
        <v>129</v>
      </c>
      <c r="K76" s="188">
        <v>1358</v>
      </c>
      <c r="L76" s="50">
        <f>ROUND(K76*I76,0)</f>
        <v>5432</v>
      </c>
      <c r="N76" s="1">
        <v>7802</v>
      </c>
      <c r="O76" s="1">
        <v>110</v>
      </c>
      <c r="V76" s="651" t="s">
        <v>133</v>
      </c>
      <c r="W76" s="651"/>
      <c r="X76" s="651"/>
      <c r="Y76" s="661">
        <f>+I77</f>
        <v>33305823</v>
      </c>
      <c r="Z76" s="661"/>
      <c r="AA76" s="176" t="s">
        <v>129</v>
      </c>
      <c r="AB76" s="163">
        <f>AB54</f>
        <v>0</v>
      </c>
      <c r="AC76" s="56">
        <f>ROUND(Y76*AB76,0)</f>
        <v>0</v>
      </c>
      <c r="AD76" s="9"/>
    </row>
    <row r="77" spans="1:30" ht="26.25" customHeight="1" x14ac:dyDescent="0.25">
      <c r="B77" s="13" t="s">
        <v>133</v>
      </c>
      <c r="C77" s="13"/>
      <c r="D77" s="13"/>
      <c r="E77" s="13"/>
      <c r="F77" s="13"/>
      <c r="H77" s="164" t="s">
        <v>134</v>
      </c>
      <c r="I77" s="189">
        <v>33305823</v>
      </c>
      <c r="J77" s="165" t="s">
        <v>111</v>
      </c>
      <c r="K77" s="166">
        <f>K54</f>
        <v>1.1230000000000001E-3</v>
      </c>
      <c r="L77" s="50">
        <f>ROUND(I77*K77,0)</f>
        <v>37402</v>
      </c>
      <c r="O77" s="1"/>
      <c r="V77" s="651" t="str">
        <f>+B78</f>
        <v>15.  Additional Allocation (WFTE share)</v>
      </c>
      <c r="W77" s="651"/>
      <c r="X77" s="651"/>
      <c r="Y77" s="661">
        <f>+I78</f>
        <v>680688</v>
      </c>
      <c r="Z77" s="661"/>
      <c r="AA77" s="176" t="s">
        <v>129</v>
      </c>
      <c r="AB77" s="163">
        <f>AB54</f>
        <v>0</v>
      </c>
      <c r="AC77" s="56">
        <f>ROUND(Y77*AB77,0)</f>
        <v>0</v>
      </c>
      <c r="AD77" s="9"/>
    </row>
    <row r="78" spans="1:30" ht="26.25" customHeight="1" x14ac:dyDescent="0.25">
      <c r="B78" s="669" t="s">
        <v>135</v>
      </c>
      <c r="C78" s="669"/>
      <c r="D78" s="669"/>
      <c r="E78" s="13"/>
      <c r="F78" s="13"/>
      <c r="H78" s="164" t="s">
        <v>136</v>
      </c>
      <c r="I78" s="190">
        <v>680688</v>
      </c>
      <c r="J78" s="165" t="s">
        <v>111</v>
      </c>
      <c r="K78" s="166">
        <f>K54</f>
        <v>1.1230000000000001E-3</v>
      </c>
      <c r="L78" s="50">
        <f>ROUND(I78*K78,0)</f>
        <v>764</v>
      </c>
      <c r="O78" s="1"/>
      <c r="V78" s="651" t="str">
        <f t="shared" ref="V78:V79" si="11">+B79</f>
        <v>16.  Florida Teachers Lead Program Stipend</v>
      </c>
      <c r="W78" s="651"/>
      <c r="X78" s="651"/>
      <c r="Y78" s="191"/>
      <c r="Z78" s="191"/>
      <c r="AA78" s="191"/>
      <c r="AB78" s="191"/>
      <c r="AC78" s="134"/>
      <c r="AD78" s="9"/>
    </row>
    <row r="79" spans="1:30" ht="21" customHeight="1" x14ac:dyDescent="0.25">
      <c r="B79" s="669" t="s">
        <v>137</v>
      </c>
      <c r="C79" s="669"/>
      <c r="D79" s="669"/>
      <c r="E79" s="13"/>
      <c r="F79" s="13"/>
      <c r="H79" s="164"/>
      <c r="I79" s="172"/>
      <c r="J79" s="172"/>
      <c r="K79" s="172"/>
      <c r="L79" s="129"/>
      <c r="N79" s="192"/>
      <c r="O79" s="1"/>
      <c r="Q79" s="164"/>
      <c r="V79" s="651" t="str">
        <f t="shared" si="11"/>
        <v>17.  Food Service Allocation</v>
      </c>
      <c r="W79" s="651"/>
      <c r="X79" s="651"/>
      <c r="Y79" s="191"/>
      <c r="Z79" s="191"/>
      <c r="AA79" s="191"/>
      <c r="AB79" s="191"/>
      <c r="AC79" s="193"/>
      <c r="AD79" s="9"/>
    </row>
    <row r="80" spans="1:30" ht="21" customHeight="1" x14ac:dyDescent="0.25">
      <c r="B80" s="669" t="s">
        <v>138</v>
      </c>
      <c r="C80" s="669"/>
      <c r="D80" s="669"/>
      <c r="E80" s="13"/>
      <c r="F80" s="13"/>
      <c r="H80" s="194" t="s">
        <v>139</v>
      </c>
      <c r="I80" s="195"/>
      <c r="J80" s="195"/>
      <c r="K80" s="195"/>
      <c r="L80" s="196"/>
      <c r="N80" s="197"/>
      <c r="O80" s="1"/>
      <c r="Q80" s="164"/>
      <c r="V80" s="191"/>
      <c r="W80" s="191"/>
      <c r="X80" s="191"/>
      <c r="Y80" s="191"/>
      <c r="Z80" s="191"/>
      <c r="AA80" s="191"/>
      <c r="AB80" s="191"/>
      <c r="AC80" s="193"/>
      <c r="AD80" s="9"/>
    </row>
    <row r="81" spans="1:30" ht="21" customHeight="1" thickBot="1" x14ac:dyDescent="0.3">
      <c r="B81" s="13"/>
      <c r="C81" s="13"/>
      <c r="D81" s="13"/>
      <c r="E81" s="13"/>
      <c r="F81" s="13"/>
      <c r="G81" s="13"/>
      <c r="H81" s="13"/>
      <c r="I81" s="13"/>
      <c r="J81" s="13"/>
      <c r="K81" s="13"/>
      <c r="L81" s="196"/>
      <c r="M81" s="198"/>
      <c r="N81" s="197"/>
      <c r="O81" s="1"/>
      <c r="Q81" s="164"/>
      <c r="V81" s="191" t="s">
        <v>140</v>
      </c>
      <c r="W81" s="191"/>
      <c r="X81" s="191"/>
      <c r="Y81" s="191"/>
      <c r="Z81" s="191"/>
      <c r="AA81" s="191"/>
      <c r="AB81" s="191"/>
      <c r="AC81" s="199">
        <f>SUM(AC44:AC80)</f>
        <v>24926</v>
      </c>
      <c r="AD81" s="200"/>
    </row>
    <row r="82" spans="1:30" ht="22.5" customHeight="1" thickTop="1" thickBot="1" x14ac:dyDescent="0.3">
      <c r="B82" s="13" t="s">
        <v>141</v>
      </c>
      <c r="C82" s="13"/>
      <c r="D82" s="13"/>
      <c r="E82" s="13"/>
      <c r="F82" s="13"/>
      <c r="G82" s="13"/>
      <c r="H82" s="13"/>
      <c r="I82" s="13"/>
      <c r="J82" s="13"/>
      <c r="K82" s="13"/>
      <c r="L82" s="201">
        <f>SUM(L44:L81)</f>
        <v>1507231</v>
      </c>
      <c r="M82" s="202"/>
      <c r="N82" s="203"/>
      <c r="O82" s="1"/>
      <c r="Q82" s="164"/>
      <c r="V82" s="191"/>
      <c r="W82" s="191"/>
      <c r="X82" s="191"/>
      <c r="Y82" s="191"/>
      <c r="Z82" s="191"/>
      <c r="AA82" s="191"/>
      <c r="AB82" s="191"/>
      <c r="AC82" s="204"/>
      <c r="AD82" s="200"/>
    </row>
    <row r="83" spans="1:30" ht="27.75" customHeight="1" thickTop="1" x14ac:dyDescent="0.25">
      <c r="B83" s="13" t="s">
        <v>142</v>
      </c>
      <c r="C83" s="13"/>
      <c r="D83" s="13"/>
      <c r="E83" s="13"/>
      <c r="F83" s="13"/>
      <c r="G83" s="13"/>
      <c r="H83" s="13"/>
      <c r="I83" s="13"/>
      <c r="J83" s="13"/>
      <c r="K83" s="82" t="s">
        <v>143</v>
      </c>
      <c r="L83" s="205" t="s">
        <v>144</v>
      </c>
      <c r="M83" s="202"/>
      <c r="N83" s="203"/>
      <c r="O83" s="1"/>
      <c r="Q83" s="164"/>
      <c r="V83" s="9" t="s">
        <v>145</v>
      </c>
      <c r="W83" s="9"/>
      <c r="X83" s="9"/>
      <c r="Y83" s="9"/>
      <c r="Z83" s="9"/>
      <c r="AA83" s="9"/>
      <c r="AB83" s="9"/>
      <c r="AC83" s="9"/>
      <c r="AD83" s="206"/>
    </row>
    <row r="84" spans="1:30" ht="18.75" customHeight="1" thickBot="1" x14ac:dyDescent="0.3">
      <c r="B84" s="13" t="s">
        <v>146</v>
      </c>
      <c r="C84" s="13"/>
      <c r="D84" s="13"/>
      <c r="E84" s="13"/>
      <c r="F84" s="13"/>
      <c r="G84" s="13"/>
      <c r="H84" s="13"/>
      <c r="I84" s="13"/>
      <c r="J84" s="13"/>
      <c r="K84" s="207" t="str">
        <f>IF(G26=0,"",IF((G11+G13+SUM(G15:G21))/G26&gt;0.75,1,""))</f>
        <v/>
      </c>
      <c r="L84" s="201">
        <f>'3394'!AC81</f>
        <v>24926</v>
      </c>
      <c r="M84" s="202"/>
      <c r="N84" s="203"/>
      <c r="O84" s="1"/>
      <c r="Q84" s="164"/>
      <c r="V84" s="208" t="s">
        <v>147</v>
      </c>
      <c r="W84" s="208"/>
      <c r="X84" s="208"/>
      <c r="Y84" s="208"/>
      <c r="Z84" s="208"/>
      <c r="AA84" s="208"/>
      <c r="AB84" s="208"/>
      <c r="AC84" s="208"/>
      <c r="AD84" s="9"/>
    </row>
    <row r="85" spans="1:30" ht="18.75" customHeight="1" thickTop="1" x14ac:dyDescent="0.25">
      <c r="B85" s="13"/>
      <c r="C85" s="13"/>
      <c r="D85" s="13"/>
      <c r="E85" s="13"/>
      <c r="F85" s="13"/>
      <c r="G85" s="13"/>
      <c r="H85" s="13"/>
      <c r="I85" s="13"/>
      <c r="J85" s="13"/>
      <c r="M85" s="202"/>
      <c r="N85" s="203"/>
      <c r="O85" s="1"/>
      <c r="Q85" s="164"/>
      <c r="V85" s="208" t="s">
        <v>148</v>
      </c>
      <c r="W85" s="208"/>
      <c r="X85" s="208"/>
      <c r="Y85" s="208"/>
      <c r="Z85" s="208"/>
      <c r="AA85" s="208"/>
      <c r="AB85" s="208"/>
      <c r="AC85" s="208"/>
      <c r="AD85" s="206"/>
    </row>
    <row r="86" spans="1:30" ht="18.75" customHeight="1" x14ac:dyDescent="0.25">
      <c r="B86" s="2" t="s">
        <v>149</v>
      </c>
      <c r="C86" s="13"/>
      <c r="D86" s="13"/>
      <c r="E86" s="13"/>
      <c r="F86" s="13"/>
      <c r="G86" s="13"/>
      <c r="H86" s="13"/>
      <c r="I86" s="13"/>
      <c r="J86" s="209" t="s">
        <v>150</v>
      </c>
      <c r="K86" s="210">
        <f>IF(K84=1,L84,L82)</f>
        <v>1507231</v>
      </c>
      <c r="L86" s="211">
        <f>IF(G26=0,0,IF(G26&gt;250,-(((250/G26)*K86)*IF(M86="H",0.02,0.05)),IF(M86="H",-0.02*K86,-0.05*K86)))</f>
        <v>-75361.55</v>
      </c>
      <c r="M86" s="212" t="str">
        <f>IF(B123="2801","H",IF(B123="2911","H",IF(B123="3382","H"," ")))</f>
        <v xml:space="preserve"> </v>
      </c>
      <c r="N86" s="203"/>
      <c r="O86" s="1"/>
      <c r="Q86" s="164"/>
      <c r="V86" s="208" t="s">
        <v>151</v>
      </c>
      <c r="W86" s="208"/>
      <c r="X86" s="208"/>
      <c r="Y86" s="208"/>
      <c r="Z86" s="208"/>
      <c r="AA86" s="208"/>
      <c r="AB86" s="208"/>
      <c r="AC86" s="208"/>
      <c r="AD86" s="206"/>
    </row>
    <row r="87" spans="1:30" ht="18.75" customHeight="1" x14ac:dyDescent="0.25">
      <c r="B87" s="2" t="s">
        <v>152</v>
      </c>
      <c r="C87" s="13"/>
      <c r="D87" s="13"/>
      <c r="E87" s="13"/>
      <c r="F87" s="13"/>
      <c r="G87" s="13"/>
      <c r="H87" s="13"/>
      <c r="I87" s="13"/>
      <c r="J87" s="13"/>
      <c r="K87" s="213"/>
      <c r="L87" s="205">
        <f>L82+L86</f>
        <v>1431869.45</v>
      </c>
      <c r="M87" s="202"/>
      <c r="N87" s="203"/>
      <c r="O87" s="1"/>
      <c r="Q87" s="164"/>
      <c r="V87" s="198"/>
      <c r="W87" s="198"/>
      <c r="X87" s="198"/>
      <c r="Y87" s="198"/>
      <c r="Z87" s="198"/>
      <c r="AA87" s="198"/>
      <c r="AB87" s="198"/>
      <c r="AC87" s="198"/>
      <c r="AD87" s="214"/>
    </row>
    <row r="88" spans="1:30" x14ac:dyDescent="0.25">
      <c r="V88" s="198"/>
      <c r="W88" s="198"/>
      <c r="X88" s="198"/>
      <c r="Y88" s="198"/>
      <c r="Z88" s="198"/>
      <c r="AA88" s="198"/>
      <c r="AB88" s="198"/>
      <c r="AC88" s="198"/>
      <c r="AD88" s="215"/>
    </row>
    <row r="89" spans="1:30" ht="18.75" customHeight="1" x14ac:dyDescent="0.25">
      <c r="A89" s="1" t="s">
        <v>153</v>
      </c>
      <c r="B89" s="13" t="s">
        <v>154</v>
      </c>
      <c r="C89" s="13"/>
      <c r="D89" s="13">
        <v>688908</v>
      </c>
      <c r="E89" s="13">
        <v>118478</v>
      </c>
      <c r="F89" s="13">
        <v>1162546</v>
      </c>
      <c r="G89" s="13"/>
      <c r="H89" s="13"/>
      <c r="I89" s="13"/>
      <c r="J89" s="13"/>
      <c r="K89" s="213"/>
      <c r="L89" s="84">
        <f>-F89-136462</f>
        <v>-1299008</v>
      </c>
      <c r="M89" s="202"/>
      <c r="N89" s="203"/>
      <c r="O89" s="1"/>
      <c r="Q89" s="164"/>
      <c r="V89" s="198">
        <v>2801</v>
      </c>
      <c r="W89" s="198"/>
      <c r="X89" s="198"/>
      <c r="Y89" s="198"/>
      <c r="Z89" s="198"/>
      <c r="AA89" s="198"/>
      <c r="AB89" s="198"/>
      <c r="AC89" s="198"/>
      <c r="AD89" s="214"/>
    </row>
    <row r="90" spans="1:30" ht="18.75" customHeight="1" x14ac:dyDescent="0.25">
      <c r="B90" s="13" t="s">
        <v>155</v>
      </c>
      <c r="C90" s="13"/>
      <c r="D90" s="13"/>
      <c r="E90" s="13"/>
      <c r="F90" s="13"/>
      <c r="G90" s="13"/>
      <c r="H90" s="13"/>
      <c r="I90" s="13"/>
      <c r="J90" s="13"/>
      <c r="K90" s="213"/>
      <c r="L90" s="205">
        <f>L87+L89</f>
        <v>132861.44999999995</v>
      </c>
      <c r="M90" s="202"/>
      <c r="N90" s="203"/>
      <c r="O90" s="1"/>
      <c r="Q90" s="164"/>
      <c r="V90" s="198">
        <v>2911</v>
      </c>
      <c r="W90" s="216"/>
      <c r="X90" s="216"/>
      <c r="Y90" s="216"/>
      <c r="Z90" s="216"/>
      <c r="AA90" s="216"/>
      <c r="AB90" s="216"/>
      <c r="AC90" s="216"/>
      <c r="AD90" s="214"/>
    </row>
    <row r="91" spans="1:30" ht="18.75" customHeight="1" x14ac:dyDescent="0.25">
      <c r="B91" s="13" t="s">
        <v>156</v>
      </c>
      <c r="C91" s="13"/>
      <c r="D91" s="13"/>
      <c r="E91" s="13"/>
      <c r="F91" s="13"/>
      <c r="G91" s="13"/>
      <c r="H91" s="13"/>
      <c r="I91" s="13"/>
      <c r="J91" s="13"/>
      <c r="K91" s="213"/>
      <c r="L91" s="205">
        <v>1</v>
      </c>
      <c r="M91" s="202"/>
      <c r="N91" s="203"/>
      <c r="O91" s="1"/>
      <c r="Q91" s="164"/>
      <c r="V91" s="198">
        <v>3382</v>
      </c>
      <c r="W91" s="216"/>
      <c r="X91" s="216"/>
      <c r="Y91" s="216"/>
      <c r="Z91" s="216"/>
      <c r="AA91" s="216"/>
      <c r="AB91" s="216"/>
      <c r="AC91" s="216"/>
      <c r="AD91" s="214"/>
    </row>
    <row r="92" spans="1:30" ht="18.75" customHeight="1" thickBot="1" x14ac:dyDescent="0.3">
      <c r="B92" s="13" t="s">
        <v>157</v>
      </c>
      <c r="C92" s="13"/>
      <c r="D92" s="13"/>
      <c r="E92" s="13"/>
      <c r="F92" s="13"/>
      <c r="G92" s="13"/>
      <c r="H92" s="13"/>
      <c r="I92" s="13"/>
      <c r="J92" s="13"/>
      <c r="K92" s="213"/>
      <c r="L92" s="217">
        <f>L90/L91</f>
        <v>132861.44999999995</v>
      </c>
      <c r="M92" s="202"/>
      <c r="N92" s="203"/>
      <c r="O92" s="1"/>
      <c r="Q92" s="164"/>
      <c r="V92" s="218"/>
      <c r="W92" s="218"/>
      <c r="X92" s="218"/>
      <c r="Y92" s="218"/>
      <c r="Z92" s="218"/>
      <c r="AA92" s="218"/>
      <c r="AB92" s="218"/>
      <c r="AC92" s="218"/>
      <c r="AD92" s="219"/>
    </row>
    <row r="93" spans="1:30" ht="18.75" customHeight="1" thickTop="1" x14ac:dyDescent="0.25">
      <c r="N93" s="219"/>
      <c r="O93" s="220"/>
      <c r="P93" s="219"/>
      <c r="Q93" s="219"/>
      <c r="V93" s="218"/>
      <c r="W93" s="218"/>
      <c r="X93" s="218"/>
      <c r="Y93" s="218"/>
      <c r="Z93" s="218"/>
      <c r="AA93" s="218"/>
      <c r="AB93" s="218"/>
      <c r="AC93" s="218"/>
      <c r="AD93" s="214"/>
    </row>
    <row r="94" spans="1:30" ht="18.75" customHeight="1" thickBot="1" x14ac:dyDescent="0.3">
      <c r="B94" s="221" t="s">
        <v>158</v>
      </c>
      <c r="C94" s="13"/>
      <c r="D94" s="13"/>
      <c r="E94" s="13"/>
      <c r="G94" s="13"/>
      <c r="H94" s="13"/>
      <c r="I94" s="13"/>
      <c r="J94" s="13"/>
      <c r="L94" s="222">
        <f>IF(M86="H",(K86*0.02)+L86,(K86*0.05)+L86)</f>
        <v>0</v>
      </c>
      <c r="M94" s="202"/>
      <c r="V94" s="223"/>
      <c r="W94" s="223"/>
      <c r="X94" s="223"/>
      <c r="Y94" s="223"/>
      <c r="Z94" s="223"/>
      <c r="AA94" s="223"/>
      <c r="AB94" s="223"/>
      <c r="AC94" s="223"/>
      <c r="AD94" s="214"/>
    </row>
    <row r="95" spans="1:30" ht="21.75" customHeight="1" thickTop="1" x14ac:dyDescent="0.25">
      <c r="B95" s="224" t="s">
        <v>159</v>
      </c>
      <c r="C95" s="224"/>
      <c r="D95" s="224"/>
      <c r="E95" s="224"/>
      <c r="F95" s="224"/>
      <c r="G95" s="224"/>
      <c r="H95" s="224"/>
      <c r="I95" s="224"/>
      <c r="J95" s="224"/>
      <c r="K95" s="224"/>
      <c r="L95" s="224"/>
      <c r="M95" s="219"/>
      <c r="V95" s="223"/>
      <c r="W95" s="223"/>
      <c r="X95" s="223"/>
      <c r="Y95" s="223"/>
      <c r="Z95" s="223"/>
      <c r="AA95" s="223"/>
      <c r="AB95" s="223"/>
      <c r="AC95" s="223"/>
      <c r="AD95" s="214"/>
    </row>
    <row r="96" spans="1:30" x14ac:dyDescent="0.25">
      <c r="B96" s="225"/>
      <c r="V96" s="223"/>
      <c r="W96" s="223"/>
      <c r="X96" s="223"/>
      <c r="Y96" s="223"/>
      <c r="Z96" s="223"/>
      <c r="AA96" s="223"/>
      <c r="AB96" s="223"/>
      <c r="AC96" s="223"/>
      <c r="AD96" s="219"/>
    </row>
    <row r="97" spans="2:30" x14ac:dyDescent="0.25">
      <c r="B97" s="225"/>
      <c r="V97" s="223"/>
      <c r="W97" s="223"/>
      <c r="X97" s="223"/>
      <c r="Y97" s="223"/>
      <c r="Z97" s="223"/>
      <c r="AA97" s="223"/>
      <c r="AB97" s="223"/>
      <c r="AC97" s="223"/>
      <c r="AD97" s="219"/>
    </row>
    <row r="98" spans="2:30" hidden="1" x14ac:dyDescent="0.25">
      <c r="B98" s="226" t="s">
        <v>160</v>
      </c>
      <c r="C98" s="227"/>
      <c r="V98" s="228"/>
      <c r="W98" s="228"/>
      <c r="X98" s="228"/>
      <c r="Y98" s="228"/>
      <c r="Z98" s="228"/>
      <c r="AA98" s="228"/>
      <c r="AB98" s="228"/>
      <c r="AC98" s="228"/>
    </row>
    <row r="99" spans="2:30" hidden="1" x14ac:dyDescent="0.25">
      <c r="B99" s="229"/>
      <c r="C99" s="227"/>
      <c r="V99" s="225"/>
      <c r="W99" s="13"/>
      <c r="X99" s="13"/>
      <c r="Y99" s="13"/>
      <c r="Z99" s="13"/>
      <c r="AA99" s="13"/>
      <c r="AB99" s="13"/>
      <c r="AC99" s="13"/>
    </row>
    <row r="100" spans="2:30" hidden="1" x14ac:dyDescent="0.25">
      <c r="B100" s="230" t="s">
        <v>161</v>
      </c>
      <c r="C100" s="226" t="s">
        <v>162</v>
      </c>
      <c r="V100" s="225"/>
    </row>
    <row r="101" spans="2:30" hidden="1" x14ac:dyDescent="0.25">
      <c r="B101" s="230" t="s">
        <v>163</v>
      </c>
      <c r="C101" s="226" t="s">
        <v>164</v>
      </c>
      <c r="V101" s="225"/>
    </row>
    <row r="102" spans="2:30" hidden="1" x14ac:dyDescent="0.25">
      <c r="B102" s="230" t="s">
        <v>165</v>
      </c>
      <c r="C102" s="226" t="s">
        <v>166</v>
      </c>
      <c r="V102" s="225"/>
      <c r="W102" s="231"/>
      <c r="X102" s="231"/>
      <c r="Y102" s="231"/>
      <c r="Z102" s="231"/>
      <c r="AA102" s="231"/>
      <c r="AB102" s="231"/>
      <c r="AC102" s="231"/>
      <c r="AD102" s="231"/>
    </row>
    <row r="103" spans="2:30" hidden="1" x14ac:dyDescent="0.25">
      <c r="B103" s="230" t="s">
        <v>167</v>
      </c>
      <c r="C103" s="226" t="s">
        <v>168</v>
      </c>
      <c r="V103" s="225"/>
    </row>
    <row r="104" spans="2:30" hidden="1" x14ac:dyDescent="0.25">
      <c r="B104" s="232"/>
      <c r="C104" s="226" t="s">
        <v>169</v>
      </c>
      <c r="V104" s="225"/>
    </row>
    <row r="105" spans="2:30" hidden="1" x14ac:dyDescent="0.25">
      <c r="B105" s="230" t="s">
        <v>170</v>
      </c>
      <c r="C105" s="226" t="s">
        <v>171</v>
      </c>
      <c r="V105" s="225"/>
    </row>
    <row r="106" spans="2:30" hidden="1" x14ac:dyDescent="0.25">
      <c r="B106" s="230" t="s">
        <v>172</v>
      </c>
      <c r="C106" s="226" t="s">
        <v>173</v>
      </c>
      <c r="V106" s="225"/>
    </row>
    <row r="107" spans="2:30" hidden="1" x14ac:dyDescent="0.25">
      <c r="B107" s="230" t="s">
        <v>280</v>
      </c>
      <c r="C107" s="226" t="s">
        <v>175</v>
      </c>
      <c r="V107" s="225"/>
    </row>
    <row r="108" spans="2:30" hidden="1" x14ac:dyDescent="0.25">
      <c r="B108" s="230" t="s">
        <v>176</v>
      </c>
      <c r="C108" s="226" t="s">
        <v>177</v>
      </c>
      <c r="V108" s="225"/>
    </row>
    <row r="109" spans="2:30" hidden="1" x14ac:dyDescent="0.25">
      <c r="B109" s="230" t="s">
        <v>178</v>
      </c>
      <c r="C109" s="226" t="s">
        <v>179</v>
      </c>
      <c r="V109" s="225"/>
    </row>
    <row r="110" spans="2:30" hidden="1" x14ac:dyDescent="0.25">
      <c r="B110" s="232"/>
      <c r="C110" s="226"/>
      <c r="V110" s="225"/>
    </row>
    <row r="111" spans="2:30" hidden="1" x14ac:dyDescent="0.25">
      <c r="B111" s="230" t="s">
        <v>180</v>
      </c>
      <c r="C111" s="226" t="s">
        <v>181</v>
      </c>
      <c r="V111" s="225"/>
    </row>
    <row r="112" spans="2:30" hidden="1" x14ac:dyDescent="0.25">
      <c r="B112" s="230" t="s">
        <v>180</v>
      </c>
      <c r="C112" s="226" t="s">
        <v>182</v>
      </c>
    </row>
    <row r="113" spans="2:3" hidden="1" x14ac:dyDescent="0.25">
      <c r="B113" s="230" t="s">
        <v>183</v>
      </c>
      <c r="C113" s="226" t="s">
        <v>184</v>
      </c>
    </row>
    <row r="114" spans="2:3" hidden="1" x14ac:dyDescent="0.25">
      <c r="B114" s="230" t="s">
        <v>185</v>
      </c>
      <c r="C114" s="226" t="s">
        <v>186</v>
      </c>
    </row>
    <row r="115" spans="2:3" hidden="1" x14ac:dyDescent="0.25">
      <c r="B115" s="230" t="s">
        <v>183</v>
      </c>
      <c r="C115" s="226" t="s">
        <v>187</v>
      </c>
    </row>
    <row r="116" spans="2:3" hidden="1" x14ac:dyDescent="0.25">
      <c r="B116" s="230" t="s">
        <v>188</v>
      </c>
      <c r="C116" s="226" t="s">
        <v>189</v>
      </c>
    </row>
    <row r="117" spans="2:3" hidden="1" x14ac:dyDescent="0.25">
      <c r="B117" s="230" t="s">
        <v>190</v>
      </c>
      <c r="C117" s="226" t="s">
        <v>191</v>
      </c>
    </row>
    <row r="118" spans="2:3" hidden="1" x14ac:dyDescent="0.25">
      <c r="B118" s="232" t="s">
        <v>192</v>
      </c>
      <c r="C118" s="226" t="s">
        <v>193</v>
      </c>
    </row>
    <row r="119" spans="2:3" hidden="1" x14ac:dyDescent="0.25">
      <c r="B119" s="232"/>
      <c r="C119" s="226"/>
    </row>
    <row r="120" spans="2:3" hidden="1" x14ac:dyDescent="0.25">
      <c r="B120" s="230" t="s">
        <v>161</v>
      </c>
      <c r="C120" s="226" t="s">
        <v>194</v>
      </c>
    </row>
    <row r="121" spans="2:3" hidden="1" x14ac:dyDescent="0.25">
      <c r="B121" s="230" t="s">
        <v>195</v>
      </c>
      <c r="C121" s="226" t="s">
        <v>196</v>
      </c>
    </row>
    <row r="122" spans="2:3" hidden="1" x14ac:dyDescent="0.25">
      <c r="B122" s="230" t="s">
        <v>197</v>
      </c>
      <c r="C122" s="226" t="s">
        <v>198</v>
      </c>
    </row>
    <row r="123" spans="2:3" hidden="1" x14ac:dyDescent="0.25">
      <c r="B123" s="230" t="s">
        <v>281</v>
      </c>
      <c r="C123" s="226" t="s">
        <v>200</v>
      </c>
    </row>
    <row r="124" spans="2:3" hidden="1" x14ac:dyDescent="0.25">
      <c r="B124" s="230" t="s">
        <v>282</v>
      </c>
      <c r="C124" s="226" t="s">
        <v>202</v>
      </c>
    </row>
    <row r="125" spans="2:3" hidden="1" x14ac:dyDescent="0.25">
      <c r="B125" s="230" t="s">
        <v>203</v>
      </c>
      <c r="C125" s="226" t="s">
        <v>204</v>
      </c>
    </row>
    <row r="126" spans="2:3" hidden="1" x14ac:dyDescent="0.25">
      <c r="B126" s="230" t="s">
        <v>203</v>
      </c>
      <c r="C126" s="226" t="s">
        <v>205</v>
      </c>
    </row>
    <row r="127" spans="2:3" hidden="1" x14ac:dyDescent="0.25">
      <c r="B127" s="230" t="s">
        <v>203</v>
      </c>
      <c r="C127" s="226" t="s">
        <v>206</v>
      </c>
    </row>
    <row r="128" spans="2:3" hidden="1" x14ac:dyDescent="0.25">
      <c r="B128" s="230" t="s">
        <v>203</v>
      </c>
      <c r="C128" s="226" t="s">
        <v>207</v>
      </c>
    </row>
    <row r="129" spans="2:3" hidden="1" x14ac:dyDescent="0.25">
      <c r="B129" s="230" t="s">
        <v>167</v>
      </c>
      <c r="C129" s="226" t="s">
        <v>208</v>
      </c>
    </row>
    <row r="130" spans="2:3" hidden="1" x14ac:dyDescent="0.25">
      <c r="B130" s="230" t="s">
        <v>209</v>
      </c>
      <c r="C130" s="226" t="s">
        <v>210</v>
      </c>
    </row>
    <row r="131" spans="2:3" hidden="1" x14ac:dyDescent="0.25">
      <c r="B131" s="230" t="s">
        <v>203</v>
      </c>
      <c r="C131" s="226" t="s">
        <v>211</v>
      </c>
    </row>
    <row r="132" spans="2:3" hidden="1" x14ac:dyDescent="0.25">
      <c r="B132" s="226"/>
      <c r="C132" s="226"/>
    </row>
    <row r="133" spans="2:3" hidden="1" x14ac:dyDescent="0.25">
      <c r="B133" s="226"/>
      <c r="C133" s="226"/>
    </row>
    <row r="134" spans="2:3" hidden="1" x14ac:dyDescent="0.25">
      <c r="B134" s="232"/>
      <c r="C134" s="232"/>
    </row>
    <row r="135" spans="2:3" hidden="1" x14ac:dyDescent="0.25">
      <c r="B135" s="232">
        <f>NvsElapsedTime</f>
        <v>1.15740695036948E-5</v>
      </c>
      <c r="C135" s="232"/>
    </row>
    <row r="136" spans="2:3" hidden="1" x14ac:dyDescent="0.25">
      <c r="B136" s="233">
        <f>NvsEndTime</f>
        <v>41754.487939814797</v>
      </c>
      <c r="C136" s="233" t="s">
        <v>212</v>
      </c>
    </row>
    <row r="137" spans="2:3" x14ac:dyDescent="0.25">
      <c r="B137" s="226"/>
      <c r="C137" s="234"/>
    </row>
    <row r="138" spans="2:3" x14ac:dyDescent="0.25">
      <c r="B138" s="226"/>
      <c r="C138" s="226"/>
    </row>
    <row r="139" spans="2:3" x14ac:dyDescent="0.25">
      <c r="B139" s="226"/>
      <c r="C139" s="226"/>
    </row>
    <row r="140" spans="2:3" x14ac:dyDescent="0.25">
      <c r="B140" s="226"/>
      <c r="C140" s="226"/>
    </row>
    <row r="141" spans="2:3" x14ac:dyDescent="0.25">
      <c r="B141" s="226"/>
      <c r="C141" s="226"/>
    </row>
    <row r="142" spans="2:3" x14ac:dyDescent="0.25">
      <c r="B142" s="226"/>
      <c r="C142" s="226"/>
    </row>
    <row r="143" spans="2:3" x14ac:dyDescent="0.25">
      <c r="B143" s="226"/>
      <c r="C143" s="226"/>
    </row>
    <row r="144" spans="2:3" x14ac:dyDescent="0.25">
      <c r="B144" s="226"/>
      <c r="C144" s="226"/>
    </row>
    <row r="145" spans="2:3" x14ac:dyDescent="0.25">
      <c r="B145" s="226"/>
      <c r="C145" s="226"/>
    </row>
    <row r="146" spans="2:3" x14ac:dyDescent="0.25">
      <c r="B146" s="226"/>
      <c r="C146" s="226"/>
    </row>
    <row r="147" spans="2:3" x14ac:dyDescent="0.25">
      <c r="B147" s="226"/>
      <c r="C147" s="226"/>
    </row>
    <row r="148" spans="2:3" x14ac:dyDescent="0.25">
      <c r="B148" s="226"/>
      <c r="C148" s="226"/>
    </row>
    <row r="149" spans="2:3" x14ac:dyDescent="0.25">
      <c r="B149" s="226"/>
      <c r="C149" s="226"/>
    </row>
    <row r="150" spans="2:3" x14ac:dyDescent="0.25">
      <c r="B150" s="226"/>
      <c r="C150" s="226"/>
    </row>
    <row r="151" spans="2:3" x14ac:dyDescent="0.25">
      <c r="B151" s="226"/>
      <c r="C151" s="226"/>
    </row>
  </sheetData>
  <mergeCells count="151">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9:W9"/>
    <mergeCell ref="X9:Y9"/>
    <mergeCell ref="Z9:AA9"/>
    <mergeCell ref="V10:W10"/>
    <mergeCell ref="X10:Y10"/>
    <mergeCell ref="Z10:AA10"/>
    <mergeCell ref="V7:W7"/>
    <mergeCell ref="X7:Y7"/>
    <mergeCell ref="Z7:AA7"/>
    <mergeCell ref="AB7:AC7"/>
    <mergeCell ref="V8:W8"/>
    <mergeCell ref="X8:Y8"/>
    <mergeCell ref="Z8:AA8"/>
    <mergeCell ref="W2:AC2"/>
    <mergeCell ref="V3:AC3"/>
    <mergeCell ref="V4:AC4"/>
    <mergeCell ref="V5:W5"/>
    <mergeCell ref="X5:Y5"/>
    <mergeCell ref="V6:AC6"/>
  </mergeCells>
  <printOptions horizontalCentered="1"/>
  <pageMargins left="0" right="0" top="0.67" bottom="0.2" header="0.25" footer="0.196850393700787"/>
  <pageSetup scale="63" fitToWidth="2" fitToHeight="2" orientation="portrait" horizontalDpi="4294967295" verticalDpi="4294967295" r:id="rId1"/>
  <headerFooter alignWithMargins="0">
    <oddHeader>&amp;L&amp;8&amp;F
&amp;D &amp;T</oddHeader>
    <oddFooter>&amp;C&amp;P</oddFooter>
  </headerFooter>
  <rowBreaks count="1" manualBreakCount="1">
    <brk id="51" max="16383" man="1"/>
  </row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D151"/>
  <sheetViews>
    <sheetView topLeftCell="B2" zoomScale="70" zoomScaleNormal="70" workbookViewId="0">
      <selection activeCell="G8" sqref="G8"/>
    </sheetView>
  </sheetViews>
  <sheetFormatPr defaultColWidth="8.7109375" defaultRowHeight="15.75" x14ac:dyDescent="0.25"/>
  <cols>
    <col min="1" max="1" width="11.28515625" style="1" hidden="1" customWidth="1"/>
    <col min="2" max="2" width="10.28515625" style="2" customWidth="1"/>
    <col min="3" max="3" width="29" style="1" customWidth="1"/>
    <col min="4" max="5" width="12.28515625" style="1" customWidth="1"/>
    <col min="6" max="6" width="12.28515625" style="1" hidden="1" customWidth="1"/>
    <col min="7" max="7" width="16.42578125" style="1" customWidth="1"/>
    <col min="8" max="8" width="6.7109375" style="1" customWidth="1"/>
    <col min="9" max="9" width="14" style="1" customWidth="1"/>
    <col min="10" max="10" width="12.85546875" style="1" customWidth="1"/>
    <col min="11" max="11" width="15.5703125" style="1" bestFit="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28515625" style="1" customWidth="1"/>
    <col min="18" max="18" width="8.85546875" style="1"/>
    <col min="19" max="21" width="0" style="1" hidden="1" customWidth="1"/>
    <col min="22" max="23" width="8.85546875" style="1"/>
    <col min="24" max="24" width="12.7109375" style="1" customWidth="1"/>
    <col min="25" max="27" width="8.85546875" style="1"/>
    <col min="28" max="28" width="13.140625" style="1" bestFit="1" customWidth="1"/>
    <col min="29" max="16384" width="8.7109375" style="1"/>
  </cols>
  <sheetData>
    <row r="1" spans="1:30" ht="15.6"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7"/>
      <c r="N2" s="3"/>
      <c r="O2" s="1"/>
      <c r="V2" s="8">
        <f>'3394 June Final'!B2</f>
        <v>50</v>
      </c>
      <c r="W2" s="606" t="s">
        <v>4</v>
      </c>
      <c r="X2" s="607"/>
      <c r="Y2" s="608"/>
      <c r="Z2" s="608"/>
      <c r="AA2" s="608"/>
      <c r="AB2" s="608"/>
      <c r="AC2" s="608"/>
      <c r="AD2" s="9"/>
    </row>
    <row r="3" spans="1:30" ht="20.25" x14ac:dyDescent="0.3">
      <c r="B3" s="10" t="str">
        <f>"Revenue Estimate Worksheet for "&amp;B124</f>
        <v>Revenue Estimate Worksheet for Montessori Acad Early Enrich</v>
      </c>
      <c r="C3" s="11"/>
      <c r="D3" s="11"/>
      <c r="E3" s="11"/>
      <c r="F3" s="11"/>
      <c r="G3" s="11"/>
      <c r="H3" s="11"/>
      <c r="I3" s="11"/>
      <c r="J3" s="11"/>
      <c r="K3" s="11"/>
      <c r="L3" s="11"/>
      <c r="M3" s="10"/>
      <c r="N3" s="10"/>
      <c r="O3" s="10"/>
      <c r="P3" s="10"/>
      <c r="Q3" s="10"/>
      <c r="V3" s="609" t="s">
        <v>5</v>
      </c>
      <c r="W3" s="609"/>
      <c r="X3" s="609"/>
      <c r="Y3" s="609"/>
      <c r="Z3" s="609"/>
      <c r="AA3" s="609"/>
      <c r="AB3" s="609"/>
      <c r="AC3" s="609"/>
      <c r="AD3" s="12"/>
    </row>
    <row r="4" spans="1:30" ht="18.75" x14ac:dyDescent="0.3">
      <c r="B4" s="2" t="s">
        <v>6</v>
      </c>
      <c r="C4" s="13"/>
      <c r="D4" s="13"/>
      <c r="E4" s="13"/>
      <c r="F4" s="13"/>
      <c r="G4" s="13"/>
      <c r="H4" s="13"/>
      <c r="I4" s="13"/>
      <c r="J4" s="13"/>
      <c r="K4" s="13"/>
      <c r="L4" s="13"/>
      <c r="M4" s="14"/>
      <c r="N4" s="14"/>
      <c r="O4" s="14"/>
      <c r="P4" s="14"/>
      <c r="Q4" s="14"/>
      <c r="V4" s="610" t="str">
        <f>+Based_on_the_Second_Calculation_of_the_FEFP_2010_11</f>
        <v>Based on the Fourth Calculation of the FEFP 2013-14</v>
      </c>
      <c r="W4" s="610"/>
      <c r="X4" s="610"/>
      <c r="Y4" s="610"/>
      <c r="Z4" s="610"/>
      <c r="AA4" s="610"/>
      <c r="AB4" s="610"/>
      <c r="AC4" s="610"/>
      <c r="AD4" s="15"/>
    </row>
    <row r="5" spans="1:30" ht="18.75" customHeight="1" x14ac:dyDescent="0.25">
      <c r="B5" s="16" t="s">
        <v>7</v>
      </c>
      <c r="C5" s="16"/>
      <c r="D5" s="16"/>
      <c r="E5" s="16"/>
      <c r="F5" s="16"/>
      <c r="G5" s="17" t="s">
        <v>8</v>
      </c>
      <c r="H5" s="17"/>
      <c r="I5" s="17"/>
      <c r="J5" s="17"/>
      <c r="K5" s="17"/>
      <c r="L5" s="17"/>
      <c r="M5" s="18"/>
      <c r="N5" s="18"/>
      <c r="O5" s="18"/>
      <c r="P5" s="18"/>
      <c r="Q5" s="18"/>
      <c r="V5" s="611" t="s">
        <v>7</v>
      </c>
      <c r="W5" s="611"/>
      <c r="X5" s="612" t="s">
        <v>8</v>
      </c>
      <c r="Y5" s="612"/>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613" t="s">
        <v>9</v>
      </c>
      <c r="W6" s="613"/>
      <c r="X6" s="613"/>
      <c r="Y6" s="613"/>
      <c r="Z6" s="613"/>
      <c r="AA6" s="613"/>
      <c r="AB6" s="613"/>
      <c r="AC6" s="613"/>
      <c r="AD6" s="22"/>
    </row>
    <row r="7" spans="1:30" ht="18" customHeight="1" x14ac:dyDescent="0.25">
      <c r="B7" s="23" t="s">
        <v>10</v>
      </c>
      <c r="C7" s="23"/>
      <c r="D7" s="23"/>
      <c r="E7" s="23"/>
      <c r="F7" s="23"/>
      <c r="G7" s="24">
        <v>3752.3</v>
      </c>
      <c r="H7" s="24"/>
      <c r="I7" s="23" t="s">
        <v>11</v>
      </c>
      <c r="J7" s="23"/>
      <c r="K7" s="25">
        <v>1.0326</v>
      </c>
      <c r="L7" s="25"/>
      <c r="O7" s="1"/>
      <c r="V7" s="620" t="s">
        <v>10</v>
      </c>
      <c r="W7" s="620"/>
      <c r="X7" s="621">
        <f>'3394 June Final'!G7</f>
        <v>3752.3</v>
      </c>
      <c r="Y7" s="621"/>
      <c r="Z7" s="622" t="s">
        <v>11</v>
      </c>
      <c r="AA7" s="622"/>
      <c r="AB7" s="602">
        <f>+K7</f>
        <v>1.0326</v>
      </c>
      <c r="AC7" s="602"/>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603" t="s">
        <v>12</v>
      </c>
      <c r="W8" s="603"/>
      <c r="X8" s="604" t="s">
        <v>15</v>
      </c>
      <c r="Y8" s="604"/>
      <c r="Z8" s="605" t="s">
        <v>16</v>
      </c>
      <c r="AA8" s="605"/>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614" t="s">
        <v>22</v>
      </c>
      <c r="W9" s="614"/>
      <c r="X9" s="615" t="s">
        <v>23</v>
      </c>
      <c r="Y9" s="615"/>
      <c r="Z9" s="616" t="s">
        <v>24</v>
      </c>
      <c r="AA9" s="616"/>
      <c r="AB9" s="43" t="s">
        <v>25</v>
      </c>
      <c r="AC9" s="44" t="s">
        <v>26</v>
      </c>
      <c r="AD9" s="9"/>
    </row>
    <row r="10" spans="1:30" x14ac:dyDescent="0.25">
      <c r="A10" s="1" t="s">
        <v>27</v>
      </c>
      <c r="B10" s="45" t="s">
        <v>28</v>
      </c>
      <c r="C10" s="45"/>
      <c r="D10" s="45">
        <v>18.489999999999998</v>
      </c>
      <c r="E10" s="45">
        <v>19.559999999999999</v>
      </c>
      <c r="F10" s="45">
        <v>22.73</v>
      </c>
      <c r="G10" s="46">
        <f t="shared" ref="G10:G25" si="0">D10+E10</f>
        <v>38.049999999999997</v>
      </c>
      <c r="H10" s="47"/>
      <c r="I10" s="48">
        <v>1.125</v>
      </c>
      <c r="J10" s="48"/>
      <c r="K10" s="49">
        <f t="shared" ref="K10:K25" si="1">ROUND(G10*I10,4)</f>
        <v>42.8063</v>
      </c>
      <c r="L10" s="50">
        <f t="shared" ref="L10:L25" si="2">ROUND(ROUND(K10*$G$7,4)*($K$7),0)</f>
        <v>165858</v>
      </c>
      <c r="N10" s="51">
        <v>5101</v>
      </c>
      <c r="O10" s="52">
        <v>101</v>
      </c>
      <c r="P10" s="53"/>
      <c r="Q10" s="54"/>
      <c r="V10" s="617" t="s">
        <v>28</v>
      </c>
      <c r="W10" s="617"/>
      <c r="X10" s="618">
        <f>IF('3394 June Final'!K$84=1,'3394 June Final'!G10,0)</f>
        <v>0</v>
      </c>
      <c r="Y10" s="618"/>
      <c r="Z10" s="619">
        <v>1</v>
      </c>
      <c r="AA10" s="619"/>
      <c r="AB10" s="55">
        <f t="shared" ref="AB10:AB25" si="3">ROUND(X10*Z10,4)</f>
        <v>0</v>
      </c>
      <c r="AC10" s="56">
        <f t="shared" ref="AC10:AC25" si="4">ROUND(ROUND(AB10*$X$7,4)*($AB$7),0)</f>
        <v>0</v>
      </c>
      <c r="AD10" s="9">
        <v>1</v>
      </c>
    </row>
    <row r="11" spans="1:30" x14ac:dyDescent="0.25">
      <c r="A11" s="1" t="s">
        <v>29</v>
      </c>
      <c r="B11" s="13" t="s">
        <v>30</v>
      </c>
      <c r="C11" s="13"/>
      <c r="D11" s="13">
        <v>43.44</v>
      </c>
      <c r="E11" s="13">
        <v>40.65</v>
      </c>
      <c r="F11" s="13">
        <v>52.64</v>
      </c>
      <c r="G11" s="46">
        <f t="shared" si="0"/>
        <v>84.09</v>
      </c>
      <c r="H11" s="47"/>
      <c r="I11" s="57">
        <f>I10</f>
        <v>1.125</v>
      </c>
      <c r="J11" s="57"/>
      <c r="K11" s="49">
        <f t="shared" si="1"/>
        <v>94.601299999999995</v>
      </c>
      <c r="L11" s="50">
        <f t="shared" si="2"/>
        <v>366545</v>
      </c>
      <c r="M11" s="1" t="str">
        <f>IF(ROUND(G11,2)=ROUND(SUM(G28:G30),2)," ","CHECK 2. PK-3 Lines Below")</f>
        <v xml:space="preserve"> </v>
      </c>
      <c r="N11" s="51">
        <v>5101</v>
      </c>
      <c r="O11" s="58" t="s">
        <v>31</v>
      </c>
      <c r="P11" s="53"/>
      <c r="Q11" s="54"/>
      <c r="V11" s="623" t="s">
        <v>30</v>
      </c>
      <c r="W11" s="623"/>
      <c r="X11" s="618">
        <f>IF('3394 June Final'!K$84=1,'3394 June Final'!G11,0)</f>
        <v>0</v>
      </c>
      <c r="Y11" s="618"/>
      <c r="Z11" s="624">
        <v>1</v>
      </c>
      <c r="AA11" s="624"/>
      <c r="AB11" s="55">
        <f t="shared" si="3"/>
        <v>0</v>
      </c>
      <c r="AC11" s="56">
        <f t="shared" si="4"/>
        <v>0</v>
      </c>
      <c r="AD11" s="9"/>
    </row>
    <row r="12" spans="1:30" x14ac:dyDescent="0.25">
      <c r="A12" s="1" t="s">
        <v>32</v>
      </c>
      <c r="B12" s="13" t="s">
        <v>33</v>
      </c>
      <c r="C12" s="13"/>
      <c r="D12" s="13">
        <v>17.22</v>
      </c>
      <c r="E12" s="13">
        <v>16.8</v>
      </c>
      <c r="F12" s="13">
        <v>22.91</v>
      </c>
      <c r="G12" s="46">
        <f t="shared" si="0"/>
        <v>34.019999999999996</v>
      </c>
      <c r="H12" s="47"/>
      <c r="I12" s="57">
        <v>1</v>
      </c>
      <c r="J12" s="57"/>
      <c r="K12" s="49">
        <f t="shared" si="1"/>
        <v>34.020000000000003</v>
      </c>
      <c r="L12" s="50">
        <f t="shared" si="2"/>
        <v>131815</v>
      </c>
      <c r="N12" s="51">
        <v>5102</v>
      </c>
      <c r="O12" s="52">
        <v>102</v>
      </c>
      <c r="P12" s="53"/>
      <c r="Q12" s="54"/>
      <c r="V12" s="623" t="s">
        <v>33</v>
      </c>
      <c r="W12" s="623"/>
      <c r="X12" s="618">
        <f>IF('3394 June Final'!K$84=1,'3394 June Final'!G12,0)</f>
        <v>0</v>
      </c>
      <c r="Y12" s="618"/>
      <c r="Z12" s="624">
        <v>1</v>
      </c>
      <c r="AA12" s="624"/>
      <c r="AB12" s="55">
        <f t="shared" si="3"/>
        <v>0</v>
      </c>
      <c r="AC12" s="56">
        <f t="shared" si="4"/>
        <v>0</v>
      </c>
      <c r="AD12" s="9"/>
    </row>
    <row r="13" spans="1:30" x14ac:dyDescent="0.25">
      <c r="A13" s="1" t="s">
        <v>34</v>
      </c>
      <c r="B13" s="13" t="s">
        <v>35</v>
      </c>
      <c r="C13" s="13"/>
      <c r="D13" s="13">
        <v>9.51</v>
      </c>
      <c r="E13" s="13">
        <v>9</v>
      </c>
      <c r="F13" s="13">
        <v>12.23</v>
      </c>
      <c r="G13" s="46">
        <f t="shared" si="0"/>
        <v>18.509999999999998</v>
      </c>
      <c r="H13" s="47"/>
      <c r="I13" s="57">
        <f>I12</f>
        <v>1</v>
      </c>
      <c r="J13" s="57"/>
      <c r="K13" s="49">
        <f t="shared" si="1"/>
        <v>18.510000000000002</v>
      </c>
      <c r="L13" s="50">
        <f t="shared" si="2"/>
        <v>71719</v>
      </c>
      <c r="M13" s="1" t="str">
        <f>IF(ROUND(G13,2)=ROUND(SUM(G31:G33),2)," ","CHECK 2. PK-3 Lines Below")</f>
        <v xml:space="preserve"> </v>
      </c>
      <c r="N13" s="51">
        <v>5102</v>
      </c>
      <c r="O13" s="58" t="s">
        <v>36</v>
      </c>
      <c r="P13" s="53"/>
      <c r="Q13" s="54"/>
      <c r="V13" s="623" t="s">
        <v>35</v>
      </c>
      <c r="W13" s="623"/>
      <c r="X13" s="618">
        <f>IF('3394 June Final'!K$84=1,'3394 June Final'!G13,0)</f>
        <v>0</v>
      </c>
      <c r="Y13" s="618"/>
      <c r="Z13" s="624">
        <v>1</v>
      </c>
      <c r="AA13" s="624"/>
      <c r="AB13" s="55">
        <f t="shared" si="3"/>
        <v>0</v>
      </c>
      <c r="AC13" s="56">
        <f t="shared" si="4"/>
        <v>0</v>
      </c>
      <c r="AD13" s="9"/>
    </row>
    <row r="14" spans="1:30" x14ac:dyDescent="0.25">
      <c r="A14" s="1" t="s">
        <v>37</v>
      </c>
      <c r="B14" s="13" t="s">
        <v>38</v>
      </c>
      <c r="C14" s="13"/>
      <c r="D14" s="13">
        <v>0</v>
      </c>
      <c r="E14" s="13">
        <v>0</v>
      </c>
      <c r="F14" s="13">
        <v>0</v>
      </c>
      <c r="G14" s="46">
        <f t="shared" si="0"/>
        <v>0</v>
      </c>
      <c r="H14" s="47"/>
      <c r="I14" s="57">
        <v>1.0109999999999999</v>
      </c>
      <c r="J14" s="57"/>
      <c r="K14" s="49">
        <f t="shared" si="1"/>
        <v>0</v>
      </c>
      <c r="L14" s="50">
        <f t="shared" si="2"/>
        <v>0</v>
      </c>
      <c r="N14" s="51">
        <v>5103</v>
      </c>
      <c r="O14" s="52">
        <v>103</v>
      </c>
      <c r="P14" s="53"/>
      <c r="Q14" s="54"/>
      <c r="V14" s="623" t="s">
        <v>38</v>
      </c>
      <c r="W14" s="623"/>
      <c r="X14" s="618">
        <f>IF('3394 June Final'!K$84=1,'3394 June Final'!G14,0)</f>
        <v>0</v>
      </c>
      <c r="Y14" s="618"/>
      <c r="Z14" s="624">
        <v>1</v>
      </c>
      <c r="AA14" s="624"/>
      <c r="AB14" s="55">
        <f t="shared" si="3"/>
        <v>0</v>
      </c>
      <c r="AC14" s="56">
        <f t="shared" si="4"/>
        <v>0</v>
      </c>
      <c r="AD14" s="9"/>
    </row>
    <row r="15" spans="1:30" x14ac:dyDescent="0.25">
      <c r="A15" s="1" t="s">
        <v>39</v>
      </c>
      <c r="B15" s="13" t="s">
        <v>40</v>
      </c>
      <c r="C15" s="13"/>
      <c r="D15" s="13">
        <v>0</v>
      </c>
      <c r="E15" s="13">
        <v>0</v>
      </c>
      <c r="F15" s="13">
        <v>0</v>
      </c>
      <c r="G15" s="46">
        <f t="shared" si="0"/>
        <v>0</v>
      </c>
      <c r="H15" s="47"/>
      <c r="I15" s="57">
        <f>I14</f>
        <v>1.0109999999999999</v>
      </c>
      <c r="J15" s="57"/>
      <c r="K15" s="49">
        <f t="shared" si="1"/>
        <v>0</v>
      </c>
      <c r="L15" s="59">
        <f t="shared" si="2"/>
        <v>0</v>
      </c>
      <c r="M15" s="1" t="str">
        <f>IF(ROUND(G15,2)=ROUND(SUM(G34:G36),2)," ","CHECK 2. PK-3 Lines Below")</f>
        <v xml:space="preserve"> </v>
      </c>
      <c r="N15" s="51">
        <v>5103</v>
      </c>
      <c r="O15" s="58" t="s">
        <v>41</v>
      </c>
      <c r="P15" s="53"/>
      <c r="Q15" s="54"/>
      <c r="V15" s="623" t="s">
        <v>40</v>
      </c>
      <c r="W15" s="623"/>
      <c r="X15" s="618">
        <f>IF('3394 June Final'!K$84=1,'3394 June Final'!G15,0)</f>
        <v>0</v>
      </c>
      <c r="Y15" s="618"/>
      <c r="Z15" s="624">
        <v>1</v>
      </c>
      <c r="AA15" s="624"/>
      <c r="AB15" s="55">
        <f t="shared" si="3"/>
        <v>0</v>
      </c>
      <c r="AC15" s="60">
        <f t="shared" si="4"/>
        <v>0</v>
      </c>
      <c r="AD15" s="9"/>
    </row>
    <row r="16" spans="1:30" x14ac:dyDescent="0.25">
      <c r="A16" s="1" t="s">
        <v>42</v>
      </c>
      <c r="B16" s="13" t="s">
        <v>43</v>
      </c>
      <c r="C16" s="13"/>
      <c r="D16" s="13">
        <v>0</v>
      </c>
      <c r="E16" s="13">
        <v>0.98</v>
      </c>
      <c r="F16" s="13">
        <v>0</v>
      </c>
      <c r="G16" s="46">
        <f t="shared" si="0"/>
        <v>0.98</v>
      </c>
      <c r="H16" s="47"/>
      <c r="I16" s="57">
        <v>3.5579999999999998</v>
      </c>
      <c r="J16" s="57"/>
      <c r="K16" s="49">
        <f t="shared" si="1"/>
        <v>3.4868000000000001</v>
      </c>
      <c r="L16" s="50">
        <f t="shared" si="2"/>
        <v>13510</v>
      </c>
      <c r="N16" s="51">
        <v>5101</v>
      </c>
      <c r="O16" s="53">
        <v>254</v>
      </c>
      <c r="P16" s="53"/>
      <c r="Q16" s="54"/>
      <c r="V16" s="623" t="s">
        <v>43</v>
      </c>
      <c r="W16" s="623"/>
      <c r="X16" s="618">
        <f>IF('3394 June Final'!K$84=1,'3394 June Final'!G16,0)</f>
        <v>0</v>
      </c>
      <c r="Y16" s="618"/>
      <c r="Z16" s="624">
        <v>1</v>
      </c>
      <c r="AA16" s="624"/>
      <c r="AB16" s="55">
        <f t="shared" si="3"/>
        <v>0</v>
      </c>
      <c r="AC16" s="56">
        <f t="shared" si="4"/>
        <v>0</v>
      </c>
      <c r="AD16" s="9"/>
    </row>
    <row r="17" spans="1:30" x14ac:dyDescent="0.25">
      <c r="A17" s="1" t="s">
        <v>44</v>
      </c>
      <c r="B17" s="13" t="s">
        <v>45</v>
      </c>
      <c r="C17" s="13"/>
      <c r="D17" s="13">
        <v>0</v>
      </c>
      <c r="E17" s="13">
        <v>0</v>
      </c>
      <c r="F17" s="13">
        <v>0</v>
      </c>
      <c r="G17" s="46">
        <f t="shared" si="0"/>
        <v>0</v>
      </c>
      <c r="H17" s="47"/>
      <c r="I17" s="57">
        <f>I16</f>
        <v>3.5579999999999998</v>
      </c>
      <c r="J17" s="57"/>
      <c r="K17" s="49">
        <f t="shared" si="1"/>
        <v>0</v>
      </c>
      <c r="L17" s="50">
        <f t="shared" si="2"/>
        <v>0</v>
      </c>
      <c r="N17" s="51">
        <v>5102</v>
      </c>
      <c r="O17" s="54">
        <v>254</v>
      </c>
      <c r="P17" s="53"/>
      <c r="Q17" s="54"/>
      <c r="V17" s="623" t="s">
        <v>45</v>
      </c>
      <c r="W17" s="623"/>
      <c r="X17" s="618">
        <f>IF('3394 June Final'!K$84=1,'3394 June Final'!G17,0)</f>
        <v>0</v>
      </c>
      <c r="Y17" s="618"/>
      <c r="Z17" s="624">
        <v>1</v>
      </c>
      <c r="AA17" s="624"/>
      <c r="AB17" s="55">
        <f t="shared" si="3"/>
        <v>0</v>
      </c>
      <c r="AC17" s="56">
        <f t="shared" si="4"/>
        <v>0</v>
      </c>
      <c r="AD17" s="9"/>
    </row>
    <row r="18" spans="1:30" x14ac:dyDescent="0.25">
      <c r="A18" s="1" t="s">
        <v>46</v>
      </c>
      <c r="B18" s="13" t="s">
        <v>47</v>
      </c>
      <c r="C18" s="13"/>
      <c r="D18" s="13">
        <v>0</v>
      </c>
      <c r="E18" s="13">
        <v>0</v>
      </c>
      <c r="F18" s="13">
        <v>0</v>
      </c>
      <c r="G18" s="46">
        <f t="shared" si="0"/>
        <v>0</v>
      </c>
      <c r="H18" s="47"/>
      <c r="I18" s="57">
        <f>I17</f>
        <v>3.5579999999999998</v>
      </c>
      <c r="J18" s="57"/>
      <c r="K18" s="49">
        <f t="shared" si="1"/>
        <v>0</v>
      </c>
      <c r="L18" s="50">
        <f t="shared" si="2"/>
        <v>0</v>
      </c>
      <c r="N18" s="51">
        <v>5103</v>
      </c>
      <c r="O18" s="54">
        <v>254</v>
      </c>
      <c r="P18" s="53"/>
      <c r="Q18" s="54"/>
      <c r="V18" s="623" t="s">
        <v>47</v>
      </c>
      <c r="W18" s="623"/>
      <c r="X18" s="618">
        <f>IF('3394 June Final'!K$84=1,'3394 June Final'!G18,0)</f>
        <v>0</v>
      </c>
      <c r="Y18" s="618"/>
      <c r="Z18" s="624">
        <v>1</v>
      </c>
      <c r="AA18" s="624"/>
      <c r="AB18" s="55">
        <f t="shared" si="3"/>
        <v>0</v>
      </c>
      <c r="AC18" s="56">
        <f t="shared" si="4"/>
        <v>0</v>
      </c>
      <c r="AD18" s="9"/>
    </row>
    <row r="19" spans="1:30" ht="15" customHeight="1" x14ac:dyDescent="0.25">
      <c r="A19" s="1" t="s">
        <v>48</v>
      </c>
      <c r="B19" s="13" t="s">
        <v>49</v>
      </c>
      <c r="C19" s="13"/>
      <c r="D19" s="13">
        <v>0</v>
      </c>
      <c r="E19" s="13">
        <v>0</v>
      </c>
      <c r="F19" s="13">
        <v>0</v>
      </c>
      <c r="G19" s="46">
        <f t="shared" si="0"/>
        <v>0</v>
      </c>
      <c r="H19" s="47"/>
      <c r="I19" s="57">
        <v>5.0890000000000004</v>
      </c>
      <c r="J19" s="57"/>
      <c r="K19" s="49">
        <f t="shared" si="1"/>
        <v>0</v>
      </c>
      <c r="L19" s="50">
        <f t="shared" si="2"/>
        <v>0</v>
      </c>
      <c r="N19" s="51">
        <v>5101</v>
      </c>
      <c r="O19" s="53">
        <v>255</v>
      </c>
      <c r="P19" s="53"/>
      <c r="Q19" s="54"/>
      <c r="V19" s="623" t="s">
        <v>49</v>
      </c>
      <c r="W19" s="623"/>
      <c r="X19" s="618">
        <f>IF('3394 June Final'!K$84=1,'3394 June Final'!G19,0)</f>
        <v>0</v>
      </c>
      <c r="Y19" s="618"/>
      <c r="Z19" s="624">
        <v>1</v>
      </c>
      <c r="AA19" s="624"/>
      <c r="AB19" s="55">
        <f t="shared" si="3"/>
        <v>0</v>
      </c>
      <c r="AC19" s="56">
        <f t="shared" si="4"/>
        <v>0</v>
      </c>
      <c r="AD19" s="9"/>
    </row>
    <row r="20" spans="1:30" ht="15" customHeight="1" x14ac:dyDescent="0.25">
      <c r="A20" s="1" t="s">
        <v>50</v>
      </c>
      <c r="B20" s="13" t="s">
        <v>51</v>
      </c>
      <c r="C20" s="13"/>
      <c r="D20" s="13">
        <v>0</v>
      </c>
      <c r="E20" s="13">
        <v>0</v>
      </c>
      <c r="F20" s="13">
        <v>0</v>
      </c>
      <c r="G20" s="46">
        <f t="shared" si="0"/>
        <v>0</v>
      </c>
      <c r="H20" s="47"/>
      <c r="I20" s="57">
        <f>I19</f>
        <v>5.0890000000000004</v>
      </c>
      <c r="J20" s="57"/>
      <c r="K20" s="49">
        <f t="shared" si="1"/>
        <v>0</v>
      </c>
      <c r="L20" s="50">
        <f t="shared" si="2"/>
        <v>0</v>
      </c>
      <c r="N20" s="51">
        <v>5102</v>
      </c>
      <c r="O20" s="54">
        <v>255</v>
      </c>
      <c r="P20" s="53"/>
      <c r="Q20" s="54"/>
      <c r="V20" s="623" t="s">
        <v>51</v>
      </c>
      <c r="W20" s="623"/>
      <c r="X20" s="618">
        <f>IF('3394 June Final'!K$84=1,'3394 June Final'!G20,0)</f>
        <v>0</v>
      </c>
      <c r="Y20" s="618"/>
      <c r="Z20" s="624">
        <v>1</v>
      </c>
      <c r="AA20" s="624"/>
      <c r="AB20" s="55">
        <f t="shared" si="3"/>
        <v>0</v>
      </c>
      <c r="AC20" s="56">
        <f t="shared" si="4"/>
        <v>0</v>
      </c>
      <c r="AD20" s="9"/>
    </row>
    <row r="21" spans="1:30" ht="15" customHeight="1" x14ac:dyDescent="0.25">
      <c r="A21" s="1" t="s">
        <v>52</v>
      </c>
      <c r="B21" s="13" t="s">
        <v>53</v>
      </c>
      <c r="C21" s="13"/>
      <c r="D21" s="13">
        <v>0</v>
      </c>
      <c r="E21" s="13">
        <v>0</v>
      </c>
      <c r="F21" s="13">
        <v>0</v>
      </c>
      <c r="G21" s="46">
        <f t="shared" si="0"/>
        <v>0</v>
      </c>
      <c r="H21" s="47"/>
      <c r="I21" s="57">
        <f>I20</f>
        <v>5.0890000000000004</v>
      </c>
      <c r="J21" s="57"/>
      <c r="K21" s="49">
        <f t="shared" si="1"/>
        <v>0</v>
      </c>
      <c r="L21" s="50">
        <f t="shared" si="2"/>
        <v>0</v>
      </c>
      <c r="N21" s="51">
        <v>5103</v>
      </c>
      <c r="O21" s="54">
        <v>255</v>
      </c>
      <c r="P21" s="53"/>
      <c r="Q21" s="54"/>
      <c r="V21" s="623" t="s">
        <v>53</v>
      </c>
      <c r="W21" s="623"/>
      <c r="X21" s="618">
        <f>IF('3394 June Final'!K$84=1,'3394 June Final'!G21,0)</f>
        <v>0</v>
      </c>
      <c r="Y21" s="618"/>
      <c r="Z21" s="624">
        <v>1</v>
      </c>
      <c r="AA21" s="624"/>
      <c r="AB21" s="55">
        <f t="shared" si="3"/>
        <v>0</v>
      </c>
      <c r="AC21" s="56">
        <f t="shared" si="4"/>
        <v>0</v>
      </c>
      <c r="AD21" s="9"/>
    </row>
    <row r="22" spans="1:30" x14ac:dyDescent="0.25">
      <c r="A22" s="1" t="s">
        <v>54</v>
      </c>
      <c r="B22" s="13" t="s">
        <v>55</v>
      </c>
      <c r="C22" s="13"/>
      <c r="D22" s="13">
        <v>9.8699999999999992</v>
      </c>
      <c r="E22" s="13">
        <v>11.44</v>
      </c>
      <c r="F22" s="13">
        <v>14.29</v>
      </c>
      <c r="G22" s="46">
        <f t="shared" si="0"/>
        <v>21.31</v>
      </c>
      <c r="H22" s="47"/>
      <c r="I22" s="57">
        <v>1.145</v>
      </c>
      <c r="J22" s="57"/>
      <c r="K22" s="49">
        <f t="shared" si="1"/>
        <v>24.4</v>
      </c>
      <c r="L22" s="50">
        <f t="shared" si="2"/>
        <v>94541</v>
      </c>
      <c r="N22" s="51">
        <v>5101</v>
      </c>
      <c r="O22" s="52">
        <v>130</v>
      </c>
      <c r="P22" s="53"/>
      <c r="Q22" s="54"/>
      <c r="V22" s="623" t="s">
        <v>55</v>
      </c>
      <c r="W22" s="623"/>
      <c r="X22" s="618">
        <f>IF('3394 June Final'!K$84=1,'3394 June Final'!G22,0)</f>
        <v>0</v>
      </c>
      <c r="Y22" s="618"/>
      <c r="Z22" s="624">
        <v>1</v>
      </c>
      <c r="AA22" s="624"/>
      <c r="AB22" s="55">
        <f t="shared" si="3"/>
        <v>0</v>
      </c>
      <c r="AC22" s="56">
        <f t="shared" si="4"/>
        <v>0</v>
      </c>
      <c r="AD22" s="9"/>
    </row>
    <row r="23" spans="1:30" x14ac:dyDescent="0.25">
      <c r="A23" s="1" t="s">
        <v>56</v>
      </c>
      <c r="B23" s="13" t="s">
        <v>57</v>
      </c>
      <c r="C23" s="13"/>
      <c r="D23" s="13">
        <v>1.95</v>
      </c>
      <c r="E23" s="13">
        <v>1.78</v>
      </c>
      <c r="F23" s="13">
        <v>0</v>
      </c>
      <c r="G23" s="46">
        <f t="shared" si="0"/>
        <v>3.73</v>
      </c>
      <c r="H23" s="47"/>
      <c r="I23" s="57">
        <f>I22</f>
        <v>1.145</v>
      </c>
      <c r="J23" s="57"/>
      <c r="K23" s="49">
        <f t="shared" si="1"/>
        <v>4.2709000000000001</v>
      </c>
      <c r="L23" s="50">
        <f t="shared" si="2"/>
        <v>16548</v>
      </c>
      <c r="N23" s="51">
        <v>5102</v>
      </c>
      <c r="O23" s="52">
        <v>130</v>
      </c>
      <c r="P23" s="53"/>
      <c r="Q23" s="54"/>
      <c r="V23" s="623" t="s">
        <v>57</v>
      </c>
      <c r="W23" s="623"/>
      <c r="X23" s="618">
        <f>IF('3394 June Final'!K$84=1,'3394 June Final'!G23,0)</f>
        <v>0</v>
      </c>
      <c r="Y23" s="618"/>
      <c r="Z23" s="624">
        <v>1</v>
      </c>
      <c r="AA23" s="624"/>
      <c r="AB23" s="55">
        <f t="shared" si="3"/>
        <v>0</v>
      </c>
      <c r="AC23" s="56">
        <f t="shared" si="4"/>
        <v>0</v>
      </c>
      <c r="AD23" s="9"/>
    </row>
    <row r="24" spans="1:30" x14ac:dyDescent="0.25">
      <c r="A24" s="1" t="s">
        <v>58</v>
      </c>
      <c r="B24" s="13" t="s">
        <v>59</v>
      </c>
      <c r="C24" s="13"/>
      <c r="D24" s="13">
        <v>0</v>
      </c>
      <c r="E24" s="13">
        <v>0</v>
      </c>
      <c r="F24" s="13">
        <v>0</v>
      </c>
      <c r="G24" s="46">
        <f t="shared" si="0"/>
        <v>0</v>
      </c>
      <c r="H24" s="47"/>
      <c r="I24" s="57">
        <f>I23</f>
        <v>1.145</v>
      </c>
      <c r="J24" s="57"/>
      <c r="K24" s="49">
        <f t="shared" si="1"/>
        <v>0</v>
      </c>
      <c r="L24" s="50">
        <f t="shared" si="2"/>
        <v>0</v>
      </c>
      <c r="N24" s="51">
        <v>5103</v>
      </c>
      <c r="O24" s="52">
        <v>130</v>
      </c>
      <c r="P24" s="53"/>
      <c r="Q24" s="54"/>
      <c r="V24" s="623" t="s">
        <v>59</v>
      </c>
      <c r="W24" s="623"/>
      <c r="X24" s="618">
        <f>IF('3394 June Final'!K$84=1,'3394 June Final'!G24,0)</f>
        <v>0</v>
      </c>
      <c r="Y24" s="618"/>
      <c r="Z24" s="624">
        <v>1</v>
      </c>
      <c r="AA24" s="624"/>
      <c r="AB24" s="55">
        <f t="shared" si="3"/>
        <v>0</v>
      </c>
      <c r="AC24" s="56">
        <f t="shared" si="4"/>
        <v>0</v>
      </c>
      <c r="AD24" s="9"/>
    </row>
    <row r="25" spans="1:30" ht="16.5" thickBot="1" x14ac:dyDescent="0.3">
      <c r="A25" s="1" t="s">
        <v>60</v>
      </c>
      <c r="B25" s="13" t="s">
        <v>61</v>
      </c>
      <c r="C25" s="13"/>
      <c r="D25" s="13">
        <v>0</v>
      </c>
      <c r="E25" s="13">
        <v>0</v>
      </c>
      <c r="F25" s="13">
        <v>0</v>
      </c>
      <c r="G25" s="46">
        <f t="shared" si="0"/>
        <v>0</v>
      </c>
      <c r="H25" s="47"/>
      <c r="I25" s="57">
        <v>1.0109999999999999</v>
      </c>
      <c r="J25" s="57"/>
      <c r="K25" s="49">
        <f t="shared" si="1"/>
        <v>0</v>
      </c>
      <c r="L25" s="50">
        <f t="shared" si="2"/>
        <v>0</v>
      </c>
      <c r="N25" s="51">
        <v>5310</v>
      </c>
      <c r="O25" s="52">
        <v>300</v>
      </c>
      <c r="P25" s="53"/>
      <c r="Q25" s="54"/>
      <c r="V25" s="623" t="s">
        <v>61</v>
      </c>
      <c r="W25" s="623"/>
      <c r="X25" s="618">
        <f>IF('3394 June Final'!K$84=1,'3394 June Final'!G25,0)</f>
        <v>0</v>
      </c>
      <c r="Y25" s="618"/>
      <c r="Z25" s="624">
        <v>1</v>
      </c>
      <c r="AA25" s="624"/>
      <c r="AB25" s="55">
        <f t="shared" si="3"/>
        <v>0</v>
      </c>
      <c r="AC25" s="56">
        <f t="shared" si="4"/>
        <v>0</v>
      </c>
      <c r="AD25" s="9"/>
    </row>
    <row r="26" spans="1:30" ht="20.25" customHeight="1" thickBot="1" x14ac:dyDescent="0.3">
      <c r="B26" s="62" t="s">
        <v>62</v>
      </c>
      <c r="C26" s="62"/>
      <c r="D26" s="63">
        <f>SUM(D10:D25)</f>
        <v>100.48</v>
      </c>
      <c r="E26" s="63">
        <f>SUM(E10:E25)</f>
        <v>100.21</v>
      </c>
      <c r="F26" s="63"/>
      <c r="G26" s="63">
        <f>SUM(G10:G25)</f>
        <v>200.68999999999997</v>
      </c>
      <c r="H26" s="64"/>
      <c r="I26" s="64"/>
      <c r="J26" s="65"/>
      <c r="K26" s="66">
        <f>SUM(K10:K25)</f>
        <v>222.09530000000001</v>
      </c>
      <c r="L26" s="67">
        <f>SUM(L10:L25)</f>
        <v>860536</v>
      </c>
      <c r="N26" s="54"/>
      <c r="O26" s="68"/>
      <c r="P26" s="54"/>
      <c r="Q26" s="54"/>
      <c r="V26" s="625" t="s">
        <v>62</v>
      </c>
      <c r="W26" s="625"/>
      <c r="X26" s="626">
        <f>SUM(X10:X25)</f>
        <v>0</v>
      </c>
      <c r="Y26" s="626"/>
      <c r="Z26" s="627"/>
      <c r="AA26" s="628"/>
      <c r="AB26" s="69">
        <f>SUM(AB10:AB25)</f>
        <v>0</v>
      </c>
      <c r="AC26" s="70">
        <f>SUM(AC10:AC25)</f>
        <v>0</v>
      </c>
      <c r="AD26" s="9"/>
    </row>
    <row r="27" spans="1:30" ht="51.75" customHeight="1" x14ac:dyDescent="0.25">
      <c r="B27" s="62" t="s">
        <v>63</v>
      </c>
      <c r="C27" s="62"/>
      <c r="D27" s="71" t="s">
        <v>13</v>
      </c>
      <c r="E27" s="71" t="s">
        <v>14</v>
      </c>
      <c r="F27" s="27"/>
      <c r="G27" s="72" t="s">
        <v>64</v>
      </c>
      <c r="H27" s="73"/>
      <c r="I27" s="74" t="s">
        <v>65</v>
      </c>
      <c r="J27" s="74" t="s">
        <v>66</v>
      </c>
      <c r="K27" s="75" t="s">
        <v>67</v>
      </c>
      <c r="N27" s="54"/>
      <c r="O27" s="68"/>
      <c r="P27" s="54"/>
      <c r="Q27" s="54"/>
      <c r="V27" s="629" t="s">
        <v>63</v>
      </c>
      <c r="W27" s="629"/>
      <c r="X27" s="630" t="s">
        <v>64</v>
      </c>
      <c r="Y27" s="630"/>
      <c r="Z27" s="76" t="s">
        <v>65</v>
      </c>
      <c r="AA27" s="77" t="s">
        <v>66</v>
      </c>
      <c r="AB27" s="78" t="s">
        <v>67</v>
      </c>
      <c r="AC27" s="9"/>
      <c r="AD27" s="9"/>
    </row>
    <row r="28" spans="1:30" ht="15.75" customHeight="1" x14ac:dyDescent="0.25">
      <c r="A28" s="1" t="s">
        <v>68</v>
      </c>
      <c r="B28" s="631" t="s">
        <v>69</v>
      </c>
      <c r="C28" s="632"/>
      <c r="D28" s="580">
        <v>37.46</v>
      </c>
      <c r="E28" s="580">
        <v>35.5</v>
      </c>
      <c r="F28" s="79">
        <v>41</v>
      </c>
      <c r="G28" s="46">
        <f t="shared" ref="G28:G36" si="5">D28+E28</f>
        <v>72.960000000000008</v>
      </c>
      <c r="H28" s="80"/>
      <c r="I28" s="81" t="s">
        <v>70</v>
      </c>
      <c r="J28" s="82">
        <v>251</v>
      </c>
      <c r="K28" s="83">
        <v>1047</v>
      </c>
      <c r="L28" s="84">
        <f t="shared" ref="L28:L36" si="6">ROUND(G28*K28,0)</f>
        <v>76389</v>
      </c>
      <c r="N28" s="337">
        <v>5101</v>
      </c>
      <c r="O28" s="54">
        <v>251</v>
      </c>
      <c r="P28" s="86"/>
      <c r="Q28" s="87"/>
      <c r="V28" s="637" t="s">
        <v>69</v>
      </c>
      <c r="W28" s="637"/>
      <c r="X28" s="638"/>
      <c r="Y28" s="638"/>
      <c r="Z28" s="88" t="s">
        <v>70</v>
      </c>
      <c r="AA28" s="330">
        <v>251</v>
      </c>
      <c r="AB28" s="90">
        <f t="shared" ref="AB28:AB36" si="7">+K28</f>
        <v>1047</v>
      </c>
      <c r="AC28" s="91">
        <f t="shared" ref="AC28:AC36" si="8">ROUND(X28*AB28,0)</f>
        <v>0</v>
      </c>
      <c r="AD28" s="9"/>
    </row>
    <row r="29" spans="1:30" x14ac:dyDescent="0.25">
      <c r="A29" s="1" t="s">
        <v>71</v>
      </c>
      <c r="B29" s="633"/>
      <c r="C29" s="634"/>
      <c r="D29" s="580">
        <v>5.0999999999999996</v>
      </c>
      <c r="E29" s="580">
        <v>5.15</v>
      </c>
      <c r="F29" s="92">
        <v>3</v>
      </c>
      <c r="G29" s="46">
        <f t="shared" si="5"/>
        <v>10.25</v>
      </c>
      <c r="H29" s="80"/>
      <c r="I29" s="82" t="s">
        <v>70</v>
      </c>
      <c r="J29" s="82">
        <v>252</v>
      </c>
      <c r="K29" s="83">
        <v>3380</v>
      </c>
      <c r="L29" s="84">
        <f t="shared" si="6"/>
        <v>34645</v>
      </c>
      <c r="N29" s="337">
        <v>5101</v>
      </c>
      <c r="O29" s="54">
        <v>252</v>
      </c>
      <c r="P29" s="86"/>
      <c r="Q29" s="87"/>
      <c r="V29" s="637"/>
      <c r="W29" s="637"/>
      <c r="X29" s="638"/>
      <c r="Y29" s="638"/>
      <c r="Z29" s="330" t="s">
        <v>70</v>
      </c>
      <c r="AA29" s="330">
        <v>252</v>
      </c>
      <c r="AB29" s="90">
        <f t="shared" si="7"/>
        <v>3380</v>
      </c>
      <c r="AC29" s="91">
        <f t="shared" si="8"/>
        <v>0</v>
      </c>
      <c r="AD29" s="9"/>
    </row>
    <row r="30" spans="1:30" x14ac:dyDescent="0.25">
      <c r="A30" s="1" t="s">
        <v>72</v>
      </c>
      <c r="B30" s="633"/>
      <c r="C30" s="634"/>
      <c r="D30" s="580">
        <v>0.88</v>
      </c>
      <c r="E30" s="580">
        <v>0</v>
      </c>
      <c r="F30" s="92">
        <v>6.5</v>
      </c>
      <c r="G30" s="46">
        <f t="shared" si="5"/>
        <v>0.88</v>
      </c>
      <c r="H30" s="80"/>
      <c r="I30" s="82" t="s">
        <v>70</v>
      </c>
      <c r="J30" s="82">
        <v>253</v>
      </c>
      <c r="K30" s="83">
        <v>6896</v>
      </c>
      <c r="L30" s="84">
        <f t="shared" si="6"/>
        <v>6068</v>
      </c>
      <c r="N30" s="337">
        <v>5101</v>
      </c>
      <c r="O30" s="54">
        <v>253</v>
      </c>
      <c r="P30" s="86"/>
      <c r="Q30" s="68"/>
      <c r="V30" s="637"/>
      <c r="W30" s="637"/>
      <c r="X30" s="638"/>
      <c r="Y30" s="638"/>
      <c r="Z30" s="330" t="s">
        <v>70</v>
      </c>
      <c r="AA30" s="330">
        <v>253</v>
      </c>
      <c r="AB30" s="90">
        <f t="shared" si="7"/>
        <v>6896</v>
      </c>
      <c r="AC30" s="91">
        <f t="shared" si="8"/>
        <v>0</v>
      </c>
      <c r="AD30" s="9"/>
    </row>
    <row r="31" spans="1:30" x14ac:dyDescent="0.25">
      <c r="A31" s="1" t="s">
        <v>73</v>
      </c>
      <c r="B31" s="633"/>
      <c r="C31" s="634"/>
      <c r="D31" s="580">
        <v>9.51</v>
      </c>
      <c r="E31" s="580">
        <v>9</v>
      </c>
      <c r="F31" s="92">
        <v>4</v>
      </c>
      <c r="G31" s="46">
        <f t="shared" si="5"/>
        <v>18.509999999999998</v>
      </c>
      <c r="H31" s="80"/>
      <c r="I31" s="93" t="s">
        <v>74</v>
      </c>
      <c r="J31" s="82">
        <v>251</v>
      </c>
      <c r="K31" s="83">
        <v>1173</v>
      </c>
      <c r="L31" s="84">
        <f t="shared" si="6"/>
        <v>21712</v>
      </c>
      <c r="N31" s="337">
        <v>5102</v>
      </c>
      <c r="O31" s="54">
        <v>251</v>
      </c>
      <c r="P31" s="86"/>
      <c r="Q31" s="68"/>
      <c r="V31" s="637"/>
      <c r="W31" s="637"/>
      <c r="X31" s="638"/>
      <c r="Y31" s="638"/>
      <c r="Z31" s="94" t="s">
        <v>74</v>
      </c>
      <c r="AA31" s="330">
        <v>251</v>
      </c>
      <c r="AB31" s="90">
        <f t="shared" si="7"/>
        <v>1173</v>
      </c>
      <c r="AC31" s="91">
        <f t="shared" si="8"/>
        <v>0</v>
      </c>
      <c r="AD31" s="9"/>
    </row>
    <row r="32" spans="1:30" x14ac:dyDescent="0.25">
      <c r="A32" s="1" t="s">
        <v>75</v>
      </c>
      <c r="B32" s="633"/>
      <c r="C32" s="634"/>
      <c r="D32" s="580">
        <v>0</v>
      </c>
      <c r="E32" s="580">
        <v>0</v>
      </c>
      <c r="F32" s="92">
        <v>0</v>
      </c>
      <c r="G32" s="46">
        <f t="shared" si="5"/>
        <v>0</v>
      </c>
      <c r="H32" s="80"/>
      <c r="I32" s="93" t="s">
        <v>74</v>
      </c>
      <c r="J32" s="82">
        <v>252</v>
      </c>
      <c r="K32" s="83">
        <v>3506</v>
      </c>
      <c r="L32" s="84">
        <f t="shared" si="6"/>
        <v>0</v>
      </c>
      <c r="N32" s="337">
        <v>5102</v>
      </c>
      <c r="O32" s="54">
        <v>252</v>
      </c>
      <c r="P32" s="86"/>
      <c r="Q32" s="54"/>
      <c r="V32" s="637"/>
      <c r="W32" s="637"/>
      <c r="X32" s="638"/>
      <c r="Y32" s="638"/>
      <c r="Z32" s="94" t="s">
        <v>74</v>
      </c>
      <c r="AA32" s="330">
        <v>252</v>
      </c>
      <c r="AB32" s="90">
        <f t="shared" si="7"/>
        <v>3506</v>
      </c>
      <c r="AC32" s="91">
        <f t="shared" si="8"/>
        <v>0</v>
      </c>
      <c r="AD32" s="9"/>
    </row>
    <row r="33" spans="1:30" x14ac:dyDescent="0.25">
      <c r="A33" s="1" t="s">
        <v>76</v>
      </c>
      <c r="B33" s="633"/>
      <c r="C33" s="634"/>
      <c r="D33" s="580">
        <v>0</v>
      </c>
      <c r="E33" s="580">
        <v>0</v>
      </c>
      <c r="F33" s="92">
        <v>0</v>
      </c>
      <c r="G33" s="46">
        <f t="shared" si="5"/>
        <v>0</v>
      </c>
      <c r="H33" s="80"/>
      <c r="I33" s="93" t="s">
        <v>74</v>
      </c>
      <c r="J33" s="82">
        <v>253</v>
      </c>
      <c r="K33" s="83">
        <v>7023</v>
      </c>
      <c r="L33" s="84">
        <f t="shared" si="6"/>
        <v>0</v>
      </c>
      <c r="N33" s="337">
        <v>5102</v>
      </c>
      <c r="O33" s="54">
        <v>253</v>
      </c>
      <c r="P33" s="86"/>
      <c r="Q33" s="87"/>
      <c r="V33" s="637"/>
      <c r="W33" s="637"/>
      <c r="X33" s="638"/>
      <c r="Y33" s="638"/>
      <c r="Z33" s="94" t="s">
        <v>74</v>
      </c>
      <c r="AA33" s="330">
        <v>253</v>
      </c>
      <c r="AB33" s="90">
        <f t="shared" si="7"/>
        <v>7023</v>
      </c>
      <c r="AC33" s="91">
        <f t="shared" si="8"/>
        <v>0</v>
      </c>
      <c r="AD33" s="9"/>
    </row>
    <row r="34" spans="1:30" x14ac:dyDescent="0.25">
      <c r="A34" s="1" t="s">
        <v>77</v>
      </c>
      <c r="B34" s="633"/>
      <c r="C34" s="634"/>
      <c r="D34" s="13">
        <v>0</v>
      </c>
      <c r="E34" s="13">
        <v>0</v>
      </c>
      <c r="F34" s="92">
        <v>0</v>
      </c>
      <c r="G34" s="46">
        <f t="shared" si="5"/>
        <v>0</v>
      </c>
      <c r="H34" s="80"/>
      <c r="I34" s="93" t="s">
        <v>78</v>
      </c>
      <c r="J34" s="82">
        <v>251</v>
      </c>
      <c r="K34" s="83">
        <v>835</v>
      </c>
      <c r="L34" s="84">
        <f t="shared" si="6"/>
        <v>0</v>
      </c>
      <c r="N34" s="337">
        <v>5103</v>
      </c>
      <c r="O34" s="54">
        <v>251</v>
      </c>
      <c r="P34" s="86"/>
      <c r="Q34" s="87"/>
      <c r="V34" s="637"/>
      <c r="W34" s="637"/>
      <c r="X34" s="638"/>
      <c r="Y34" s="638"/>
      <c r="Z34" s="94" t="s">
        <v>78</v>
      </c>
      <c r="AA34" s="330">
        <v>251</v>
      </c>
      <c r="AB34" s="90">
        <f t="shared" si="7"/>
        <v>835</v>
      </c>
      <c r="AC34" s="91">
        <f t="shared" si="8"/>
        <v>0</v>
      </c>
      <c r="AD34" s="9"/>
    </row>
    <row r="35" spans="1:30" x14ac:dyDescent="0.25">
      <c r="A35" s="1" t="s">
        <v>79</v>
      </c>
      <c r="B35" s="633"/>
      <c r="C35" s="634"/>
      <c r="D35" s="13">
        <v>0</v>
      </c>
      <c r="E35" s="13">
        <v>0</v>
      </c>
      <c r="F35" s="92">
        <v>0</v>
      </c>
      <c r="G35" s="46">
        <f t="shared" si="5"/>
        <v>0</v>
      </c>
      <c r="H35" s="80"/>
      <c r="I35" s="93" t="s">
        <v>78</v>
      </c>
      <c r="J35" s="82">
        <v>252</v>
      </c>
      <c r="K35" s="83">
        <v>3168</v>
      </c>
      <c r="L35" s="84">
        <f t="shared" si="6"/>
        <v>0</v>
      </c>
      <c r="N35" s="337">
        <v>5103</v>
      </c>
      <c r="O35" s="54">
        <v>252</v>
      </c>
      <c r="P35" s="86"/>
      <c r="Q35" s="95"/>
      <c r="V35" s="637"/>
      <c r="W35" s="637"/>
      <c r="X35" s="638"/>
      <c r="Y35" s="638"/>
      <c r="Z35" s="94" t="s">
        <v>78</v>
      </c>
      <c r="AA35" s="330">
        <v>252</v>
      </c>
      <c r="AB35" s="90">
        <f t="shared" si="7"/>
        <v>3168</v>
      </c>
      <c r="AC35" s="91">
        <f t="shared" si="8"/>
        <v>0</v>
      </c>
      <c r="AD35" s="9"/>
    </row>
    <row r="36" spans="1:30" ht="16.5" thickBot="1" x14ac:dyDescent="0.3">
      <c r="A36" s="1" t="s">
        <v>80</v>
      </c>
      <c r="B36" s="635"/>
      <c r="C36" s="636"/>
      <c r="D36" s="13">
        <v>0</v>
      </c>
      <c r="E36" s="13">
        <v>0</v>
      </c>
      <c r="F36" s="92">
        <v>0</v>
      </c>
      <c r="G36" s="46">
        <f t="shared" si="5"/>
        <v>0</v>
      </c>
      <c r="H36" s="80"/>
      <c r="I36" s="93" t="s">
        <v>78</v>
      </c>
      <c r="J36" s="82">
        <v>253</v>
      </c>
      <c r="K36" s="83">
        <v>6685</v>
      </c>
      <c r="L36" s="96">
        <f t="shared" si="6"/>
        <v>0</v>
      </c>
      <c r="N36" s="337">
        <v>5103</v>
      </c>
      <c r="O36" s="54">
        <v>253</v>
      </c>
      <c r="P36" s="86"/>
      <c r="Q36" s="97"/>
      <c r="V36" s="637"/>
      <c r="W36" s="637"/>
      <c r="X36" s="645"/>
      <c r="Y36" s="645"/>
      <c r="Z36" s="94" t="s">
        <v>78</v>
      </c>
      <c r="AA36" s="330">
        <v>253</v>
      </c>
      <c r="AB36" s="90">
        <f t="shared" si="7"/>
        <v>6685</v>
      </c>
      <c r="AC36" s="98">
        <f t="shared" si="8"/>
        <v>0</v>
      </c>
      <c r="AD36" s="9"/>
    </row>
    <row r="37" spans="1:30" ht="18.75" customHeight="1" x14ac:dyDescent="0.25">
      <c r="B37" s="13" t="s">
        <v>81</v>
      </c>
      <c r="C37" s="13"/>
      <c r="D37" s="63">
        <f>SUM(D28:D36)</f>
        <v>52.95</v>
      </c>
      <c r="E37" s="63">
        <f>SUM(E28:E36)</f>
        <v>49.65</v>
      </c>
      <c r="F37" s="63"/>
      <c r="G37" s="63">
        <f>SUM(G28:G36)</f>
        <v>102.6</v>
      </c>
      <c r="H37" s="64"/>
      <c r="I37" s="13" t="s">
        <v>82</v>
      </c>
      <c r="J37" s="13"/>
      <c r="K37" s="13"/>
      <c r="L37" s="50">
        <f>SUM(L28:L36)</f>
        <v>138814</v>
      </c>
      <c r="N37" s="54"/>
      <c r="O37" s="68"/>
      <c r="P37" s="54"/>
      <c r="Q37" s="54"/>
      <c r="V37" s="646" t="s">
        <v>81</v>
      </c>
      <c r="W37" s="646"/>
      <c r="X37" s="626">
        <f>SUM(X28:X36)</f>
        <v>0</v>
      </c>
      <c r="Y37" s="626"/>
      <c r="Z37" s="646" t="s">
        <v>82</v>
      </c>
      <c r="AA37" s="646"/>
      <c r="AB37" s="646"/>
      <c r="AC37" s="56">
        <f>SUM(AC28:AC36)</f>
        <v>0</v>
      </c>
      <c r="AD37" s="9"/>
    </row>
    <row r="38" spans="1:30" ht="30.75" customHeight="1" x14ac:dyDescent="0.25">
      <c r="B38" s="99" t="s">
        <v>83</v>
      </c>
      <c r="C38" s="99"/>
      <c r="D38" s="99"/>
      <c r="E38" s="99"/>
      <c r="F38" s="99"/>
      <c r="G38" s="99"/>
      <c r="H38" s="100"/>
      <c r="I38" s="99"/>
      <c r="J38" s="99"/>
      <c r="K38" s="99"/>
      <c r="L38" s="99"/>
      <c r="M38" s="101"/>
      <c r="N38" s="54"/>
      <c r="O38" s="68"/>
      <c r="P38" s="54"/>
      <c r="Q38" s="54"/>
      <c r="V38" s="639" t="s">
        <v>83</v>
      </c>
      <c r="W38" s="639"/>
      <c r="X38" s="639"/>
      <c r="Y38" s="639"/>
      <c r="Z38" s="639"/>
      <c r="AA38" s="639"/>
      <c r="AB38" s="639"/>
      <c r="AC38" s="639"/>
      <c r="AD38" s="102"/>
    </row>
    <row r="39" spans="1:30" ht="15.75" customHeight="1" x14ac:dyDescent="0.25">
      <c r="B39" s="103" t="s">
        <v>84</v>
      </c>
      <c r="C39" s="103"/>
      <c r="D39" s="103"/>
      <c r="E39" s="103"/>
      <c r="F39" s="103"/>
      <c r="G39" s="104">
        <v>34389540</v>
      </c>
      <c r="H39" s="104"/>
      <c r="I39" s="13" t="s">
        <v>85</v>
      </c>
      <c r="J39" s="13"/>
      <c r="K39" s="13"/>
      <c r="L39" s="13"/>
      <c r="O39" s="1"/>
      <c r="V39" s="640" t="s">
        <v>84</v>
      </c>
      <c r="W39" s="640"/>
      <c r="X39" s="641">
        <f>+G39</f>
        <v>34389540</v>
      </c>
      <c r="Y39" s="641"/>
      <c r="Z39" s="642" t="s">
        <v>85</v>
      </c>
      <c r="AA39" s="642"/>
      <c r="AB39" s="642"/>
      <c r="AC39" s="642"/>
      <c r="AD39" s="9"/>
    </row>
    <row r="40" spans="1:30" ht="15.75" customHeight="1" x14ac:dyDescent="0.25">
      <c r="B40" s="105" t="s">
        <v>86</v>
      </c>
      <c r="C40" s="105"/>
      <c r="D40" s="105"/>
      <c r="E40" s="105"/>
      <c r="F40" s="105"/>
      <c r="G40" s="106">
        <v>180284.81</v>
      </c>
      <c r="H40" s="106"/>
      <c r="I40" s="106"/>
      <c r="J40" s="106"/>
      <c r="K40" s="50">
        <f>ROUND(G39/G40,0)</f>
        <v>191</v>
      </c>
      <c r="L40" s="50">
        <f>ROUND(K40*$G$26,0)</f>
        <v>38332</v>
      </c>
      <c r="N40" s="107"/>
      <c r="O40" s="107"/>
      <c r="P40" s="107"/>
      <c r="Q40" s="107"/>
      <c r="V40" s="643" t="s">
        <v>86</v>
      </c>
      <c r="W40" s="643"/>
      <c r="X40" s="644">
        <f>+G40</f>
        <v>180284.81</v>
      </c>
      <c r="Y40" s="644"/>
      <c r="Z40" s="644"/>
      <c r="AA40" s="644"/>
      <c r="AB40" s="56">
        <f>ROUND(X39/X40,0)</f>
        <v>191</v>
      </c>
      <c r="AC40" s="56">
        <f>ROUND(AB40*$X$26,0)</f>
        <v>0</v>
      </c>
      <c r="AD40" s="9"/>
    </row>
    <row r="41" spans="1:30" ht="15.75" customHeight="1" x14ac:dyDescent="0.25">
      <c r="B41" s="108" t="s">
        <v>87</v>
      </c>
      <c r="C41" s="108"/>
      <c r="D41" s="108"/>
      <c r="E41" s="108"/>
      <c r="F41" s="108"/>
      <c r="G41" s="108"/>
      <c r="H41" s="108"/>
      <c r="I41" s="108"/>
      <c r="J41" s="108"/>
      <c r="K41" s="108"/>
      <c r="L41" s="108"/>
      <c r="N41" s="101"/>
      <c r="O41" s="109"/>
      <c r="P41" s="101"/>
      <c r="Q41" s="101"/>
      <c r="V41" s="652" t="s">
        <v>87</v>
      </c>
      <c r="W41" s="652"/>
      <c r="X41" s="652"/>
      <c r="Y41" s="652"/>
      <c r="Z41" s="652"/>
      <c r="AA41" s="652"/>
      <c r="AB41" s="652"/>
      <c r="AC41" s="652"/>
      <c r="AD41" s="9"/>
    </row>
    <row r="42" spans="1:30" ht="28.5" customHeight="1" x14ac:dyDescent="0.25">
      <c r="B42" s="99" t="s">
        <v>88</v>
      </c>
      <c r="C42" s="99"/>
      <c r="D42" s="99"/>
      <c r="E42" s="99"/>
      <c r="F42" s="99"/>
      <c r="G42" s="99"/>
      <c r="H42" s="99"/>
      <c r="I42" s="99"/>
      <c r="J42" s="99"/>
      <c r="K42" s="99"/>
      <c r="L42" s="99"/>
      <c r="M42" s="107"/>
      <c r="O42" s="1"/>
      <c r="V42" s="639" t="s">
        <v>88</v>
      </c>
      <c r="W42" s="639"/>
      <c r="X42" s="639"/>
      <c r="Y42" s="639"/>
      <c r="Z42" s="639"/>
      <c r="AA42" s="639"/>
      <c r="AB42" s="639"/>
      <c r="AC42" s="639"/>
      <c r="AD42" s="334"/>
    </row>
    <row r="43" spans="1:30" x14ac:dyDescent="0.25">
      <c r="B43" s="111" t="s">
        <v>89</v>
      </c>
      <c r="C43" s="111"/>
      <c r="D43" s="111"/>
      <c r="E43" s="111"/>
      <c r="F43" s="111"/>
      <c r="G43" s="111"/>
      <c r="H43" s="111"/>
      <c r="I43" s="111"/>
      <c r="J43" s="111"/>
      <c r="K43" s="111"/>
      <c r="L43" s="111"/>
      <c r="M43" s="112"/>
      <c r="N43" s="101"/>
      <c r="O43" s="101"/>
      <c r="P43" s="101"/>
      <c r="Q43" s="101"/>
      <c r="V43" s="653" t="s">
        <v>89</v>
      </c>
      <c r="W43" s="653"/>
      <c r="X43" s="653"/>
      <c r="Y43" s="653"/>
      <c r="Z43" s="653"/>
      <c r="AA43" s="653"/>
      <c r="AB43" s="653"/>
      <c r="AC43" s="653"/>
      <c r="AD43" s="113"/>
    </row>
    <row r="44" spans="1:30" ht="24" customHeight="1" x14ac:dyDescent="0.25">
      <c r="B44" s="62" t="s">
        <v>90</v>
      </c>
      <c r="C44" s="62"/>
      <c r="D44" s="62"/>
      <c r="E44" s="62"/>
      <c r="F44" s="62"/>
      <c r="G44" s="62"/>
      <c r="H44" s="62"/>
      <c r="I44" s="62"/>
      <c r="J44" s="62"/>
      <c r="K44" s="62"/>
      <c r="L44" s="114">
        <f>SUM(L26,L37,L40)</f>
        <v>1037682</v>
      </c>
      <c r="O44" s="1"/>
      <c r="V44" s="654" t="s">
        <v>90</v>
      </c>
      <c r="W44" s="654"/>
      <c r="X44" s="654"/>
      <c r="Y44" s="654"/>
      <c r="Z44" s="654"/>
      <c r="AA44" s="654"/>
      <c r="AB44" s="654"/>
      <c r="AC44" s="115">
        <f>SUM(AC26,AC37,AC40)</f>
        <v>0</v>
      </c>
      <c r="AD44" s="9"/>
    </row>
    <row r="45" spans="1:30" ht="30.75" customHeight="1" x14ac:dyDescent="0.25">
      <c r="B45" s="99" t="s">
        <v>91</v>
      </c>
      <c r="C45" s="99"/>
      <c r="D45" s="99"/>
      <c r="E45" s="99"/>
      <c r="F45" s="99"/>
      <c r="G45" s="99"/>
      <c r="H45" s="99"/>
      <c r="I45" s="99"/>
      <c r="J45" s="99"/>
      <c r="K45" s="99"/>
      <c r="L45" s="99"/>
      <c r="M45" s="116"/>
      <c r="O45" s="1"/>
      <c r="V45" s="639" t="s">
        <v>91</v>
      </c>
      <c r="W45" s="639"/>
      <c r="X45" s="639"/>
      <c r="Y45" s="639"/>
      <c r="Z45" s="639"/>
      <c r="AA45" s="639"/>
      <c r="AB45" s="639"/>
      <c r="AC45" s="639"/>
      <c r="AD45" s="333"/>
    </row>
    <row r="46" spans="1:30" ht="18.75" customHeight="1" x14ac:dyDescent="0.25">
      <c r="B46" s="1"/>
      <c r="C46" s="118" t="s">
        <v>92</v>
      </c>
      <c r="D46" s="118"/>
      <c r="E46" s="118"/>
      <c r="F46" s="118"/>
      <c r="G46" s="118" t="s">
        <v>93</v>
      </c>
      <c r="H46" s="119"/>
      <c r="I46" s="120" t="s">
        <v>94</v>
      </c>
      <c r="J46" s="121"/>
      <c r="K46" s="121"/>
      <c r="L46" s="121"/>
      <c r="M46" s="122"/>
      <c r="O46" s="1"/>
      <c r="V46" s="9"/>
      <c r="W46" s="336" t="s">
        <v>92</v>
      </c>
      <c r="X46" s="655" t="s">
        <v>95</v>
      </c>
      <c r="Y46" s="655"/>
      <c r="Z46" s="656" t="s">
        <v>94</v>
      </c>
      <c r="AA46" s="656"/>
      <c r="AB46" s="656"/>
      <c r="AC46" s="656"/>
      <c r="AD46" s="124"/>
    </row>
    <row r="47" spans="1:30" ht="18.75" customHeight="1" x14ac:dyDescent="0.25">
      <c r="B47" s="107" t="s">
        <v>96</v>
      </c>
      <c r="C47" s="125">
        <f>K10+K11+K16+K19+K22</f>
        <v>165.2944</v>
      </c>
      <c r="D47" s="125"/>
      <c r="E47" s="125"/>
      <c r="F47" s="125"/>
      <c r="G47" s="126">
        <f>K7</f>
        <v>1.0326</v>
      </c>
      <c r="H47" s="126"/>
      <c r="I47" s="127">
        <v>1316.85</v>
      </c>
      <c r="J47" s="128" t="s">
        <v>97</v>
      </c>
      <c r="K47" s="129">
        <f>ROUND(C47*G47*I47,0)</f>
        <v>224764</v>
      </c>
      <c r="L47" s="130"/>
      <c r="O47" s="1"/>
      <c r="V47" s="334" t="s">
        <v>96</v>
      </c>
      <c r="W47" s="131">
        <f>AB10+AB11+AB16+AB19+AB22</f>
        <v>0</v>
      </c>
      <c r="X47" s="647">
        <f>AB7</f>
        <v>1.0326</v>
      </c>
      <c r="Y47" s="647"/>
      <c r="Z47" s="132">
        <f>+I47</f>
        <v>1316.85</v>
      </c>
      <c r="AA47" s="133" t="s">
        <v>97</v>
      </c>
      <c r="AB47" s="134">
        <f>ROUND(W47*X47*Z47,0)</f>
        <v>0</v>
      </c>
      <c r="AC47" s="135"/>
      <c r="AD47" s="9"/>
    </row>
    <row r="48" spans="1:30" ht="18" customHeight="1" x14ac:dyDescent="0.25">
      <c r="B48" s="136" t="s">
        <v>74</v>
      </c>
      <c r="C48" s="125">
        <f>K12+K13+K17+K20+K23</f>
        <v>56.800899999999999</v>
      </c>
      <c r="D48" s="125"/>
      <c r="E48" s="125"/>
      <c r="F48" s="125"/>
      <c r="G48" s="126">
        <f>K7</f>
        <v>1.0326</v>
      </c>
      <c r="H48" s="126"/>
      <c r="I48" s="127">
        <v>898.23</v>
      </c>
      <c r="J48" s="128" t="s">
        <v>97</v>
      </c>
      <c r="K48" s="129">
        <f>ROUND(C48*G48*I48,0)</f>
        <v>52684</v>
      </c>
      <c r="L48" s="62"/>
      <c r="O48" s="1"/>
      <c r="V48" s="137" t="s">
        <v>74</v>
      </c>
      <c r="W48" s="131">
        <f>AB12+AB13+AB17+AB20+AB23</f>
        <v>0</v>
      </c>
      <c r="X48" s="647">
        <f>AB7</f>
        <v>1.0326</v>
      </c>
      <c r="Y48" s="647"/>
      <c r="Z48" s="132">
        <f>+I48</f>
        <v>898.23</v>
      </c>
      <c r="AA48" s="133" t="s">
        <v>97</v>
      </c>
      <c r="AB48" s="134">
        <f>ROUND(W48*X48*Z48,0)</f>
        <v>0</v>
      </c>
      <c r="AC48" s="138"/>
      <c r="AD48" s="9"/>
    </row>
    <row r="49" spans="2:30" ht="19.5" customHeight="1" thickBot="1" x14ac:dyDescent="0.3">
      <c r="B49" s="139" t="s">
        <v>78</v>
      </c>
      <c r="C49" s="140">
        <f>K14+K15+K18+K21+K24+K25</f>
        <v>0</v>
      </c>
      <c r="D49" s="125"/>
      <c r="E49" s="125"/>
      <c r="F49" s="125"/>
      <c r="G49" s="126">
        <f>K7</f>
        <v>1.0326</v>
      </c>
      <c r="H49" s="126"/>
      <c r="I49" s="127">
        <v>900.39</v>
      </c>
      <c r="J49" s="128" t="s">
        <v>97</v>
      </c>
      <c r="K49" s="129">
        <f>ROUND(C49*G49*I49,0)</f>
        <v>0</v>
      </c>
      <c r="L49" s="62"/>
      <c r="M49" s="112"/>
      <c r="N49" s="141"/>
      <c r="O49" s="142"/>
      <c r="P49" s="101"/>
      <c r="Q49" s="143"/>
      <c r="V49" s="144" t="s">
        <v>78</v>
      </c>
      <c r="W49" s="145">
        <f>AB14+AB15+AB18+AB21+AB24+AB25</f>
        <v>0</v>
      </c>
      <c r="X49" s="647">
        <f>AB7</f>
        <v>1.0326</v>
      </c>
      <c r="Y49" s="647"/>
      <c r="Z49" s="132">
        <f>+I49</f>
        <v>900.39</v>
      </c>
      <c r="AA49" s="133" t="s">
        <v>97</v>
      </c>
      <c r="AB49" s="134">
        <f>ROUND(W49*X49*Z49,0)</f>
        <v>0</v>
      </c>
      <c r="AC49" s="138"/>
      <c r="AD49" s="113"/>
    </row>
    <row r="50" spans="2:30" ht="24" customHeight="1" thickBot="1" x14ac:dyDescent="0.3">
      <c r="B50" s="146" t="s">
        <v>98</v>
      </c>
      <c r="C50" s="147">
        <f>SUM(C47:C49)</f>
        <v>222.09530000000001</v>
      </c>
      <c r="D50" s="148"/>
      <c r="E50" s="149"/>
      <c r="F50" s="149"/>
      <c r="G50" s="150" t="s">
        <v>99</v>
      </c>
      <c r="H50" s="150"/>
      <c r="I50" s="150"/>
      <c r="J50" s="150"/>
      <c r="K50" s="150"/>
      <c r="L50" s="50">
        <f>IF(B2=75,0,K49+K48+K47)</f>
        <v>277448</v>
      </c>
      <c r="N50" s="3"/>
      <c r="O50" s="1"/>
      <c r="V50" s="335" t="s">
        <v>98</v>
      </c>
      <c r="W50" s="152">
        <f>SUM(W47:W49)</f>
        <v>0</v>
      </c>
      <c r="X50" s="648" t="s">
        <v>99</v>
      </c>
      <c r="Y50" s="649"/>
      <c r="Z50" s="649"/>
      <c r="AA50" s="649"/>
      <c r="AB50" s="649"/>
      <c r="AC50" s="56">
        <f>IF(V2=75,0,AB49+AB48+AB47)</f>
        <v>0</v>
      </c>
      <c r="AD50" s="9"/>
    </row>
    <row r="51" spans="2:30" ht="19.5" customHeight="1" x14ac:dyDescent="0.25">
      <c r="B51" s="153" t="s">
        <v>100</v>
      </c>
      <c r="C51" s="153"/>
      <c r="D51" s="153"/>
      <c r="E51" s="153"/>
      <c r="F51" s="153"/>
      <c r="G51" s="153"/>
      <c r="H51" s="153"/>
      <c r="I51" s="153"/>
      <c r="J51" s="153"/>
      <c r="K51" s="153"/>
      <c r="L51" s="153"/>
      <c r="M51" s="141"/>
      <c r="N51" s="101"/>
      <c r="O51" s="1"/>
      <c r="V51" s="650" t="s">
        <v>100</v>
      </c>
      <c r="W51" s="650"/>
      <c r="X51" s="650"/>
      <c r="Y51" s="650"/>
      <c r="Z51" s="650"/>
      <c r="AA51" s="650"/>
      <c r="AB51" s="650"/>
      <c r="AC51" s="650"/>
      <c r="AD51" s="154"/>
    </row>
    <row r="52" spans="2:30" ht="27.75" customHeight="1" x14ac:dyDescent="0.25">
      <c r="B52" s="13" t="s">
        <v>101</v>
      </c>
      <c r="C52" s="13"/>
      <c r="D52" s="13"/>
      <c r="E52" s="13"/>
      <c r="F52" s="13"/>
      <c r="G52" s="13"/>
      <c r="H52" s="13"/>
      <c r="I52" s="13"/>
      <c r="J52" s="13"/>
      <c r="K52" s="13"/>
      <c r="L52" s="13"/>
      <c r="O52" s="1"/>
      <c r="V52" s="651" t="s">
        <v>101</v>
      </c>
      <c r="W52" s="651"/>
      <c r="X52" s="651"/>
      <c r="Y52" s="651"/>
      <c r="Z52" s="651"/>
      <c r="AA52" s="651"/>
      <c r="AB52" s="651"/>
      <c r="AC52" s="651"/>
      <c r="AD52" s="9"/>
    </row>
    <row r="53" spans="2:30" x14ac:dyDescent="0.25">
      <c r="B53" s="13" t="s">
        <v>102</v>
      </c>
      <c r="C53" s="13"/>
      <c r="D53" s="13"/>
      <c r="E53" s="13"/>
      <c r="F53" s="13"/>
      <c r="G53" s="155">
        <f>K26</f>
        <v>222.09530000000001</v>
      </c>
      <c r="H53" s="57" t="s">
        <v>103</v>
      </c>
      <c r="I53" s="57"/>
      <c r="J53" s="156">
        <v>197823.77</v>
      </c>
      <c r="K53" s="156"/>
      <c r="L53" s="156"/>
      <c r="N53" s="3"/>
      <c r="O53" s="1"/>
      <c r="V53" s="657" t="s">
        <v>102</v>
      </c>
      <c r="W53" s="657"/>
      <c r="X53" s="157">
        <f>AB26</f>
        <v>0</v>
      </c>
      <c r="Y53" s="658" t="s">
        <v>103</v>
      </c>
      <c r="Z53" s="658"/>
      <c r="AA53" s="659">
        <f>+J53</f>
        <v>197823.77</v>
      </c>
      <c r="AB53" s="659"/>
      <c r="AC53" s="659"/>
      <c r="AD53" s="9"/>
    </row>
    <row r="54" spans="2:30" x14ac:dyDescent="0.25">
      <c r="B54" s="13" t="s">
        <v>104</v>
      </c>
      <c r="C54" s="13"/>
      <c r="D54" s="13"/>
      <c r="E54" s="13"/>
      <c r="F54" s="13"/>
      <c r="G54" s="13"/>
      <c r="H54" s="13"/>
      <c r="I54" s="13"/>
      <c r="J54" s="13"/>
      <c r="K54" s="158">
        <f>ROUND(G53/J53,6)</f>
        <v>1.1230000000000001E-3</v>
      </c>
      <c r="L54" s="158"/>
      <c r="N54" s="101"/>
      <c r="O54" s="1"/>
      <c r="V54" s="657" t="s">
        <v>104</v>
      </c>
      <c r="W54" s="657"/>
      <c r="X54" s="657"/>
      <c r="Y54" s="657"/>
      <c r="Z54" s="657"/>
      <c r="AA54" s="657"/>
      <c r="AB54" s="660">
        <f>ROUND(X53/AA53,6)</f>
        <v>0</v>
      </c>
      <c r="AC54" s="660"/>
      <c r="AD54" s="9"/>
    </row>
    <row r="55" spans="2:30" ht="24" customHeight="1" x14ac:dyDescent="0.25">
      <c r="B55" s="13" t="s">
        <v>105</v>
      </c>
      <c r="C55" s="13"/>
      <c r="D55" s="13"/>
      <c r="E55" s="13"/>
      <c r="F55" s="13"/>
      <c r="G55" s="13"/>
      <c r="H55" s="13"/>
      <c r="I55" s="13"/>
      <c r="J55" s="13"/>
      <c r="K55" s="13"/>
      <c r="L55" s="13"/>
      <c r="O55" s="1"/>
      <c r="V55" s="651" t="s">
        <v>105</v>
      </c>
      <c r="W55" s="651"/>
      <c r="X55" s="651"/>
      <c r="Y55" s="651"/>
      <c r="Z55" s="651"/>
      <c r="AA55" s="651"/>
      <c r="AB55" s="651"/>
      <c r="AC55" s="651"/>
      <c r="AD55" s="9"/>
    </row>
    <row r="56" spans="2:30" x14ac:dyDescent="0.25">
      <c r="B56" s="13" t="s">
        <v>106</v>
      </c>
      <c r="C56" s="13"/>
      <c r="D56" s="13"/>
      <c r="E56" s="13"/>
      <c r="F56" s="13"/>
      <c r="G56" s="159">
        <f>G26</f>
        <v>200.68999999999997</v>
      </c>
      <c r="H56" s="57" t="s">
        <v>107</v>
      </c>
      <c r="I56" s="57"/>
      <c r="J56" s="156">
        <f>+G40</f>
        <v>180284.81</v>
      </c>
      <c r="K56" s="156"/>
      <c r="L56" s="156"/>
      <c r="O56" s="1"/>
      <c r="V56" s="657" t="s">
        <v>106</v>
      </c>
      <c r="W56" s="657"/>
      <c r="X56" s="160">
        <f>X26</f>
        <v>0</v>
      </c>
      <c r="Y56" s="658" t="s">
        <v>107</v>
      </c>
      <c r="Z56" s="658"/>
      <c r="AA56" s="659">
        <f>+J56</f>
        <v>180284.81</v>
      </c>
      <c r="AB56" s="659"/>
      <c r="AC56" s="659"/>
      <c r="AD56" s="9"/>
    </row>
    <row r="57" spans="2:30" x14ac:dyDescent="0.25">
      <c r="B57" s="13" t="s">
        <v>108</v>
      </c>
      <c r="C57" s="13"/>
      <c r="D57" s="13"/>
      <c r="E57" s="13"/>
      <c r="F57" s="13"/>
      <c r="G57" s="13"/>
      <c r="H57" s="13"/>
      <c r="I57" s="13"/>
      <c r="J57" s="13"/>
      <c r="K57" s="158">
        <f>ROUND(G56/J56,6)</f>
        <v>1.1130000000000001E-3</v>
      </c>
      <c r="L57" s="158"/>
      <c r="O57" s="1"/>
      <c r="V57" s="657" t="s">
        <v>108</v>
      </c>
      <c r="W57" s="657"/>
      <c r="X57" s="657"/>
      <c r="Y57" s="657"/>
      <c r="Z57" s="657"/>
      <c r="AA57" s="657"/>
      <c r="AB57" s="660">
        <f>ROUND(X56/AA56,6)</f>
        <v>0</v>
      </c>
      <c r="AC57" s="660"/>
      <c r="AD57" s="9"/>
    </row>
    <row r="58" spans="2:30" ht="20.25" customHeight="1" x14ac:dyDescent="0.25">
      <c r="B58" s="161" t="s">
        <v>109</v>
      </c>
      <c r="C58" s="161"/>
      <c r="D58" s="161"/>
      <c r="E58" s="161"/>
      <c r="F58" s="161"/>
      <c r="G58" s="161"/>
      <c r="H58" s="161"/>
      <c r="I58" s="161"/>
      <c r="J58" s="161"/>
      <c r="K58" s="161"/>
      <c r="L58" s="161"/>
      <c r="N58" s="18"/>
      <c r="O58" s="18"/>
      <c r="V58" s="629" t="s">
        <v>110</v>
      </c>
      <c r="W58" s="629"/>
      <c r="X58" s="629"/>
      <c r="Y58" s="661">
        <f>X65+X64+X62+X61+X60</f>
        <v>4123852</v>
      </c>
      <c r="Z58" s="661"/>
      <c r="AA58" s="332" t="s">
        <v>111</v>
      </c>
      <c r="AB58" s="163">
        <f>AB54</f>
        <v>0</v>
      </c>
      <c r="AC58" s="56">
        <f>ROUND(Y58*AB58,0)</f>
        <v>0</v>
      </c>
      <c r="AD58" s="9"/>
    </row>
    <row r="59" spans="2:30" x14ac:dyDescent="0.25">
      <c r="B59" s="62" t="s">
        <v>110</v>
      </c>
      <c r="C59" s="62"/>
      <c r="D59" s="62"/>
      <c r="E59" s="62"/>
      <c r="F59" s="62"/>
      <c r="G59" s="62"/>
      <c r="H59" s="164" t="s">
        <v>22</v>
      </c>
      <c r="I59" s="129">
        <v>4123852</v>
      </c>
      <c r="J59" s="165" t="s">
        <v>111</v>
      </c>
      <c r="K59" s="166">
        <f>K54</f>
        <v>1.1230000000000001E-3</v>
      </c>
      <c r="L59" s="50">
        <f>ROUND(I59*K59,0)</f>
        <v>4631</v>
      </c>
      <c r="O59" s="1"/>
      <c r="P59" s="165"/>
      <c r="Q59" s="165"/>
      <c r="V59" s="662" t="s">
        <v>112</v>
      </c>
      <c r="W59" s="662"/>
      <c r="X59" s="662"/>
      <c r="Y59" s="662"/>
      <c r="Z59" s="662"/>
      <c r="AA59" s="662"/>
      <c r="AB59" s="662"/>
      <c r="AC59" s="662"/>
      <c r="AD59" s="9"/>
    </row>
    <row r="60" spans="2:30" x14ac:dyDescent="0.25">
      <c r="B60" s="62" t="s">
        <v>112</v>
      </c>
      <c r="C60" s="62"/>
      <c r="D60" s="62"/>
      <c r="E60" s="62"/>
      <c r="F60" s="62"/>
      <c r="G60" s="62"/>
      <c r="H60" s="62"/>
      <c r="I60" s="62"/>
      <c r="J60" s="62"/>
      <c r="K60" s="62"/>
      <c r="L60" s="62"/>
      <c r="O60" s="1"/>
      <c r="P60" s="165"/>
      <c r="Q60" s="165"/>
      <c r="V60" s="663" t="s">
        <v>113</v>
      </c>
      <c r="W60" s="663"/>
      <c r="X60" s="664">
        <f>+G61</f>
        <v>0</v>
      </c>
      <c r="Y60" s="664"/>
      <c r="Z60" s="664"/>
      <c r="AA60" s="664"/>
      <c r="AB60" s="664"/>
      <c r="AC60" s="664"/>
      <c r="AD60" s="9"/>
    </row>
    <row r="61" spans="2:30" ht="15" customHeight="1" x14ac:dyDescent="0.25">
      <c r="B61" s="167" t="s">
        <v>113</v>
      </c>
      <c r="C61" s="62"/>
      <c r="D61" s="62"/>
      <c r="E61" s="62"/>
      <c r="F61" s="62"/>
      <c r="G61" s="168">
        <v>0</v>
      </c>
      <c r="H61" s="168"/>
      <c r="I61" s="168"/>
      <c r="J61" s="168"/>
      <c r="K61" s="168"/>
      <c r="L61" s="168"/>
      <c r="O61" s="1"/>
      <c r="P61" s="165"/>
      <c r="Q61" s="165"/>
      <c r="V61" s="663" t="s">
        <v>114</v>
      </c>
      <c r="W61" s="663"/>
      <c r="X61" s="664">
        <f>+G62</f>
        <v>0</v>
      </c>
      <c r="Y61" s="664"/>
      <c r="Z61" s="664"/>
      <c r="AA61" s="664"/>
      <c r="AB61" s="664"/>
      <c r="AC61" s="664"/>
      <c r="AD61" s="9"/>
    </row>
    <row r="62" spans="2:30" ht="13.5" customHeight="1" x14ac:dyDescent="0.25">
      <c r="B62" s="167" t="s">
        <v>114</v>
      </c>
      <c r="C62" s="62"/>
      <c r="D62" s="62"/>
      <c r="E62" s="62"/>
      <c r="F62" s="62"/>
      <c r="G62" s="168">
        <v>0</v>
      </c>
      <c r="H62" s="168"/>
      <c r="I62" s="168"/>
      <c r="J62" s="168"/>
      <c r="K62" s="168"/>
      <c r="L62" s="168"/>
      <c r="N62" s="165"/>
      <c r="O62" s="165"/>
      <c r="P62" s="165"/>
      <c r="Q62" s="165"/>
      <c r="V62" s="663" t="s">
        <v>115</v>
      </c>
      <c r="W62" s="663"/>
      <c r="X62" s="664">
        <v>0</v>
      </c>
      <c r="Y62" s="664"/>
      <c r="Z62" s="664"/>
      <c r="AA62" s="664"/>
      <c r="AB62" s="664"/>
      <c r="AC62" s="664"/>
      <c r="AD62" s="9"/>
    </row>
    <row r="63" spans="2:30" ht="13.5" hidden="1" customHeight="1" x14ac:dyDescent="0.25">
      <c r="B63" s="62" t="s">
        <v>115</v>
      </c>
      <c r="C63" s="62"/>
      <c r="D63" s="62"/>
      <c r="E63" s="62"/>
      <c r="F63" s="62"/>
      <c r="G63" s="168">
        <v>0</v>
      </c>
      <c r="H63" s="168"/>
      <c r="I63" s="168"/>
      <c r="J63" s="168"/>
      <c r="K63" s="168"/>
      <c r="L63" s="168"/>
      <c r="O63" s="1"/>
      <c r="P63" s="165"/>
      <c r="Q63" s="165"/>
      <c r="V63" s="662" t="s">
        <v>116</v>
      </c>
      <c r="W63" s="662"/>
      <c r="X63" s="662"/>
      <c r="Y63" s="662"/>
      <c r="Z63" s="662"/>
      <c r="AA63" s="662"/>
      <c r="AB63" s="662"/>
      <c r="AC63" s="662"/>
      <c r="AD63" s="333"/>
    </row>
    <row r="64" spans="2:30" ht="13.5" customHeight="1" x14ac:dyDescent="0.25">
      <c r="B64" s="62" t="s">
        <v>116</v>
      </c>
      <c r="C64" s="62"/>
      <c r="D64" s="62"/>
      <c r="E64" s="62"/>
      <c r="F64" s="62"/>
      <c r="G64" s="62"/>
      <c r="H64" s="62"/>
      <c r="I64" s="62"/>
      <c r="J64" s="62"/>
      <c r="K64" s="62"/>
      <c r="L64" s="62"/>
      <c r="M64" s="116"/>
      <c r="N64" s="18"/>
      <c r="O64" s="1"/>
      <c r="V64" s="663" t="s">
        <v>117</v>
      </c>
      <c r="W64" s="663"/>
      <c r="X64" s="664">
        <f>+G65</f>
        <v>4123852</v>
      </c>
      <c r="Y64" s="664"/>
      <c r="Z64" s="664"/>
      <c r="AA64" s="664"/>
      <c r="AB64" s="664"/>
      <c r="AC64" s="664"/>
      <c r="AD64" s="9"/>
    </row>
    <row r="65" spans="1:30" ht="12.75" customHeight="1" x14ac:dyDescent="0.25">
      <c r="B65" s="167" t="s">
        <v>117</v>
      </c>
      <c r="C65" s="62"/>
      <c r="D65" s="62"/>
      <c r="E65" s="62"/>
      <c r="F65" s="62"/>
      <c r="G65" s="168">
        <f>+I59</f>
        <v>4123852</v>
      </c>
      <c r="H65" s="168"/>
      <c r="I65" s="168"/>
      <c r="J65" s="168"/>
      <c r="K65" s="168"/>
      <c r="L65" s="168"/>
      <c r="O65" s="1"/>
      <c r="V65" s="663" t="s">
        <v>118</v>
      </c>
      <c r="W65" s="663"/>
      <c r="X65" s="664">
        <f>+G66</f>
        <v>0</v>
      </c>
      <c r="Y65" s="664"/>
      <c r="Z65" s="664"/>
      <c r="AA65" s="664"/>
      <c r="AB65" s="664"/>
      <c r="AC65" s="664"/>
      <c r="AD65" s="20"/>
    </row>
    <row r="66" spans="1:30" ht="15" customHeight="1" x14ac:dyDescent="0.25">
      <c r="B66" s="167" t="s">
        <v>118</v>
      </c>
      <c r="C66" s="62"/>
      <c r="D66" s="62"/>
      <c r="E66" s="62"/>
      <c r="F66" s="62"/>
      <c r="G66" s="168">
        <v>0</v>
      </c>
      <c r="H66" s="168"/>
      <c r="I66" s="168"/>
      <c r="J66" s="168"/>
      <c r="K66" s="168"/>
      <c r="L66" s="168"/>
      <c r="M66" s="18"/>
      <c r="N66" s="3"/>
      <c r="O66" s="169"/>
      <c r="P66" s="169"/>
      <c r="Q66" s="169"/>
      <c r="V66" s="651" t="s">
        <v>119</v>
      </c>
      <c r="W66" s="651"/>
      <c r="X66" s="651"/>
      <c r="Y66" s="661">
        <f>+I67</f>
        <v>96774526</v>
      </c>
      <c r="Z66" s="661"/>
      <c r="AA66" s="332" t="s">
        <v>111</v>
      </c>
      <c r="AB66" s="163">
        <f>AB54</f>
        <v>0</v>
      </c>
      <c r="AC66" s="56">
        <f>ROUND(Y66*AB66,0)</f>
        <v>0</v>
      </c>
      <c r="AD66" s="9"/>
    </row>
    <row r="67" spans="1:30" ht="20.25" customHeight="1" x14ac:dyDescent="0.25">
      <c r="B67" s="13" t="s">
        <v>119</v>
      </c>
      <c r="C67" s="13"/>
      <c r="D67" s="13"/>
      <c r="E67" s="13"/>
      <c r="F67" s="13"/>
      <c r="H67" s="164" t="s">
        <v>25</v>
      </c>
      <c r="I67" s="129">
        <v>96774526</v>
      </c>
      <c r="J67" s="165" t="s">
        <v>111</v>
      </c>
      <c r="K67" s="166">
        <f>K54</f>
        <v>1.1230000000000001E-3</v>
      </c>
      <c r="L67" s="50">
        <f>ROUND(I67*K67,0)</f>
        <v>108678</v>
      </c>
      <c r="O67" s="1"/>
      <c r="V67" s="651" t="s">
        <v>120</v>
      </c>
      <c r="W67" s="651"/>
      <c r="X67" s="651"/>
      <c r="Y67" s="651"/>
      <c r="Z67" s="651"/>
      <c r="AA67" s="651"/>
      <c r="AB67" s="651"/>
      <c r="AC67" s="651"/>
      <c r="AD67" s="9"/>
    </row>
    <row r="68" spans="1:30" ht="20.25" customHeight="1" x14ac:dyDescent="0.25">
      <c r="B68" s="13" t="s">
        <v>120</v>
      </c>
      <c r="C68" s="13"/>
      <c r="D68" s="13"/>
      <c r="E68" s="13"/>
      <c r="F68" s="13"/>
      <c r="H68" s="13"/>
      <c r="I68" s="13"/>
      <c r="J68" s="82"/>
      <c r="K68" s="13"/>
      <c r="L68" s="13"/>
      <c r="O68" s="1"/>
      <c r="V68" s="667" t="s">
        <v>121</v>
      </c>
      <c r="W68" s="667"/>
      <c r="X68" s="667"/>
      <c r="Y68" s="661">
        <f>+I69</f>
        <v>0</v>
      </c>
      <c r="Z68" s="661"/>
      <c r="AA68" s="332" t="s">
        <v>111</v>
      </c>
      <c r="AB68" s="163">
        <f>AB57</f>
        <v>0</v>
      </c>
      <c r="AC68" s="56">
        <f>ROUND(Y68*AB68,0)</f>
        <v>0</v>
      </c>
      <c r="AD68" s="9"/>
    </row>
    <row r="69" spans="1:30" ht="15" customHeight="1" x14ac:dyDescent="0.25">
      <c r="B69" s="170" t="s">
        <v>121</v>
      </c>
      <c r="C69" s="13"/>
      <c r="D69" s="13"/>
      <c r="E69" s="13"/>
      <c r="F69" s="13"/>
      <c r="H69" s="164" t="s">
        <v>23</v>
      </c>
      <c r="I69" s="129">
        <v>0</v>
      </c>
      <c r="J69" s="165" t="s">
        <v>111</v>
      </c>
      <c r="K69" s="166">
        <f>K57</f>
        <v>1.1130000000000001E-3</v>
      </c>
      <c r="L69" s="50">
        <f>ROUND(I69*K69,0)</f>
        <v>0</v>
      </c>
      <c r="O69" s="1"/>
      <c r="V69" s="651" t="s">
        <v>122</v>
      </c>
      <c r="W69" s="651"/>
      <c r="X69" s="651"/>
      <c r="Y69" s="668">
        <f>+I70</f>
        <v>-3460775</v>
      </c>
      <c r="Z69" s="668"/>
      <c r="AA69" s="332" t="s">
        <v>111</v>
      </c>
      <c r="AB69" s="163">
        <f>AB54</f>
        <v>0</v>
      </c>
      <c r="AC69" s="56">
        <f>ROUND(Y69*AB69,0)</f>
        <v>0</v>
      </c>
      <c r="AD69" s="9"/>
    </row>
    <row r="70" spans="1:30" ht="20.25" customHeight="1" x14ac:dyDescent="0.25">
      <c r="B70" s="13" t="s">
        <v>122</v>
      </c>
      <c r="C70" s="13"/>
      <c r="D70" s="13"/>
      <c r="E70" s="13"/>
      <c r="F70" s="13"/>
      <c r="H70" s="164" t="s">
        <v>22</v>
      </c>
      <c r="I70" s="129">
        <v>-3460775</v>
      </c>
      <c r="J70" s="165" t="s">
        <v>111</v>
      </c>
      <c r="K70" s="166">
        <f>K54</f>
        <v>1.1230000000000001E-3</v>
      </c>
      <c r="L70" s="50">
        <f>ROUND(I70*K70,0)</f>
        <v>-3886</v>
      </c>
      <c r="O70" s="1"/>
      <c r="V70" s="651" t="s">
        <v>123</v>
      </c>
      <c r="W70" s="651"/>
      <c r="X70" s="651"/>
      <c r="Y70" s="665">
        <f>+I71</f>
        <v>1874788</v>
      </c>
      <c r="Z70" s="665"/>
      <c r="AA70" s="332" t="s">
        <v>111</v>
      </c>
      <c r="AB70" s="163">
        <f>AB54</f>
        <v>0</v>
      </c>
      <c r="AC70" s="56">
        <f>ROUND(Y70*AB70,0)</f>
        <v>0</v>
      </c>
      <c r="AD70" s="9"/>
    </row>
    <row r="71" spans="1:30" ht="20.25" customHeight="1" x14ac:dyDescent="0.25">
      <c r="B71" s="13" t="s">
        <v>123</v>
      </c>
      <c r="C71" s="13"/>
      <c r="D71" s="13"/>
      <c r="E71" s="13"/>
      <c r="F71" s="13"/>
      <c r="H71" s="164" t="s">
        <v>22</v>
      </c>
      <c r="I71" s="129">
        <v>1874788</v>
      </c>
      <c r="J71" s="165" t="s">
        <v>111</v>
      </c>
      <c r="K71" s="166">
        <f>K54</f>
        <v>1.1230000000000001E-3</v>
      </c>
      <c r="L71" s="50">
        <f>ROUND(I71*K71,0)</f>
        <v>2105</v>
      </c>
      <c r="O71" s="1"/>
      <c r="V71" s="651" t="s">
        <v>124</v>
      </c>
      <c r="W71" s="651"/>
      <c r="X71" s="651"/>
      <c r="Y71" s="665">
        <f>+I72</f>
        <v>14223298</v>
      </c>
      <c r="Z71" s="665"/>
      <c r="AA71" s="332" t="s">
        <v>111</v>
      </c>
      <c r="AB71" s="163">
        <f>AB57</f>
        <v>0</v>
      </c>
      <c r="AC71" s="56">
        <f>ROUND(Y71*AB71,0)</f>
        <v>0</v>
      </c>
      <c r="AD71" s="9"/>
    </row>
    <row r="72" spans="1:30" ht="21" customHeight="1" x14ac:dyDescent="0.25">
      <c r="B72" s="13" t="s">
        <v>124</v>
      </c>
      <c r="C72" s="13"/>
      <c r="D72" s="13"/>
      <c r="E72" s="13"/>
      <c r="F72" s="13"/>
      <c r="H72" s="164" t="s">
        <v>23</v>
      </c>
      <c r="I72" s="171">
        <v>14223298</v>
      </c>
      <c r="J72" s="165" t="s">
        <v>111</v>
      </c>
      <c r="K72" s="166">
        <f>K57</f>
        <v>1.1130000000000001E-3</v>
      </c>
      <c r="L72" s="50">
        <f>ROUND(I72*K72,0)</f>
        <v>15831</v>
      </c>
      <c r="O72" s="1"/>
      <c r="V72" s="623" t="s">
        <v>125</v>
      </c>
      <c r="W72" s="623"/>
      <c r="X72" s="623"/>
      <c r="Y72" s="623"/>
      <c r="Z72" s="623"/>
      <c r="AA72" s="623"/>
      <c r="AB72" s="623"/>
      <c r="AC72" s="60"/>
      <c r="AD72" s="9"/>
    </row>
    <row r="73" spans="1:30" ht="17.25" customHeight="1" x14ac:dyDescent="0.25">
      <c r="B73" s="13" t="s">
        <v>125</v>
      </c>
      <c r="C73" s="13"/>
      <c r="D73" s="13"/>
      <c r="E73" s="13"/>
      <c r="F73" s="13"/>
      <c r="H73" s="13"/>
      <c r="I73" s="13"/>
      <c r="J73" s="82"/>
      <c r="K73" s="13"/>
      <c r="L73" s="59"/>
      <c r="O73" s="1"/>
      <c r="V73" s="651" t="s">
        <v>126</v>
      </c>
      <c r="W73" s="651"/>
      <c r="X73" s="651"/>
      <c r="Y73" s="651"/>
      <c r="Z73" s="651"/>
      <c r="AA73" s="651"/>
      <c r="AB73" s="651"/>
      <c r="AC73" s="651"/>
      <c r="AD73" s="9"/>
    </row>
    <row r="74" spans="1:30" ht="31.5" x14ac:dyDescent="0.25">
      <c r="B74" s="13" t="s">
        <v>126</v>
      </c>
      <c r="C74" s="13"/>
      <c r="D74" s="27" t="s">
        <v>13</v>
      </c>
      <c r="E74" s="27" t="s">
        <v>14</v>
      </c>
      <c r="F74" s="27"/>
      <c r="H74" s="164" t="s">
        <v>26</v>
      </c>
      <c r="I74" s="172"/>
      <c r="J74" s="164"/>
      <c r="K74" s="172"/>
      <c r="L74" s="112"/>
      <c r="O74" s="1"/>
      <c r="V74" s="666" t="s">
        <v>127</v>
      </c>
      <c r="W74" s="666"/>
      <c r="X74" s="173" t="s">
        <v>128</v>
      </c>
      <c r="Y74" s="174"/>
      <c r="Z74" s="175">
        <f>+I75</f>
        <v>54</v>
      </c>
      <c r="AA74" s="331" t="s">
        <v>129</v>
      </c>
      <c r="AB74" s="177">
        <f>+K75</f>
        <v>361</v>
      </c>
      <c r="AC74" s="56">
        <f>ROUND(AB74*Z74,0)</f>
        <v>19494</v>
      </c>
      <c r="AD74" s="9"/>
    </row>
    <row r="75" spans="1:30" ht="19.5" customHeight="1" x14ac:dyDescent="0.25">
      <c r="A75" s="1" t="s">
        <v>130</v>
      </c>
      <c r="B75" s="178" t="s">
        <v>127</v>
      </c>
      <c r="C75" s="179" t="s">
        <v>128</v>
      </c>
      <c r="D75" s="178">
        <v>43</v>
      </c>
      <c r="E75" s="178">
        <v>65</v>
      </c>
      <c r="F75" s="178">
        <v>0</v>
      </c>
      <c r="G75" s="180">
        <f>IF(E75=0,D75,E75)</f>
        <v>65</v>
      </c>
      <c r="H75" s="181"/>
      <c r="I75" s="182">
        <f>AVERAGE(G75,D75)</f>
        <v>54</v>
      </c>
      <c r="J75" s="183" t="s">
        <v>129</v>
      </c>
      <c r="K75" s="184">
        <v>361</v>
      </c>
      <c r="L75" s="50">
        <f>ROUND(K75*I75,0)</f>
        <v>19494</v>
      </c>
      <c r="N75" s="1">
        <v>7802</v>
      </c>
      <c r="O75" s="1">
        <v>0</v>
      </c>
      <c r="V75" s="666" t="s">
        <v>127</v>
      </c>
      <c r="W75" s="666"/>
      <c r="X75" s="173" t="s">
        <v>131</v>
      </c>
      <c r="Y75" s="185"/>
      <c r="Z75" s="186">
        <f>+I76</f>
        <v>4</v>
      </c>
      <c r="AA75" s="331" t="s">
        <v>129</v>
      </c>
      <c r="AB75" s="187">
        <f>+K76</f>
        <v>1358</v>
      </c>
      <c r="AC75" s="56">
        <f>ROUND(AB75*Z75,0)</f>
        <v>5432</v>
      </c>
      <c r="AD75" s="9"/>
    </row>
    <row r="76" spans="1:30" ht="19.5" customHeight="1" x14ac:dyDescent="0.25">
      <c r="A76" s="1" t="s">
        <v>132</v>
      </c>
      <c r="B76" s="178" t="s">
        <v>127</v>
      </c>
      <c r="C76" s="179" t="s">
        <v>131</v>
      </c>
      <c r="D76" s="178">
        <v>4</v>
      </c>
      <c r="E76" s="178">
        <v>4</v>
      </c>
      <c r="F76" s="178">
        <v>0</v>
      </c>
      <c r="G76" s="180">
        <f>IF(E76=0,D76,E76)</f>
        <v>4</v>
      </c>
      <c r="H76" s="181"/>
      <c r="I76" s="182">
        <f>AVERAGE(G76,D76)</f>
        <v>4</v>
      </c>
      <c r="J76" s="183" t="s">
        <v>129</v>
      </c>
      <c r="K76" s="188">
        <v>1358</v>
      </c>
      <c r="L76" s="50">
        <f>ROUND(K76*I76,0)</f>
        <v>5432</v>
      </c>
      <c r="N76" s="1">
        <v>7802</v>
      </c>
      <c r="O76" s="1">
        <v>110</v>
      </c>
      <c r="V76" s="651" t="s">
        <v>133</v>
      </c>
      <c r="W76" s="651"/>
      <c r="X76" s="651"/>
      <c r="Y76" s="661">
        <f>+I77</f>
        <v>33305823</v>
      </c>
      <c r="Z76" s="661"/>
      <c r="AA76" s="331" t="s">
        <v>129</v>
      </c>
      <c r="AB76" s="163">
        <f>AB54</f>
        <v>0</v>
      </c>
      <c r="AC76" s="56">
        <f>ROUND(Y76*AB76,0)</f>
        <v>0</v>
      </c>
      <c r="AD76" s="9"/>
    </row>
    <row r="77" spans="1:30" ht="26.25" customHeight="1" x14ac:dyDescent="0.25">
      <c r="B77" s="13" t="s">
        <v>133</v>
      </c>
      <c r="C77" s="13"/>
      <c r="D77" s="13"/>
      <c r="E77" s="13"/>
      <c r="F77" s="13"/>
      <c r="H77" s="164" t="s">
        <v>134</v>
      </c>
      <c r="I77" s="189">
        <v>33305823</v>
      </c>
      <c r="J77" s="165" t="s">
        <v>111</v>
      </c>
      <c r="K77" s="166">
        <f>K54</f>
        <v>1.1230000000000001E-3</v>
      </c>
      <c r="L77" s="50">
        <f>ROUND(I77*K77,0)</f>
        <v>37402</v>
      </c>
      <c r="O77" s="1"/>
      <c r="V77" s="651" t="str">
        <f>+B78</f>
        <v>15.  Additional Allocation (WFTE share)</v>
      </c>
      <c r="W77" s="651"/>
      <c r="X77" s="651"/>
      <c r="Y77" s="661">
        <f>+I78</f>
        <v>680688</v>
      </c>
      <c r="Z77" s="661"/>
      <c r="AA77" s="331" t="s">
        <v>129</v>
      </c>
      <c r="AB77" s="163">
        <f>AB54</f>
        <v>0</v>
      </c>
      <c r="AC77" s="56">
        <f>ROUND(Y77*AB77,0)</f>
        <v>0</v>
      </c>
      <c r="AD77" s="9"/>
    </row>
    <row r="78" spans="1:30" ht="26.25" customHeight="1" x14ac:dyDescent="0.25">
      <c r="B78" s="669" t="s">
        <v>135</v>
      </c>
      <c r="C78" s="669"/>
      <c r="D78" s="669"/>
      <c r="E78" s="13"/>
      <c r="F78" s="13"/>
      <c r="H78" s="164" t="s">
        <v>136</v>
      </c>
      <c r="I78" s="190">
        <v>680688</v>
      </c>
      <c r="J78" s="165" t="s">
        <v>111</v>
      </c>
      <c r="K78" s="166">
        <f>K54</f>
        <v>1.1230000000000001E-3</v>
      </c>
      <c r="L78" s="50">
        <f>ROUND(I78*K78,0)</f>
        <v>764</v>
      </c>
      <c r="O78" s="1"/>
      <c r="V78" s="651" t="str">
        <f>+B79</f>
        <v>16.  Florida Teachers Lead Program Stipend</v>
      </c>
      <c r="W78" s="651"/>
      <c r="X78" s="651"/>
      <c r="Y78" s="191"/>
      <c r="Z78" s="191"/>
      <c r="AA78" s="191"/>
      <c r="AB78" s="191"/>
      <c r="AC78" s="134"/>
      <c r="AD78" s="9"/>
    </row>
    <row r="79" spans="1:30" ht="21" customHeight="1" x14ac:dyDescent="0.25">
      <c r="B79" s="669" t="s">
        <v>137</v>
      </c>
      <c r="C79" s="669"/>
      <c r="D79" s="669"/>
      <c r="E79" s="13"/>
      <c r="F79" s="13"/>
      <c r="H79" s="164"/>
      <c r="I79" s="172"/>
      <c r="J79" s="172"/>
      <c r="K79" s="172"/>
      <c r="L79" s="129"/>
      <c r="N79" s="192"/>
      <c r="O79" s="1"/>
      <c r="Q79" s="164"/>
      <c r="V79" s="651" t="str">
        <f>+B80</f>
        <v>17.  Food Service Allocation</v>
      </c>
      <c r="W79" s="651"/>
      <c r="X79" s="651"/>
      <c r="Y79" s="191"/>
      <c r="Z79" s="191"/>
      <c r="AA79" s="191"/>
      <c r="AB79" s="191"/>
      <c r="AC79" s="193"/>
      <c r="AD79" s="9"/>
    </row>
    <row r="80" spans="1:30" ht="21" customHeight="1" x14ac:dyDescent="0.25">
      <c r="B80" s="669" t="s">
        <v>138</v>
      </c>
      <c r="C80" s="669"/>
      <c r="D80" s="669"/>
      <c r="E80" s="13"/>
      <c r="F80" s="13"/>
      <c r="H80" s="194" t="s">
        <v>139</v>
      </c>
      <c r="I80" s="195"/>
      <c r="J80" s="195"/>
      <c r="K80" s="195"/>
      <c r="L80" s="196"/>
      <c r="N80" s="197"/>
      <c r="O80" s="1"/>
      <c r="Q80" s="164"/>
      <c r="V80" s="191"/>
      <c r="W80" s="191"/>
      <c r="X80" s="191"/>
      <c r="Y80" s="191"/>
      <c r="Z80" s="191"/>
      <c r="AA80" s="191"/>
      <c r="AB80" s="191"/>
      <c r="AC80" s="193"/>
      <c r="AD80" s="9"/>
    </row>
    <row r="81" spans="1:30" ht="21" customHeight="1" thickBot="1" x14ac:dyDescent="0.3">
      <c r="B81" s="13"/>
      <c r="C81" s="13"/>
      <c r="D81" s="13"/>
      <c r="E81" s="13"/>
      <c r="F81" s="13"/>
      <c r="G81" s="13"/>
      <c r="H81" s="13"/>
      <c r="I81" s="13"/>
      <c r="J81" s="13"/>
      <c r="K81" s="13"/>
      <c r="L81" s="196"/>
      <c r="M81" s="198"/>
      <c r="N81" s="197"/>
      <c r="O81" s="1"/>
      <c r="Q81" s="164"/>
      <c r="V81" s="191" t="s">
        <v>140</v>
      </c>
      <c r="W81" s="191"/>
      <c r="X81" s="191"/>
      <c r="Y81" s="191"/>
      <c r="Z81" s="191"/>
      <c r="AA81" s="191"/>
      <c r="AB81" s="191"/>
      <c r="AC81" s="199">
        <f>SUM(AC44:AC80)</f>
        <v>24926</v>
      </c>
      <c r="AD81" s="200"/>
    </row>
    <row r="82" spans="1:30" ht="22.5" customHeight="1" thickTop="1" thickBot="1" x14ac:dyDescent="0.3">
      <c r="B82" s="13" t="s">
        <v>141</v>
      </c>
      <c r="C82" s="13"/>
      <c r="D82" s="13"/>
      <c r="E82" s="13"/>
      <c r="F82" s="13"/>
      <c r="G82" s="13"/>
      <c r="H82" s="13"/>
      <c r="I82" s="13"/>
      <c r="J82" s="13"/>
      <c r="K82" s="13"/>
      <c r="L82" s="201">
        <f>SUM(L44:L81)</f>
        <v>1505581</v>
      </c>
      <c r="M82" s="202"/>
      <c r="N82" s="203"/>
      <c r="O82" s="1"/>
      <c r="Q82" s="164"/>
      <c r="V82" s="191"/>
      <c r="W82" s="191"/>
      <c r="X82" s="191"/>
      <c r="Y82" s="191"/>
      <c r="Z82" s="191"/>
      <c r="AA82" s="191"/>
      <c r="AB82" s="191"/>
      <c r="AC82" s="204"/>
      <c r="AD82" s="200"/>
    </row>
    <row r="83" spans="1:30" ht="27.75" customHeight="1" thickTop="1" x14ac:dyDescent="0.25">
      <c r="B83" s="13" t="s">
        <v>142</v>
      </c>
      <c r="C83" s="13"/>
      <c r="D83" s="13"/>
      <c r="E83" s="13"/>
      <c r="F83" s="13"/>
      <c r="G83" s="13"/>
      <c r="H83" s="13"/>
      <c r="I83" s="13"/>
      <c r="J83" s="13"/>
      <c r="K83" s="82" t="s">
        <v>143</v>
      </c>
      <c r="L83" s="205" t="s">
        <v>144</v>
      </c>
      <c r="M83" s="202"/>
      <c r="N83" s="203"/>
      <c r="O83" s="1"/>
      <c r="Q83" s="164"/>
      <c r="V83" s="9" t="s">
        <v>145</v>
      </c>
      <c r="W83" s="9"/>
      <c r="X83" s="9"/>
      <c r="Y83" s="9"/>
      <c r="Z83" s="9"/>
      <c r="AA83" s="9"/>
      <c r="AB83" s="9"/>
      <c r="AC83" s="9"/>
      <c r="AD83" s="206"/>
    </row>
    <row r="84" spans="1:30" ht="18.75" customHeight="1" thickBot="1" x14ac:dyDescent="0.3">
      <c r="B84" s="13" t="s">
        <v>146</v>
      </c>
      <c r="C84" s="13"/>
      <c r="D84" s="13"/>
      <c r="E84" s="13"/>
      <c r="F84" s="13"/>
      <c r="G84" s="13"/>
      <c r="H84" s="13"/>
      <c r="I84" s="13"/>
      <c r="J84" s="13"/>
      <c r="K84" s="207" t="str">
        <f>IF(G26=0,"",IF((G11+G13+SUM(G15:G21))/G26&gt;0.75,1,""))</f>
        <v/>
      </c>
      <c r="L84" s="201">
        <f>'3394 June Final'!AC81</f>
        <v>24926</v>
      </c>
      <c r="M84" s="202"/>
      <c r="N84" s="203"/>
      <c r="O84" s="1"/>
      <c r="Q84" s="164"/>
      <c r="V84" s="208" t="s">
        <v>147</v>
      </c>
      <c r="W84" s="208"/>
      <c r="X84" s="208"/>
      <c r="Y84" s="208"/>
      <c r="Z84" s="208"/>
      <c r="AA84" s="208"/>
      <c r="AB84" s="208"/>
      <c r="AC84" s="208"/>
      <c r="AD84" s="9"/>
    </row>
    <row r="85" spans="1:30" ht="18.75" customHeight="1" thickTop="1" x14ac:dyDescent="0.25">
      <c r="B85" s="13"/>
      <c r="C85" s="13"/>
      <c r="D85" s="13"/>
      <c r="E85" s="13"/>
      <c r="F85" s="13"/>
      <c r="G85" s="13"/>
      <c r="H85" s="13"/>
      <c r="I85" s="13"/>
      <c r="J85" s="13"/>
      <c r="M85" s="202"/>
      <c r="N85" s="203"/>
      <c r="O85" s="1"/>
      <c r="Q85" s="164"/>
      <c r="V85" s="208" t="s">
        <v>148</v>
      </c>
      <c r="W85" s="208"/>
      <c r="X85" s="208"/>
      <c r="Y85" s="208"/>
      <c r="Z85" s="208"/>
      <c r="AA85" s="208"/>
      <c r="AB85" s="208"/>
      <c r="AC85" s="208"/>
      <c r="AD85" s="206"/>
    </row>
    <row r="86" spans="1:30" ht="18.75" customHeight="1" x14ac:dyDescent="0.25">
      <c r="B86" s="2" t="s">
        <v>149</v>
      </c>
      <c r="C86" s="13"/>
      <c r="D86" s="13"/>
      <c r="E86" s="13"/>
      <c r="F86" s="13"/>
      <c r="G86" s="13"/>
      <c r="H86" s="13"/>
      <c r="I86" s="13"/>
      <c r="J86" s="209" t="s">
        <v>150</v>
      </c>
      <c r="K86" s="210">
        <f>IF(K84=1,L84,L82)</f>
        <v>1505581</v>
      </c>
      <c r="L86" s="211">
        <f>IF(G26=0,0,IF(G26&gt;250,-(((250/G26)*K86)*IF(M86="H",0.02,0.05)),IF(M86="H",-0.02*K86,-0.05*K86)))</f>
        <v>-75279.05</v>
      </c>
      <c r="M86" s="212" t="str">
        <f>IF(B123="2801","H",IF(B123="2911","H",IF(B123="3382","H"," ")))</f>
        <v xml:space="preserve"> </v>
      </c>
      <c r="N86" s="203"/>
      <c r="O86" s="1"/>
      <c r="Q86" s="164"/>
      <c r="V86" s="208" t="s">
        <v>151</v>
      </c>
      <c r="W86" s="208"/>
      <c r="X86" s="208"/>
      <c r="Y86" s="208"/>
      <c r="Z86" s="208"/>
      <c r="AA86" s="208"/>
      <c r="AB86" s="208"/>
      <c r="AC86" s="208"/>
      <c r="AD86" s="206"/>
    </row>
    <row r="87" spans="1:30" ht="18.75" customHeight="1" x14ac:dyDescent="0.25">
      <c r="B87" s="2" t="s">
        <v>152</v>
      </c>
      <c r="C87" s="13"/>
      <c r="D87" s="13"/>
      <c r="E87" s="13"/>
      <c r="F87" s="13"/>
      <c r="G87" s="13"/>
      <c r="H87" s="13"/>
      <c r="I87" s="13"/>
      <c r="J87" s="13"/>
      <c r="K87" s="213"/>
      <c r="L87" s="205">
        <f>L82+L86</f>
        <v>1430301.95</v>
      </c>
      <c r="M87" s="202"/>
      <c r="N87" s="203"/>
      <c r="O87" s="1"/>
      <c r="Q87" s="164"/>
      <c r="V87" s="198"/>
      <c r="W87" s="198"/>
      <c r="X87" s="198"/>
      <c r="Y87" s="198"/>
      <c r="Z87" s="198"/>
      <c r="AA87" s="198"/>
      <c r="AB87" s="198"/>
      <c r="AC87" s="198"/>
      <c r="AD87" s="214"/>
    </row>
    <row r="88" spans="1:30" x14ac:dyDescent="0.25">
      <c r="V88" s="198"/>
      <c r="W88" s="198"/>
      <c r="X88" s="198"/>
      <c r="Y88" s="198"/>
      <c r="Z88" s="198"/>
      <c r="AA88" s="198"/>
      <c r="AB88" s="198"/>
      <c r="AC88" s="198"/>
      <c r="AD88" s="215"/>
    </row>
    <row r="89" spans="1:30" ht="18.75" customHeight="1" x14ac:dyDescent="0.25">
      <c r="A89" s="1" t="s">
        <v>153</v>
      </c>
      <c r="B89" s="13" t="s">
        <v>154</v>
      </c>
      <c r="C89" s="13"/>
      <c r="D89" s="13">
        <v>688908</v>
      </c>
      <c r="E89" s="13">
        <v>118478</v>
      </c>
      <c r="F89" s="13">
        <v>1162546</v>
      </c>
      <c r="G89" s="13"/>
      <c r="H89" s="13"/>
      <c r="I89" s="13"/>
      <c r="J89" s="13"/>
      <c r="K89" s="213"/>
      <c r="L89" s="84">
        <v>-1431869.45</v>
      </c>
      <c r="M89" s="202"/>
      <c r="N89" s="203"/>
      <c r="O89" s="1"/>
      <c r="Q89" s="164"/>
      <c r="V89" s="198">
        <v>2801</v>
      </c>
      <c r="W89" s="198"/>
      <c r="X89" s="198"/>
      <c r="Y89" s="198"/>
      <c r="Z89" s="198"/>
      <c r="AA89" s="198"/>
      <c r="AB89" s="198"/>
      <c r="AC89" s="198"/>
      <c r="AD89" s="214"/>
    </row>
    <row r="90" spans="1:30" ht="18.75" customHeight="1" x14ac:dyDescent="0.25">
      <c r="B90" s="13" t="s">
        <v>155</v>
      </c>
      <c r="C90" s="13"/>
      <c r="D90" s="13"/>
      <c r="E90" s="13"/>
      <c r="F90" s="13"/>
      <c r="G90" s="13"/>
      <c r="H90" s="13"/>
      <c r="I90" s="13"/>
      <c r="J90" s="13"/>
      <c r="K90" s="213"/>
      <c r="L90" s="205">
        <f>L87+L89</f>
        <v>-1567.5</v>
      </c>
      <c r="M90" s="202"/>
      <c r="N90" s="203"/>
      <c r="O90" s="1"/>
      <c r="Q90" s="164"/>
      <c r="V90" s="198">
        <v>2911</v>
      </c>
      <c r="W90" s="216"/>
      <c r="X90" s="216"/>
      <c r="Y90" s="216"/>
      <c r="Z90" s="216"/>
      <c r="AA90" s="216"/>
      <c r="AB90" s="216"/>
      <c r="AC90" s="216"/>
      <c r="AD90" s="214"/>
    </row>
    <row r="91" spans="1:30" ht="18.75" customHeight="1" x14ac:dyDescent="0.25">
      <c r="B91" s="13" t="s">
        <v>156</v>
      </c>
      <c r="C91" s="13"/>
      <c r="D91" s="13"/>
      <c r="E91" s="13"/>
      <c r="F91" s="13"/>
      <c r="G91" s="13"/>
      <c r="H91" s="13"/>
      <c r="I91" s="13"/>
      <c r="J91" s="13"/>
      <c r="K91" s="213"/>
      <c r="L91" s="205">
        <v>1</v>
      </c>
      <c r="M91" s="202"/>
      <c r="N91" s="203"/>
      <c r="O91" s="1"/>
      <c r="Q91" s="164"/>
      <c r="V91" s="198">
        <v>3382</v>
      </c>
      <c r="W91" s="216"/>
      <c r="X91" s="216"/>
      <c r="Y91" s="216"/>
      <c r="Z91" s="216"/>
      <c r="AA91" s="216"/>
      <c r="AB91" s="216"/>
      <c r="AC91" s="216"/>
      <c r="AD91" s="214"/>
    </row>
    <row r="92" spans="1:30" ht="18.75" customHeight="1" thickBot="1" x14ac:dyDescent="0.3">
      <c r="B92" s="13" t="s">
        <v>434</v>
      </c>
      <c r="C92" s="13"/>
      <c r="D92" s="13"/>
      <c r="E92" s="13"/>
      <c r="F92" s="13"/>
      <c r="G92" s="13"/>
      <c r="H92" s="13"/>
      <c r="I92" s="13"/>
      <c r="J92" s="13"/>
      <c r="K92" s="213"/>
      <c r="L92" s="217">
        <f>L90/L91</f>
        <v>-1567.5</v>
      </c>
      <c r="M92" s="202"/>
      <c r="N92" s="203"/>
      <c r="O92" s="1"/>
      <c r="Q92" s="164"/>
      <c r="V92" s="218"/>
      <c r="W92" s="218"/>
      <c r="X92" s="218"/>
      <c r="Y92" s="218"/>
      <c r="Z92" s="218"/>
      <c r="AA92" s="218"/>
      <c r="AB92" s="218"/>
      <c r="AC92" s="218"/>
      <c r="AD92" s="219"/>
    </row>
    <row r="93" spans="1:30" ht="18.75" customHeight="1" thickTop="1" x14ac:dyDescent="0.25">
      <c r="N93" s="219"/>
      <c r="O93" s="220"/>
      <c r="P93" s="219"/>
      <c r="Q93" s="219"/>
      <c r="V93" s="218"/>
      <c r="W93" s="218"/>
      <c r="X93" s="218"/>
      <c r="Y93" s="218"/>
      <c r="Z93" s="218"/>
      <c r="AA93" s="218"/>
      <c r="AB93" s="218"/>
      <c r="AC93" s="218"/>
      <c r="AD93" s="214"/>
    </row>
    <row r="94" spans="1:30" ht="18.75" customHeight="1" thickBot="1" x14ac:dyDescent="0.3">
      <c r="B94" s="221" t="s">
        <v>158</v>
      </c>
      <c r="C94" s="13"/>
      <c r="D94" s="13"/>
      <c r="E94" s="13"/>
      <c r="G94" s="13"/>
      <c r="H94" s="13"/>
      <c r="I94" s="13"/>
      <c r="J94" s="13"/>
      <c r="L94" s="222">
        <f>IF(M86="H",(K86*0.02)+L86,(K86*0.05)+L86)</f>
        <v>0</v>
      </c>
      <c r="M94" s="202"/>
      <c r="V94" s="223"/>
      <c r="W94" s="223"/>
      <c r="X94" s="223"/>
      <c r="Y94" s="223"/>
      <c r="Z94" s="223"/>
      <c r="AA94" s="223"/>
      <c r="AB94" s="223"/>
      <c r="AC94" s="223"/>
      <c r="AD94" s="214"/>
    </row>
    <row r="95" spans="1:30" ht="21.75" customHeight="1" thickTop="1" x14ac:dyDescent="0.25">
      <c r="B95" s="224" t="s">
        <v>159</v>
      </c>
      <c r="C95" s="224"/>
      <c r="D95" s="224"/>
      <c r="E95" s="224"/>
      <c r="F95" s="224"/>
      <c r="G95" s="224"/>
      <c r="H95" s="224"/>
      <c r="I95" s="224"/>
      <c r="J95" s="224"/>
      <c r="K95" s="224"/>
      <c r="L95" s="224"/>
      <c r="M95" s="219"/>
      <c r="V95" s="223"/>
      <c r="W95" s="223"/>
      <c r="X95" s="223"/>
      <c r="Y95" s="223"/>
      <c r="Z95" s="223"/>
      <c r="AA95" s="223"/>
      <c r="AB95" s="223"/>
      <c r="AC95" s="223"/>
      <c r="AD95" s="214"/>
    </row>
    <row r="96" spans="1:30" x14ac:dyDescent="0.25">
      <c r="B96" s="225"/>
      <c r="V96" s="223"/>
      <c r="W96" s="223"/>
      <c r="X96" s="223"/>
      <c r="Y96" s="223"/>
      <c r="Z96" s="223"/>
      <c r="AA96" s="223"/>
      <c r="AB96" s="223"/>
      <c r="AC96" s="223"/>
      <c r="AD96" s="219"/>
    </row>
    <row r="97" spans="2:30" x14ac:dyDescent="0.25">
      <c r="B97" s="225"/>
      <c r="V97" s="223"/>
      <c r="W97" s="223"/>
      <c r="X97" s="223"/>
      <c r="Y97" s="223"/>
      <c r="Z97" s="223"/>
      <c r="AA97" s="223"/>
      <c r="AB97" s="223"/>
      <c r="AC97" s="223"/>
      <c r="AD97" s="219"/>
    </row>
    <row r="98" spans="2:30" hidden="1" x14ac:dyDescent="0.25">
      <c r="B98" s="226" t="s">
        <v>160</v>
      </c>
      <c r="C98" s="227"/>
      <c r="V98" s="228"/>
      <c r="W98" s="228"/>
      <c r="X98" s="228"/>
      <c r="Y98" s="228"/>
      <c r="Z98" s="228"/>
      <c r="AA98" s="228"/>
      <c r="AB98" s="228"/>
      <c r="AC98" s="228"/>
    </row>
    <row r="99" spans="2:30" hidden="1" x14ac:dyDescent="0.25">
      <c r="B99" s="229"/>
      <c r="C99" s="227"/>
      <c r="V99" s="225"/>
      <c r="W99" s="13"/>
      <c r="X99" s="13"/>
      <c r="Y99" s="13"/>
      <c r="Z99" s="13"/>
      <c r="AA99" s="13"/>
      <c r="AB99" s="13"/>
      <c r="AC99" s="13"/>
    </row>
    <row r="100" spans="2:30" hidden="1" x14ac:dyDescent="0.25">
      <c r="B100" s="230" t="s">
        <v>161</v>
      </c>
      <c r="C100" s="226" t="s">
        <v>162</v>
      </c>
      <c r="V100" s="225"/>
    </row>
    <row r="101" spans="2:30" hidden="1" x14ac:dyDescent="0.25">
      <c r="B101" s="230" t="s">
        <v>163</v>
      </c>
      <c r="C101" s="226" t="s">
        <v>164</v>
      </c>
      <c r="V101" s="225"/>
    </row>
    <row r="102" spans="2:30" hidden="1" x14ac:dyDescent="0.25">
      <c r="B102" s="230" t="s">
        <v>165</v>
      </c>
      <c r="C102" s="226" t="s">
        <v>166</v>
      </c>
      <c r="V102" s="225"/>
      <c r="W102" s="231"/>
      <c r="X102" s="231"/>
      <c r="Y102" s="231"/>
      <c r="Z102" s="231"/>
      <c r="AA102" s="231"/>
      <c r="AB102" s="231"/>
      <c r="AC102" s="231"/>
      <c r="AD102" s="231"/>
    </row>
    <row r="103" spans="2:30" hidden="1" x14ac:dyDescent="0.25">
      <c r="B103" s="230" t="s">
        <v>167</v>
      </c>
      <c r="C103" s="226" t="s">
        <v>168</v>
      </c>
      <c r="V103" s="225"/>
    </row>
    <row r="104" spans="2:30" hidden="1" x14ac:dyDescent="0.25">
      <c r="B104" s="232"/>
      <c r="C104" s="226" t="s">
        <v>169</v>
      </c>
      <c r="V104" s="225"/>
    </row>
    <row r="105" spans="2:30" hidden="1" x14ac:dyDescent="0.25">
      <c r="B105" s="230" t="s">
        <v>170</v>
      </c>
      <c r="C105" s="226" t="s">
        <v>171</v>
      </c>
      <c r="V105" s="225"/>
    </row>
    <row r="106" spans="2:30" hidden="1" x14ac:dyDescent="0.25">
      <c r="B106" s="230" t="s">
        <v>172</v>
      </c>
      <c r="C106" s="226" t="s">
        <v>173</v>
      </c>
      <c r="V106" s="225"/>
    </row>
    <row r="107" spans="2:30" hidden="1" x14ac:dyDescent="0.25">
      <c r="B107" s="230" t="s">
        <v>280</v>
      </c>
      <c r="C107" s="226" t="s">
        <v>175</v>
      </c>
      <c r="V107" s="225"/>
    </row>
    <row r="108" spans="2:30" hidden="1" x14ac:dyDescent="0.25">
      <c r="B108" s="230" t="s">
        <v>176</v>
      </c>
      <c r="C108" s="226" t="s">
        <v>177</v>
      </c>
      <c r="V108" s="225"/>
    </row>
    <row r="109" spans="2:30" hidden="1" x14ac:dyDescent="0.25">
      <c r="B109" s="230" t="s">
        <v>178</v>
      </c>
      <c r="C109" s="226" t="s">
        <v>179</v>
      </c>
      <c r="V109" s="225"/>
    </row>
    <row r="110" spans="2:30" hidden="1" x14ac:dyDescent="0.25">
      <c r="B110" s="232"/>
      <c r="C110" s="226"/>
      <c r="V110" s="225"/>
    </row>
    <row r="111" spans="2:30" hidden="1" x14ac:dyDescent="0.25">
      <c r="B111" s="230" t="s">
        <v>180</v>
      </c>
      <c r="C111" s="226" t="s">
        <v>181</v>
      </c>
      <c r="V111" s="225"/>
    </row>
    <row r="112" spans="2:30" hidden="1" x14ac:dyDescent="0.25">
      <c r="B112" s="230" t="s">
        <v>180</v>
      </c>
      <c r="C112" s="226" t="s">
        <v>182</v>
      </c>
    </row>
    <row r="113" spans="2:3" hidden="1" x14ac:dyDescent="0.25">
      <c r="B113" s="230" t="s">
        <v>183</v>
      </c>
      <c r="C113" s="226" t="s">
        <v>184</v>
      </c>
    </row>
    <row r="114" spans="2:3" hidden="1" x14ac:dyDescent="0.25">
      <c r="B114" s="230" t="s">
        <v>185</v>
      </c>
      <c r="C114" s="226" t="s">
        <v>186</v>
      </c>
    </row>
    <row r="115" spans="2:3" hidden="1" x14ac:dyDescent="0.25">
      <c r="B115" s="230" t="s">
        <v>183</v>
      </c>
      <c r="C115" s="226" t="s">
        <v>187</v>
      </c>
    </row>
    <row r="116" spans="2:3" hidden="1" x14ac:dyDescent="0.25">
      <c r="B116" s="230" t="s">
        <v>188</v>
      </c>
      <c r="C116" s="226" t="s">
        <v>189</v>
      </c>
    </row>
    <row r="117" spans="2:3" hidden="1" x14ac:dyDescent="0.25">
      <c r="B117" s="230" t="s">
        <v>190</v>
      </c>
      <c r="C117" s="226" t="s">
        <v>191</v>
      </c>
    </row>
    <row r="118" spans="2:3" hidden="1" x14ac:dyDescent="0.25">
      <c r="B118" s="232" t="s">
        <v>192</v>
      </c>
      <c r="C118" s="226" t="s">
        <v>193</v>
      </c>
    </row>
    <row r="119" spans="2:3" hidden="1" x14ac:dyDescent="0.25">
      <c r="B119" s="232"/>
      <c r="C119" s="226"/>
    </row>
    <row r="120" spans="2:3" hidden="1" x14ac:dyDescent="0.25">
      <c r="B120" s="230" t="s">
        <v>161</v>
      </c>
      <c r="C120" s="226" t="s">
        <v>194</v>
      </c>
    </row>
    <row r="121" spans="2:3" hidden="1" x14ac:dyDescent="0.25">
      <c r="B121" s="230" t="s">
        <v>195</v>
      </c>
      <c r="C121" s="226" t="s">
        <v>196</v>
      </c>
    </row>
    <row r="122" spans="2:3" hidden="1" x14ac:dyDescent="0.25">
      <c r="B122" s="230" t="s">
        <v>197</v>
      </c>
      <c r="C122" s="226" t="s">
        <v>198</v>
      </c>
    </row>
    <row r="123" spans="2:3" hidden="1" x14ac:dyDescent="0.25">
      <c r="B123" s="230" t="s">
        <v>281</v>
      </c>
      <c r="C123" s="226" t="s">
        <v>200</v>
      </c>
    </row>
    <row r="124" spans="2:3" hidden="1" x14ac:dyDescent="0.25">
      <c r="B124" s="230" t="s">
        <v>282</v>
      </c>
      <c r="C124" s="226" t="s">
        <v>202</v>
      </c>
    </row>
    <row r="125" spans="2:3" hidden="1" x14ac:dyDescent="0.25">
      <c r="B125" s="230" t="s">
        <v>203</v>
      </c>
      <c r="C125" s="226" t="s">
        <v>204</v>
      </c>
    </row>
    <row r="126" spans="2:3" hidden="1" x14ac:dyDescent="0.25">
      <c r="B126" s="230" t="s">
        <v>203</v>
      </c>
      <c r="C126" s="226" t="s">
        <v>205</v>
      </c>
    </row>
    <row r="127" spans="2:3" hidden="1" x14ac:dyDescent="0.25">
      <c r="B127" s="230" t="s">
        <v>203</v>
      </c>
      <c r="C127" s="226" t="s">
        <v>206</v>
      </c>
    </row>
    <row r="128" spans="2:3" hidden="1" x14ac:dyDescent="0.25">
      <c r="B128" s="230" t="s">
        <v>203</v>
      </c>
      <c r="C128" s="226" t="s">
        <v>207</v>
      </c>
    </row>
    <row r="129" spans="2:3" hidden="1" x14ac:dyDescent="0.25">
      <c r="B129" s="230" t="s">
        <v>167</v>
      </c>
      <c r="C129" s="226" t="s">
        <v>208</v>
      </c>
    </row>
    <row r="130" spans="2:3" hidden="1" x14ac:dyDescent="0.25">
      <c r="B130" s="230" t="s">
        <v>209</v>
      </c>
      <c r="C130" s="226" t="s">
        <v>210</v>
      </c>
    </row>
    <row r="131" spans="2:3" hidden="1" x14ac:dyDescent="0.25">
      <c r="B131" s="230" t="s">
        <v>203</v>
      </c>
      <c r="C131" s="226" t="s">
        <v>211</v>
      </c>
    </row>
    <row r="132" spans="2:3" hidden="1" x14ac:dyDescent="0.25">
      <c r="B132" s="226"/>
      <c r="C132" s="226"/>
    </row>
    <row r="133" spans="2:3" hidden="1" x14ac:dyDescent="0.25">
      <c r="B133" s="226"/>
      <c r="C133" s="226"/>
    </row>
    <row r="134" spans="2:3" hidden="1" x14ac:dyDescent="0.25">
      <c r="B134" s="232"/>
      <c r="C134" s="232"/>
    </row>
    <row r="135" spans="2:3" hidden="1" x14ac:dyDescent="0.25">
      <c r="B135" s="232">
        <f>NvsElapsedTime</f>
        <v>1.15740695036948E-5</v>
      </c>
      <c r="C135" s="232"/>
    </row>
    <row r="136" spans="2:3" hidden="1" x14ac:dyDescent="0.25">
      <c r="B136" s="233">
        <f>NvsEndTime</f>
        <v>41754.487939814797</v>
      </c>
      <c r="C136" s="233" t="s">
        <v>212</v>
      </c>
    </row>
    <row r="137" spans="2:3" x14ac:dyDescent="0.25">
      <c r="B137" s="226"/>
      <c r="C137" s="234"/>
    </row>
    <row r="138" spans="2:3" x14ac:dyDescent="0.25">
      <c r="B138" s="226"/>
      <c r="C138" s="226"/>
    </row>
    <row r="139" spans="2:3" x14ac:dyDescent="0.25">
      <c r="B139" s="226"/>
      <c r="C139" s="226"/>
    </row>
    <row r="140" spans="2:3" x14ac:dyDescent="0.25">
      <c r="B140" s="226"/>
      <c r="C140" s="226"/>
    </row>
    <row r="141" spans="2:3" x14ac:dyDescent="0.25">
      <c r="B141" s="226"/>
      <c r="C141" s="226"/>
    </row>
    <row r="142" spans="2:3" x14ac:dyDescent="0.25">
      <c r="B142" s="226"/>
      <c r="C142" s="226"/>
    </row>
    <row r="143" spans="2:3" x14ac:dyDescent="0.25">
      <c r="B143" s="226"/>
      <c r="C143" s="226"/>
    </row>
    <row r="144" spans="2:3" x14ac:dyDescent="0.25">
      <c r="B144" s="226"/>
      <c r="C144" s="226"/>
    </row>
    <row r="145" spans="2:3" x14ac:dyDescent="0.25">
      <c r="B145" s="226"/>
      <c r="C145" s="226"/>
    </row>
    <row r="146" spans="2:3" x14ac:dyDescent="0.25">
      <c r="B146" s="226"/>
      <c r="C146" s="226"/>
    </row>
    <row r="147" spans="2:3" x14ac:dyDescent="0.25">
      <c r="B147" s="226"/>
      <c r="C147" s="226"/>
    </row>
    <row r="148" spans="2:3" x14ac:dyDescent="0.25">
      <c r="B148" s="226"/>
      <c r="C148" s="226"/>
    </row>
    <row r="149" spans="2:3" x14ac:dyDescent="0.25">
      <c r="B149" s="226"/>
      <c r="C149" s="226"/>
    </row>
    <row r="150" spans="2:3" x14ac:dyDescent="0.25">
      <c r="B150" s="226"/>
      <c r="C150" s="226"/>
    </row>
    <row r="151" spans="2:3" x14ac:dyDescent="0.25">
      <c r="B151" s="226"/>
      <c r="C151" s="226"/>
    </row>
  </sheetData>
  <mergeCells count="151">
    <mergeCell ref="B80:D80"/>
    <mergeCell ref="V76:X76"/>
    <mergeCell ref="Y76:Z76"/>
    <mergeCell ref="V77:X77"/>
    <mergeCell ref="Y77:Z77"/>
    <mergeCell ref="B78:D78"/>
    <mergeCell ref="V78:X78"/>
    <mergeCell ref="V70:X70"/>
    <mergeCell ref="Y70:Z70"/>
    <mergeCell ref="V71:X71"/>
    <mergeCell ref="Y71:Z71"/>
    <mergeCell ref="V72:AB72"/>
    <mergeCell ref="V73:AC73"/>
    <mergeCell ref="V74:W74"/>
    <mergeCell ref="V75:W75"/>
    <mergeCell ref="B79:D79"/>
    <mergeCell ref="V79:X79"/>
    <mergeCell ref="V65:W65"/>
    <mergeCell ref="X65:AC65"/>
    <mergeCell ref="V66:X66"/>
    <mergeCell ref="Y66:Z66"/>
    <mergeCell ref="V67:AC67"/>
    <mergeCell ref="V68:X68"/>
    <mergeCell ref="Y68:Z68"/>
    <mergeCell ref="V69:X69"/>
    <mergeCell ref="Y69:Z69"/>
    <mergeCell ref="V60:W60"/>
    <mergeCell ref="X60:AC60"/>
    <mergeCell ref="V61:W61"/>
    <mergeCell ref="X61:AC61"/>
    <mergeCell ref="V62:W62"/>
    <mergeCell ref="X62:AC62"/>
    <mergeCell ref="V63:AC63"/>
    <mergeCell ref="V64:W64"/>
    <mergeCell ref="X64:AC64"/>
    <mergeCell ref="V55:AC55"/>
    <mergeCell ref="V56:W56"/>
    <mergeCell ref="Y56:Z56"/>
    <mergeCell ref="AA56:AC56"/>
    <mergeCell ref="V57:AA57"/>
    <mergeCell ref="AB57:AC57"/>
    <mergeCell ref="V58:X58"/>
    <mergeCell ref="Y58:Z58"/>
    <mergeCell ref="V59:AC59"/>
    <mergeCell ref="X49:Y49"/>
    <mergeCell ref="X50:AB50"/>
    <mergeCell ref="V51:AC51"/>
    <mergeCell ref="V52:AC52"/>
    <mergeCell ref="V53:W53"/>
    <mergeCell ref="Y53:Z53"/>
    <mergeCell ref="AA53:AC53"/>
    <mergeCell ref="V54:AA54"/>
    <mergeCell ref="AB54:AC54"/>
    <mergeCell ref="V41:AC41"/>
    <mergeCell ref="V42:AC42"/>
    <mergeCell ref="V43:AC43"/>
    <mergeCell ref="V44:AB44"/>
    <mergeCell ref="V45:AC45"/>
    <mergeCell ref="X46:Y46"/>
    <mergeCell ref="Z46:AC46"/>
    <mergeCell ref="X47:Y47"/>
    <mergeCell ref="X48:Y48"/>
    <mergeCell ref="V37:W37"/>
    <mergeCell ref="X37:Y37"/>
    <mergeCell ref="Z37:AB37"/>
    <mergeCell ref="V38:AC38"/>
    <mergeCell ref="V39:W39"/>
    <mergeCell ref="X39:Y39"/>
    <mergeCell ref="Z39:AC39"/>
    <mergeCell ref="V40:W40"/>
    <mergeCell ref="X40:AA40"/>
    <mergeCell ref="V26:W26"/>
    <mergeCell ref="X26:Y26"/>
    <mergeCell ref="Z26:AA26"/>
    <mergeCell ref="V27:W27"/>
    <mergeCell ref="X27:Y27"/>
    <mergeCell ref="B28:C36"/>
    <mergeCell ref="V28:W36"/>
    <mergeCell ref="X28:Y28"/>
    <mergeCell ref="X29:Y29"/>
    <mergeCell ref="X30:Y30"/>
    <mergeCell ref="X31:Y31"/>
    <mergeCell ref="X32:Y32"/>
    <mergeCell ref="X33:Y33"/>
    <mergeCell ref="X34:Y34"/>
    <mergeCell ref="X35:Y35"/>
    <mergeCell ref="X36:Y36"/>
    <mergeCell ref="V23:W23"/>
    <mergeCell ref="X23:Y23"/>
    <mergeCell ref="Z23:AA23"/>
    <mergeCell ref="V24:W24"/>
    <mergeCell ref="X24:Y24"/>
    <mergeCell ref="Z24:AA24"/>
    <mergeCell ref="V25:W25"/>
    <mergeCell ref="X25:Y25"/>
    <mergeCell ref="Z25:AA25"/>
    <mergeCell ref="V20:W20"/>
    <mergeCell ref="X20:Y20"/>
    <mergeCell ref="Z20:AA20"/>
    <mergeCell ref="V21:W21"/>
    <mergeCell ref="X21:Y21"/>
    <mergeCell ref="Z21:AA21"/>
    <mergeCell ref="V22:W22"/>
    <mergeCell ref="X22:Y22"/>
    <mergeCell ref="Z22:AA22"/>
    <mergeCell ref="V17:W17"/>
    <mergeCell ref="X17:Y17"/>
    <mergeCell ref="Z17:AA17"/>
    <mergeCell ref="V18:W18"/>
    <mergeCell ref="X18:Y18"/>
    <mergeCell ref="Z18:AA18"/>
    <mergeCell ref="V19:W19"/>
    <mergeCell ref="X19:Y19"/>
    <mergeCell ref="Z19:AA19"/>
    <mergeCell ref="V14:W14"/>
    <mergeCell ref="X14:Y14"/>
    <mergeCell ref="Z14:AA14"/>
    <mergeCell ref="V15:W15"/>
    <mergeCell ref="X15:Y15"/>
    <mergeCell ref="Z15:AA15"/>
    <mergeCell ref="V16:W16"/>
    <mergeCell ref="X16:Y16"/>
    <mergeCell ref="Z16:AA16"/>
    <mergeCell ref="V11:W11"/>
    <mergeCell ref="X11:Y11"/>
    <mergeCell ref="Z11:AA11"/>
    <mergeCell ref="V12:W12"/>
    <mergeCell ref="X12:Y12"/>
    <mergeCell ref="Z12:AA12"/>
    <mergeCell ref="V13:W13"/>
    <mergeCell ref="X13:Y13"/>
    <mergeCell ref="Z13:AA13"/>
    <mergeCell ref="V8:W8"/>
    <mergeCell ref="X8:Y8"/>
    <mergeCell ref="Z8:AA8"/>
    <mergeCell ref="V9:W9"/>
    <mergeCell ref="X9:Y9"/>
    <mergeCell ref="Z9:AA9"/>
    <mergeCell ref="V10:W10"/>
    <mergeCell ref="X10:Y10"/>
    <mergeCell ref="Z10:AA10"/>
    <mergeCell ref="W2:AC2"/>
    <mergeCell ref="V3:AC3"/>
    <mergeCell ref="V4:AC4"/>
    <mergeCell ref="V5:W5"/>
    <mergeCell ref="X5:Y5"/>
    <mergeCell ref="V6:AC6"/>
    <mergeCell ref="V7:W7"/>
    <mergeCell ref="X7:Y7"/>
    <mergeCell ref="Z7:AA7"/>
    <mergeCell ref="AB7:AC7"/>
  </mergeCells>
  <printOptions horizontalCentered="1"/>
  <pageMargins left="0" right="0" top="0.67" bottom="0.2" header="0.25" footer="0.196850393700787"/>
  <pageSetup scale="63" fitToWidth="2" fitToHeight="2" orientation="portrait" horizontalDpi="4294967295" verticalDpi="4294967295" r:id="rId1"/>
  <headerFooter alignWithMargins="0">
    <oddHeader>&amp;L&amp;8&amp;F
&amp;D &amp;T</oddHeader>
    <oddFooter>&amp;C&amp;P</oddFooter>
  </headerFooter>
  <rowBreaks count="1" manualBreakCount="1">
    <brk id="51" max="16383"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pageSetUpPr fitToPage="1"/>
  </sheetPr>
  <dimension ref="A1:AD151"/>
  <sheetViews>
    <sheetView topLeftCell="B2" zoomScale="70" zoomScaleNormal="70" workbookViewId="0">
      <selection activeCell="K17" sqref="K17"/>
    </sheetView>
  </sheetViews>
  <sheetFormatPr defaultColWidth="8.85546875" defaultRowHeight="15.75" x14ac:dyDescent="0.25"/>
  <cols>
    <col min="1" max="1" width="11.28515625" style="1" hidden="1" customWidth="1"/>
    <col min="2" max="2" width="10.28515625" style="2" customWidth="1"/>
    <col min="3" max="3" width="29" style="1" customWidth="1"/>
    <col min="4" max="5" width="12.28515625" style="1" customWidth="1"/>
    <col min="6" max="6" width="12.28515625" style="1" hidden="1" customWidth="1"/>
    <col min="7" max="7" width="16.5703125" style="1" customWidth="1"/>
    <col min="8" max="8" width="6.7109375" style="1" customWidth="1"/>
    <col min="9" max="9" width="13.85546875" style="1" customWidth="1"/>
    <col min="10" max="10" width="12.85546875" style="1" customWidth="1"/>
    <col min="11" max="11" width="15.5703125" style="1" bestFit="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28515625" style="1" customWidth="1"/>
    <col min="18" max="18" width="8.85546875" style="1"/>
    <col min="19" max="21" width="0" style="1" hidden="1" customWidth="1"/>
    <col min="22" max="23" width="8.85546875" style="1"/>
    <col min="24" max="24" width="12.7109375" style="1" customWidth="1"/>
    <col min="25" max="27" width="8.85546875" style="1"/>
    <col min="28" max="28" width="13.140625" style="1" bestFit="1" customWidth="1"/>
    <col min="29" max="16384" width="8.85546875" style="1"/>
  </cols>
  <sheetData>
    <row r="1" spans="1:30" ht="15.6"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7"/>
      <c r="N2" s="3"/>
      <c r="O2" s="1"/>
      <c r="V2" s="8">
        <f>'3395'!B2</f>
        <v>50</v>
      </c>
      <c r="W2" s="606" t="s">
        <v>4</v>
      </c>
      <c r="X2" s="607"/>
      <c r="Y2" s="608"/>
      <c r="Z2" s="608"/>
      <c r="AA2" s="608"/>
      <c r="AB2" s="608"/>
      <c r="AC2" s="608"/>
      <c r="AD2" s="9"/>
    </row>
    <row r="3" spans="1:30" ht="20.25" x14ac:dyDescent="0.3">
      <c r="B3" s="10" t="str">
        <f>"Revenue Estimate Worksheet for "&amp;B124</f>
        <v>Revenue Estimate Worksheet for JFK Medical Center Charter Sch</v>
      </c>
      <c r="C3" s="11"/>
      <c r="D3" s="11"/>
      <c r="E3" s="11"/>
      <c r="F3" s="11"/>
      <c r="G3" s="11"/>
      <c r="H3" s="11"/>
      <c r="I3" s="11"/>
      <c r="J3" s="11"/>
      <c r="K3" s="11"/>
      <c r="L3" s="11"/>
      <c r="M3" s="10"/>
      <c r="N3" s="10"/>
      <c r="O3" s="10"/>
      <c r="P3" s="10"/>
      <c r="Q3" s="10"/>
      <c r="V3" s="609" t="s">
        <v>5</v>
      </c>
      <c r="W3" s="609"/>
      <c r="X3" s="609"/>
      <c r="Y3" s="609"/>
      <c r="Z3" s="609"/>
      <c r="AA3" s="609"/>
      <c r="AB3" s="609"/>
      <c r="AC3" s="609"/>
      <c r="AD3" s="12"/>
    </row>
    <row r="4" spans="1:30" ht="18.75" x14ac:dyDescent="0.3">
      <c r="B4" s="2" t="s">
        <v>6</v>
      </c>
      <c r="C4" s="13"/>
      <c r="D4" s="13"/>
      <c r="E4" s="13"/>
      <c r="F4" s="13"/>
      <c r="G4" s="13"/>
      <c r="H4" s="13"/>
      <c r="I4" s="13"/>
      <c r="J4" s="13"/>
      <c r="K4" s="13"/>
      <c r="L4" s="13"/>
      <c r="M4" s="14"/>
      <c r="N4" s="14"/>
      <c r="O4" s="14"/>
      <c r="P4" s="14"/>
      <c r="Q4" s="14"/>
      <c r="V4" s="610" t="str">
        <f>+Based_on_the_Second_Calculation_of_the_FEFP_2010_11</f>
        <v>Based on the Fourth Calculation of the FEFP 2013-14</v>
      </c>
      <c r="W4" s="610"/>
      <c r="X4" s="610"/>
      <c r="Y4" s="610"/>
      <c r="Z4" s="610"/>
      <c r="AA4" s="610"/>
      <c r="AB4" s="610"/>
      <c r="AC4" s="610"/>
      <c r="AD4" s="15"/>
    </row>
    <row r="5" spans="1:30" ht="18.75" customHeight="1" x14ac:dyDescent="0.25">
      <c r="B5" s="16" t="s">
        <v>7</v>
      </c>
      <c r="C5" s="16"/>
      <c r="D5" s="16"/>
      <c r="E5" s="16"/>
      <c r="F5" s="16"/>
      <c r="G5" s="17" t="s">
        <v>8</v>
      </c>
      <c r="H5" s="17"/>
      <c r="I5" s="17"/>
      <c r="J5" s="17"/>
      <c r="K5" s="17"/>
      <c r="L5" s="17"/>
      <c r="M5" s="18"/>
      <c r="N5" s="18"/>
      <c r="O5" s="18"/>
      <c r="P5" s="18"/>
      <c r="Q5" s="18"/>
      <c r="V5" s="611" t="s">
        <v>7</v>
      </c>
      <c r="W5" s="611"/>
      <c r="X5" s="612" t="s">
        <v>8</v>
      </c>
      <c r="Y5" s="612"/>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613" t="s">
        <v>9</v>
      </c>
      <c r="W6" s="613"/>
      <c r="X6" s="613"/>
      <c r="Y6" s="613"/>
      <c r="Z6" s="613"/>
      <c r="AA6" s="613"/>
      <c r="AB6" s="613"/>
      <c r="AC6" s="613"/>
      <c r="AD6" s="22"/>
    </row>
    <row r="7" spans="1:30" ht="18" customHeight="1" x14ac:dyDescent="0.25">
      <c r="B7" s="23" t="s">
        <v>10</v>
      </c>
      <c r="C7" s="23"/>
      <c r="D7" s="23"/>
      <c r="E7" s="23"/>
      <c r="F7" s="23"/>
      <c r="G7" s="24">
        <v>3752.3</v>
      </c>
      <c r="H7" s="24"/>
      <c r="I7" s="23" t="s">
        <v>11</v>
      </c>
      <c r="J7" s="23"/>
      <c r="K7" s="25">
        <v>1.0326</v>
      </c>
      <c r="L7" s="25"/>
      <c r="O7" s="1"/>
      <c r="V7" s="620" t="s">
        <v>10</v>
      </c>
      <c r="W7" s="620"/>
      <c r="X7" s="621">
        <f>'3395'!G7</f>
        <v>3752.3</v>
      </c>
      <c r="Y7" s="621"/>
      <c r="Z7" s="622" t="s">
        <v>11</v>
      </c>
      <c r="AA7" s="622"/>
      <c r="AB7" s="602">
        <f>+K7</f>
        <v>1.0326</v>
      </c>
      <c r="AC7" s="602"/>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603" t="s">
        <v>12</v>
      </c>
      <c r="W8" s="603"/>
      <c r="X8" s="604" t="s">
        <v>15</v>
      </c>
      <c r="Y8" s="604"/>
      <c r="Z8" s="605" t="s">
        <v>16</v>
      </c>
      <c r="AA8" s="605"/>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614" t="s">
        <v>22</v>
      </c>
      <c r="W9" s="614"/>
      <c r="X9" s="615" t="s">
        <v>23</v>
      </c>
      <c r="Y9" s="615"/>
      <c r="Z9" s="616" t="s">
        <v>24</v>
      </c>
      <c r="AA9" s="616"/>
      <c r="AB9" s="43" t="s">
        <v>25</v>
      </c>
      <c r="AC9" s="44" t="s">
        <v>26</v>
      </c>
      <c r="AD9" s="9"/>
    </row>
    <row r="10" spans="1:30" x14ac:dyDescent="0.25">
      <c r="A10" s="1" t="s">
        <v>27</v>
      </c>
      <c r="B10" s="45" t="s">
        <v>28</v>
      </c>
      <c r="C10" s="45"/>
      <c r="D10" s="45">
        <v>158.08000000000001</v>
      </c>
      <c r="E10" s="45">
        <v>155.66</v>
      </c>
      <c r="F10" s="45">
        <v>171.81</v>
      </c>
      <c r="G10" s="46">
        <f>D10+E10</f>
        <v>313.74</v>
      </c>
      <c r="H10" s="47"/>
      <c r="I10" s="48">
        <v>1.125</v>
      </c>
      <c r="J10" s="48"/>
      <c r="K10" s="49">
        <f>ROUND(G10*I10,4)</f>
        <v>352.95749999999998</v>
      </c>
      <c r="L10" s="50">
        <f>ROUND(ROUND(K10*$G$7,4)*($K$7),0)</f>
        <v>1367578</v>
      </c>
      <c r="N10" s="51">
        <v>5101</v>
      </c>
      <c r="O10" s="52">
        <v>101</v>
      </c>
      <c r="P10" s="53"/>
      <c r="Q10" s="54"/>
      <c r="V10" s="617" t="s">
        <v>28</v>
      </c>
      <c r="W10" s="617"/>
      <c r="X10" s="618">
        <f>IF('3395'!K$84=1,'3395'!G10,0)</f>
        <v>0</v>
      </c>
      <c r="Y10" s="618"/>
      <c r="Z10" s="619">
        <v>1</v>
      </c>
      <c r="AA10" s="619"/>
      <c r="AB10" s="55">
        <f t="shared" ref="AB10:AB25" si="0">ROUND(X10*Z10,4)</f>
        <v>0</v>
      </c>
      <c r="AC10" s="56">
        <f t="shared" ref="AC10:AC25" si="1">ROUND(ROUND(AB10*$X$7,4)*($AB$7),0)</f>
        <v>0</v>
      </c>
      <c r="AD10" s="9">
        <v>1</v>
      </c>
    </row>
    <row r="11" spans="1:30" x14ac:dyDescent="0.25">
      <c r="A11" s="1" t="s">
        <v>29</v>
      </c>
      <c r="B11" s="13" t="s">
        <v>30</v>
      </c>
      <c r="C11" s="13"/>
      <c r="D11" s="13">
        <v>18.98</v>
      </c>
      <c r="E11" s="13">
        <v>20.02</v>
      </c>
      <c r="F11" s="13">
        <v>21.16</v>
      </c>
      <c r="G11" s="46">
        <f t="shared" ref="G11:G25" si="2">D11+E11</f>
        <v>39</v>
      </c>
      <c r="H11" s="47"/>
      <c r="I11" s="57">
        <f>I10</f>
        <v>1.125</v>
      </c>
      <c r="J11" s="57"/>
      <c r="K11" s="49">
        <f t="shared" ref="K11:K25" si="3">ROUND(G11*I11,4)</f>
        <v>43.875</v>
      </c>
      <c r="L11" s="50">
        <f t="shared" ref="L11:L25" si="4">ROUND(ROUND(K11*$G$7,4)*($K$7),0)</f>
        <v>169999</v>
      </c>
      <c r="M11" s="1" t="str">
        <f>IF(ROUND(G11,2)=ROUND(SUM(G28:G30),2)," ","CHECK 2. PK-3 Lines Below")</f>
        <v xml:space="preserve"> </v>
      </c>
      <c r="N11" s="51">
        <v>5101</v>
      </c>
      <c r="O11" s="58" t="s">
        <v>31</v>
      </c>
      <c r="P11" s="53"/>
      <c r="Q11" s="54"/>
      <c r="V11" s="623" t="s">
        <v>30</v>
      </c>
      <c r="W11" s="623"/>
      <c r="X11" s="618">
        <f>IF('3395'!K$84=1,'3395'!G11,0)</f>
        <v>0</v>
      </c>
      <c r="Y11" s="618"/>
      <c r="Z11" s="624">
        <v>1</v>
      </c>
      <c r="AA11" s="624"/>
      <c r="AB11" s="55">
        <f t="shared" si="0"/>
        <v>0</v>
      </c>
      <c r="AC11" s="56">
        <f t="shared" si="1"/>
        <v>0</v>
      </c>
      <c r="AD11" s="9"/>
    </row>
    <row r="12" spans="1:30" x14ac:dyDescent="0.25">
      <c r="A12" s="1" t="s">
        <v>32</v>
      </c>
      <c r="B12" s="13" t="s">
        <v>33</v>
      </c>
      <c r="C12" s="13"/>
      <c r="D12" s="13">
        <v>67.400000000000006</v>
      </c>
      <c r="E12" s="13">
        <v>67.400000000000006</v>
      </c>
      <c r="F12" s="13">
        <v>74.02</v>
      </c>
      <c r="G12" s="46">
        <f t="shared" si="2"/>
        <v>134.80000000000001</v>
      </c>
      <c r="H12" s="47"/>
      <c r="I12" s="57">
        <v>1</v>
      </c>
      <c r="J12" s="57"/>
      <c r="K12" s="49">
        <f t="shared" si="3"/>
        <v>134.80000000000001</v>
      </c>
      <c r="L12" s="50">
        <f t="shared" si="4"/>
        <v>522299</v>
      </c>
      <c r="N12" s="51">
        <v>5102</v>
      </c>
      <c r="O12" s="52">
        <v>102</v>
      </c>
      <c r="P12" s="53"/>
      <c r="Q12" s="54"/>
      <c r="V12" s="623" t="s">
        <v>33</v>
      </c>
      <c r="W12" s="623"/>
      <c r="X12" s="618">
        <f>IF('3395'!K$84=1,'3395'!G12,0)</f>
        <v>0</v>
      </c>
      <c r="Y12" s="618"/>
      <c r="Z12" s="624">
        <v>1</v>
      </c>
      <c r="AA12" s="624"/>
      <c r="AB12" s="55">
        <f t="shared" si="0"/>
        <v>0</v>
      </c>
      <c r="AC12" s="56">
        <f t="shared" si="1"/>
        <v>0</v>
      </c>
      <c r="AD12" s="9"/>
    </row>
    <row r="13" spans="1:30" x14ac:dyDescent="0.25">
      <c r="A13" s="1" t="s">
        <v>34</v>
      </c>
      <c r="B13" s="13" t="s">
        <v>35</v>
      </c>
      <c r="C13" s="13"/>
      <c r="D13" s="13">
        <v>7</v>
      </c>
      <c r="E13" s="13">
        <v>6.49</v>
      </c>
      <c r="F13" s="13">
        <v>7.84</v>
      </c>
      <c r="G13" s="46">
        <f t="shared" si="2"/>
        <v>13.49</v>
      </c>
      <c r="H13" s="47"/>
      <c r="I13" s="57">
        <f>I12</f>
        <v>1</v>
      </c>
      <c r="J13" s="57"/>
      <c r="K13" s="49">
        <f t="shared" si="3"/>
        <v>13.49</v>
      </c>
      <c r="L13" s="50">
        <f t="shared" si="4"/>
        <v>52269</v>
      </c>
      <c r="M13" s="1" t="str">
        <f>IF(ROUND(G13,2)=ROUND(SUM(G31:G33),2)," ","CHECK 2. PK-3 Lines Below")</f>
        <v xml:space="preserve"> </v>
      </c>
      <c r="N13" s="51">
        <v>5102</v>
      </c>
      <c r="O13" s="58" t="s">
        <v>36</v>
      </c>
      <c r="P13" s="53"/>
      <c r="Q13" s="54"/>
      <c r="V13" s="623" t="s">
        <v>35</v>
      </c>
      <c r="W13" s="623"/>
      <c r="X13" s="618">
        <f>IF('3395'!K$84=1,'3395'!G13,0)</f>
        <v>0</v>
      </c>
      <c r="Y13" s="618"/>
      <c r="Z13" s="624">
        <v>1</v>
      </c>
      <c r="AA13" s="624"/>
      <c r="AB13" s="55">
        <f t="shared" si="0"/>
        <v>0</v>
      </c>
      <c r="AC13" s="56">
        <f t="shared" si="1"/>
        <v>0</v>
      </c>
      <c r="AD13" s="9"/>
    </row>
    <row r="14" spans="1:30" x14ac:dyDescent="0.25">
      <c r="A14" s="1" t="s">
        <v>37</v>
      </c>
      <c r="B14" s="13" t="s">
        <v>38</v>
      </c>
      <c r="C14" s="13"/>
      <c r="D14" s="13">
        <v>0</v>
      </c>
      <c r="E14" s="13">
        <v>0</v>
      </c>
      <c r="F14" s="13">
        <v>0</v>
      </c>
      <c r="G14" s="46">
        <f t="shared" si="2"/>
        <v>0</v>
      </c>
      <c r="H14" s="47"/>
      <c r="I14" s="57">
        <v>1.0109999999999999</v>
      </c>
      <c r="J14" s="57"/>
      <c r="K14" s="49">
        <f t="shared" si="3"/>
        <v>0</v>
      </c>
      <c r="L14" s="50">
        <f t="shared" si="4"/>
        <v>0</v>
      </c>
      <c r="N14" s="51">
        <v>5103</v>
      </c>
      <c r="O14" s="52">
        <v>103</v>
      </c>
      <c r="P14" s="53"/>
      <c r="Q14" s="54"/>
      <c r="V14" s="623" t="s">
        <v>38</v>
      </c>
      <c r="W14" s="623"/>
      <c r="X14" s="618">
        <f>IF('3395'!K$84=1,'3395'!G14,0)</f>
        <v>0</v>
      </c>
      <c r="Y14" s="618"/>
      <c r="Z14" s="624">
        <v>1</v>
      </c>
      <c r="AA14" s="624"/>
      <c r="AB14" s="55">
        <f t="shared" si="0"/>
        <v>0</v>
      </c>
      <c r="AC14" s="56">
        <f t="shared" si="1"/>
        <v>0</v>
      </c>
      <c r="AD14" s="9"/>
    </row>
    <row r="15" spans="1:30" x14ac:dyDescent="0.25">
      <c r="A15" s="1" t="s">
        <v>39</v>
      </c>
      <c r="B15" s="13" t="s">
        <v>40</v>
      </c>
      <c r="C15" s="13"/>
      <c r="D15" s="13">
        <v>0</v>
      </c>
      <c r="E15" s="13">
        <v>0</v>
      </c>
      <c r="F15" s="13">
        <v>0</v>
      </c>
      <c r="G15" s="46">
        <f t="shared" si="2"/>
        <v>0</v>
      </c>
      <c r="H15" s="47"/>
      <c r="I15" s="57">
        <f>I14</f>
        <v>1.0109999999999999</v>
      </c>
      <c r="J15" s="57"/>
      <c r="K15" s="49">
        <f t="shared" si="3"/>
        <v>0</v>
      </c>
      <c r="L15" s="59">
        <f t="shared" si="4"/>
        <v>0</v>
      </c>
      <c r="M15" s="1" t="str">
        <f>IF(ROUND(G15,2)=ROUND(SUM(G34:G36),2)," ","CHECK 2. PK-3 Lines Below")</f>
        <v xml:space="preserve"> </v>
      </c>
      <c r="N15" s="51">
        <v>5103</v>
      </c>
      <c r="O15" s="58" t="s">
        <v>41</v>
      </c>
      <c r="P15" s="53"/>
      <c r="Q15" s="54"/>
      <c r="V15" s="623" t="s">
        <v>40</v>
      </c>
      <c r="W15" s="623"/>
      <c r="X15" s="618">
        <f>IF('3395'!K$84=1,'3395'!G15,0)</f>
        <v>0</v>
      </c>
      <c r="Y15" s="618"/>
      <c r="Z15" s="624">
        <v>1</v>
      </c>
      <c r="AA15" s="624"/>
      <c r="AB15" s="55">
        <f t="shared" si="0"/>
        <v>0</v>
      </c>
      <c r="AC15" s="60">
        <f t="shared" si="1"/>
        <v>0</v>
      </c>
      <c r="AD15" s="9"/>
    </row>
    <row r="16" spans="1:30" x14ac:dyDescent="0.25">
      <c r="A16" s="1" t="s">
        <v>42</v>
      </c>
      <c r="B16" s="13" t="s">
        <v>43</v>
      </c>
      <c r="C16" s="13"/>
      <c r="D16" s="13">
        <v>0</v>
      </c>
      <c r="E16" s="13">
        <v>0</v>
      </c>
      <c r="F16" s="13">
        <v>0</v>
      </c>
      <c r="G16" s="46">
        <f t="shared" si="2"/>
        <v>0</v>
      </c>
      <c r="H16" s="47"/>
      <c r="I16" s="57">
        <v>3.5579999999999998</v>
      </c>
      <c r="J16" s="57"/>
      <c r="K16" s="49">
        <f t="shared" si="3"/>
        <v>0</v>
      </c>
      <c r="L16" s="50">
        <f t="shared" si="4"/>
        <v>0</v>
      </c>
      <c r="N16" s="51">
        <v>5101</v>
      </c>
      <c r="O16" s="53">
        <v>254</v>
      </c>
      <c r="P16" s="53"/>
      <c r="Q16" s="54"/>
      <c r="V16" s="623" t="s">
        <v>43</v>
      </c>
      <c r="W16" s="623"/>
      <c r="X16" s="618">
        <f>IF('3395'!K$84=1,'3395'!G16,0)</f>
        <v>0</v>
      </c>
      <c r="Y16" s="618"/>
      <c r="Z16" s="624">
        <v>1</v>
      </c>
      <c r="AA16" s="624"/>
      <c r="AB16" s="55">
        <f t="shared" si="0"/>
        <v>0</v>
      </c>
      <c r="AC16" s="56">
        <f t="shared" si="1"/>
        <v>0</v>
      </c>
      <c r="AD16" s="9"/>
    </row>
    <row r="17" spans="1:30" x14ac:dyDescent="0.25">
      <c r="A17" s="1" t="s">
        <v>44</v>
      </c>
      <c r="B17" s="13" t="s">
        <v>45</v>
      </c>
      <c r="C17" s="13"/>
      <c r="D17" s="13">
        <v>0</v>
      </c>
      <c r="E17" s="13">
        <v>0</v>
      </c>
      <c r="F17" s="13">
        <v>0</v>
      </c>
      <c r="G17" s="46">
        <f t="shared" si="2"/>
        <v>0</v>
      </c>
      <c r="H17" s="47"/>
      <c r="I17" s="57">
        <f>I16</f>
        <v>3.5579999999999998</v>
      </c>
      <c r="J17" s="57"/>
      <c r="K17" s="49">
        <f t="shared" si="3"/>
        <v>0</v>
      </c>
      <c r="L17" s="50">
        <f t="shared" si="4"/>
        <v>0</v>
      </c>
      <c r="N17" s="51">
        <v>5102</v>
      </c>
      <c r="O17" s="54">
        <v>254</v>
      </c>
      <c r="P17" s="53"/>
      <c r="Q17" s="54"/>
      <c r="V17" s="623" t="s">
        <v>45</v>
      </c>
      <c r="W17" s="623"/>
      <c r="X17" s="618">
        <f>IF('3395'!K$84=1,'3395'!G17,0)</f>
        <v>0</v>
      </c>
      <c r="Y17" s="618"/>
      <c r="Z17" s="624">
        <v>1</v>
      </c>
      <c r="AA17" s="624"/>
      <c r="AB17" s="55">
        <f t="shared" si="0"/>
        <v>0</v>
      </c>
      <c r="AC17" s="56">
        <f t="shared" si="1"/>
        <v>0</v>
      </c>
      <c r="AD17" s="9"/>
    </row>
    <row r="18" spans="1:30" x14ac:dyDescent="0.25">
      <c r="A18" s="1" t="s">
        <v>46</v>
      </c>
      <c r="B18" s="13" t="s">
        <v>47</v>
      </c>
      <c r="C18" s="13"/>
      <c r="D18" s="13">
        <v>0</v>
      </c>
      <c r="E18" s="13">
        <v>0</v>
      </c>
      <c r="F18" s="13">
        <v>0</v>
      </c>
      <c r="G18" s="46">
        <f t="shared" si="2"/>
        <v>0</v>
      </c>
      <c r="H18" s="47"/>
      <c r="I18" s="57">
        <f>I17</f>
        <v>3.5579999999999998</v>
      </c>
      <c r="J18" s="57"/>
      <c r="K18" s="49">
        <f t="shared" si="3"/>
        <v>0</v>
      </c>
      <c r="L18" s="50">
        <f t="shared" si="4"/>
        <v>0</v>
      </c>
      <c r="N18" s="51">
        <v>5103</v>
      </c>
      <c r="O18" s="54">
        <v>254</v>
      </c>
      <c r="P18" s="53"/>
      <c r="Q18" s="54"/>
      <c r="V18" s="623" t="s">
        <v>47</v>
      </c>
      <c r="W18" s="623"/>
      <c r="X18" s="618">
        <f>IF('3395'!K$84=1,'3395'!G18,0)</f>
        <v>0</v>
      </c>
      <c r="Y18" s="618"/>
      <c r="Z18" s="624">
        <v>1</v>
      </c>
      <c r="AA18" s="624"/>
      <c r="AB18" s="55">
        <f t="shared" si="0"/>
        <v>0</v>
      </c>
      <c r="AC18" s="56">
        <f t="shared" si="1"/>
        <v>0</v>
      </c>
      <c r="AD18" s="9"/>
    </row>
    <row r="19" spans="1:30" ht="15" customHeight="1" x14ac:dyDescent="0.25">
      <c r="A19" s="1" t="s">
        <v>48</v>
      </c>
      <c r="B19" s="13" t="s">
        <v>49</v>
      </c>
      <c r="C19" s="13"/>
      <c r="D19" s="13">
        <v>0</v>
      </c>
      <c r="E19" s="13">
        <v>0</v>
      </c>
      <c r="F19" s="13">
        <v>0</v>
      </c>
      <c r="G19" s="46">
        <f t="shared" si="2"/>
        <v>0</v>
      </c>
      <c r="H19" s="47"/>
      <c r="I19" s="57">
        <v>5.0890000000000004</v>
      </c>
      <c r="J19" s="57"/>
      <c r="K19" s="49">
        <f t="shared" si="3"/>
        <v>0</v>
      </c>
      <c r="L19" s="50">
        <f t="shared" si="4"/>
        <v>0</v>
      </c>
      <c r="N19" s="51">
        <v>5101</v>
      </c>
      <c r="O19" s="53">
        <v>255</v>
      </c>
      <c r="P19" s="53"/>
      <c r="Q19" s="54"/>
      <c r="V19" s="623" t="s">
        <v>49</v>
      </c>
      <c r="W19" s="623"/>
      <c r="X19" s="618">
        <f>IF('3395'!K$84=1,'3395'!G19,0)</f>
        <v>0</v>
      </c>
      <c r="Y19" s="618"/>
      <c r="Z19" s="624">
        <v>1</v>
      </c>
      <c r="AA19" s="624"/>
      <c r="AB19" s="55">
        <f t="shared" si="0"/>
        <v>0</v>
      </c>
      <c r="AC19" s="56">
        <f t="shared" si="1"/>
        <v>0</v>
      </c>
      <c r="AD19" s="9"/>
    </row>
    <row r="20" spans="1:30" ht="15" customHeight="1" x14ac:dyDescent="0.25">
      <c r="A20" s="1" t="s">
        <v>50</v>
      </c>
      <c r="B20" s="13" t="s">
        <v>51</v>
      </c>
      <c r="C20" s="13"/>
      <c r="D20" s="13">
        <v>0</v>
      </c>
      <c r="E20" s="13">
        <v>0</v>
      </c>
      <c r="F20" s="13">
        <v>0</v>
      </c>
      <c r="G20" s="46">
        <f t="shared" si="2"/>
        <v>0</v>
      </c>
      <c r="H20" s="47"/>
      <c r="I20" s="57">
        <f>I19</f>
        <v>5.0890000000000004</v>
      </c>
      <c r="J20" s="57"/>
      <c r="K20" s="49">
        <f t="shared" si="3"/>
        <v>0</v>
      </c>
      <c r="L20" s="50">
        <f t="shared" si="4"/>
        <v>0</v>
      </c>
      <c r="N20" s="51">
        <v>5102</v>
      </c>
      <c r="O20" s="54">
        <v>255</v>
      </c>
      <c r="P20" s="53"/>
      <c r="Q20" s="54"/>
      <c r="V20" s="623" t="s">
        <v>51</v>
      </c>
      <c r="W20" s="623"/>
      <c r="X20" s="618">
        <f>IF('3395'!K$84=1,'3395'!G20,0)</f>
        <v>0</v>
      </c>
      <c r="Y20" s="618"/>
      <c r="Z20" s="624">
        <v>1</v>
      </c>
      <c r="AA20" s="624"/>
      <c r="AB20" s="55">
        <f t="shared" si="0"/>
        <v>0</v>
      </c>
      <c r="AC20" s="56">
        <f t="shared" si="1"/>
        <v>0</v>
      </c>
      <c r="AD20" s="9"/>
    </row>
    <row r="21" spans="1:30" ht="15" customHeight="1" x14ac:dyDescent="0.25">
      <c r="A21" s="1" t="s">
        <v>52</v>
      </c>
      <c r="B21" s="13" t="s">
        <v>53</v>
      </c>
      <c r="C21" s="13"/>
      <c r="D21" s="13">
        <v>0</v>
      </c>
      <c r="E21" s="13">
        <v>0</v>
      </c>
      <c r="F21" s="13">
        <v>0</v>
      </c>
      <c r="G21" s="46">
        <f t="shared" si="2"/>
        <v>0</v>
      </c>
      <c r="H21" s="47"/>
      <c r="I21" s="57">
        <f>I20</f>
        <v>5.0890000000000004</v>
      </c>
      <c r="J21" s="57"/>
      <c r="K21" s="49">
        <f t="shared" si="3"/>
        <v>0</v>
      </c>
      <c r="L21" s="50">
        <f t="shared" si="4"/>
        <v>0</v>
      </c>
      <c r="N21" s="51">
        <v>5103</v>
      </c>
      <c r="O21" s="54">
        <v>255</v>
      </c>
      <c r="P21" s="53"/>
      <c r="Q21" s="54"/>
      <c r="V21" s="623" t="s">
        <v>53</v>
      </c>
      <c r="W21" s="623"/>
      <c r="X21" s="618">
        <f>IF('3395'!K$84=1,'3395'!G21,0)</f>
        <v>0</v>
      </c>
      <c r="Y21" s="618"/>
      <c r="Z21" s="624">
        <v>1</v>
      </c>
      <c r="AA21" s="624"/>
      <c r="AB21" s="55">
        <f t="shared" si="0"/>
        <v>0</v>
      </c>
      <c r="AC21" s="56">
        <f t="shared" si="1"/>
        <v>0</v>
      </c>
      <c r="AD21" s="9"/>
    </row>
    <row r="22" spans="1:30" x14ac:dyDescent="0.25">
      <c r="A22" s="1" t="s">
        <v>54</v>
      </c>
      <c r="B22" s="13" t="s">
        <v>55</v>
      </c>
      <c r="C22" s="13"/>
      <c r="D22" s="13">
        <v>8.02</v>
      </c>
      <c r="E22" s="13">
        <v>8.4600000000000009</v>
      </c>
      <c r="F22" s="13">
        <v>8.74</v>
      </c>
      <c r="G22" s="46">
        <f t="shared" si="2"/>
        <v>16.48</v>
      </c>
      <c r="H22" s="47"/>
      <c r="I22" s="57">
        <v>1.145</v>
      </c>
      <c r="J22" s="57"/>
      <c r="K22" s="49">
        <f t="shared" si="3"/>
        <v>18.869599999999998</v>
      </c>
      <c r="L22" s="50">
        <f t="shared" si="4"/>
        <v>73113</v>
      </c>
      <c r="N22" s="51">
        <v>5101</v>
      </c>
      <c r="O22" s="52">
        <v>130</v>
      </c>
      <c r="P22" s="53"/>
      <c r="Q22" s="54"/>
      <c r="V22" s="623" t="s">
        <v>55</v>
      </c>
      <c r="W22" s="623"/>
      <c r="X22" s="618">
        <f>IF('3395'!K$84=1,'3395'!G22,0)</f>
        <v>0</v>
      </c>
      <c r="Y22" s="618"/>
      <c r="Z22" s="624">
        <v>1</v>
      </c>
      <c r="AA22" s="624"/>
      <c r="AB22" s="55">
        <f t="shared" si="0"/>
        <v>0</v>
      </c>
      <c r="AC22" s="56">
        <f t="shared" si="1"/>
        <v>0</v>
      </c>
      <c r="AD22" s="9"/>
    </row>
    <row r="23" spans="1:30" x14ac:dyDescent="0.25">
      <c r="A23" s="1" t="s">
        <v>56</v>
      </c>
      <c r="B23" s="13" t="s">
        <v>57</v>
      </c>
      <c r="C23" s="13"/>
      <c r="D23" s="13">
        <v>0</v>
      </c>
      <c r="E23" s="13">
        <v>0</v>
      </c>
      <c r="F23" s="13">
        <v>0</v>
      </c>
      <c r="G23" s="46">
        <f t="shared" si="2"/>
        <v>0</v>
      </c>
      <c r="H23" s="47"/>
      <c r="I23" s="57">
        <f>I22</f>
        <v>1.145</v>
      </c>
      <c r="J23" s="57"/>
      <c r="K23" s="49">
        <f t="shared" si="3"/>
        <v>0</v>
      </c>
      <c r="L23" s="50">
        <f t="shared" si="4"/>
        <v>0</v>
      </c>
      <c r="N23" s="51">
        <v>5102</v>
      </c>
      <c r="O23" s="52">
        <v>130</v>
      </c>
      <c r="P23" s="53"/>
      <c r="Q23" s="54"/>
      <c r="V23" s="623" t="s">
        <v>57</v>
      </c>
      <c r="W23" s="623"/>
      <c r="X23" s="618">
        <f>IF('3395'!K$84=1,'3395'!G23,0)</f>
        <v>0</v>
      </c>
      <c r="Y23" s="618"/>
      <c r="Z23" s="624">
        <v>1</v>
      </c>
      <c r="AA23" s="624"/>
      <c r="AB23" s="55">
        <f t="shared" si="0"/>
        <v>0</v>
      </c>
      <c r="AC23" s="56">
        <f t="shared" si="1"/>
        <v>0</v>
      </c>
      <c r="AD23" s="9"/>
    </row>
    <row r="24" spans="1:30" x14ac:dyDescent="0.25">
      <c r="A24" s="1" t="s">
        <v>58</v>
      </c>
      <c r="B24" s="13" t="s">
        <v>59</v>
      </c>
      <c r="C24" s="13"/>
      <c r="D24" s="13">
        <v>0</v>
      </c>
      <c r="E24" s="13">
        <v>0</v>
      </c>
      <c r="F24" s="13">
        <v>0</v>
      </c>
      <c r="G24" s="46">
        <f t="shared" si="2"/>
        <v>0</v>
      </c>
      <c r="H24" s="47"/>
      <c r="I24" s="57">
        <f>I23</f>
        <v>1.145</v>
      </c>
      <c r="J24" s="57"/>
      <c r="K24" s="49">
        <f t="shared" si="3"/>
        <v>0</v>
      </c>
      <c r="L24" s="50">
        <f t="shared" si="4"/>
        <v>0</v>
      </c>
      <c r="N24" s="51">
        <v>5103</v>
      </c>
      <c r="O24" s="52">
        <v>130</v>
      </c>
      <c r="P24" s="53"/>
      <c r="Q24" s="54"/>
      <c r="V24" s="623" t="s">
        <v>59</v>
      </c>
      <c r="W24" s="623"/>
      <c r="X24" s="618">
        <f>IF('3395'!K$84=1,'3395'!G24,0)</f>
        <v>0</v>
      </c>
      <c r="Y24" s="618"/>
      <c r="Z24" s="624">
        <v>1</v>
      </c>
      <c r="AA24" s="624"/>
      <c r="AB24" s="55">
        <f t="shared" si="0"/>
        <v>0</v>
      </c>
      <c r="AC24" s="56">
        <f t="shared" si="1"/>
        <v>0</v>
      </c>
      <c r="AD24" s="9"/>
    </row>
    <row r="25" spans="1:30" ht="16.5" thickBot="1" x14ac:dyDescent="0.3">
      <c r="A25" s="1" t="s">
        <v>60</v>
      </c>
      <c r="B25" s="13" t="s">
        <v>61</v>
      </c>
      <c r="C25" s="13"/>
      <c r="D25" s="13">
        <v>0</v>
      </c>
      <c r="E25" s="13">
        <v>0</v>
      </c>
      <c r="F25" s="13">
        <v>0</v>
      </c>
      <c r="G25" s="46">
        <f t="shared" si="2"/>
        <v>0</v>
      </c>
      <c r="H25" s="47"/>
      <c r="I25" s="57">
        <v>1.0109999999999999</v>
      </c>
      <c r="J25" s="57"/>
      <c r="K25" s="49">
        <f t="shared" si="3"/>
        <v>0</v>
      </c>
      <c r="L25" s="50">
        <f t="shared" si="4"/>
        <v>0</v>
      </c>
      <c r="N25" s="51">
        <v>5310</v>
      </c>
      <c r="O25" s="52">
        <v>300</v>
      </c>
      <c r="P25" s="53"/>
      <c r="Q25" s="54"/>
      <c r="V25" s="623" t="s">
        <v>61</v>
      </c>
      <c r="W25" s="623"/>
      <c r="X25" s="618">
        <f>IF('3395'!K$84=1,'3395'!G25,0)</f>
        <v>0</v>
      </c>
      <c r="Y25" s="618"/>
      <c r="Z25" s="624">
        <v>1</v>
      </c>
      <c r="AA25" s="624"/>
      <c r="AB25" s="55">
        <f t="shared" si="0"/>
        <v>0</v>
      </c>
      <c r="AC25" s="56">
        <f t="shared" si="1"/>
        <v>0</v>
      </c>
      <c r="AD25" s="9"/>
    </row>
    <row r="26" spans="1:30" ht="20.25" customHeight="1" thickBot="1" x14ac:dyDescent="0.3">
      <c r="B26" s="62" t="s">
        <v>62</v>
      </c>
      <c r="C26" s="62"/>
      <c r="D26" s="63">
        <f t="shared" ref="D26:E26" si="5">SUM(D10:D25)</f>
        <v>259.48</v>
      </c>
      <c r="E26" s="63">
        <f t="shared" si="5"/>
        <v>258.03000000000003</v>
      </c>
      <c r="F26" s="63"/>
      <c r="G26" s="63">
        <f>SUM(G10:G25)</f>
        <v>517.51</v>
      </c>
      <c r="H26" s="64"/>
      <c r="I26" s="64"/>
      <c r="J26" s="65"/>
      <c r="K26" s="66">
        <f>SUM(K10:K25)</f>
        <v>563.99209999999994</v>
      </c>
      <c r="L26" s="67">
        <f>SUM(L10:L25)</f>
        <v>2185258</v>
      </c>
      <c r="N26" s="54"/>
      <c r="O26" s="68"/>
      <c r="P26" s="54"/>
      <c r="Q26" s="54"/>
      <c r="V26" s="625" t="s">
        <v>62</v>
      </c>
      <c r="W26" s="625"/>
      <c r="X26" s="626">
        <f>SUM(X10:X25)</f>
        <v>0</v>
      </c>
      <c r="Y26" s="626"/>
      <c r="Z26" s="627"/>
      <c r="AA26" s="628"/>
      <c r="AB26" s="69">
        <f>SUM(AB10:AB25)</f>
        <v>0</v>
      </c>
      <c r="AC26" s="70">
        <f>SUM(AC10:AC25)</f>
        <v>0</v>
      </c>
      <c r="AD26" s="9"/>
    </row>
    <row r="27" spans="1:30" ht="51.75" customHeight="1" x14ac:dyDescent="0.25">
      <c r="B27" s="62" t="s">
        <v>63</v>
      </c>
      <c r="C27" s="62"/>
      <c r="D27" s="71" t="s">
        <v>13</v>
      </c>
      <c r="E27" s="71" t="s">
        <v>14</v>
      </c>
      <c r="F27" s="27"/>
      <c r="G27" s="72" t="s">
        <v>64</v>
      </c>
      <c r="H27" s="73"/>
      <c r="I27" s="74" t="s">
        <v>65</v>
      </c>
      <c r="J27" s="74" t="s">
        <v>66</v>
      </c>
      <c r="K27" s="75" t="s">
        <v>67</v>
      </c>
      <c r="N27" s="54"/>
      <c r="O27" s="68"/>
      <c r="P27" s="54"/>
      <c r="Q27" s="54"/>
      <c r="V27" s="629" t="s">
        <v>63</v>
      </c>
      <c r="W27" s="629"/>
      <c r="X27" s="630" t="s">
        <v>64</v>
      </c>
      <c r="Y27" s="630"/>
      <c r="Z27" s="76" t="s">
        <v>65</v>
      </c>
      <c r="AA27" s="77" t="s">
        <v>66</v>
      </c>
      <c r="AB27" s="78" t="s">
        <v>67</v>
      </c>
      <c r="AC27" s="9"/>
      <c r="AD27" s="9"/>
    </row>
    <row r="28" spans="1:30" ht="15.75" customHeight="1" x14ac:dyDescent="0.25">
      <c r="A28" s="1" t="s">
        <v>68</v>
      </c>
      <c r="B28" s="631" t="s">
        <v>69</v>
      </c>
      <c r="C28" s="632"/>
      <c r="D28" s="13">
        <v>18.48</v>
      </c>
      <c r="E28" s="13">
        <v>19.02</v>
      </c>
      <c r="F28" s="79">
        <v>13.5</v>
      </c>
      <c r="G28" s="46">
        <f t="shared" ref="G28:G36" si="6">D28+E28</f>
        <v>37.5</v>
      </c>
      <c r="H28" s="80"/>
      <c r="I28" s="81" t="s">
        <v>70</v>
      </c>
      <c r="J28" s="82">
        <v>251</v>
      </c>
      <c r="K28" s="83">
        <v>1047</v>
      </c>
      <c r="L28" s="84">
        <f>ROUND(G28*K28,0)</f>
        <v>39263</v>
      </c>
      <c r="N28" s="85">
        <v>5101</v>
      </c>
      <c r="O28" s="54">
        <v>251</v>
      </c>
      <c r="P28" s="86"/>
      <c r="Q28" s="87"/>
      <c r="V28" s="637" t="s">
        <v>69</v>
      </c>
      <c r="W28" s="637"/>
      <c r="X28" s="638"/>
      <c r="Y28" s="638"/>
      <c r="Z28" s="88" t="s">
        <v>70</v>
      </c>
      <c r="AA28" s="89">
        <v>251</v>
      </c>
      <c r="AB28" s="90">
        <f>+K28</f>
        <v>1047</v>
      </c>
      <c r="AC28" s="91">
        <f t="shared" ref="AC28:AC36" si="7">ROUND(X28*AB28,0)</f>
        <v>0</v>
      </c>
      <c r="AD28" s="9"/>
    </row>
    <row r="29" spans="1:30" x14ac:dyDescent="0.25">
      <c r="A29" s="1" t="s">
        <v>71</v>
      </c>
      <c r="B29" s="633"/>
      <c r="C29" s="634"/>
      <c r="D29" s="13">
        <v>0.5</v>
      </c>
      <c r="E29" s="13">
        <v>1</v>
      </c>
      <c r="F29" s="92">
        <v>0.5</v>
      </c>
      <c r="G29" s="46">
        <f t="shared" si="6"/>
        <v>1.5</v>
      </c>
      <c r="H29" s="80"/>
      <c r="I29" s="82" t="s">
        <v>70</v>
      </c>
      <c r="J29" s="82">
        <v>252</v>
      </c>
      <c r="K29" s="83">
        <v>3380</v>
      </c>
      <c r="L29" s="84">
        <f t="shared" ref="L29:L36" si="8">ROUND(G29*K29,0)</f>
        <v>5070</v>
      </c>
      <c r="N29" s="85">
        <v>5101</v>
      </c>
      <c r="O29" s="54">
        <v>252</v>
      </c>
      <c r="P29" s="86"/>
      <c r="Q29" s="87"/>
      <c r="V29" s="637"/>
      <c r="W29" s="637"/>
      <c r="X29" s="638"/>
      <c r="Y29" s="638"/>
      <c r="Z29" s="89" t="s">
        <v>70</v>
      </c>
      <c r="AA29" s="89">
        <v>252</v>
      </c>
      <c r="AB29" s="90">
        <f t="shared" ref="AB29:AB36" si="9">+K29</f>
        <v>3380</v>
      </c>
      <c r="AC29" s="91">
        <f t="shared" si="7"/>
        <v>0</v>
      </c>
      <c r="AD29" s="9"/>
    </row>
    <row r="30" spans="1:30" x14ac:dyDescent="0.25">
      <c r="A30" s="1" t="s">
        <v>72</v>
      </c>
      <c r="B30" s="633"/>
      <c r="C30" s="634"/>
      <c r="D30" s="13">
        <v>0</v>
      </c>
      <c r="E30" s="13">
        <v>0</v>
      </c>
      <c r="F30" s="92">
        <v>0</v>
      </c>
      <c r="G30" s="46">
        <f t="shared" si="6"/>
        <v>0</v>
      </c>
      <c r="H30" s="80"/>
      <c r="I30" s="82" t="s">
        <v>70</v>
      </c>
      <c r="J30" s="82">
        <v>253</v>
      </c>
      <c r="K30" s="83">
        <v>6896</v>
      </c>
      <c r="L30" s="84">
        <f t="shared" si="8"/>
        <v>0</v>
      </c>
      <c r="N30" s="85">
        <v>5101</v>
      </c>
      <c r="O30" s="54">
        <v>253</v>
      </c>
      <c r="P30" s="86"/>
      <c r="Q30" s="68"/>
      <c r="V30" s="637"/>
      <c r="W30" s="637"/>
      <c r="X30" s="638"/>
      <c r="Y30" s="638"/>
      <c r="Z30" s="89" t="s">
        <v>70</v>
      </c>
      <c r="AA30" s="89">
        <v>253</v>
      </c>
      <c r="AB30" s="90">
        <f t="shared" si="9"/>
        <v>6896</v>
      </c>
      <c r="AC30" s="91">
        <f t="shared" si="7"/>
        <v>0</v>
      </c>
      <c r="AD30" s="9"/>
    </row>
    <row r="31" spans="1:30" x14ac:dyDescent="0.25">
      <c r="A31" s="1" t="s">
        <v>73</v>
      </c>
      <c r="B31" s="633"/>
      <c r="C31" s="634"/>
      <c r="D31" s="13">
        <v>7</v>
      </c>
      <c r="E31" s="13">
        <v>6.49</v>
      </c>
      <c r="F31" s="92">
        <v>10.46</v>
      </c>
      <c r="G31" s="46">
        <f t="shared" si="6"/>
        <v>13.49</v>
      </c>
      <c r="H31" s="80"/>
      <c r="I31" s="93" t="s">
        <v>74</v>
      </c>
      <c r="J31" s="82">
        <v>251</v>
      </c>
      <c r="K31" s="83">
        <v>1173</v>
      </c>
      <c r="L31" s="84">
        <f t="shared" si="8"/>
        <v>15824</v>
      </c>
      <c r="N31" s="85">
        <v>5102</v>
      </c>
      <c r="O31" s="54">
        <v>251</v>
      </c>
      <c r="P31" s="86"/>
      <c r="Q31" s="68"/>
      <c r="V31" s="637"/>
      <c r="W31" s="637"/>
      <c r="X31" s="638"/>
      <c r="Y31" s="638"/>
      <c r="Z31" s="94" t="s">
        <v>74</v>
      </c>
      <c r="AA31" s="89">
        <v>251</v>
      </c>
      <c r="AB31" s="90">
        <f t="shared" si="9"/>
        <v>1173</v>
      </c>
      <c r="AC31" s="91">
        <f t="shared" si="7"/>
        <v>0</v>
      </c>
      <c r="AD31" s="9"/>
    </row>
    <row r="32" spans="1:30" x14ac:dyDescent="0.25">
      <c r="A32" s="1" t="s">
        <v>75</v>
      </c>
      <c r="B32" s="633"/>
      <c r="C32" s="634"/>
      <c r="D32" s="13">
        <v>0</v>
      </c>
      <c r="E32" s="13">
        <v>0</v>
      </c>
      <c r="F32" s="92">
        <v>0</v>
      </c>
      <c r="G32" s="46">
        <f t="shared" si="6"/>
        <v>0</v>
      </c>
      <c r="H32" s="80"/>
      <c r="I32" s="93" t="s">
        <v>74</v>
      </c>
      <c r="J32" s="82">
        <v>252</v>
      </c>
      <c r="K32" s="83">
        <v>3506</v>
      </c>
      <c r="L32" s="84">
        <f t="shared" si="8"/>
        <v>0</v>
      </c>
      <c r="N32" s="85">
        <v>5102</v>
      </c>
      <c r="O32" s="54">
        <v>252</v>
      </c>
      <c r="P32" s="86"/>
      <c r="Q32" s="54"/>
      <c r="V32" s="637"/>
      <c r="W32" s="637"/>
      <c r="X32" s="638"/>
      <c r="Y32" s="638"/>
      <c r="Z32" s="94" t="s">
        <v>74</v>
      </c>
      <c r="AA32" s="89">
        <v>252</v>
      </c>
      <c r="AB32" s="90">
        <f t="shared" si="9"/>
        <v>3506</v>
      </c>
      <c r="AC32" s="91">
        <f t="shared" si="7"/>
        <v>0</v>
      </c>
      <c r="AD32" s="9"/>
    </row>
    <row r="33" spans="1:30" x14ac:dyDescent="0.25">
      <c r="A33" s="1" t="s">
        <v>76</v>
      </c>
      <c r="B33" s="633"/>
      <c r="C33" s="634"/>
      <c r="D33" s="13">
        <v>0</v>
      </c>
      <c r="E33" s="13">
        <v>0</v>
      </c>
      <c r="F33" s="92">
        <v>0</v>
      </c>
      <c r="G33" s="46">
        <f t="shared" si="6"/>
        <v>0</v>
      </c>
      <c r="H33" s="80"/>
      <c r="I33" s="93" t="s">
        <v>74</v>
      </c>
      <c r="J33" s="82">
        <v>253</v>
      </c>
      <c r="K33" s="83">
        <v>7023</v>
      </c>
      <c r="L33" s="84">
        <f t="shared" si="8"/>
        <v>0</v>
      </c>
      <c r="N33" s="85">
        <v>5102</v>
      </c>
      <c r="O33" s="54">
        <v>253</v>
      </c>
      <c r="P33" s="86"/>
      <c r="Q33" s="87"/>
      <c r="V33" s="637"/>
      <c r="W33" s="637"/>
      <c r="X33" s="638"/>
      <c r="Y33" s="638"/>
      <c r="Z33" s="94" t="s">
        <v>74</v>
      </c>
      <c r="AA33" s="89">
        <v>253</v>
      </c>
      <c r="AB33" s="90">
        <f t="shared" si="9"/>
        <v>7023</v>
      </c>
      <c r="AC33" s="91">
        <f t="shared" si="7"/>
        <v>0</v>
      </c>
      <c r="AD33" s="9"/>
    </row>
    <row r="34" spans="1:30" x14ac:dyDescent="0.25">
      <c r="A34" s="1" t="s">
        <v>77</v>
      </c>
      <c r="B34" s="633"/>
      <c r="C34" s="634"/>
      <c r="D34" s="13">
        <v>0</v>
      </c>
      <c r="E34" s="13">
        <v>0</v>
      </c>
      <c r="F34" s="92">
        <v>0</v>
      </c>
      <c r="G34" s="46">
        <f t="shared" si="6"/>
        <v>0</v>
      </c>
      <c r="H34" s="80"/>
      <c r="I34" s="93" t="s">
        <v>78</v>
      </c>
      <c r="J34" s="82">
        <v>251</v>
      </c>
      <c r="K34" s="83">
        <v>835</v>
      </c>
      <c r="L34" s="84">
        <f t="shared" si="8"/>
        <v>0</v>
      </c>
      <c r="N34" s="85">
        <v>5103</v>
      </c>
      <c r="O34" s="54">
        <v>251</v>
      </c>
      <c r="P34" s="86"/>
      <c r="Q34" s="87"/>
      <c r="V34" s="637"/>
      <c r="W34" s="637"/>
      <c r="X34" s="638"/>
      <c r="Y34" s="638"/>
      <c r="Z34" s="94" t="s">
        <v>78</v>
      </c>
      <c r="AA34" s="89">
        <v>251</v>
      </c>
      <c r="AB34" s="90">
        <f t="shared" si="9"/>
        <v>835</v>
      </c>
      <c r="AC34" s="91">
        <f t="shared" si="7"/>
        <v>0</v>
      </c>
      <c r="AD34" s="9"/>
    </row>
    <row r="35" spans="1:30" x14ac:dyDescent="0.25">
      <c r="A35" s="1" t="s">
        <v>79</v>
      </c>
      <c r="B35" s="633"/>
      <c r="C35" s="634"/>
      <c r="D35" s="13">
        <v>0</v>
      </c>
      <c r="E35" s="13">
        <v>0</v>
      </c>
      <c r="F35" s="92">
        <v>0</v>
      </c>
      <c r="G35" s="46">
        <f t="shared" si="6"/>
        <v>0</v>
      </c>
      <c r="H35" s="80"/>
      <c r="I35" s="93" t="s">
        <v>78</v>
      </c>
      <c r="J35" s="82">
        <v>252</v>
      </c>
      <c r="K35" s="83">
        <v>3168</v>
      </c>
      <c r="L35" s="84">
        <f t="shared" si="8"/>
        <v>0</v>
      </c>
      <c r="N35" s="85">
        <v>5103</v>
      </c>
      <c r="O35" s="54">
        <v>252</v>
      </c>
      <c r="P35" s="86"/>
      <c r="Q35" s="95"/>
      <c r="V35" s="637"/>
      <c r="W35" s="637"/>
      <c r="X35" s="638"/>
      <c r="Y35" s="638"/>
      <c r="Z35" s="94" t="s">
        <v>78</v>
      </c>
      <c r="AA35" s="89">
        <v>252</v>
      </c>
      <c r="AB35" s="90">
        <f t="shared" si="9"/>
        <v>3168</v>
      </c>
      <c r="AC35" s="91">
        <f t="shared" si="7"/>
        <v>0</v>
      </c>
      <c r="AD35" s="9"/>
    </row>
    <row r="36" spans="1:30" ht="16.5" thickBot="1" x14ac:dyDescent="0.3">
      <c r="A36" s="1" t="s">
        <v>80</v>
      </c>
      <c r="B36" s="635"/>
      <c r="C36" s="636"/>
      <c r="D36" s="13">
        <v>0</v>
      </c>
      <c r="E36" s="13">
        <v>0</v>
      </c>
      <c r="F36" s="92">
        <v>0</v>
      </c>
      <c r="G36" s="46">
        <f t="shared" si="6"/>
        <v>0</v>
      </c>
      <c r="H36" s="80"/>
      <c r="I36" s="93" t="s">
        <v>78</v>
      </c>
      <c r="J36" s="82">
        <v>253</v>
      </c>
      <c r="K36" s="83">
        <v>6685</v>
      </c>
      <c r="L36" s="96">
        <f t="shared" si="8"/>
        <v>0</v>
      </c>
      <c r="N36" s="85">
        <v>5103</v>
      </c>
      <c r="O36" s="54">
        <v>253</v>
      </c>
      <c r="P36" s="86"/>
      <c r="Q36" s="97"/>
      <c r="V36" s="637"/>
      <c r="W36" s="637"/>
      <c r="X36" s="645"/>
      <c r="Y36" s="645"/>
      <c r="Z36" s="94" t="s">
        <v>78</v>
      </c>
      <c r="AA36" s="89">
        <v>253</v>
      </c>
      <c r="AB36" s="90">
        <f t="shared" si="9"/>
        <v>6685</v>
      </c>
      <c r="AC36" s="98">
        <f t="shared" si="7"/>
        <v>0</v>
      </c>
      <c r="AD36" s="9"/>
    </row>
    <row r="37" spans="1:30" ht="18.75" customHeight="1" x14ac:dyDescent="0.25">
      <c r="B37" s="13" t="s">
        <v>81</v>
      </c>
      <c r="C37" s="13"/>
      <c r="D37" s="63">
        <f t="shared" ref="D37:E37" si="10">SUM(D28:D36)</f>
        <v>25.98</v>
      </c>
      <c r="E37" s="63">
        <f t="shared" si="10"/>
        <v>26.509999999999998</v>
      </c>
      <c r="F37" s="63"/>
      <c r="G37" s="63">
        <f>SUM(G28:G36)</f>
        <v>52.49</v>
      </c>
      <c r="H37" s="64"/>
      <c r="I37" s="13" t="s">
        <v>82</v>
      </c>
      <c r="J37" s="13"/>
      <c r="K37" s="13"/>
      <c r="L37" s="50">
        <f>SUM(L28:L36)</f>
        <v>60157</v>
      </c>
      <c r="N37" s="54"/>
      <c r="O37" s="68"/>
      <c r="P37" s="54"/>
      <c r="Q37" s="54"/>
      <c r="V37" s="646" t="s">
        <v>81</v>
      </c>
      <c r="W37" s="646"/>
      <c r="X37" s="626">
        <f>SUM(X28:X36)</f>
        <v>0</v>
      </c>
      <c r="Y37" s="626"/>
      <c r="Z37" s="646" t="s">
        <v>82</v>
      </c>
      <c r="AA37" s="646"/>
      <c r="AB37" s="646"/>
      <c r="AC37" s="56">
        <f>SUM(AC28:AC36)</f>
        <v>0</v>
      </c>
      <c r="AD37" s="9"/>
    </row>
    <row r="38" spans="1:30" ht="30.75" customHeight="1" x14ac:dyDescent="0.25">
      <c r="B38" s="99" t="s">
        <v>83</v>
      </c>
      <c r="C38" s="99"/>
      <c r="D38" s="99"/>
      <c r="E38" s="99"/>
      <c r="F38" s="99"/>
      <c r="G38" s="99"/>
      <c r="H38" s="100"/>
      <c r="I38" s="99"/>
      <c r="J38" s="99"/>
      <c r="K38" s="99"/>
      <c r="L38" s="99"/>
      <c r="M38" s="101"/>
      <c r="N38" s="54"/>
      <c r="O38" s="68"/>
      <c r="P38" s="54"/>
      <c r="Q38" s="54"/>
      <c r="V38" s="639" t="s">
        <v>83</v>
      </c>
      <c r="W38" s="639"/>
      <c r="X38" s="639"/>
      <c r="Y38" s="639"/>
      <c r="Z38" s="639"/>
      <c r="AA38" s="639"/>
      <c r="AB38" s="639"/>
      <c r="AC38" s="639"/>
      <c r="AD38" s="102"/>
    </row>
    <row r="39" spans="1:30" ht="15.75" customHeight="1" x14ac:dyDescent="0.25">
      <c r="B39" s="103" t="s">
        <v>84</v>
      </c>
      <c r="C39" s="103"/>
      <c r="D39" s="103"/>
      <c r="E39" s="103"/>
      <c r="F39" s="103"/>
      <c r="G39" s="104">
        <v>34389540</v>
      </c>
      <c r="H39" s="104"/>
      <c r="I39" s="13" t="s">
        <v>85</v>
      </c>
      <c r="J39" s="13"/>
      <c r="K39" s="13"/>
      <c r="L39" s="13"/>
      <c r="O39" s="1"/>
      <c r="V39" s="640" t="s">
        <v>84</v>
      </c>
      <c r="W39" s="640"/>
      <c r="X39" s="641">
        <f>+G39</f>
        <v>34389540</v>
      </c>
      <c r="Y39" s="641"/>
      <c r="Z39" s="642" t="s">
        <v>85</v>
      </c>
      <c r="AA39" s="642"/>
      <c r="AB39" s="642"/>
      <c r="AC39" s="642"/>
      <c r="AD39" s="9"/>
    </row>
    <row r="40" spans="1:30" ht="15.75" customHeight="1" x14ac:dyDescent="0.25">
      <c r="B40" s="105" t="s">
        <v>86</v>
      </c>
      <c r="C40" s="105"/>
      <c r="D40" s="105"/>
      <c r="E40" s="105"/>
      <c r="F40" s="105"/>
      <c r="G40" s="106">
        <v>180284.81</v>
      </c>
      <c r="H40" s="106"/>
      <c r="I40" s="106"/>
      <c r="J40" s="106"/>
      <c r="K40" s="50">
        <f>ROUND(G39/G40,0)</f>
        <v>191</v>
      </c>
      <c r="L40" s="50">
        <f>ROUND(K40*$G$26,0)</f>
        <v>98844</v>
      </c>
      <c r="N40" s="107"/>
      <c r="O40" s="107"/>
      <c r="P40" s="107"/>
      <c r="Q40" s="107"/>
      <c r="V40" s="643" t="s">
        <v>86</v>
      </c>
      <c r="W40" s="643"/>
      <c r="X40" s="644">
        <f>+G40</f>
        <v>180284.81</v>
      </c>
      <c r="Y40" s="644"/>
      <c r="Z40" s="644"/>
      <c r="AA40" s="644"/>
      <c r="AB40" s="56">
        <f>ROUND(X39/X40,0)</f>
        <v>191</v>
      </c>
      <c r="AC40" s="56">
        <f>ROUND(AB40*$X$26,0)</f>
        <v>0</v>
      </c>
      <c r="AD40" s="9"/>
    </row>
    <row r="41" spans="1:30" ht="15.75" customHeight="1" x14ac:dyDescent="0.25">
      <c r="B41" s="108" t="s">
        <v>87</v>
      </c>
      <c r="C41" s="108"/>
      <c r="D41" s="108"/>
      <c r="E41" s="108"/>
      <c r="F41" s="108"/>
      <c r="G41" s="108"/>
      <c r="H41" s="108"/>
      <c r="I41" s="108"/>
      <c r="J41" s="108"/>
      <c r="K41" s="108"/>
      <c r="L41" s="108"/>
      <c r="N41" s="101"/>
      <c r="O41" s="109"/>
      <c r="P41" s="101"/>
      <c r="Q41" s="101"/>
      <c r="V41" s="652" t="s">
        <v>87</v>
      </c>
      <c r="W41" s="652"/>
      <c r="X41" s="652"/>
      <c r="Y41" s="652"/>
      <c r="Z41" s="652"/>
      <c r="AA41" s="652"/>
      <c r="AB41" s="652"/>
      <c r="AC41" s="652"/>
      <c r="AD41" s="9"/>
    </row>
    <row r="42" spans="1:30" ht="28.5" customHeight="1" x14ac:dyDescent="0.25">
      <c r="B42" s="99" t="s">
        <v>88</v>
      </c>
      <c r="C42" s="99"/>
      <c r="D42" s="99"/>
      <c r="E42" s="99"/>
      <c r="F42" s="99"/>
      <c r="G42" s="99"/>
      <c r="H42" s="99"/>
      <c r="I42" s="99"/>
      <c r="J42" s="99"/>
      <c r="K42" s="99"/>
      <c r="L42" s="99"/>
      <c r="M42" s="107"/>
      <c r="O42" s="1"/>
      <c r="V42" s="639" t="s">
        <v>88</v>
      </c>
      <c r="W42" s="639"/>
      <c r="X42" s="639"/>
      <c r="Y42" s="639"/>
      <c r="Z42" s="639"/>
      <c r="AA42" s="639"/>
      <c r="AB42" s="639"/>
      <c r="AC42" s="639"/>
      <c r="AD42" s="110"/>
    </row>
    <row r="43" spans="1:30" x14ac:dyDescent="0.25">
      <c r="B43" s="111" t="s">
        <v>89</v>
      </c>
      <c r="C43" s="111"/>
      <c r="D43" s="111"/>
      <c r="E43" s="111"/>
      <c r="F43" s="111"/>
      <c r="G43" s="111"/>
      <c r="H43" s="111"/>
      <c r="I43" s="111"/>
      <c r="J43" s="111"/>
      <c r="K43" s="111"/>
      <c r="L43" s="111"/>
      <c r="M43" s="112"/>
      <c r="N43" s="101"/>
      <c r="O43" s="101"/>
      <c r="P43" s="101"/>
      <c r="Q43" s="101"/>
      <c r="V43" s="653" t="s">
        <v>89</v>
      </c>
      <c r="W43" s="653"/>
      <c r="X43" s="653"/>
      <c r="Y43" s="653"/>
      <c r="Z43" s="653"/>
      <c r="AA43" s="653"/>
      <c r="AB43" s="653"/>
      <c r="AC43" s="653"/>
      <c r="AD43" s="113"/>
    </row>
    <row r="44" spans="1:30" ht="24" customHeight="1" x14ac:dyDescent="0.25">
      <c r="B44" s="62" t="s">
        <v>90</v>
      </c>
      <c r="C44" s="62"/>
      <c r="D44" s="62"/>
      <c r="E44" s="62"/>
      <c r="F44" s="62"/>
      <c r="G44" s="62"/>
      <c r="H44" s="62"/>
      <c r="I44" s="62"/>
      <c r="J44" s="62"/>
      <c r="K44" s="62"/>
      <c r="L44" s="114">
        <f>SUM(L26,L37,L40)</f>
        <v>2344259</v>
      </c>
      <c r="O44" s="1"/>
      <c r="V44" s="654" t="s">
        <v>90</v>
      </c>
      <c r="W44" s="654"/>
      <c r="X44" s="654"/>
      <c r="Y44" s="654"/>
      <c r="Z44" s="654"/>
      <c r="AA44" s="654"/>
      <c r="AB44" s="654"/>
      <c r="AC44" s="115">
        <f>SUM(AC26,AC37,AC40)</f>
        <v>0</v>
      </c>
      <c r="AD44" s="9"/>
    </row>
    <row r="45" spans="1:30" ht="30.75" customHeight="1" x14ac:dyDescent="0.25">
      <c r="B45" s="99" t="s">
        <v>91</v>
      </c>
      <c r="C45" s="99"/>
      <c r="D45" s="99"/>
      <c r="E45" s="99"/>
      <c r="F45" s="99"/>
      <c r="G45" s="99"/>
      <c r="H45" s="99"/>
      <c r="I45" s="99"/>
      <c r="J45" s="99"/>
      <c r="K45" s="99"/>
      <c r="L45" s="99"/>
      <c r="M45" s="116"/>
      <c r="O45" s="1"/>
      <c r="V45" s="639" t="s">
        <v>91</v>
      </c>
      <c r="W45" s="639"/>
      <c r="X45" s="639"/>
      <c r="Y45" s="639"/>
      <c r="Z45" s="639"/>
      <c r="AA45" s="639"/>
      <c r="AB45" s="639"/>
      <c r="AC45" s="639"/>
      <c r="AD45" s="117"/>
    </row>
    <row r="46" spans="1:30" ht="18.75" customHeight="1" x14ac:dyDescent="0.25">
      <c r="B46" s="1"/>
      <c r="C46" s="118" t="s">
        <v>92</v>
      </c>
      <c r="D46" s="118"/>
      <c r="E46" s="118"/>
      <c r="F46" s="118"/>
      <c r="G46" s="118" t="s">
        <v>93</v>
      </c>
      <c r="H46" s="119"/>
      <c r="I46" s="120" t="s">
        <v>94</v>
      </c>
      <c r="J46" s="121"/>
      <c r="K46" s="121"/>
      <c r="L46" s="121"/>
      <c r="M46" s="122"/>
      <c r="O46" s="1"/>
      <c r="V46" s="9"/>
      <c r="W46" s="123" t="s">
        <v>92</v>
      </c>
      <c r="X46" s="655" t="s">
        <v>95</v>
      </c>
      <c r="Y46" s="655"/>
      <c r="Z46" s="656" t="s">
        <v>94</v>
      </c>
      <c r="AA46" s="656"/>
      <c r="AB46" s="656"/>
      <c r="AC46" s="656"/>
      <c r="AD46" s="124"/>
    </row>
    <row r="47" spans="1:30" ht="18.75" customHeight="1" x14ac:dyDescent="0.25">
      <c r="B47" s="107" t="s">
        <v>96</v>
      </c>
      <c r="C47" s="125">
        <f>K10+K11+K16+K19+K22</f>
        <v>415.70209999999997</v>
      </c>
      <c r="D47" s="125"/>
      <c r="E47" s="125"/>
      <c r="F47" s="125"/>
      <c r="G47" s="126">
        <f>K7</f>
        <v>1.0326</v>
      </c>
      <c r="H47" s="126"/>
      <c r="I47" s="127">
        <v>1316.85</v>
      </c>
      <c r="J47" s="128" t="s">
        <v>97</v>
      </c>
      <c r="K47" s="129">
        <f>ROUND(C47*G47*I47,0)</f>
        <v>565263</v>
      </c>
      <c r="L47" s="130"/>
      <c r="O47" s="1"/>
      <c r="V47" s="110" t="s">
        <v>96</v>
      </c>
      <c r="W47" s="131">
        <f>AB10+AB11+AB16+AB19+AB22</f>
        <v>0</v>
      </c>
      <c r="X47" s="647">
        <f>AB7</f>
        <v>1.0326</v>
      </c>
      <c r="Y47" s="647"/>
      <c r="Z47" s="132">
        <f>+I47</f>
        <v>1316.85</v>
      </c>
      <c r="AA47" s="133" t="s">
        <v>97</v>
      </c>
      <c r="AB47" s="134">
        <f>ROUND(W47*X47*Z47,0)</f>
        <v>0</v>
      </c>
      <c r="AC47" s="135"/>
      <c r="AD47" s="9"/>
    </row>
    <row r="48" spans="1:30" ht="18" customHeight="1" x14ac:dyDescent="0.25">
      <c r="B48" s="136" t="s">
        <v>74</v>
      </c>
      <c r="C48" s="125">
        <f>K12+K13+K17+K20+K23</f>
        <v>148.29000000000002</v>
      </c>
      <c r="D48" s="125"/>
      <c r="E48" s="125"/>
      <c r="F48" s="125"/>
      <c r="G48" s="126">
        <f>K7</f>
        <v>1.0326</v>
      </c>
      <c r="H48" s="126"/>
      <c r="I48" s="127">
        <v>898.23</v>
      </c>
      <c r="J48" s="128" t="s">
        <v>97</v>
      </c>
      <c r="K48" s="129">
        <f>ROUND(C48*G48*I48,0)</f>
        <v>137541</v>
      </c>
      <c r="L48" s="62"/>
      <c r="O48" s="1"/>
      <c r="V48" s="137" t="s">
        <v>74</v>
      </c>
      <c r="W48" s="131">
        <f>AB12+AB13+AB17+AB20+AB23</f>
        <v>0</v>
      </c>
      <c r="X48" s="647">
        <f>AB7</f>
        <v>1.0326</v>
      </c>
      <c r="Y48" s="647"/>
      <c r="Z48" s="132">
        <f>+I48</f>
        <v>898.23</v>
      </c>
      <c r="AA48" s="133" t="s">
        <v>97</v>
      </c>
      <c r="AB48" s="134">
        <f>ROUND(W48*X48*Z48,0)</f>
        <v>0</v>
      </c>
      <c r="AC48" s="138"/>
      <c r="AD48" s="9"/>
    </row>
    <row r="49" spans="2:30" ht="19.5" customHeight="1" thickBot="1" x14ac:dyDescent="0.3">
      <c r="B49" s="139" t="s">
        <v>78</v>
      </c>
      <c r="C49" s="140">
        <f>K14+K15+K18+K21+K24+K25</f>
        <v>0</v>
      </c>
      <c r="D49" s="125"/>
      <c r="E49" s="125"/>
      <c r="F49" s="125"/>
      <c r="G49" s="126">
        <f>K7</f>
        <v>1.0326</v>
      </c>
      <c r="H49" s="126"/>
      <c r="I49" s="127">
        <v>900.39</v>
      </c>
      <c r="J49" s="128" t="s">
        <v>97</v>
      </c>
      <c r="K49" s="129">
        <f>ROUND(C49*G49*I49,0)</f>
        <v>0</v>
      </c>
      <c r="L49" s="62"/>
      <c r="M49" s="112"/>
      <c r="N49" s="141"/>
      <c r="O49" s="142"/>
      <c r="P49" s="101"/>
      <c r="Q49" s="143"/>
      <c r="V49" s="144" t="s">
        <v>78</v>
      </c>
      <c r="W49" s="145">
        <f>AB14+AB15+AB18+AB21+AB24+AB25</f>
        <v>0</v>
      </c>
      <c r="X49" s="647">
        <f>AB7</f>
        <v>1.0326</v>
      </c>
      <c r="Y49" s="647"/>
      <c r="Z49" s="132">
        <f>+I49</f>
        <v>900.39</v>
      </c>
      <c r="AA49" s="133" t="s">
        <v>97</v>
      </c>
      <c r="AB49" s="134">
        <f>ROUND(W49*X49*Z49,0)</f>
        <v>0</v>
      </c>
      <c r="AC49" s="138"/>
      <c r="AD49" s="113"/>
    </row>
    <row r="50" spans="2:30" ht="24" customHeight="1" thickBot="1" x14ac:dyDescent="0.3">
      <c r="B50" s="146" t="s">
        <v>98</v>
      </c>
      <c r="C50" s="147">
        <f>SUM(C47:C49)</f>
        <v>563.99209999999994</v>
      </c>
      <c r="D50" s="148"/>
      <c r="E50" s="149"/>
      <c r="F50" s="149"/>
      <c r="G50" s="150" t="s">
        <v>99</v>
      </c>
      <c r="H50" s="150"/>
      <c r="I50" s="150"/>
      <c r="J50" s="150"/>
      <c r="K50" s="150"/>
      <c r="L50" s="50">
        <f>IF(B2=75,0,K49+K48+K47)</f>
        <v>702804</v>
      </c>
      <c r="N50" s="3"/>
      <c r="O50" s="1"/>
      <c r="V50" s="151" t="s">
        <v>98</v>
      </c>
      <c r="W50" s="152">
        <f>SUM(W47:W49)</f>
        <v>0</v>
      </c>
      <c r="X50" s="648" t="s">
        <v>99</v>
      </c>
      <c r="Y50" s="649"/>
      <c r="Z50" s="649"/>
      <c r="AA50" s="649"/>
      <c r="AB50" s="649"/>
      <c r="AC50" s="56">
        <f>IF(V2=75,0,AB49+AB48+AB47)</f>
        <v>0</v>
      </c>
      <c r="AD50" s="9"/>
    </row>
    <row r="51" spans="2:30" ht="19.5" customHeight="1" x14ac:dyDescent="0.25">
      <c r="B51" s="153" t="s">
        <v>100</v>
      </c>
      <c r="C51" s="153"/>
      <c r="D51" s="153"/>
      <c r="E51" s="153"/>
      <c r="F51" s="153"/>
      <c r="G51" s="153"/>
      <c r="H51" s="153"/>
      <c r="I51" s="153"/>
      <c r="J51" s="153"/>
      <c r="K51" s="153"/>
      <c r="L51" s="153"/>
      <c r="M51" s="141"/>
      <c r="N51" s="101"/>
      <c r="O51" s="1"/>
      <c r="V51" s="650" t="s">
        <v>100</v>
      </c>
      <c r="W51" s="650"/>
      <c r="X51" s="650"/>
      <c r="Y51" s="650"/>
      <c r="Z51" s="650"/>
      <c r="AA51" s="650"/>
      <c r="AB51" s="650"/>
      <c r="AC51" s="650"/>
      <c r="AD51" s="154"/>
    </row>
    <row r="52" spans="2:30" ht="27.75" customHeight="1" x14ac:dyDescent="0.25">
      <c r="B52" s="13" t="s">
        <v>101</v>
      </c>
      <c r="C52" s="13"/>
      <c r="D52" s="13"/>
      <c r="E52" s="13"/>
      <c r="F52" s="13"/>
      <c r="G52" s="13"/>
      <c r="H52" s="13"/>
      <c r="I52" s="13"/>
      <c r="J52" s="13"/>
      <c r="K52" s="13"/>
      <c r="L52" s="13"/>
      <c r="O52" s="1"/>
      <c r="V52" s="651" t="s">
        <v>101</v>
      </c>
      <c r="W52" s="651"/>
      <c r="X52" s="651"/>
      <c r="Y52" s="651"/>
      <c r="Z52" s="651"/>
      <c r="AA52" s="651"/>
      <c r="AB52" s="651"/>
      <c r="AC52" s="651"/>
      <c r="AD52" s="9"/>
    </row>
    <row r="53" spans="2:30" x14ac:dyDescent="0.25">
      <c r="B53" s="13" t="s">
        <v>102</v>
      </c>
      <c r="C53" s="13"/>
      <c r="D53" s="13"/>
      <c r="E53" s="13"/>
      <c r="F53" s="13"/>
      <c r="G53" s="155">
        <f>K26</f>
        <v>563.99209999999994</v>
      </c>
      <c r="H53" s="57" t="s">
        <v>103</v>
      </c>
      <c r="I53" s="57"/>
      <c r="J53" s="156">
        <v>197823.77</v>
      </c>
      <c r="K53" s="156"/>
      <c r="L53" s="156"/>
      <c r="N53" s="3"/>
      <c r="O53" s="1"/>
      <c r="V53" s="657" t="s">
        <v>102</v>
      </c>
      <c r="W53" s="657"/>
      <c r="X53" s="157">
        <f>AB26</f>
        <v>0</v>
      </c>
      <c r="Y53" s="658" t="s">
        <v>103</v>
      </c>
      <c r="Z53" s="658"/>
      <c r="AA53" s="659">
        <f>+J53</f>
        <v>197823.77</v>
      </c>
      <c r="AB53" s="659"/>
      <c r="AC53" s="659"/>
      <c r="AD53" s="9"/>
    </row>
    <row r="54" spans="2:30" x14ac:dyDescent="0.25">
      <c r="B54" s="13" t="s">
        <v>104</v>
      </c>
      <c r="C54" s="13"/>
      <c r="D54" s="13"/>
      <c r="E54" s="13"/>
      <c r="F54" s="13"/>
      <c r="G54" s="13"/>
      <c r="H54" s="13"/>
      <c r="I54" s="13"/>
      <c r="J54" s="13"/>
      <c r="K54" s="158">
        <f>ROUND(G53/J53,6)</f>
        <v>2.8509999999999998E-3</v>
      </c>
      <c r="L54" s="158"/>
      <c r="N54" s="101"/>
      <c r="O54" s="1"/>
      <c r="V54" s="657" t="s">
        <v>104</v>
      </c>
      <c r="W54" s="657"/>
      <c r="X54" s="657"/>
      <c r="Y54" s="657"/>
      <c r="Z54" s="657"/>
      <c r="AA54" s="657"/>
      <c r="AB54" s="660">
        <f>ROUND(X53/AA53,6)</f>
        <v>0</v>
      </c>
      <c r="AC54" s="660"/>
      <c r="AD54" s="9"/>
    </row>
    <row r="55" spans="2:30" ht="24" customHeight="1" x14ac:dyDescent="0.25">
      <c r="B55" s="13" t="s">
        <v>105</v>
      </c>
      <c r="C55" s="13"/>
      <c r="D55" s="13"/>
      <c r="E55" s="13"/>
      <c r="F55" s="13"/>
      <c r="G55" s="13"/>
      <c r="H55" s="13"/>
      <c r="I55" s="13"/>
      <c r="J55" s="13"/>
      <c r="K55" s="13"/>
      <c r="L55" s="13"/>
      <c r="O55" s="1"/>
      <c r="V55" s="651" t="s">
        <v>105</v>
      </c>
      <c r="W55" s="651"/>
      <c r="X55" s="651"/>
      <c r="Y55" s="651"/>
      <c r="Z55" s="651"/>
      <c r="AA55" s="651"/>
      <c r="AB55" s="651"/>
      <c r="AC55" s="651"/>
      <c r="AD55" s="9"/>
    </row>
    <row r="56" spans="2:30" x14ac:dyDescent="0.25">
      <c r="B56" s="13" t="s">
        <v>106</v>
      </c>
      <c r="C56" s="13"/>
      <c r="D56" s="13"/>
      <c r="E56" s="13"/>
      <c r="F56" s="13"/>
      <c r="G56" s="159">
        <f>G26</f>
        <v>517.51</v>
      </c>
      <c r="H56" s="57" t="s">
        <v>107</v>
      </c>
      <c r="I56" s="57"/>
      <c r="J56" s="156">
        <f>+G40</f>
        <v>180284.81</v>
      </c>
      <c r="K56" s="156"/>
      <c r="L56" s="156"/>
      <c r="O56" s="1"/>
      <c r="V56" s="657" t="s">
        <v>106</v>
      </c>
      <c r="W56" s="657"/>
      <c r="X56" s="160">
        <f>X26</f>
        <v>0</v>
      </c>
      <c r="Y56" s="658" t="s">
        <v>107</v>
      </c>
      <c r="Z56" s="658"/>
      <c r="AA56" s="659">
        <f>+J56</f>
        <v>180284.81</v>
      </c>
      <c r="AB56" s="659"/>
      <c r="AC56" s="659"/>
      <c r="AD56" s="9"/>
    </row>
    <row r="57" spans="2:30" x14ac:dyDescent="0.25">
      <c r="B57" s="13" t="s">
        <v>108</v>
      </c>
      <c r="C57" s="13"/>
      <c r="D57" s="13"/>
      <c r="E57" s="13"/>
      <c r="F57" s="13"/>
      <c r="G57" s="13"/>
      <c r="H57" s="13"/>
      <c r="I57" s="13"/>
      <c r="J57" s="13"/>
      <c r="K57" s="158">
        <f>ROUND(G56/J56,6)</f>
        <v>2.8709999999999999E-3</v>
      </c>
      <c r="L57" s="158"/>
      <c r="O57" s="1"/>
      <c r="V57" s="657" t="s">
        <v>108</v>
      </c>
      <c r="W57" s="657"/>
      <c r="X57" s="657"/>
      <c r="Y57" s="657"/>
      <c r="Z57" s="657"/>
      <c r="AA57" s="657"/>
      <c r="AB57" s="660">
        <f>ROUND(X56/AA56,6)</f>
        <v>0</v>
      </c>
      <c r="AC57" s="660"/>
      <c r="AD57" s="9"/>
    </row>
    <row r="58" spans="2:30" ht="20.25" customHeight="1" x14ac:dyDescent="0.25">
      <c r="B58" s="161" t="s">
        <v>109</v>
      </c>
      <c r="C58" s="161"/>
      <c r="D58" s="161"/>
      <c r="E58" s="161"/>
      <c r="F58" s="161"/>
      <c r="G58" s="161"/>
      <c r="H58" s="161"/>
      <c r="I58" s="161"/>
      <c r="J58" s="161"/>
      <c r="K58" s="161"/>
      <c r="L58" s="161"/>
      <c r="N58" s="18"/>
      <c r="O58" s="18"/>
      <c r="V58" s="629" t="s">
        <v>110</v>
      </c>
      <c r="W58" s="629"/>
      <c r="X58" s="629"/>
      <c r="Y58" s="661">
        <f>X65+X64+X62+X61+X60</f>
        <v>4123852</v>
      </c>
      <c r="Z58" s="661"/>
      <c r="AA58" s="162" t="s">
        <v>111</v>
      </c>
      <c r="AB58" s="163">
        <f>AB54</f>
        <v>0</v>
      </c>
      <c r="AC58" s="56">
        <f>ROUND(Y58*AB58,0)</f>
        <v>0</v>
      </c>
      <c r="AD58" s="9"/>
    </row>
    <row r="59" spans="2:30" x14ac:dyDescent="0.25">
      <c r="B59" s="62" t="s">
        <v>110</v>
      </c>
      <c r="C59" s="62"/>
      <c r="D59" s="62"/>
      <c r="E59" s="62"/>
      <c r="F59" s="62"/>
      <c r="G59" s="62"/>
      <c r="H59" s="164" t="s">
        <v>22</v>
      </c>
      <c r="I59" s="129">
        <v>4123852</v>
      </c>
      <c r="J59" s="165" t="s">
        <v>111</v>
      </c>
      <c r="K59" s="166">
        <f>K54</f>
        <v>2.8509999999999998E-3</v>
      </c>
      <c r="L59" s="50">
        <f>ROUND(I59*K59,0)</f>
        <v>11757</v>
      </c>
      <c r="O59" s="1"/>
      <c r="P59" s="165"/>
      <c r="Q59" s="165"/>
      <c r="V59" s="662" t="s">
        <v>112</v>
      </c>
      <c r="W59" s="662"/>
      <c r="X59" s="662"/>
      <c r="Y59" s="662"/>
      <c r="Z59" s="662"/>
      <c r="AA59" s="662"/>
      <c r="AB59" s="662"/>
      <c r="AC59" s="662"/>
      <c r="AD59" s="9"/>
    </row>
    <row r="60" spans="2:30" x14ac:dyDescent="0.25">
      <c r="B60" s="62" t="s">
        <v>112</v>
      </c>
      <c r="C60" s="62"/>
      <c r="D60" s="62"/>
      <c r="E60" s="62"/>
      <c r="F60" s="62"/>
      <c r="G60" s="62"/>
      <c r="H60" s="62"/>
      <c r="I60" s="62"/>
      <c r="J60" s="62"/>
      <c r="K60" s="62"/>
      <c r="L60" s="62"/>
      <c r="O60" s="1"/>
      <c r="P60" s="165"/>
      <c r="Q60" s="165"/>
      <c r="V60" s="663" t="s">
        <v>113</v>
      </c>
      <c r="W60" s="663"/>
      <c r="X60" s="664">
        <f>+G61</f>
        <v>0</v>
      </c>
      <c r="Y60" s="664"/>
      <c r="Z60" s="664"/>
      <c r="AA60" s="664"/>
      <c r="AB60" s="664"/>
      <c r="AC60" s="664"/>
      <c r="AD60" s="9"/>
    </row>
    <row r="61" spans="2:30" ht="15" customHeight="1" x14ac:dyDescent="0.25">
      <c r="B61" s="167" t="s">
        <v>113</v>
      </c>
      <c r="C61" s="62"/>
      <c r="D61" s="62"/>
      <c r="E61" s="62"/>
      <c r="F61" s="62"/>
      <c r="G61" s="168">
        <v>0</v>
      </c>
      <c r="H61" s="168"/>
      <c r="I61" s="168"/>
      <c r="J61" s="168"/>
      <c r="K61" s="168"/>
      <c r="L61" s="168"/>
      <c r="O61" s="1"/>
      <c r="P61" s="165"/>
      <c r="Q61" s="165"/>
      <c r="V61" s="663" t="s">
        <v>114</v>
      </c>
      <c r="W61" s="663"/>
      <c r="X61" s="664">
        <f>+G62</f>
        <v>0</v>
      </c>
      <c r="Y61" s="664"/>
      <c r="Z61" s="664"/>
      <c r="AA61" s="664"/>
      <c r="AB61" s="664"/>
      <c r="AC61" s="664"/>
      <c r="AD61" s="9"/>
    </row>
    <row r="62" spans="2:30" ht="13.5" customHeight="1" x14ac:dyDescent="0.25">
      <c r="B62" s="167" t="s">
        <v>114</v>
      </c>
      <c r="C62" s="62"/>
      <c r="D62" s="62"/>
      <c r="E62" s="62"/>
      <c r="F62" s="62"/>
      <c r="G62" s="168">
        <v>0</v>
      </c>
      <c r="H62" s="168"/>
      <c r="I62" s="168"/>
      <c r="J62" s="168"/>
      <c r="K62" s="168"/>
      <c r="L62" s="168"/>
      <c r="N62" s="165"/>
      <c r="O62" s="165"/>
      <c r="P62" s="165"/>
      <c r="Q62" s="165"/>
      <c r="V62" s="663" t="s">
        <v>115</v>
      </c>
      <c r="W62" s="663"/>
      <c r="X62" s="664">
        <v>0</v>
      </c>
      <c r="Y62" s="664"/>
      <c r="Z62" s="664"/>
      <c r="AA62" s="664"/>
      <c r="AB62" s="664"/>
      <c r="AC62" s="664"/>
      <c r="AD62" s="9"/>
    </row>
    <row r="63" spans="2:30" ht="13.5" hidden="1" customHeight="1" x14ac:dyDescent="0.25">
      <c r="B63" s="62" t="s">
        <v>115</v>
      </c>
      <c r="C63" s="62"/>
      <c r="D63" s="62"/>
      <c r="E63" s="62"/>
      <c r="F63" s="62"/>
      <c r="G63" s="168">
        <v>0</v>
      </c>
      <c r="H63" s="168"/>
      <c r="I63" s="168"/>
      <c r="J63" s="168"/>
      <c r="K63" s="168"/>
      <c r="L63" s="168"/>
      <c r="O63" s="1"/>
      <c r="P63" s="165"/>
      <c r="Q63" s="165"/>
      <c r="V63" s="662" t="s">
        <v>116</v>
      </c>
      <c r="W63" s="662"/>
      <c r="X63" s="662"/>
      <c r="Y63" s="662"/>
      <c r="Z63" s="662"/>
      <c r="AA63" s="662"/>
      <c r="AB63" s="662"/>
      <c r="AC63" s="662"/>
      <c r="AD63" s="117"/>
    </row>
    <row r="64" spans="2:30" ht="13.5" customHeight="1" x14ac:dyDescent="0.25">
      <c r="B64" s="62" t="s">
        <v>116</v>
      </c>
      <c r="C64" s="62"/>
      <c r="D64" s="62"/>
      <c r="E64" s="62"/>
      <c r="F64" s="62"/>
      <c r="G64" s="62"/>
      <c r="H64" s="62"/>
      <c r="I64" s="62"/>
      <c r="J64" s="62"/>
      <c r="K64" s="62"/>
      <c r="L64" s="62"/>
      <c r="M64" s="116"/>
      <c r="N64" s="18"/>
      <c r="O64" s="1"/>
      <c r="V64" s="663" t="s">
        <v>117</v>
      </c>
      <c r="W64" s="663"/>
      <c r="X64" s="664">
        <f>+G65</f>
        <v>4123852</v>
      </c>
      <c r="Y64" s="664"/>
      <c r="Z64" s="664"/>
      <c r="AA64" s="664"/>
      <c r="AB64" s="664"/>
      <c r="AC64" s="664"/>
      <c r="AD64" s="9"/>
    </row>
    <row r="65" spans="1:30" ht="12.75" customHeight="1" x14ac:dyDescent="0.25">
      <c r="B65" s="167" t="s">
        <v>117</v>
      </c>
      <c r="C65" s="62"/>
      <c r="D65" s="62"/>
      <c r="E65" s="62"/>
      <c r="F65" s="62"/>
      <c r="G65" s="168">
        <f>+I59</f>
        <v>4123852</v>
      </c>
      <c r="H65" s="168"/>
      <c r="I65" s="168"/>
      <c r="J65" s="168"/>
      <c r="K65" s="168"/>
      <c r="L65" s="168"/>
      <c r="O65" s="1"/>
      <c r="V65" s="663" t="s">
        <v>118</v>
      </c>
      <c r="W65" s="663"/>
      <c r="X65" s="664">
        <f>+G66</f>
        <v>0</v>
      </c>
      <c r="Y65" s="664"/>
      <c r="Z65" s="664"/>
      <c r="AA65" s="664"/>
      <c r="AB65" s="664"/>
      <c r="AC65" s="664"/>
      <c r="AD65" s="20"/>
    </row>
    <row r="66" spans="1:30" ht="15" customHeight="1" x14ac:dyDescent="0.25">
      <c r="B66" s="167" t="s">
        <v>118</v>
      </c>
      <c r="C66" s="62"/>
      <c r="D66" s="62"/>
      <c r="E66" s="62"/>
      <c r="F66" s="62"/>
      <c r="G66" s="168">
        <v>0</v>
      </c>
      <c r="H66" s="168"/>
      <c r="I66" s="168"/>
      <c r="J66" s="168"/>
      <c r="K66" s="168"/>
      <c r="L66" s="168"/>
      <c r="M66" s="18"/>
      <c r="N66" s="3"/>
      <c r="O66" s="169"/>
      <c r="P66" s="169"/>
      <c r="Q66" s="169"/>
      <c r="V66" s="651" t="s">
        <v>119</v>
      </c>
      <c r="W66" s="651"/>
      <c r="X66" s="651"/>
      <c r="Y66" s="661">
        <f>+I67</f>
        <v>96774526</v>
      </c>
      <c r="Z66" s="661"/>
      <c r="AA66" s="162" t="s">
        <v>111</v>
      </c>
      <c r="AB66" s="163">
        <f>AB54</f>
        <v>0</v>
      </c>
      <c r="AC66" s="56">
        <f>ROUND(Y66*AB66,0)</f>
        <v>0</v>
      </c>
      <c r="AD66" s="9"/>
    </row>
    <row r="67" spans="1:30" ht="20.25" customHeight="1" x14ac:dyDescent="0.25">
      <c r="B67" s="13" t="s">
        <v>119</v>
      </c>
      <c r="C67" s="13"/>
      <c r="D67" s="13"/>
      <c r="E67" s="13"/>
      <c r="F67" s="13"/>
      <c r="H67" s="164" t="s">
        <v>25</v>
      </c>
      <c r="I67" s="129">
        <v>96774526</v>
      </c>
      <c r="J67" s="165" t="s">
        <v>111</v>
      </c>
      <c r="K67" s="166">
        <f>K54</f>
        <v>2.8509999999999998E-3</v>
      </c>
      <c r="L67" s="50">
        <f>ROUND(I67*K67,0)</f>
        <v>275904</v>
      </c>
      <c r="O67" s="1"/>
      <c r="V67" s="651" t="s">
        <v>120</v>
      </c>
      <c r="W67" s="651"/>
      <c r="X67" s="651"/>
      <c r="Y67" s="651"/>
      <c r="Z67" s="651"/>
      <c r="AA67" s="651"/>
      <c r="AB67" s="651"/>
      <c r="AC67" s="651"/>
      <c r="AD67" s="9"/>
    </row>
    <row r="68" spans="1:30" ht="20.25" customHeight="1" x14ac:dyDescent="0.25">
      <c r="B68" s="13" t="s">
        <v>120</v>
      </c>
      <c r="C68" s="13"/>
      <c r="D68" s="13"/>
      <c r="E68" s="13"/>
      <c r="F68" s="13"/>
      <c r="H68" s="13"/>
      <c r="I68" s="13"/>
      <c r="J68" s="82"/>
      <c r="K68" s="13"/>
      <c r="L68" s="13"/>
      <c r="O68" s="1"/>
      <c r="V68" s="667" t="s">
        <v>121</v>
      </c>
      <c r="W68" s="667"/>
      <c r="X68" s="667"/>
      <c r="Y68" s="661">
        <f>+I69</f>
        <v>0</v>
      </c>
      <c r="Z68" s="661"/>
      <c r="AA68" s="162" t="s">
        <v>111</v>
      </c>
      <c r="AB68" s="163">
        <f>AB57</f>
        <v>0</v>
      </c>
      <c r="AC68" s="56">
        <f>ROUND(Y68*AB68,0)</f>
        <v>0</v>
      </c>
      <c r="AD68" s="9"/>
    </row>
    <row r="69" spans="1:30" ht="15" customHeight="1" x14ac:dyDescent="0.25">
      <c r="B69" s="170" t="s">
        <v>121</v>
      </c>
      <c r="C69" s="13"/>
      <c r="D69" s="13"/>
      <c r="E69" s="13"/>
      <c r="F69" s="13"/>
      <c r="H69" s="164" t="s">
        <v>23</v>
      </c>
      <c r="I69" s="129">
        <v>0</v>
      </c>
      <c r="J69" s="165" t="s">
        <v>111</v>
      </c>
      <c r="K69" s="166">
        <f>K57</f>
        <v>2.8709999999999999E-3</v>
      </c>
      <c r="L69" s="50">
        <f>ROUND(I69*K69,0)</f>
        <v>0</v>
      </c>
      <c r="O69" s="1"/>
      <c r="V69" s="651" t="s">
        <v>122</v>
      </c>
      <c r="W69" s="651"/>
      <c r="X69" s="651"/>
      <c r="Y69" s="668">
        <f>+I70</f>
        <v>-3460775</v>
      </c>
      <c r="Z69" s="668"/>
      <c r="AA69" s="162" t="s">
        <v>111</v>
      </c>
      <c r="AB69" s="163">
        <f>AB54</f>
        <v>0</v>
      </c>
      <c r="AC69" s="56">
        <f>ROUND(Y69*AB69,0)</f>
        <v>0</v>
      </c>
      <c r="AD69" s="9"/>
    </row>
    <row r="70" spans="1:30" ht="20.25" customHeight="1" x14ac:dyDescent="0.25">
      <c r="B70" s="13" t="s">
        <v>122</v>
      </c>
      <c r="C70" s="13"/>
      <c r="D70" s="13"/>
      <c r="E70" s="13"/>
      <c r="F70" s="13"/>
      <c r="H70" s="164" t="s">
        <v>22</v>
      </c>
      <c r="I70" s="129">
        <v>-3460775</v>
      </c>
      <c r="J70" s="165" t="s">
        <v>111</v>
      </c>
      <c r="K70" s="166">
        <f>K54</f>
        <v>2.8509999999999998E-3</v>
      </c>
      <c r="L70" s="50">
        <f>ROUND(I70*K70,0)</f>
        <v>-9867</v>
      </c>
      <c r="O70" s="1"/>
      <c r="V70" s="651" t="s">
        <v>123</v>
      </c>
      <c r="W70" s="651"/>
      <c r="X70" s="651"/>
      <c r="Y70" s="665">
        <f>+I71</f>
        <v>1874788</v>
      </c>
      <c r="Z70" s="665"/>
      <c r="AA70" s="162" t="s">
        <v>111</v>
      </c>
      <c r="AB70" s="163">
        <f>AB54</f>
        <v>0</v>
      </c>
      <c r="AC70" s="56">
        <f>ROUND(Y70*AB70,0)</f>
        <v>0</v>
      </c>
      <c r="AD70" s="9"/>
    </row>
    <row r="71" spans="1:30" ht="20.25" customHeight="1" x14ac:dyDescent="0.25">
      <c r="B71" s="13" t="s">
        <v>123</v>
      </c>
      <c r="C71" s="13"/>
      <c r="D71" s="13"/>
      <c r="E71" s="13"/>
      <c r="F71" s="13"/>
      <c r="H71" s="164" t="s">
        <v>22</v>
      </c>
      <c r="I71" s="129">
        <v>1874788</v>
      </c>
      <c r="J71" s="165" t="s">
        <v>111</v>
      </c>
      <c r="K71" s="166">
        <f>K54</f>
        <v>2.8509999999999998E-3</v>
      </c>
      <c r="L71" s="50">
        <f>ROUND(I71*K71,0)</f>
        <v>5345</v>
      </c>
      <c r="O71" s="1"/>
      <c r="V71" s="651" t="s">
        <v>124</v>
      </c>
      <c r="W71" s="651"/>
      <c r="X71" s="651"/>
      <c r="Y71" s="665">
        <f>+I72</f>
        <v>14223298</v>
      </c>
      <c r="Z71" s="665"/>
      <c r="AA71" s="162" t="s">
        <v>111</v>
      </c>
      <c r="AB71" s="163">
        <f>AB57</f>
        <v>0</v>
      </c>
      <c r="AC71" s="56">
        <f>ROUND(Y71*AB71,0)</f>
        <v>0</v>
      </c>
      <c r="AD71" s="9"/>
    </row>
    <row r="72" spans="1:30" ht="21" customHeight="1" x14ac:dyDescent="0.25">
      <c r="B72" s="13" t="s">
        <v>124</v>
      </c>
      <c r="C72" s="13"/>
      <c r="D72" s="13"/>
      <c r="E72" s="13"/>
      <c r="F72" s="13"/>
      <c r="H72" s="164" t="s">
        <v>23</v>
      </c>
      <c r="I72" s="171">
        <v>14223298</v>
      </c>
      <c r="J72" s="165" t="s">
        <v>111</v>
      </c>
      <c r="K72" s="166">
        <f>K57</f>
        <v>2.8709999999999999E-3</v>
      </c>
      <c r="L72" s="50">
        <f>ROUND(I72*K72,0)</f>
        <v>40835</v>
      </c>
      <c r="O72" s="1"/>
      <c r="V72" s="623" t="s">
        <v>125</v>
      </c>
      <c r="W72" s="623"/>
      <c r="X72" s="623"/>
      <c r="Y72" s="623"/>
      <c r="Z72" s="623"/>
      <c r="AA72" s="623"/>
      <c r="AB72" s="623"/>
      <c r="AC72" s="60"/>
      <c r="AD72" s="9"/>
    </row>
    <row r="73" spans="1:30" ht="17.25" customHeight="1" x14ac:dyDescent="0.25">
      <c r="B73" s="13" t="s">
        <v>125</v>
      </c>
      <c r="C73" s="13"/>
      <c r="D73" s="13"/>
      <c r="E73" s="13"/>
      <c r="F73" s="13"/>
      <c r="H73" s="13"/>
      <c r="I73" s="13"/>
      <c r="J73" s="82"/>
      <c r="K73" s="13"/>
      <c r="L73" s="59"/>
      <c r="O73" s="1"/>
      <c r="V73" s="651" t="s">
        <v>126</v>
      </c>
      <c r="W73" s="651"/>
      <c r="X73" s="651"/>
      <c r="Y73" s="651"/>
      <c r="Z73" s="651"/>
      <c r="AA73" s="651"/>
      <c r="AB73" s="651"/>
      <c r="AC73" s="651"/>
      <c r="AD73" s="9"/>
    </row>
    <row r="74" spans="1:30" ht="31.5" x14ac:dyDescent="0.25">
      <c r="B74" s="13" t="s">
        <v>126</v>
      </c>
      <c r="C74" s="13"/>
      <c r="D74" s="27" t="s">
        <v>13</v>
      </c>
      <c r="E74" s="27" t="s">
        <v>14</v>
      </c>
      <c r="F74" s="27"/>
      <c r="H74" s="164" t="s">
        <v>26</v>
      </c>
      <c r="I74" s="172"/>
      <c r="J74" s="164"/>
      <c r="K74" s="172"/>
      <c r="L74" s="112"/>
      <c r="O74" s="1"/>
      <c r="V74" s="666" t="s">
        <v>127</v>
      </c>
      <c r="W74" s="666"/>
      <c r="X74" s="173" t="s">
        <v>128</v>
      </c>
      <c r="Y74" s="174"/>
      <c r="Z74" s="175">
        <f>+I75</f>
        <v>110.5</v>
      </c>
      <c r="AA74" s="176" t="s">
        <v>129</v>
      </c>
      <c r="AB74" s="177">
        <f>+K75</f>
        <v>361</v>
      </c>
      <c r="AC74" s="56">
        <f>ROUND(AB74*Z74,0)</f>
        <v>39891</v>
      </c>
      <c r="AD74" s="9"/>
    </row>
    <row r="75" spans="1:30" ht="19.5" customHeight="1" x14ac:dyDescent="0.25">
      <c r="A75" s="1" t="s">
        <v>130</v>
      </c>
      <c r="B75" s="178" t="s">
        <v>127</v>
      </c>
      <c r="C75" s="179" t="s">
        <v>128</v>
      </c>
      <c r="D75" s="178">
        <v>107</v>
      </c>
      <c r="E75" s="178">
        <v>114</v>
      </c>
      <c r="F75" s="178">
        <v>0</v>
      </c>
      <c r="G75" s="180">
        <f>IF(E75=0,D75,E75)</f>
        <v>114</v>
      </c>
      <c r="H75" s="181"/>
      <c r="I75" s="182">
        <f>AVERAGE(G75,D75)</f>
        <v>110.5</v>
      </c>
      <c r="J75" s="183" t="s">
        <v>129</v>
      </c>
      <c r="K75" s="184">
        <v>361</v>
      </c>
      <c r="L75" s="50">
        <f>ROUND(K75*I75,0)</f>
        <v>39891</v>
      </c>
      <c r="N75" s="1">
        <v>7802</v>
      </c>
      <c r="O75" s="1">
        <v>0</v>
      </c>
      <c r="V75" s="666" t="s">
        <v>127</v>
      </c>
      <c r="W75" s="666"/>
      <c r="X75" s="173" t="s">
        <v>131</v>
      </c>
      <c r="Y75" s="185"/>
      <c r="Z75" s="186">
        <f>+I76</f>
        <v>0</v>
      </c>
      <c r="AA75" s="176" t="s">
        <v>129</v>
      </c>
      <c r="AB75" s="187">
        <f>+K76</f>
        <v>1358</v>
      </c>
      <c r="AC75" s="56">
        <f>ROUND(AB75*Z75,0)</f>
        <v>0</v>
      </c>
      <c r="AD75" s="9"/>
    </row>
    <row r="76" spans="1:30" ht="19.5" customHeight="1" x14ac:dyDescent="0.25">
      <c r="A76" s="1" t="s">
        <v>132</v>
      </c>
      <c r="B76" s="178" t="s">
        <v>127</v>
      </c>
      <c r="C76" s="179" t="s">
        <v>131</v>
      </c>
      <c r="D76" s="178">
        <v>0</v>
      </c>
      <c r="E76" s="178">
        <v>0</v>
      </c>
      <c r="F76" s="178">
        <v>0</v>
      </c>
      <c r="G76" s="180">
        <f>IF(E76=0,D76,E76)</f>
        <v>0</v>
      </c>
      <c r="H76" s="181"/>
      <c r="I76" s="182">
        <f>AVERAGE(G76,D76)</f>
        <v>0</v>
      </c>
      <c r="J76" s="183" t="s">
        <v>129</v>
      </c>
      <c r="K76" s="188">
        <v>1358</v>
      </c>
      <c r="L76" s="50">
        <f>ROUND(K76*I76,0)</f>
        <v>0</v>
      </c>
      <c r="N76" s="1">
        <v>7802</v>
      </c>
      <c r="O76" s="1">
        <v>110</v>
      </c>
      <c r="V76" s="651" t="s">
        <v>133</v>
      </c>
      <c r="W76" s="651"/>
      <c r="X76" s="651"/>
      <c r="Y76" s="661">
        <f>+I77</f>
        <v>33305823</v>
      </c>
      <c r="Z76" s="661"/>
      <c r="AA76" s="176" t="s">
        <v>129</v>
      </c>
      <c r="AB76" s="163">
        <f>AB54</f>
        <v>0</v>
      </c>
      <c r="AC76" s="56">
        <f>ROUND(Y76*AB76,0)</f>
        <v>0</v>
      </c>
      <c r="AD76" s="9"/>
    </row>
    <row r="77" spans="1:30" ht="26.25" customHeight="1" x14ac:dyDescent="0.25">
      <c r="B77" s="13" t="s">
        <v>133</v>
      </c>
      <c r="C77" s="13"/>
      <c r="D77" s="13"/>
      <c r="E77" s="13"/>
      <c r="F77" s="13"/>
      <c r="H77" s="164" t="s">
        <v>134</v>
      </c>
      <c r="I77" s="189">
        <v>33305823</v>
      </c>
      <c r="J77" s="165" t="s">
        <v>111</v>
      </c>
      <c r="K77" s="166">
        <f>K54</f>
        <v>2.8509999999999998E-3</v>
      </c>
      <c r="L77" s="50">
        <f>ROUND(I77*K77,0)</f>
        <v>94955</v>
      </c>
      <c r="O77" s="1"/>
      <c r="V77" s="651" t="str">
        <f>+B78</f>
        <v>15.  Additional Allocation (WFTE share)</v>
      </c>
      <c r="W77" s="651"/>
      <c r="X77" s="651"/>
      <c r="Y77" s="661">
        <f>+I78</f>
        <v>680688</v>
      </c>
      <c r="Z77" s="661"/>
      <c r="AA77" s="176" t="s">
        <v>129</v>
      </c>
      <c r="AB77" s="163">
        <f>AB54</f>
        <v>0</v>
      </c>
      <c r="AC77" s="56">
        <f>ROUND(Y77*AB77,0)</f>
        <v>0</v>
      </c>
      <c r="AD77" s="9"/>
    </row>
    <row r="78" spans="1:30" ht="26.25" customHeight="1" x14ac:dyDescent="0.25">
      <c r="B78" s="669" t="s">
        <v>135</v>
      </c>
      <c r="C78" s="669"/>
      <c r="D78" s="669"/>
      <c r="E78" s="13"/>
      <c r="F78" s="13"/>
      <c r="H78" s="164" t="s">
        <v>136</v>
      </c>
      <c r="I78" s="190">
        <v>680688</v>
      </c>
      <c r="J78" s="165" t="s">
        <v>111</v>
      </c>
      <c r="K78" s="166">
        <f>K54</f>
        <v>2.8509999999999998E-3</v>
      </c>
      <c r="L78" s="50">
        <f>ROUND(I78*K78,0)</f>
        <v>1941</v>
      </c>
      <c r="O78" s="1"/>
      <c r="V78" s="651" t="str">
        <f t="shared" ref="V78:V79" si="11">+B79</f>
        <v>16.  Florida Teachers Lead Program Stipend</v>
      </c>
      <c r="W78" s="651"/>
      <c r="X78" s="651"/>
      <c r="Y78" s="191"/>
      <c r="Z78" s="191"/>
      <c r="AA78" s="191"/>
      <c r="AB78" s="191"/>
      <c r="AC78" s="134"/>
      <c r="AD78" s="9"/>
    </row>
    <row r="79" spans="1:30" ht="21" customHeight="1" x14ac:dyDescent="0.25">
      <c r="B79" s="669" t="s">
        <v>137</v>
      </c>
      <c r="C79" s="669"/>
      <c r="D79" s="669"/>
      <c r="E79" s="13"/>
      <c r="F79" s="13"/>
      <c r="H79" s="164"/>
      <c r="I79" s="172"/>
      <c r="J79" s="172"/>
      <c r="K79" s="172"/>
      <c r="L79" s="129"/>
      <c r="N79" s="192"/>
      <c r="O79" s="1"/>
      <c r="Q79" s="164"/>
      <c r="V79" s="651" t="str">
        <f t="shared" si="11"/>
        <v>17.  Food Service Allocation</v>
      </c>
      <c r="W79" s="651"/>
      <c r="X79" s="651"/>
      <c r="Y79" s="191"/>
      <c r="Z79" s="191"/>
      <c r="AA79" s="191"/>
      <c r="AB79" s="191"/>
      <c r="AC79" s="193"/>
      <c r="AD79" s="9"/>
    </row>
    <row r="80" spans="1:30" ht="21" customHeight="1" x14ac:dyDescent="0.25">
      <c r="B80" s="669" t="s">
        <v>138</v>
      </c>
      <c r="C80" s="669"/>
      <c r="D80" s="669"/>
      <c r="E80" s="13"/>
      <c r="F80" s="13"/>
      <c r="H80" s="194" t="s">
        <v>139</v>
      </c>
      <c r="I80" s="195"/>
      <c r="J80" s="195"/>
      <c r="K80" s="195"/>
      <c r="L80" s="196"/>
      <c r="N80" s="197"/>
      <c r="O80" s="1"/>
      <c r="Q80" s="164"/>
      <c r="V80" s="191"/>
      <c r="W80" s="191"/>
      <c r="X80" s="191"/>
      <c r="Y80" s="191"/>
      <c r="Z80" s="191"/>
      <c r="AA80" s="191"/>
      <c r="AB80" s="191"/>
      <c r="AC80" s="193"/>
      <c r="AD80" s="9"/>
    </row>
    <row r="81" spans="1:30" ht="21" customHeight="1" thickBot="1" x14ac:dyDescent="0.3">
      <c r="B81" s="13"/>
      <c r="C81" s="13"/>
      <c r="D81" s="13"/>
      <c r="E81" s="13"/>
      <c r="F81" s="13"/>
      <c r="G81" s="13"/>
      <c r="H81" s="13"/>
      <c r="I81" s="13"/>
      <c r="J81" s="13"/>
      <c r="K81" s="13"/>
      <c r="L81" s="196"/>
      <c r="M81" s="198"/>
      <c r="N81" s="197"/>
      <c r="O81" s="1"/>
      <c r="Q81" s="164"/>
      <c r="V81" s="191" t="s">
        <v>140</v>
      </c>
      <c r="W81" s="191"/>
      <c r="X81" s="191"/>
      <c r="Y81" s="191"/>
      <c r="Z81" s="191"/>
      <c r="AA81" s="191"/>
      <c r="AB81" s="191"/>
      <c r="AC81" s="199">
        <f>SUM(AC44:AC80)</f>
        <v>39891</v>
      </c>
      <c r="AD81" s="200"/>
    </row>
    <row r="82" spans="1:30" ht="22.5" customHeight="1" thickTop="1" thickBot="1" x14ac:dyDescent="0.3">
      <c r="B82" s="13" t="s">
        <v>141</v>
      </c>
      <c r="C82" s="13"/>
      <c r="D82" s="13"/>
      <c r="E82" s="13"/>
      <c r="F82" s="13"/>
      <c r="G82" s="13"/>
      <c r="H82" s="13"/>
      <c r="I82" s="13"/>
      <c r="J82" s="13"/>
      <c r="K82" s="13"/>
      <c r="L82" s="201">
        <f>SUM(L44:L81)</f>
        <v>3507824</v>
      </c>
      <c r="M82" s="202"/>
      <c r="N82" s="203"/>
      <c r="O82" s="1"/>
      <c r="Q82" s="164"/>
      <c r="V82" s="191"/>
      <c r="W82" s="191"/>
      <c r="X82" s="191"/>
      <c r="Y82" s="191"/>
      <c r="Z82" s="191"/>
      <c r="AA82" s="191"/>
      <c r="AB82" s="191"/>
      <c r="AC82" s="204"/>
      <c r="AD82" s="200"/>
    </row>
    <row r="83" spans="1:30" ht="27.75" customHeight="1" thickTop="1" x14ac:dyDescent="0.25">
      <c r="B83" s="13" t="s">
        <v>142</v>
      </c>
      <c r="C83" s="13"/>
      <c r="D83" s="13"/>
      <c r="E83" s="13"/>
      <c r="F83" s="13"/>
      <c r="G83" s="13"/>
      <c r="H83" s="13"/>
      <c r="I83" s="13"/>
      <c r="J83" s="13"/>
      <c r="K83" s="82" t="s">
        <v>143</v>
      </c>
      <c r="L83" s="205" t="s">
        <v>144</v>
      </c>
      <c r="M83" s="202"/>
      <c r="N83" s="203"/>
      <c r="O83" s="1"/>
      <c r="Q83" s="164"/>
      <c r="V83" s="9" t="s">
        <v>145</v>
      </c>
      <c r="W83" s="9"/>
      <c r="X83" s="9"/>
      <c r="Y83" s="9"/>
      <c r="Z83" s="9"/>
      <c r="AA83" s="9"/>
      <c r="AB83" s="9"/>
      <c r="AC83" s="9"/>
      <c r="AD83" s="206"/>
    </row>
    <row r="84" spans="1:30" ht="18.75" customHeight="1" thickBot="1" x14ac:dyDescent="0.3">
      <c r="B84" s="13" t="s">
        <v>146</v>
      </c>
      <c r="C84" s="13"/>
      <c r="D84" s="13"/>
      <c r="E84" s="13"/>
      <c r="F84" s="13"/>
      <c r="G84" s="13"/>
      <c r="H84" s="13"/>
      <c r="I84" s="13"/>
      <c r="J84" s="13"/>
      <c r="K84" s="207" t="str">
        <f>IF(G26=0,"",IF((G11+G13+SUM(G15:G21))/G26&gt;0.75,1,""))</f>
        <v/>
      </c>
      <c r="L84" s="201">
        <f>'3395'!AC81</f>
        <v>39891</v>
      </c>
      <c r="M84" s="202"/>
      <c r="N84" s="203"/>
      <c r="O84" s="1"/>
      <c r="Q84" s="164"/>
      <c r="V84" s="208" t="s">
        <v>147</v>
      </c>
      <c r="W84" s="208"/>
      <c r="X84" s="208"/>
      <c r="Y84" s="208"/>
      <c r="Z84" s="208"/>
      <c r="AA84" s="208"/>
      <c r="AB84" s="208"/>
      <c r="AC84" s="208"/>
      <c r="AD84" s="9"/>
    </row>
    <row r="85" spans="1:30" ht="18.75" customHeight="1" thickTop="1" x14ac:dyDescent="0.25">
      <c r="B85" s="13"/>
      <c r="C85" s="13"/>
      <c r="D85" s="13"/>
      <c r="E85" s="13"/>
      <c r="F85" s="13"/>
      <c r="G85" s="13"/>
      <c r="H85" s="13"/>
      <c r="I85" s="13"/>
      <c r="J85" s="13"/>
      <c r="M85" s="202"/>
      <c r="N85" s="203"/>
      <c r="O85" s="1"/>
      <c r="Q85" s="164"/>
      <c r="V85" s="208" t="s">
        <v>148</v>
      </c>
      <c r="W85" s="208"/>
      <c r="X85" s="208"/>
      <c r="Y85" s="208"/>
      <c r="Z85" s="208"/>
      <c r="AA85" s="208"/>
      <c r="AB85" s="208"/>
      <c r="AC85" s="208"/>
      <c r="AD85" s="206"/>
    </row>
    <row r="86" spans="1:30" ht="18.75" customHeight="1" x14ac:dyDescent="0.25">
      <c r="B86" s="2" t="s">
        <v>149</v>
      </c>
      <c r="C86" s="13"/>
      <c r="D86" s="13"/>
      <c r="E86" s="13"/>
      <c r="F86" s="13"/>
      <c r="G86" s="13"/>
      <c r="H86" s="13"/>
      <c r="I86" s="13"/>
      <c r="J86" s="209" t="s">
        <v>150</v>
      </c>
      <c r="K86" s="210">
        <f>IF(K84=1,L84,L82)</f>
        <v>3507824</v>
      </c>
      <c r="L86" s="211">
        <f>IF(G26=0,0,IF(G26&gt;250,-(((250/G26)*K86)*IF(M86="H",0.02,0.05)),IF(M86="H",-0.02*K86,-0.05*K86)))</f>
        <v>-84728.411045197208</v>
      </c>
      <c r="M86" s="212" t="str">
        <f>IF(B123="2801","H",IF(B123="2911","H",IF(B123="3382","H"," ")))</f>
        <v xml:space="preserve"> </v>
      </c>
      <c r="N86" s="203"/>
      <c r="O86" s="1"/>
      <c r="Q86" s="164"/>
      <c r="V86" s="208" t="s">
        <v>151</v>
      </c>
      <c r="W86" s="208"/>
      <c r="X86" s="208"/>
      <c r="Y86" s="208"/>
      <c r="Z86" s="208"/>
      <c r="AA86" s="208"/>
      <c r="AB86" s="208"/>
      <c r="AC86" s="208"/>
      <c r="AD86" s="206"/>
    </row>
    <row r="87" spans="1:30" ht="18.75" customHeight="1" x14ac:dyDescent="0.25">
      <c r="B87" s="2" t="s">
        <v>152</v>
      </c>
      <c r="C87" s="13"/>
      <c r="D87" s="13"/>
      <c r="E87" s="13"/>
      <c r="F87" s="13"/>
      <c r="G87" s="13"/>
      <c r="H87" s="13"/>
      <c r="I87" s="13"/>
      <c r="J87" s="13"/>
      <c r="K87" s="213"/>
      <c r="L87" s="205">
        <f>L82+L86</f>
        <v>3423095.5889548026</v>
      </c>
      <c r="M87" s="202"/>
      <c r="N87" s="203"/>
      <c r="O87" s="1"/>
      <c r="Q87" s="164"/>
      <c r="V87" s="198"/>
      <c r="W87" s="198"/>
      <c r="X87" s="198"/>
      <c r="Y87" s="198"/>
      <c r="Z87" s="198"/>
      <c r="AA87" s="198"/>
      <c r="AB87" s="198"/>
      <c r="AC87" s="198"/>
      <c r="AD87" s="214"/>
    </row>
    <row r="88" spans="1:30" x14ac:dyDescent="0.25">
      <c r="V88" s="198"/>
      <c r="W88" s="198"/>
      <c r="X88" s="198"/>
      <c r="Y88" s="198"/>
      <c r="Z88" s="198"/>
      <c r="AA88" s="198"/>
      <c r="AB88" s="198"/>
      <c r="AC88" s="198"/>
      <c r="AD88" s="215"/>
    </row>
    <row r="89" spans="1:30" ht="18.75" customHeight="1" x14ac:dyDescent="0.25">
      <c r="A89" s="1" t="s">
        <v>153</v>
      </c>
      <c r="B89" s="13" t="s">
        <v>154</v>
      </c>
      <c r="C89" s="13"/>
      <c r="D89" s="13">
        <v>1706860</v>
      </c>
      <c r="E89" s="13">
        <v>289194</v>
      </c>
      <c r="F89" s="13">
        <v>2863636</v>
      </c>
      <c r="G89" s="13"/>
      <c r="H89" s="13"/>
      <c r="I89" s="13"/>
      <c r="J89" s="13"/>
      <c r="K89" s="213"/>
      <c r="L89" s="84">
        <f>-F89-280874</f>
        <v>-3144510</v>
      </c>
      <c r="M89" s="202"/>
      <c r="N89" s="203"/>
      <c r="O89" s="1"/>
      <c r="Q89" s="164"/>
      <c r="V89" s="198">
        <v>2801</v>
      </c>
      <c r="W89" s="198"/>
      <c r="X89" s="198"/>
      <c r="Y89" s="198"/>
      <c r="Z89" s="198"/>
      <c r="AA89" s="198"/>
      <c r="AB89" s="198"/>
      <c r="AC89" s="198"/>
      <c r="AD89" s="214"/>
    </row>
    <row r="90" spans="1:30" ht="18.75" customHeight="1" x14ac:dyDescent="0.25">
      <c r="B90" s="13" t="s">
        <v>155</v>
      </c>
      <c r="C90" s="13"/>
      <c r="D90" s="13"/>
      <c r="E90" s="13"/>
      <c r="F90" s="13"/>
      <c r="G90" s="13"/>
      <c r="H90" s="13"/>
      <c r="I90" s="13"/>
      <c r="J90" s="13"/>
      <c r="K90" s="213"/>
      <c r="L90" s="205">
        <f>L87+L89</f>
        <v>278585.5889548026</v>
      </c>
      <c r="M90" s="202"/>
      <c r="N90" s="203"/>
      <c r="O90" s="1"/>
      <c r="Q90" s="164"/>
      <c r="V90" s="198">
        <v>2911</v>
      </c>
      <c r="W90" s="216"/>
      <c r="X90" s="216"/>
      <c r="Y90" s="216"/>
      <c r="Z90" s="216"/>
      <c r="AA90" s="216"/>
      <c r="AB90" s="216"/>
      <c r="AC90" s="216"/>
      <c r="AD90" s="214"/>
    </row>
    <row r="91" spans="1:30" ht="18.75" customHeight="1" x14ac:dyDescent="0.25">
      <c r="B91" s="13" t="s">
        <v>156</v>
      </c>
      <c r="C91" s="13"/>
      <c r="D91" s="13"/>
      <c r="E91" s="13"/>
      <c r="F91" s="13"/>
      <c r="G91" s="13"/>
      <c r="H91" s="13"/>
      <c r="I91" s="13"/>
      <c r="J91" s="13"/>
      <c r="K91" s="213"/>
      <c r="L91" s="205">
        <v>1</v>
      </c>
      <c r="M91" s="202"/>
      <c r="N91" s="203"/>
      <c r="O91" s="1"/>
      <c r="Q91" s="164"/>
      <c r="V91" s="198">
        <v>3382</v>
      </c>
      <c r="W91" s="216"/>
      <c r="X91" s="216"/>
      <c r="Y91" s="216"/>
      <c r="Z91" s="216"/>
      <c r="AA91" s="216"/>
      <c r="AB91" s="216"/>
      <c r="AC91" s="216"/>
      <c r="AD91" s="214"/>
    </row>
    <row r="92" spans="1:30" ht="18.75" customHeight="1" thickBot="1" x14ac:dyDescent="0.3">
      <c r="B92" s="13" t="s">
        <v>157</v>
      </c>
      <c r="C92" s="13"/>
      <c r="D92" s="13"/>
      <c r="E92" s="13"/>
      <c r="F92" s="13"/>
      <c r="G92" s="13"/>
      <c r="H92" s="13"/>
      <c r="I92" s="13"/>
      <c r="J92" s="13"/>
      <c r="K92" s="213"/>
      <c r="L92" s="217">
        <f>L90/L91</f>
        <v>278585.5889548026</v>
      </c>
      <c r="M92" s="202"/>
      <c r="N92" s="203"/>
      <c r="O92" s="1"/>
      <c r="Q92" s="164"/>
      <c r="V92" s="218"/>
      <c r="W92" s="218"/>
      <c r="X92" s="218"/>
      <c r="Y92" s="218"/>
      <c r="Z92" s="218"/>
      <c r="AA92" s="218"/>
      <c r="AB92" s="218"/>
      <c r="AC92" s="218"/>
      <c r="AD92" s="219"/>
    </row>
    <row r="93" spans="1:30" ht="18.75" customHeight="1" thickTop="1" x14ac:dyDescent="0.25">
      <c r="N93" s="219"/>
      <c r="O93" s="220"/>
      <c r="P93" s="219"/>
      <c r="Q93" s="219"/>
      <c r="V93" s="218"/>
      <c r="W93" s="218"/>
      <c r="X93" s="218"/>
      <c r="Y93" s="218"/>
      <c r="Z93" s="218"/>
      <c r="AA93" s="218"/>
      <c r="AB93" s="218"/>
      <c r="AC93" s="218"/>
      <c r="AD93" s="214"/>
    </row>
    <row r="94" spans="1:30" ht="18.75" customHeight="1" thickBot="1" x14ac:dyDescent="0.3">
      <c r="B94" s="221" t="s">
        <v>158</v>
      </c>
      <c r="C94" s="13"/>
      <c r="D94" s="13"/>
      <c r="E94" s="13"/>
      <c r="G94" s="13"/>
      <c r="H94" s="13"/>
      <c r="I94" s="13"/>
      <c r="J94" s="13"/>
      <c r="L94" s="222">
        <f>IF(M86="H",(K86*0.02)+L86,(K86*0.05)+L86)</f>
        <v>90662.788954802803</v>
      </c>
      <c r="M94" s="202"/>
      <c r="V94" s="223"/>
      <c r="W94" s="223"/>
      <c r="X94" s="223"/>
      <c r="Y94" s="223"/>
      <c r="Z94" s="223"/>
      <c r="AA94" s="223"/>
      <c r="AB94" s="223"/>
      <c r="AC94" s="223"/>
      <c r="AD94" s="214"/>
    </row>
    <row r="95" spans="1:30" ht="21.75" customHeight="1" thickTop="1" x14ac:dyDescent="0.25">
      <c r="B95" s="224" t="s">
        <v>159</v>
      </c>
      <c r="C95" s="224"/>
      <c r="D95" s="224"/>
      <c r="E95" s="224"/>
      <c r="F95" s="224"/>
      <c r="G95" s="224"/>
      <c r="H95" s="224"/>
      <c r="I95" s="224"/>
      <c r="J95" s="224"/>
      <c r="K95" s="224"/>
      <c r="L95" s="224"/>
      <c r="M95" s="219"/>
      <c r="V95" s="223"/>
      <c r="W95" s="223"/>
      <c r="X95" s="223"/>
      <c r="Y95" s="223"/>
      <c r="Z95" s="223"/>
      <c r="AA95" s="223"/>
      <c r="AB95" s="223"/>
      <c r="AC95" s="223"/>
      <c r="AD95" s="214"/>
    </row>
    <row r="96" spans="1:30" x14ac:dyDescent="0.25">
      <c r="B96" s="225"/>
      <c r="V96" s="223"/>
      <c r="W96" s="223"/>
      <c r="X96" s="223"/>
      <c r="Y96" s="223"/>
      <c r="Z96" s="223"/>
      <c r="AA96" s="223"/>
      <c r="AB96" s="223"/>
      <c r="AC96" s="223"/>
      <c r="AD96" s="219"/>
    </row>
    <row r="97" spans="2:30" x14ac:dyDescent="0.25">
      <c r="B97" s="225"/>
      <c r="V97" s="223"/>
      <c r="W97" s="223"/>
      <c r="X97" s="223"/>
      <c r="Y97" s="223"/>
      <c r="Z97" s="223"/>
      <c r="AA97" s="223"/>
      <c r="AB97" s="223"/>
      <c r="AC97" s="223"/>
      <c r="AD97" s="219"/>
    </row>
    <row r="98" spans="2:30" hidden="1" x14ac:dyDescent="0.25">
      <c r="B98" s="226" t="s">
        <v>160</v>
      </c>
      <c r="C98" s="227"/>
      <c r="V98" s="228"/>
      <c r="W98" s="228"/>
      <c r="X98" s="228"/>
      <c r="Y98" s="228"/>
      <c r="Z98" s="228"/>
      <c r="AA98" s="228"/>
      <c r="AB98" s="228"/>
      <c r="AC98" s="228"/>
    </row>
    <row r="99" spans="2:30" hidden="1" x14ac:dyDescent="0.25">
      <c r="B99" s="229"/>
      <c r="C99" s="227"/>
      <c r="V99" s="225"/>
      <c r="W99" s="13"/>
      <c r="X99" s="13"/>
      <c r="Y99" s="13"/>
      <c r="Z99" s="13"/>
      <c r="AA99" s="13"/>
      <c r="AB99" s="13"/>
      <c r="AC99" s="13"/>
    </row>
    <row r="100" spans="2:30" hidden="1" x14ac:dyDescent="0.25">
      <c r="B100" s="230" t="s">
        <v>161</v>
      </c>
      <c r="C100" s="226" t="s">
        <v>162</v>
      </c>
      <c r="V100" s="225"/>
    </row>
    <row r="101" spans="2:30" hidden="1" x14ac:dyDescent="0.25">
      <c r="B101" s="230" t="s">
        <v>163</v>
      </c>
      <c r="C101" s="226" t="s">
        <v>164</v>
      </c>
      <c r="V101" s="225"/>
    </row>
    <row r="102" spans="2:30" hidden="1" x14ac:dyDescent="0.25">
      <c r="B102" s="230" t="s">
        <v>165</v>
      </c>
      <c r="C102" s="226" t="s">
        <v>166</v>
      </c>
      <c r="V102" s="225"/>
      <c r="W102" s="231"/>
      <c r="X102" s="231"/>
      <c r="Y102" s="231"/>
      <c r="Z102" s="231"/>
      <c r="AA102" s="231"/>
      <c r="AB102" s="231"/>
      <c r="AC102" s="231"/>
      <c r="AD102" s="231"/>
    </row>
    <row r="103" spans="2:30" hidden="1" x14ac:dyDescent="0.25">
      <c r="B103" s="230" t="s">
        <v>167</v>
      </c>
      <c r="C103" s="226" t="s">
        <v>168</v>
      </c>
      <c r="V103" s="225"/>
    </row>
    <row r="104" spans="2:30" hidden="1" x14ac:dyDescent="0.25">
      <c r="B104" s="232"/>
      <c r="C104" s="226" t="s">
        <v>169</v>
      </c>
      <c r="V104" s="225"/>
    </row>
    <row r="105" spans="2:30" hidden="1" x14ac:dyDescent="0.25">
      <c r="B105" s="230" t="s">
        <v>170</v>
      </c>
      <c r="C105" s="226" t="s">
        <v>171</v>
      </c>
      <c r="V105" s="225"/>
    </row>
    <row r="106" spans="2:30" hidden="1" x14ac:dyDescent="0.25">
      <c r="B106" s="230" t="s">
        <v>172</v>
      </c>
      <c r="C106" s="226" t="s">
        <v>173</v>
      </c>
      <c r="V106" s="225"/>
    </row>
    <row r="107" spans="2:30" hidden="1" x14ac:dyDescent="0.25">
      <c r="B107" s="230" t="s">
        <v>283</v>
      </c>
      <c r="C107" s="226" t="s">
        <v>175</v>
      </c>
      <c r="V107" s="225"/>
    </row>
    <row r="108" spans="2:30" hidden="1" x14ac:dyDescent="0.25">
      <c r="B108" s="230" t="s">
        <v>176</v>
      </c>
      <c r="C108" s="226" t="s">
        <v>177</v>
      </c>
      <c r="V108" s="225"/>
    </row>
    <row r="109" spans="2:30" hidden="1" x14ac:dyDescent="0.25">
      <c r="B109" s="230" t="s">
        <v>178</v>
      </c>
      <c r="C109" s="226" t="s">
        <v>179</v>
      </c>
      <c r="V109" s="225"/>
    </row>
    <row r="110" spans="2:30" hidden="1" x14ac:dyDescent="0.25">
      <c r="B110" s="232"/>
      <c r="C110" s="226"/>
      <c r="V110" s="225"/>
    </row>
    <row r="111" spans="2:30" hidden="1" x14ac:dyDescent="0.25">
      <c r="B111" s="230" t="s">
        <v>180</v>
      </c>
      <c r="C111" s="226" t="s">
        <v>181</v>
      </c>
      <c r="V111" s="225"/>
    </row>
    <row r="112" spans="2:30" hidden="1" x14ac:dyDescent="0.25">
      <c r="B112" s="230" t="s">
        <v>180</v>
      </c>
      <c r="C112" s="226" t="s">
        <v>182</v>
      </c>
    </row>
    <row r="113" spans="2:3" hidden="1" x14ac:dyDescent="0.25">
      <c r="B113" s="230" t="s">
        <v>183</v>
      </c>
      <c r="C113" s="226" t="s">
        <v>184</v>
      </c>
    </row>
    <row r="114" spans="2:3" hidden="1" x14ac:dyDescent="0.25">
      <c r="B114" s="230" t="s">
        <v>185</v>
      </c>
      <c r="C114" s="226" t="s">
        <v>186</v>
      </c>
    </row>
    <row r="115" spans="2:3" hidden="1" x14ac:dyDescent="0.25">
      <c r="B115" s="230" t="s">
        <v>183</v>
      </c>
      <c r="C115" s="226" t="s">
        <v>187</v>
      </c>
    </row>
    <row r="116" spans="2:3" hidden="1" x14ac:dyDescent="0.25">
      <c r="B116" s="230" t="s">
        <v>188</v>
      </c>
      <c r="C116" s="226" t="s">
        <v>189</v>
      </c>
    </row>
    <row r="117" spans="2:3" hidden="1" x14ac:dyDescent="0.25">
      <c r="B117" s="230" t="s">
        <v>190</v>
      </c>
      <c r="C117" s="226" t="s">
        <v>191</v>
      </c>
    </row>
    <row r="118" spans="2:3" hidden="1" x14ac:dyDescent="0.25">
      <c r="B118" s="232" t="s">
        <v>192</v>
      </c>
      <c r="C118" s="226" t="s">
        <v>193</v>
      </c>
    </row>
    <row r="119" spans="2:3" hidden="1" x14ac:dyDescent="0.25">
      <c r="B119" s="232"/>
      <c r="C119" s="226"/>
    </row>
    <row r="120" spans="2:3" hidden="1" x14ac:dyDescent="0.25">
      <c r="B120" s="230" t="s">
        <v>161</v>
      </c>
      <c r="C120" s="226" t="s">
        <v>194</v>
      </c>
    </row>
    <row r="121" spans="2:3" hidden="1" x14ac:dyDescent="0.25">
      <c r="B121" s="230" t="s">
        <v>195</v>
      </c>
      <c r="C121" s="226" t="s">
        <v>196</v>
      </c>
    </row>
    <row r="122" spans="2:3" hidden="1" x14ac:dyDescent="0.25">
      <c r="B122" s="230" t="s">
        <v>197</v>
      </c>
      <c r="C122" s="226" t="s">
        <v>198</v>
      </c>
    </row>
    <row r="123" spans="2:3" hidden="1" x14ac:dyDescent="0.25">
      <c r="B123" s="230" t="s">
        <v>284</v>
      </c>
      <c r="C123" s="226" t="s">
        <v>200</v>
      </c>
    </row>
    <row r="124" spans="2:3" hidden="1" x14ac:dyDescent="0.25">
      <c r="B124" s="230" t="s">
        <v>285</v>
      </c>
      <c r="C124" s="226" t="s">
        <v>202</v>
      </c>
    </row>
    <row r="125" spans="2:3" hidden="1" x14ac:dyDescent="0.25">
      <c r="B125" s="230" t="s">
        <v>203</v>
      </c>
      <c r="C125" s="226" t="s">
        <v>204</v>
      </c>
    </row>
    <row r="126" spans="2:3" hidden="1" x14ac:dyDescent="0.25">
      <c r="B126" s="230" t="s">
        <v>203</v>
      </c>
      <c r="C126" s="226" t="s">
        <v>205</v>
      </c>
    </row>
    <row r="127" spans="2:3" hidden="1" x14ac:dyDescent="0.25">
      <c r="B127" s="230" t="s">
        <v>203</v>
      </c>
      <c r="C127" s="226" t="s">
        <v>206</v>
      </c>
    </row>
    <row r="128" spans="2:3" hidden="1" x14ac:dyDescent="0.25">
      <c r="B128" s="230" t="s">
        <v>203</v>
      </c>
      <c r="C128" s="226" t="s">
        <v>207</v>
      </c>
    </row>
    <row r="129" spans="2:3" hidden="1" x14ac:dyDescent="0.25">
      <c r="B129" s="230" t="s">
        <v>167</v>
      </c>
      <c r="C129" s="226" t="s">
        <v>208</v>
      </c>
    </row>
    <row r="130" spans="2:3" hidden="1" x14ac:dyDescent="0.25">
      <c r="B130" s="230" t="s">
        <v>209</v>
      </c>
      <c r="C130" s="226" t="s">
        <v>210</v>
      </c>
    </row>
    <row r="131" spans="2:3" hidden="1" x14ac:dyDescent="0.25">
      <c r="B131" s="230" t="s">
        <v>203</v>
      </c>
      <c r="C131" s="226" t="s">
        <v>211</v>
      </c>
    </row>
    <row r="132" spans="2:3" hidden="1" x14ac:dyDescent="0.25">
      <c r="B132" s="226"/>
      <c r="C132" s="226"/>
    </row>
    <row r="133" spans="2:3" hidden="1" x14ac:dyDescent="0.25">
      <c r="B133" s="226"/>
      <c r="C133" s="226"/>
    </row>
    <row r="134" spans="2:3" hidden="1" x14ac:dyDescent="0.25">
      <c r="B134" s="232"/>
      <c r="C134" s="232"/>
    </row>
    <row r="135" spans="2:3" hidden="1" x14ac:dyDescent="0.25">
      <c r="B135" s="232">
        <f>NvsElapsedTime</f>
        <v>1.15740767796524E-5</v>
      </c>
      <c r="C135" s="232"/>
    </row>
    <row r="136" spans="2:3" hidden="1" x14ac:dyDescent="0.25">
      <c r="B136" s="233">
        <f>NvsEndTime</f>
        <v>41754.487951388903</v>
      </c>
      <c r="C136" s="233" t="s">
        <v>212</v>
      </c>
    </row>
    <row r="137" spans="2:3" x14ac:dyDescent="0.25">
      <c r="B137" s="226"/>
      <c r="C137" s="234"/>
    </row>
    <row r="138" spans="2:3" x14ac:dyDescent="0.25">
      <c r="B138" s="226"/>
      <c r="C138" s="226"/>
    </row>
    <row r="139" spans="2:3" x14ac:dyDescent="0.25">
      <c r="B139" s="226"/>
      <c r="C139" s="226"/>
    </row>
    <row r="140" spans="2:3" x14ac:dyDescent="0.25">
      <c r="B140" s="226"/>
      <c r="C140" s="226"/>
    </row>
    <row r="141" spans="2:3" x14ac:dyDescent="0.25">
      <c r="B141" s="226"/>
      <c r="C141" s="226"/>
    </row>
    <row r="142" spans="2:3" x14ac:dyDescent="0.25">
      <c r="B142" s="226"/>
      <c r="C142" s="226"/>
    </row>
    <row r="143" spans="2:3" x14ac:dyDescent="0.25">
      <c r="B143" s="226"/>
      <c r="C143" s="226"/>
    </row>
    <row r="144" spans="2:3" x14ac:dyDescent="0.25">
      <c r="B144" s="226"/>
      <c r="C144" s="226"/>
    </row>
    <row r="145" spans="2:3" x14ac:dyDescent="0.25">
      <c r="B145" s="226"/>
      <c r="C145" s="226"/>
    </row>
    <row r="146" spans="2:3" x14ac:dyDescent="0.25">
      <c r="B146" s="226"/>
      <c r="C146" s="226"/>
    </row>
    <row r="147" spans="2:3" x14ac:dyDescent="0.25">
      <c r="B147" s="226"/>
      <c r="C147" s="226"/>
    </row>
    <row r="148" spans="2:3" x14ac:dyDescent="0.25">
      <c r="B148" s="226"/>
      <c r="C148" s="226"/>
    </row>
    <row r="149" spans="2:3" x14ac:dyDescent="0.25">
      <c r="B149" s="226"/>
      <c r="C149" s="226"/>
    </row>
    <row r="150" spans="2:3" x14ac:dyDescent="0.25">
      <c r="B150" s="226"/>
      <c r="C150" s="226"/>
    </row>
    <row r="151" spans="2:3" x14ac:dyDescent="0.25">
      <c r="B151" s="226"/>
      <c r="C151" s="226"/>
    </row>
  </sheetData>
  <mergeCells count="151">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9:W9"/>
    <mergeCell ref="X9:Y9"/>
    <mergeCell ref="Z9:AA9"/>
    <mergeCell ref="V10:W10"/>
    <mergeCell ref="X10:Y10"/>
    <mergeCell ref="Z10:AA10"/>
    <mergeCell ref="V7:W7"/>
    <mergeCell ref="X7:Y7"/>
    <mergeCell ref="Z7:AA7"/>
    <mergeCell ref="AB7:AC7"/>
    <mergeCell ref="V8:W8"/>
    <mergeCell ref="X8:Y8"/>
    <mergeCell ref="Z8:AA8"/>
    <mergeCell ref="W2:AC2"/>
    <mergeCell ref="V3:AC3"/>
    <mergeCell ref="V4:AC4"/>
    <mergeCell ref="V5:W5"/>
    <mergeCell ref="X5:Y5"/>
    <mergeCell ref="V6:AC6"/>
  </mergeCells>
  <printOptions horizontalCentered="1"/>
  <pageMargins left="0" right="0" top="0.67" bottom="0.2" header="0.25" footer="0.196850393700787"/>
  <pageSetup scale="63" fitToWidth="2" fitToHeight="2" orientation="portrait" horizontalDpi="4294967295" verticalDpi="4294967295" r:id="rId1"/>
  <headerFooter alignWithMargins="0">
    <oddHeader>&amp;L&amp;8&amp;F
&amp;D &amp;T</oddHeader>
    <oddFooter>&amp;C&amp;P</oddFooter>
  </headerFooter>
  <rowBreaks count="1" manualBreakCount="1">
    <brk id="51" max="16383"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D151"/>
  <sheetViews>
    <sheetView topLeftCell="B2" zoomScale="70" zoomScaleNormal="70" workbookViewId="0">
      <selection activeCell="E22" sqref="E22:E23"/>
    </sheetView>
  </sheetViews>
  <sheetFormatPr defaultColWidth="8.85546875" defaultRowHeight="15.75" x14ac:dyDescent="0.25"/>
  <cols>
    <col min="1" max="1" width="11.28515625" style="1" hidden="1" customWidth="1"/>
    <col min="2" max="2" width="10.28515625" style="2" customWidth="1"/>
    <col min="3" max="3" width="29" style="1" customWidth="1"/>
    <col min="4" max="5" width="12.28515625" style="1" customWidth="1"/>
    <col min="6" max="6" width="12.28515625" style="1" hidden="1" customWidth="1"/>
    <col min="7" max="7" width="17.42578125" style="1" customWidth="1"/>
    <col min="8" max="8" width="6.7109375" style="1" customWidth="1"/>
    <col min="9" max="9" width="14.28515625" style="1" customWidth="1"/>
    <col min="10" max="10" width="12.85546875" style="1" customWidth="1"/>
    <col min="11" max="11" width="17.28515625" style="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28515625" style="1" customWidth="1"/>
    <col min="18" max="18" width="8.85546875" style="1"/>
    <col min="19" max="21" width="0" style="1" hidden="1" customWidth="1"/>
    <col min="22" max="23" width="8.85546875" style="1"/>
    <col min="24" max="24" width="12.7109375" style="1" customWidth="1"/>
    <col min="25" max="27" width="8.85546875" style="1"/>
    <col min="28" max="28" width="13.140625" style="1" bestFit="1" customWidth="1"/>
    <col min="29" max="16384" width="8.85546875" style="1"/>
  </cols>
  <sheetData>
    <row r="1" spans="1:30" ht="15.6"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7"/>
      <c r="N2" s="3"/>
      <c r="O2" s="1"/>
      <c r="V2" s="8">
        <f>'3395 June Final'!B2</f>
        <v>50</v>
      </c>
      <c r="W2" s="606" t="s">
        <v>4</v>
      </c>
      <c r="X2" s="607"/>
      <c r="Y2" s="608"/>
      <c r="Z2" s="608"/>
      <c r="AA2" s="608"/>
      <c r="AB2" s="608"/>
      <c r="AC2" s="608"/>
      <c r="AD2" s="9"/>
    </row>
    <row r="3" spans="1:30" ht="20.25" x14ac:dyDescent="0.3">
      <c r="B3" s="10" t="str">
        <f>"Revenue Estimate Worksheet for "&amp;B124</f>
        <v>Revenue Estimate Worksheet for JFK Medical Center Charter Sch</v>
      </c>
      <c r="C3" s="11"/>
      <c r="D3" s="11"/>
      <c r="E3" s="11"/>
      <c r="F3" s="11"/>
      <c r="G3" s="11"/>
      <c r="H3" s="11"/>
      <c r="I3" s="11"/>
      <c r="J3" s="11"/>
      <c r="K3" s="11"/>
      <c r="L3" s="11"/>
      <c r="M3" s="10"/>
      <c r="N3" s="10"/>
      <c r="O3" s="10"/>
      <c r="P3" s="10"/>
      <c r="Q3" s="10"/>
      <c r="V3" s="609" t="s">
        <v>5</v>
      </c>
      <c r="W3" s="609"/>
      <c r="X3" s="609"/>
      <c r="Y3" s="609"/>
      <c r="Z3" s="609"/>
      <c r="AA3" s="609"/>
      <c r="AB3" s="609"/>
      <c r="AC3" s="609"/>
      <c r="AD3" s="12"/>
    </row>
    <row r="4" spans="1:30" ht="18.75" x14ac:dyDescent="0.3">
      <c r="B4" s="2" t="s">
        <v>6</v>
      </c>
      <c r="C4" s="13"/>
      <c r="D4" s="13"/>
      <c r="E4" s="13"/>
      <c r="F4" s="13"/>
      <c r="G4" s="13"/>
      <c r="H4" s="13"/>
      <c r="I4" s="13"/>
      <c r="J4" s="13"/>
      <c r="K4" s="13"/>
      <c r="L4" s="13"/>
      <c r="M4" s="14"/>
      <c r="N4" s="14"/>
      <c r="O4" s="14"/>
      <c r="P4" s="14"/>
      <c r="Q4" s="14"/>
      <c r="V4" s="610" t="str">
        <f>+Based_on_the_Second_Calculation_of_the_FEFP_2010_11</f>
        <v>Based on the Fourth Calculation of the FEFP 2013-14</v>
      </c>
      <c r="W4" s="610"/>
      <c r="X4" s="610"/>
      <c r="Y4" s="610"/>
      <c r="Z4" s="610"/>
      <c r="AA4" s="610"/>
      <c r="AB4" s="610"/>
      <c r="AC4" s="610"/>
      <c r="AD4" s="15"/>
    </row>
    <row r="5" spans="1:30" ht="18.75" customHeight="1" x14ac:dyDescent="0.25">
      <c r="B5" s="16" t="s">
        <v>7</v>
      </c>
      <c r="C5" s="16"/>
      <c r="D5" s="16"/>
      <c r="E5" s="16"/>
      <c r="F5" s="16"/>
      <c r="G5" s="17" t="s">
        <v>8</v>
      </c>
      <c r="H5" s="17"/>
      <c r="I5" s="17"/>
      <c r="J5" s="17"/>
      <c r="K5" s="17"/>
      <c r="L5" s="17"/>
      <c r="M5" s="18"/>
      <c r="N5" s="18"/>
      <c r="O5" s="18"/>
      <c r="P5" s="18"/>
      <c r="Q5" s="18"/>
      <c r="V5" s="611" t="s">
        <v>7</v>
      </c>
      <c r="W5" s="611"/>
      <c r="X5" s="612" t="s">
        <v>8</v>
      </c>
      <c r="Y5" s="612"/>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613" t="s">
        <v>9</v>
      </c>
      <c r="W6" s="613"/>
      <c r="X6" s="613"/>
      <c r="Y6" s="613"/>
      <c r="Z6" s="613"/>
      <c r="AA6" s="613"/>
      <c r="AB6" s="613"/>
      <c r="AC6" s="613"/>
      <c r="AD6" s="22"/>
    </row>
    <row r="7" spans="1:30" ht="18" customHeight="1" x14ac:dyDescent="0.25">
      <c r="B7" s="23" t="s">
        <v>10</v>
      </c>
      <c r="C7" s="23"/>
      <c r="D7" s="23"/>
      <c r="E7" s="23"/>
      <c r="F7" s="23"/>
      <c r="G7" s="24">
        <v>3752.3</v>
      </c>
      <c r="H7" s="24"/>
      <c r="I7" s="23" t="s">
        <v>11</v>
      </c>
      <c r="J7" s="23"/>
      <c r="K7" s="25">
        <v>1.0326</v>
      </c>
      <c r="L7" s="25"/>
      <c r="O7" s="1"/>
      <c r="V7" s="620" t="s">
        <v>10</v>
      </c>
      <c r="W7" s="620"/>
      <c r="X7" s="621">
        <f>'3395 June Final'!G7</f>
        <v>3752.3</v>
      </c>
      <c r="Y7" s="621"/>
      <c r="Z7" s="622" t="s">
        <v>11</v>
      </c>
      <c r="AA7" s="622"/>
      <c r="AB7" s="602">
        <f>+K7</f>
        <v>1.0326</v>
      </c>
      <c r="AC7" s="602"/>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603" t="s">
        <v>12</v>
      </c>
      <c r="W8" s="603"/>
      <c r="X8" s="604" t="s">
        <v>15</v>
      </c>
      <c r="Y8" s="604"/>
      <c r="Z8" s="605" t="s">
        <v>16</v>
      </c>
      <c r="AA8" s="605"/>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614" t="s">
        <v>22</v>
      </c>
      <c r="W9" s="614"/>
      <c r="X9" s="615" t="s">
        <v>23</v>
      </c>
      <c r="Y9" s="615"/>
      <c r="Z9" s="616" t="s">
        <v>24</v>
      </c>
      <c r="AA9" s="616"/>
      <c r="AB9" s="43" t="s">
        <v>25</v>
      </c>
      <c r="AC9" s="44" t="s">
        <v>26</v>
      </c>
      <c r="AD9" s="9"/>
    </row>
    <row r="10" spans="1:30" x14ac:dyDescent="0.25">
      <c r="A10" s="1" t="s">
        <v>27</v>
      </c>
      <c r="B10" s="45" t="s">
        <v>28</v>
      </c>
      <c r="C10" s="45"/>
      <c r="D10" s="45">
        <v>158.09</v>
      </c>
      <c r="E10" s="45">
        <v>155.66</v>
      </c>
      <c r="F10" s="45">
        <v>171.81</v>
      </c>
      <c r="G10" s="46">
        <f t="shared" ref="G10:G25" si="0">D10+E10</f>
        <v>313.75</v>
      </c>
      <c r="H10" s="47"/>
      <c r="I10" s="48">
        <v>1.125</v>
      </c>
      <c r="J10" s="48"/>
      <c r="K10" s="49">
        <f t="shared" ref="K10:K25" si="1">ROUND(G10*I10,4)</f>
        <v>352.96879999999999</v>
      </c>
      <c r="L10" s="50">
        <f t="shared" ref="L10:L25" si="2">ROUND(ROUND(K10*$G$7,4)*($K$7),0)</f>
        <v>1367622</v>
      </c>
      <c r="N10" s="51">
        <v>5101</v>
      </c>
      <c r="O10" s="52">
        <v>101</v>
      </c>
      <c r="P10" s="53"/>
      <c r="Q10" s="54"/>
      <c r="V10" s="617" t="s">
        <v>28</v>
      </c>
      <c r="W10" s="617"/>
      <c r="X10" s="618">
        <f>IF('3395 June Final'!K$84=1,'3395 June Final'!G10,0)</f>
        <v>0</v>
      </c>
      <c r="Y10" s="618"/>
      <c r="Z10" s="619">
        <v>1</v>
      </c>
      <c r="AA10" s="619"/>
      <c r="AB10" s="55">
        <f t="shared" ref="AB10:AB25" si="3">ROUND(X10*Z10,4)</f>
        <v>0</v>
      </c>
      <c r="AC10" s="56">
        <f t="shared" ref="AC10:AC25" si="4">ROUND(ROUND(AB10*$X$7,4)*($AB$7),0)</f>
        <v>0</v>
      </c>
      <c r="AD10" s="9">
        <v>1</v>
      </c>
    </row>
    <row r="11" spans="1:30" x14ac:dyDescent="0.25">
      <c r="A11" s="1" t="s">
        <v>29</v>
      </c>
      <c r="B11" s="13" t="s">
        <v>30</v>
      </c>
      <c r="C11" s="13"/>
      <c r="D11" s="13">
        <v>18.98</v>
      </c>
      <c r="E11" s="13">
        <v>20.02</v>
      </c>
      <c r="F11" s="13">
        <v>21.16</v>
      </c>
      <c r="G11" s="46">
        <f t="shared" si="0"/>
        <v>39</v>
      </c>
      <c r="H11" s="47"/>
      <c r="I11" s="57">
        <f>I10</f>
        <v>1.125</v>
      </c>
      <c r="J11" s="57"/>
      <c r="K11" s="49">
        <f t="shared" si="1"/>
        <v>43.875</v>
      </c>
      <c r="L11" s="50">
        <f t="shared" si="2"/>
        <v>169999</v>
      </c>
      <c r="M11" s="1" t="str">
        <f>IF(ROUND(G11,2)=ROUND(SUM(G28:G30),2)," ","CHECK 2. PK-3 Lines Below")</f>
        <v xml:space="preserve"> </v>
      </c>
      <c r="N11" s="51">
        <v>5101</v>
      </c>
      <c r="O11" s="58" t="s">
        <v>31</v>
      </c>
      <c r="P11" s="53"/>
      <c r="Q11" s="54"/>
      <c r="V11" s="623" t="s">
        <v>30</v>
      </c>
      <c r="W11" s="623"/>
      <c r="X11" s="618">
        <f>IF('3395 June Final'!K$84=1,'3395 June Final'!G11,0)</f>
        <v>0</v>
      </c>
      <c r="Y11" s="618"/>
      <c r="Z11" s="624">
        <v>1</v>
      </c>
      <c r="AA11" s="624"/>
      <c r="AB11" s="55">
        <f t="shared" si="3"/>
        <v>0</v>
      </c>
      <c r="AC11" s="56">
        <f t="shared" si="4"/>
        <v>0</v>
      </c>
      <c r="AD11" s="9"/>
    </row>
    <row r="12" spans="1:30" x14ac:dyDescent="0.25">
      <c r="A12" s="1" t="s">
        <v>32</v>
      </c>
      <c r="B12" s="13" t="s">
        <v>33</v>
      </c>
      <c r="C12" s="13"/>
      <c r="D12" s="13">
        <v>67.39</v>
      </c>
      <c r="E12" s="13">
        <v>67.400000000000006</v>
      </c>
      <c r="F12" s="13">
        <v>74.02</v>
      </c>
      <c r="G12" s="46">
        <f t="shared" si="0"/>
        <v>134.79000000000002</v>
      </c>
      <c r="H12" s="47"/>
      <c r="I12" s="57">
        <v>1</v>
      </c>
      <c r="J12" s="57"/>
      <c r="K12" s="49">
        <f t="shared" si="1"/>
        <v>134.79</v>
      </c>
      <c r="L12" s="50">
        <f t="shared" si="2"/>
        <v>522261</v>
      </c>
      <c r="N12" s="51">
        <v>5102</v>
      </c>
      <c r="O12" s="52">
        <v>102</v>
      </c>
      <c r="P12" s="53"/>
      <c r="Q12" s="54"/>
      <c r="V12" s="623" t="s">
        <v>33</v>
      </c>
      <c r="W12" s="623"/>
      <c r="X12" s="618">
        <f>IF('3395 June Final'!K$84=1,'3395 June Final'!G12,0)</f>
        <v>0</v>
      </c>
      <c r="Y12" s="618"/>
      <c r="Z12" s="624">
        <v>1</v>
      </c>
      <c r="AA12" s="624"/>
      <c r="AB12" s="55">
        <f t="shared" si="3"/>
        <v>0</v>
      </c>
      <c r="AC12" s="56">
        <f t="shared" si="4"/>
        <v>0</v>
      </c>
      <c r="AD12" s="9"/>
    </row>
    <row r="13" spans="1:30" x14ac:dyDescent="0.25">
      <c r="A13" s="1" t="s">
        <v>34</v>
      </c>
      <c r="B13" s="13" t="s">
        <v>35</v>
      </c>
      <c r="C13" s="13"/>
      <c r="D13" s="13">
        <v>7</v>
      </c>
      <c r="E13" s="13">
        <v>6.49</v>
      </c>
      <c r="F13" s="13">
        <v>7.84</v>
      </c>
      <c r="G13" s="46">
        <f t="shared" si="0"/>
        <v>13.49</v>
      </c>
      <c r="H13" s="47"/>
      <c r="I13" s="57">
        <f>I12</f>
        <v>1</v>
      </c>
      <c r="J13" s="57"/>
      <c r="K13" s="49">
        <f t="shared" si="1"/>
        <v>13.49</v>
      </c>
      <c r="L13" s="50">
        <f t="shared" si="2"/>
        <v>52269</v>
      </c>
      <c r="M13" s="1" t="str">
        <f>IF(ROUND(G13,2)=ROUND(SUM(G31:G33),2)," ","CHECK 2. PK-3 Lines Below")</f>
        <v xml:space="preserve"> </v>
      </c>
      <c r="N13" s="51">
        <v>5102</v>
      </c>
      <c r="O13" s="58" t="s">
        <v>36</v>
      </c>
      <c r="P13" s="53"/>
      <c r="Q13" s="54"/>
      <c r="V13" s="623" t="s">
        <v>35</v>
      </c>
      <c r="W13" s="623"/>
      <c r="X13" s="618">
        <f>IF('3395 June Final'!K$84=1,'3395 June Final'!G13,0)</f>
        <v>0</v>
      </c>
      <c r="Y13" s="618"/>
      <c r="Z13" s="624">
        <v>1</v>
      </c>
      <c r="AA13" s="624"/>
      <c r="AB13" s="55">
        <f t="shared" si="3"/>
        <v>0</v>
      </c>
      <c r="AC13" s="56">
        <f t="shared" si="4"/>
        <v>0</v>
      </c>
      <c r="AD13" s="9"/>
    </row>
    <row r="14" spans="1:30" x14ac:dyDescent="0.25">
      <c r="A14" s="1" t="s">
        <v>37</v>
      </c>
      <c r="B14" s="13" t="s">
        <v>38</v>
      </c>
      <c r="C14" s="13"/>
      <c r="D14" s="13">
        <v>0</v>
      </c>
      <c r="E14" s="13">
        <v>0</v>
      </c>
      <c r="F14" s="13">
        <v>0</v>
      </c>
      <c r="G14" s="46">
        <f t="shared" si="0"/>
        <v>0</v>
      </c>
      <c r="H14" s="47"/>
      <c r="I14" s="57">
        <v>1.0109999999999999</v>
      </c>
      <c r="J14" s="57"/>
      <c r="K14" s="49">
        <f t="shared" si="1"/>
        <v>0</v>
      </c>
      <c r="L14" s="50">
        <f t="shared" si="2"/>
        <v>0</v>
      </c>
      <c r="N14" s="51">
        <v>5103</v>
      </c>
      <c r="O14" s="52">
        <v>103</v>
      </c>
      <c r="P14" s="53"/>
      <c r="Q14" s="54"/>
      <c r="V14" s="623" t="s">
        <v>38</v>
      </c>
      <c r="W14" s="623"/>
      <c r="X14" s="618">
        <f>IF('3395 June Final'!K$84=1,'3395 June Final'!G14,0)</f>
        <v>0</v>
      </c>
      <c r="Y14" s="618"/>
      <c r="Z14" s="624">
        <v>1</v>
      </c>
      <c r="AA14" s="624"/>
      <c r="AB14" s="55">
        <f t="shared" si="3"/>
        <v>0</v>
      </c>
      <c r="AC14" s="56">
        <f t="shared" si="4"/>
        <v>0</v>
      </c>
      <c r="AD14" s="9"/>
    </row>
    <row r="15" spans="1:30" x14ac:dyDescent="0.25">
      <c r="A15" s="1" t="s">
        <v>39</v>
      </c>
      <c r="B15" s="13" t="s">
        <v>40</v>
      </c>
      <c r="C15" s="13"/>
      <c r="D15" s="13">
        <v>0</v>
      </c>
      <c r="E15" s="13">
        <v>0</v>
      </c>
      <c r="F15" s="13">
        <v>0</v>
      </c>
      <c r="G15" s="46">
        <f t="shared" si="0"/>
        <v>0</v>
      </c>
      <c r="H15" s="47"/>
      <c r="I15" s="57">
        <f>I14</f>
        <v>1.0109999999999999</v>
      </c>
      <c r="J15" s="57"/>
      <c r="K15" s="49">
        <f t="shared" si="1"/>
        <v>0</v>
      </c>
      <c r="L15" s="59">
        <f t="shared" si="2"/>
        <v>0</v>
      </c>
      <c r="M15" s="1" t="str">
        <f>IF(ROUND(G15,2)=ROUND(SUM(G34:G36),2)," ","CHECK 2. PK-3 Lines Below")</f>
        <v xml:space="preserve"> </v>
      </c>
      <c r="N15" s="51">
        <v>5103</v>
      </c>
      <c r="O15" s="58" t="s">
        <v>41</v>
      </c>
      <c r="P15" s="53"/>
      <c r="Q15" s="54"/>
      <c r="V15" s="623" t="s">
        <v>40</v>
      </c>
      <c r="W15" s="623"/>
      <c r="X15" s="618">
        <f>IF('3395 June Final'!K$84=1,'3395 June Final'!G15,0)</f>
        <v>0</v>
      </c>
      <c r="Y15" s="618"/>
      <c r="Z15" s="624">
        <v>1</v>
      </c>
      <c r="AA15" s="624"/>
      <c r="AB15" s="55">
        <f t="shared" si="3"/>
        <v>0</v>
      </c>
      <c r="AC15" s="60">
        <f t="shared" si="4"/>
        <v>0</v>
      </c>
      <c r="AD15" s="9"/>
    </row>
    <row r="16" spans="1:30" x14ac:dyDescent="0.25">
      <c r="A16" s="1" t="s">
        <v>42</v>
      </c>
      <c r="B16" s="13" t="s">
        <v>43</v>
      </c>
      <c r="C16" s="13"/>
      <c r="D16" s="13">
        <v>0</v>
      </c>
      <c r="E16" s="13">
        <v>0</v>
      </c>
      <c r="F16" s="13">
        <v>0</v>
      </c>
      <c r="G16" s="46">
        <f t="shared" si="0"/>
        <v>0</v>
      </c>
      <c r="H16" s="47"/>
      <c r="I16" s="57">
        <v>3.5579999999999998</v>
      </c>
      <c r="J16" s="57"/>
      <c r="K16" s="49">
        <f t="shared" si="1"/>
        <v>0</v>
      </c>
      <c r="L16" s="50">
        <f t="shared" si="2"/>
        <v>0</v>
      </c>
      <c r="N16" s="51">
        <v>5101</v>
      </c>
      <c r="O16" s="53">
        <v>254</v>
      </c>
      <c r="P16" s="53"/>
      <c r="Q16" s="54"/>
      <c r="V16" s="623" t="s">
        <v>43</v>
      </c>
      <c r="W16" s="623"/>
      <c r="X16" s="618">
        <f>IF('3395 June Final'!K$84=1,'3395 June Final'!G16,0)</f>
        <v>0</v>
      </c>
      <c r="Y16" s="618"/>
      <c r="Z16" s="624">
        <v>1</v>
      </c>
      <c r="AA16" s="624"/>
      <c r="AB16" s="55">
        <f t="shared" si="3"/>
        <v>0</v>
      </c>
      <c r="AC16" s="56">
        <f t="shared" si="4"/>
        <v>0</v>
      </c>
      <c r="AD16" s="9"/>
    </row>
    <row r="17" spans="1:30" x14ac:dyDescent="0.25">
      <c r="A17" s="1" t="s">
        <v>44</v>
      </c>
      <c r="B17" s="13" t="s">
        <v>45</v>
      </c>
      <c r="C17" s="13"/>
      <c r="D17" s="13">
        <v>0</v>
      </c>
      <c r="E17" s="13">
        <v>0</v>
      </c>
      <c r="F17" s="13">
        <v>0</v>
      </c>
      <c r="G17" s="46">
        <f t="shared" si="0"/>
        <v>0</v>
      </c>
      <c r="H17" s="47"/>
      <c r="I17" s="57">
        <f>I16</f>
        <v>3.5579999999999998</v>
      </c>
      <c r="J17" s="57"/>
      <c r="K17" s="49">
        <f t="shared" si="1"/>
        <v>0</v>
      </c>
      <c r="L17" s="50">
        <f t="shared" si="2"/>
        <v>0</v>
      </c>
      <c r="N17" s="51">
        <v>5102</v>
      </c>
      <c r="O17" s="54">
        <v>254</v>
      </c>
      <c r="P17" s="53"/>
      <c r="Q17" s="54"/>
      <c r="V17" s="623" t="s">
        <v>45</v>
      </c>
      <c r="W17" s="623"/>
      <c r="X17" s="618">
        <f>IF('3395 June Final'!K$84=1,'3395 June Final'!G17,0)</f>
        <v>0</v>
      </c>
      <c r="Y17" s="618"/>
      <c r="Z17" s="624">
        <v>1</v>
      </c>
      <c r="AA17" s="624"/>
      <c r="AB17" s="55">
        <f t="shared" si="3"/>
        <v>0</v>
      </c>
      <c r="AC17" s="56">
        <f t="shared" si="4"/>
        <v>0</v>
      </c>
      <c r="AD17" s="9"/>
    </row>
    <row r="18" spans="1:30" x14ac:dyDescent="0.25">
      <c r="A18" s="1" t="s">
        <v>46</v>
      </c>
      <c r="B18" s="13" t="s">
        <v>47</v>
      </c>
      <c r="C18" s="13"/>
      <c r="D18" s="13">
        <v>0</v>
      </c>
      <c r="E18" s="13">
        <v>0</v>
      </c>
      <c r="F18" s="13">
        <v>0</v>
      </c>
      <c r="G18" s="46">
        <f t="shared" si="0"/>
        <v>0</v>
      </c>
      <c r="H18" s="47"/>
      <c r="I18" s="57">
        <f>I17</f>
        <v>3.5579999999999998</v>
      </c>
      <c r="J18" s="57"/>
      <c r="K18" s="49">
        <f t="shared" si="1"/>
        <v>0</v>
      </c>
      <c r="L18" s="50">
        <f t="shared" si="2"/>
        <v>0</v>
      </c>
      <c r="N18" s="51">
        <v>5103</v>
      </c>
      <c r="O18" s="54">
        <v>254</v>
      </c>
      <c r="P18" s="53"/>
      <c r="Q18" s="54"/>
      <c r="V18" s="623" t="s">
        <v>47</v>
      </c>
      <c r="W18" s="623"/>
      <c r="X18" s="618">
        <f>IF('3395 June Final'!K$84=1,'3395 June Final'!G18,0)</f>
        <v>0</v>
      </c>
      <c r="Y18" s="618"/>
      <c r="Z18" s="624">
        <v>1</v>
      </c>
      <c r="AA18" s="624"/>
      <c r="AB18" s="55">
        <f t="shared" si="3"/>
        <v>0</v>
      </c>
      <c r="AC18" s="56">
        <f t="shared" si="4"/>
        <v>0</v>
      </c>
      <c r="AD18" s="9"/>
    </row>
    <row r="19" spans="1:30" ht="15" customHeight="1" x14ac:dyDescent="0.25">
      <c r="A19" s="1" t="s">
        <v>48</v>
      </c>
      <c r="B19" s="13" t="s">
        <v>49</v>
      </c>
      <c r="C19" s="13"/>
      <c r="D19" s="13">
        <v>0</v>
      </c>
      <c r="E19" s="13">
        <v>0</v>
      </c>
      <c r="F19" s="13">
        <v>0</v>
      </c>
      <c r="G19" s="46">
        <f t="shared" si="0"/>
        <v>0</v>
      </c>
      <c r="H19" s="47"/>
      <c r="I19" s="57">
        <v>5.0890000000000004</v>
      </c>
      <c r="J19" s="57"/>
      <c r="K19" s="49">
        <f t="shared" si="1"/>
        <v>0</v>
      </c>
      <c r="L19" s="50">
        <f t="shared" si="2"/>
        <v>0</v>
      </c>
      <c r="N19" s="51">
        <v>5101</v>
      </c>
      <c r="O19" s="53">
        <v>255</v>
      </c>
      <c r="P19" s="53"/>
      <c r="Q19" s="54"/>
      <c r="V19" s="623" t="s">
        <v>49</v>
      </c>
      <c r="W19" s="623"/>
      <c r="X19" s="618">
        <f>IF('3395 June Final'!K$84=1,'3395 June Final'!G19,0)</f>
        <v>0</v>
      </c>
      <c r="Y19" s="618"/>
      <c r="Z19" s="624">
        <v>1</v>
      </c>
      <c r="AA19" s="624"/>
      <c r="AB19" s="55">
        <f t="shared" si="3"/>
        <v>0</v>
      </c>
      <c r="AC19" s="56">
        <f t="shared" si="4"/>
        <v>0</v>
      </c>
      <c r="AD19" s="9"/>
    </row>
    <row r="20" spans="1:30" ht="15" customHeight="1" x14ac:dyDescent="0.25">
      <c r="A20" s="1" t="s">
        <v>50</v>
      </c>
      <c r="B20" s="13" t="s">
        <v>51</v>
      </c>
      <c r="C20" s="13"/>
      <c r="D20" s="13">
        <v>0</v>
      </c>
      <c r="E20" s="13">
        <v>0</v>
      </c>
      <c r="F20" s="13">
        <v>0</v>
      </c>
      <c r="G20" s="46">
        <f t="shared" si="0"/>
        <v>0</v>
      </c>
      <c r="H20" s="47"/>
      <c r="I20" s="57">
        <f>I19</f>
        <v>5.0890000000000004</v>
      </c>
      <c r="J20" s="57"/>
      <c r="K20" s="49">
        <f t="shared" si="1"/>
        <v>0</v>
      </c>
      <c r="L20" s="50">
        <f t="shared" si="2"/>
        <v>0</v>
      </c>
      <c r="N20" s="51">
        <v>5102</v>
      </c>
      <c r="O20" s="54">
        <v>255</v>
      </c>
      <c r="P20" s="53"/>
      <c r="Q20" s="54"/>
      <c r="V20" s="623" t="s">
        <v>51</v>
      </c>
      <c r="W20" s="623"/>
      <c r="X20" s="618">
        <f>IF('3395 June Final'!K$84=1,'3395 June Final'!G20,0)</f>
        <v>0</v>
      </c>
      <c r="Y20" s="618"/>
      <c r="Z20" s="624">
        <v>1</v>
      </c>
      <c r="AA20" s="624"/>
      <c r="AB20" s="55">
        <f t="shared" si="3"/>
        <v>0</v>
      </c>
      <c r="AC20" s="56">
        <f t="shared" si="4"/>
        <v>0</v>
      </c>
      <c r="AD20" s="9"/>
    </row>
    <row r="21" spans="1:30" ht="15" customHeight="1" x14ac:dyDescent="0.25">
      <c r="A21" s="1" t="s">
        <v>52</v>
      </c>
      <c r="B21" s="13" t="s">
        <v>53</v>
      </c>
      <c r="C21" s="13"/>
      <c r="D21" s="13">
        <v>0</v>
      </c>
      <c r="E21" s="13">
        <v>0</v>
      </c>
      <c r="F21" s="13">
        <v>0</v>
      </c>
      <c r="G21" s="46">
        <f t="shared" si="0"/>
        <v>0</v>
      </c>
      <c r="H21" s="47"/>
      <c r="I21" s="57">
        <f>I20</f>
        <v>5.0890000000000004</v>
      </c>
      <c r="J21" s="57"/>
      <c r="K21" s="49">
        <f t="shared" si="1"/>
        <v>0</v>
      </c>
      <c r="L21" s="50">
        <f t="shared" si="2"/>
        <v>0</v>
      </c>
      <c r="N21" s="51">
        <v>5103</v>
      </c>
      <c r="O21" s="54">
        <v>255</v>
      </c>
      <c r="P21" s="53"/>
      <c r="Q21" s="54"/>
      <c r="V21" s="623" t="s">
        <v>53</v>
      </c>
      <c r="W21" s="623"/>
      <c r="X21" s="618">
        <f>IF('3395 June Final'!K$84=1,'3395 June Final'!G21,0)</f>
        <v>0</v>
      </c>
      <c r="Y21" s="618"/>
      <c r="Z21" s="624">
        <v>1</v>
      </c>
      <c r="AA21" s="624"/>
      <c r="AB21" s="55">
        <f t="shared" si="3"/>
        <v>0</v>
      </c>
      <c r="AC21" s="56">
        <f t="shared" si="4"/>
        <v>0</v>
      </c>
      <c r="AD21" s="9"/>
    </row>
    <row r="22" spans="1:30" x14ac:dyDescent="0.25">
      <c r="A22" s="1" t="s">
        <v>54</v>
      </c>
      <c r="B22" s="13" t="s">
        <v>55</v>
      </c>
      <c r="C22" s="13"/>
      <c r="D22" s="13">
        <v>5.92</v>
      </c>
      <c r="E22" s="13">
        <v>6.36</v>
      </c>
      <c r="F22" s="13">
        <v>8.74</v>
      </c>
      <c r="G22" s="46">
        <f t="shared" si="0"/>
        <v>12.280000000000001</v>
      </c>
      <c r="H22" s="47"/>
      <c r="I22" s="57">
        <v>1.145</v>
      </c>
      <c r="J22" s="57"/>
      <c r="K22" s="49">
        <f t="shared" si="1"/>
        <v>14.060600000000001</v>
      </c>
      <c r="L22" s="50">
        <f t="shared" si="2"/>
        <v>54480</v>
      </c>
      <c r="N22" s="51">
        <v>5101</v>
      </c>
      <c r="O22" s="52">
        <v>130</v>
      </c>
      <c r="P22" s="53"/>
      <c r="Q22" s="54"/>
      <c r="V22" s="623" t="s">
        <v>55</v>
      </c>
      <c r="W22" s="623"/>
      <c r="X22" s="618">
        <f>IF('3395 June Final'!K$84=1,'3395 June Final'!G22,0)</f>
        <v>0</v>
      </c>
      <c r="Y22" s="618"/>
      <c r="Z22" s="624">
        <v>1</v>
      </c>
      <c r="AA22" s="624"/>
      <c r="AB22" s="55">
        <f t="shared" si="3"/>
        <v>0</v>
      </c>
      <c r="AC22" s="56">
        <f t="shared" si="4"/>
        <v>0</v>
      </c>
      <c r="AD22" s="9"/>
    </row>
    <row r="23" spans="1:30" x14ac:dyDescent="0.25">
      <c r="A23" s="1" t="s">
        <v>56</v>
      </c>
      <c r="B23" s="13" t="s">
        <v>57</v>
      </c>
      <c r="C23" s="13"/>
      <c r="D23" s="13">
        <v>2.1</v>
      </c>
      <c r="E23" s="13">
        <v>2.1</v>
      </c>
      <c r="F23" s="13">
        <v>0</v>
      </c>
      <c r="G23" s="46">
        <f t="shared" si="0"/>
        <v>4.2</v>
      </c>
      <c r="H23" s="47"/>
      <c r="I23" s="57">
        <f>I22</f>
        <v>1.145</v>
      </c>
      <c r="J23" s="57"/>
      <c r="K23" s="49">
        <f t="shared" si="1"/>
        <v>4.8090000000000002</v>
      </c>
      <c r="L23" s="50">
        <f t="shared" si="2"/>
        <v>18633</v>
      </c>
      <c r="N23" s="51">
        <v>5102</v>
      </c>
      <c r="O23" s="52">
        <v>130</v>
      </c>
      <c r="P23" s="53"/>
      <c r="Q23" s="54"/>
      <c r="V23" s="623" t="s">
        <v>57</v>
      </c>
      <c r="W23" s="623"/>
      <c r="X23" s="618">
        <f>IF('3395 June Final'!K$84=1,'3395 June Final'!G23,0)</f>
        <v>0</v>
      </c>
      <c r="Y23" s="618"/>
      <c r="Z23" s="624">
        <v>1</v>
      </c>
      <c r="AA23" s="624"/>
      <c r="AB23" s="55">
        <f t="shared" si="3"/>
        <v>0</v>
      </c>
      <c r="AC23" s="56">
        <f t="shared" si="4"/>
        <v>0</v>
      </c>
      <c r="AD23" s="9"/>
    </row>
    <row r="24" spans="1:30" x14ac:dyDescent="0.25">
      <c r="A24" s="1" t="s">
        <v>58</v>
      </c>
      <c r="B24" s="13" t="s">
        <v>59</v>
      </c>
      <c r="C24" s="13"/>
      <c r="D24" s="13">
        <v>0</v>
      </c>
      <c r="E24" s="13">
        <v>0</v>
      </c>
      <c r="F24" s="13">
        <v>0</v>
      </c>
      <c r="G24" s="46">
        <f t="shared" si="0"/>
        <v>0</v>
      </c>
      <c r="H24" s="47"/>
      <c r="I24" s="57">
        <f>I23</f>
        <v>1.145</v>
      </c>
      <c r="J24" s="57"/>
      <c r="K24" s="49">
        <f t="shared" si="1"/>
        <v>0</v>
      </c>
      <c r="L24" s="50">
        <f t="shared" si="2"/>
        <v>0</v>
      </c>
      <c r="N24" s="51">
        <v>5103</v>
      </c>
      <c r="O24" s="52">
        <v>130</v>
      </c>
      <c r="P24" s="53"/>
      <c r="Q24" s="54"/>
      <c r="V24" s="623" t="s">
        <v>59</v>
      </c>
      <c r="W24" s="623"/>
      <c r="X24" s="618">
        <f>IF('3395 June Final'!K$84=1,'3395 June Final'!G24,0)</f>
        <v>0</v>
      </c>
      <c r="Y24" s="618"/>
      <c r="Z24" s="624">
        <v>1</v>
      </c>
      <c r="AA24" s="624"/>
      <c r="AB24" s="55">
        <f t="shared" si="3"/>
        <v>0</v>
      </c>
      <c r="AC24" s="56">
        <f t="shared" si="4"/>
        <v>0</v>
      </c>
      <c r="AD24" s="9"/>
    </row>
    <row r="25" spans="1:30" ht="16.5" thickBot="1" x14ac:dyDescent="0.3">
      <c r="A25" s="1" t="s">
        <v>60</v>
      </c>
      <c r="B25" s="13" t="s">
        <v>61</v>
      </c>
      <c r="C25" s="13"/>
      <c r="D25" s="13">
        <v>0</v>
      </c>
      <c r="E25" s="13">
        <v>0</v>
      </c>
      <c r="F25" s="13">
        <v>0</v>
      </c>
      <c r="G25" s="46">
        <f t="shared" si="0"/>
        <v>0</v>
      </c>
      <c r="H25" s="47"/>
      <c r="I25" s="57">
        <v>1.0109999999999999</v>
      </c>
      <c r="J25" s="57"/>
      <c r="K25" s="49">
        <f t="shared" si="1"/>
        <v>0</v>
      </c>
      <c r="L25" s="50">
        <f t="shared" si="2"/>
        <v>0</v>
      </c>
      <c r="N25" s="51">
        <v>5310</v>
      </c>
      <c r="O25" s="52">
        <v>300</v>
      </c>
      <c r="P25" s="53"/>
      <c r="Q25" s="54"/>
      <c r="V25" s="623" t="s">
        <v>61</v>
      </c>
      <c r="W25" s="623"/>
      <c r="X25" s="618">
        <f>IF('3395 June Final'!K$84=1,'3395 June Final'!G25,0)</f>
        <v>0</v>
      </c>
      <c r="Y25" s="618"/>
      <c r="Z25" s="624">
        <v>1</v>
      </c>
      <c r="AA25" s="624"/>
      <c r="AB25" s="55">
        <f t="shared" si="3"/>
        <v>0</v>
      </c>
      <c r="AC25" s="56">
        <f t="shared" si="4"/>
        <v>0</v>
      </c>
      <c r="AD25" s="9"/>
    </row>
    <row r="26" spans="1:30" ht="20.25" customHeight="1" thickBot="1" x14ac:dyDescent="0.3">
      <c r="B26" s="62" t="s">
        <v>62</v>
      </c>
      <c r="C26" s="62"/>
      <c r="D26" s="63">
        <f>SUM(D10:D25)</f>
        <v>259.48</v>
      </c>
      <c r="E26" s="63">
        <f>SUM(E10:E25)</f>
        <v>258.03000000000003</v>
      </c>
      <c r="F26" s="63"/>
      <c r="G26" s="63">
        <f>SUM(G10:G25)</f>
        <v>517.5100000000001</v>
      </c>
      <c r="H26" s="64"/>
      <c r="I26" s="64"/>
      <c r="J26" s="65"/>
      <c r="K26" s="66">
        <f>SUM(K10:K25)</f>
        <v>563.99339999999995</v>
      </c>
      <c r="L26" s="67">
        <f>SUM(L10:L25)</f>
        <v>2185264</v>
      </c>
      <c r="N26" s="54"/>
      <c r="O26" s="68"/>
      <c r="P26" s="54"/>
      <c r="Q26" s="54"/>
      <c r="V26" s="625" t="s">
        <v>62</v>
      </c>
      <c r="W26" s="625"/>
      <c r="X26" s="626">
        <f>SUM(X10:X25)</f>
        <v>0</v>
      </c>
      <c r="Y26" s="626"/>
      <c r="Z26" s="627"/>
      <c r="AA26" s="628"/>
      <c r="AB26" s="69">
        <f>SUM(AB10:AB25)</f>
        <v>0</v>
      </c>
      <c r="AC26" s="70">
        <f>SUM(AC10:AC25)</f>
        <v>0</v>
      </c>
      <c r="AD26" s="9"/>
    </row>
    <row r="27" spans="1:30" ht="51.75" customHeight="1" x14ac:dyDescent="0.25">
      <c r="B27" s="62" t="s">
        <v>63</v>
      </c>
      <c r="C27" s="62"/>
      <c r="D27" s="71" t="s">
        <v>13</v>
      </c>
      <c r="E27" s="71" t="s">
        <v>14</v>
      </c>
      <c r="F27" s="27"/>
      <c r="G27" s="72" t="s">
        <v>64</v>
      </c>
      <c r="H27" s="73"/>
      <c r="I27" s="74" t="s">
        <v>65</v>
      </c>
      <c r="J27" s="74" t="s">
        <v>66</v>
      </c>
      <c r="K27" s="75" t="s">
        <v>67</v>
      </c>
      <c r="N27" s="54"/>
      <c r="O27" s="68"/>
      <c r="P27" s="54"/>
      <c r="Q27" s="54"/>
      <c r="V27" s="629" t="s">
        <v>63</v>
      </c>
      <c r="W27" s="629"/>
      <c r="X27" s="630" t="s">
        <v>64</v>
      </c>
      <c r="Y27" s="630"/>
      <c r="Z27" s="76" t="s">
        <v>65</v>
      </c>
      <c r="AA27" s="77" t="s">
        <v>66</v>
      </c>
      <c r="AB27" s="78" t="s">
        <v>67</v>
      </c>
      <c r="AC27" s="9"/>
      <c r="AD27" s="9"/>
    </row>
    <row r="28" spans="1:30" ht="15.75" customHeight="1" x14ac:dyDescent="0.25">
      <c r="A28" s="1" t="s">
        <v>68</v>
      </c>
      <c r="B28" s="631" t="s">
        <v>69</v>
      </c>
      <c r="C28" s="632"/>
      <c r="D28" s="13">
        <v>18.48</v>
      </c>
      <c r="E28" s="13">
        <v>19.02</v>
      </c>
      <c r="F28" s="79">
        <v>13.5</v>
      </c>
      <c r="G28" s="46">
        <f t="shared" ref="G28:G36" si="5">D28+E28</f>
        <v>37.5</v>
      </c>
      <c r="H28" s="80"/>
      <c r="I28" s="81" t="s">
        <v>70</v>
      </c>
      <c r="J28" s="82">
        <v>251</v>
      </c>
      <c r="K28" s="83">
        <v>1047</v>
      </c>
      <c r="L28" s="84">
        <f t="shared" ref="L28:L36" si="6">ROUND(G28*K28,0)</f>
        <v>39263</v>
      </c>
      <c r="N28" s="337">
        <v>5101</v>
      </c>
      <c r="O28" s="54">
        <v>251</v>
      </c>
      <c r="P28" s="86"/>
      <c r="Q28" s="87"/>
      <c r="V28" s="637" t="s">
        <v>69</v>
      </c>
      <c r="W28" s="637"/>
      <c r="X28" s="638"/>
      <c r="Y28" s="638"/>
      <c r="Z28" s="88" t="s">
        <v>70</v>
      </c>
      <c r="AA28" s="330">
        <v>251</v>
      </c>
      <c r="AB28" s="90">
        <f t="shared" ref="AB28:AB36" si="7">+K28</f>
        <v>1047</v>
      </c>
      <c r="AC28" s="91">
        <f t="shared" ref="AC28:AC36" si="8">ROUND(X28*AB28,0)</f>
        <v>0</v>
      </c>
      <c r="AD28" s="9"/>
    </row>
    <row r="29" spans="1:30" x14ac:dyDescent="0.25">
      <c r="A29" s="1" t="s">
        <v>71</v>
      </c>
      <c r="B29" s="633"/>
      <c r="C29" s="634"/>
      <c r="D29" s="13">
        <v>0.5</v>
      </c>
      <c r="E29" s="13">
        <v>1</v>
      </c>
      <c r="F29" s="92">
        <v>0.5</v>
      </c>
      <c r="G29" s="46">
        <f t="shared" si="5"/>
        <v>1.5</v>
      </c>
      <c r="H29" s="80"/>
      <c r="I29" s="82" t="s">
        <v>70</v>
      </c>
      <c r="J29" s="82">
        <v>252</v>
      </c>
      <c r="K29" s="83">
        <v>3380</v>
      </c>
      <c r="L29" s="84">
        <f t="shared" si="6"/>
        <v>5070</v>
      </c>
      <c r="N29" s="337">
        <v>5101</v>
      </c>
      <c r="O29" s="54">
        <v>252</v>
      </c>
      <c r="P29" s="86"/>
      <c r="Q29" s="87"/>
      <c r="V29" s="637"/>
      <c r="W29" s="637"/>
      <c r="X29" s="638"/>
      <c r="Y29" s="638"/>
      <c r="Z29" s="330" t="s">
        <v>70</v>
      </c>
      <c r="AA29" s="330">
        <v>252</v>
      </c>
      <c r="AB29" s="90">
        <f t="shared" si="7"/>
        <v>3380</v>
      </c>
      <c r="AC29" s="91">
        <f t="shared" si="8"/>
        <v>0</v>
      </c>
      <c r="AD29" s="9"/>
    </row>
    <row r="30" spans="1:30" x14ac:dyDescent="0.25">
      <c r="A30" s="1" t="s">
        <v>72</v>
      </c>
      <c r="B30" s="633"/>
      <c r="C30" s="634"/>
      <c r="D30" s="13">
        <v>0</v>
      </c>
      <c r="E30" s="13">
        <v>0</v>
      </c>
      <c r="F30" s="92">
        <v>0</v>
      </c>
      <c r="G30" s="46">
        <f t="shared" si="5"/>
        <v>0</v>
      </c>
      <c r="H30" s="80"/>
      <c r="I30" s="82" t="s">
        <v>70</v>
      </c>
      <c r="J30" s="82">
        <v>253</v>
      </c>
      <c r="K30" s="83">
        <v>6896</v>
      </c>
      <c r="L30" s="84">
        <f t="shared" si="6"/>
        <v>0</v>
      </c>
      <c r="N30" s="337">
        <v>5101</v>
      </c>
      <c r="O30" s="54">
        <v>253</v>
      </c>
      <c r="P30" s="86"/>
      <c r="Q30" s="68"/>
      <c r="V30" s="637"/>
      <c r="W30" s="637"/>
      <c r="X30" s="638"/>
      <c r="Y30" s="638"/>
      <c r="Z30" s="330" t="s">
        <v>70</v>
      </c>
      <c r="AA30" s="330">
        <v>253</v>
      </c>
      <c r="AB30" s="90">
        <f t="shared" si="7"/>
        <v>6896</v>
      </c>
      <c r="AC30" s="91">
        <f t="shared" si="8"/>
        <v>0</v>
      </c>
      <c r="AD30" s="9"/>
    </row>
    <row r="31" spans="1:30" x14ac:dyDescent="0.25">
      <c r="A31" s="1" t="s">
        <v>73</v>
      </c>
      <c r="B31" s="633"/>
      <c r="C31" s="634"/>
      <c r="D31" s="13">
        <v>7</v>
      </c>
      <c r="E31" s="13">
        <v>6.49</v>
      </c>
      <c r="F31" s="92">
        <v>10.46</v>
      </c>
      <c r="G31" s="46">
        <f t="shared" si="5"/>
        <v>13.49</v>
      </c>
      <c r="H31" s="80"/>
      <c r="I31" s="93" t="s">
        <v>74</v>
      </c>
      <c r="J31" s="82">
        <v>251</v>
      </c>
      <c r="K31" s="83">
        <v>1173</v>
      </c>
      <c r="L31" s="84">
        <f t="shared" si="6"/>
        <v>15824</v>
      </c>
      <c r="N31" s="337">
        <v>5102</v>
      </c>
      <c r="O31" s="54">
        <v>251</v>
      </c>
      <c r="P31" s="86"/>
      <c r="Q31" s="68"/>
      <c r="V31" s="637"/>
      <c r="W31" s="637"/>
      <c r="X31" s="638"/>
      <c r="Y31" s="638"/>
      <c r="Z31" s="94" t="s">
        <v>74</v>
      </c>
      <c r="AA31" s="330">
        <v>251</v>
      </c>
      <c r="AB31" s="90">
        <f t="shared" si="7"/>
        <v>1173</v>
      </c>
      <c r="AC31" s="91">
        <f t="shared" si="8"/>
        <v>0</v>
      </c>
      <c r="AD31" s="9"/>
    </row>
    <row r="32" spans="1:30" x14ac:dyDescent="0.25">
      <c r="A32" s="1" t="s">
        <v>75</v>
      </c>
      <c r="B32" s="633"/>
      <c r="C32" s="634"/>
      <c r="D32" s="13">
        <v>0</v>
      </c>
      <c r="E32" s="13">
        <v>0</v>
      </c>
      <c r="F32" s="92">
        <v>0</v>
      </c>
      <c r="G32" s="46">
        <f t="shared" si="5"/>
        <v>0</v>
      </c>
      <c r="H32" s="80"/>
      <c r="I32" s="93" t="s">
        <v>74</v>
      </c>
      <c r="J32" s="82">
        <v>252</v>
      </c>
      <c r="K32" s="83">
        <v>3506</v>
      </c>
      <c r="L32" s="84">
        <f t="shared" si="6"/>
        <v>0</v>
      </c>
      <c r="N32" s="337">
        <v>5102</v>
      </c>
      <c r="O32" s="54">
        <v>252</v>
      </c>
      <c r="P32" s="86"/>
      <c r="Q32" s="54"/>
      <c r="V32" s="637"/>
      <c r="W32" s="637"/>
      <c r="X32" s="638"/>
      <c r="Y32" s="638"/>
      <c r="Z32" s="94" t="s">
        <v>74</v>
      </c>
      <c r="AA32" s="330">
        <v>252</v>
      </c>
      <c r="AB32" s="90">
        <f t="shared" si="7"/>
        <v>3506</v>
      </c>
      <c r="AC32" s="91">
        <f t="shared" si="8"/>
        <v>0</v>
      </c>
      <c r="AD32" s="9"/>
    </row>
    <row r="33" spans="1:30" x14ac:dyDescent="0.25">
      <c r="A33" s="1" t="s">
        <v>76</v>
      </c>
      <c r="B33" s="633"/>
      <c r="C33" s="634"/>
      <c r="D33" s="13">
        <v>0</v>
      </c>
      <c r="E33" s="13">
        <v>0</v>
      </c>
      <c r="F33" s="92">
        <v>0</v>
      </c>
      <c r="G33" s="46">
        <f t="shared" si="5"/>
        <v>0</v>
      </c>
      <c r="H33" s="80"/>
      <c r="I33" s="93" t="s">
        <v>74</v>
      </c>
      <c r="J33" s="82">
        <v>253</v>
      </c>
      <c r="K33" s="83">
        <v>7023</v>
      </c>
      <c r="L33" s="84">
        <f t="shared" si="6"/>
        <v>0</v>
      </c>
      <c r="N33" s="337">
        <v>5102</v>
      </c>
      <c r="O33" s="54">
        <v>253</v>
      </c>
      <c r="P33" s="86"/>
      <c r="Q33" s="87"/>
      <c r="V33" s="637"/>
      <c r="W33" s="637"/>
      <c r="X33" s="638"/>
      <c r="Y33" s="638"/>
      <c r="Z33" s="94" t="s">
        <v>74</v>
      </c>
      <c r="AA33" s="330">
        <v>253</v>
      </c>
      <c r="AB33" s="90">
        <f t="shared" si="7"/>
        <v>7023</v>
      </c>
      <c r="AC33" s="91">
        <f t="shared" si="8"/>
        <v>0</v>
      </c>
      <c r="AD33" s="9"/>
    </row>
    <row r="34" spans="1:30" x14ac:dyDescent="0.25">
      <c r="A34" s="1" t="s">
        <v>77</v>
      </c>
      <c r="B34" s="633"/>
      <c r="C34" s="634"/>
      <c r="D34" s="13">
        <v>0</v>
      </c>
      <c r="E34" s="13">
        <v>0</v>
      </c>
      <c r="F34" s="92">
        <v>0</v>
      </c>
      <c r="G34" s="46">
        <f t="shared" si="5"/>
        <v>0</v>
      </c>
      <c r="H34" s="80"/>
      <c r="I34" s="93" t="s">
        <v>78</v>
      </c>
      <c r="J34" s="82">
        <v>251</v>
      </c>
      <c r="K34" s="83">
        <v>835</v>
      </c>
      <c r="L34" s="84">
        <f t="shared" si="6"/>
        <v>0</v>
      </c>
      <c r="N34" s="337">
        <v>5103</v>
      </c>
      <c r="O34" s="54">
        <v>251</v>
      </c>
      <c r="P34" s="86"/>
      <c r="Q34" s="87"/>
      <c r="V34" s="637"/>
      <c r="W34" s="637"/>
      <c r="X34" s="638"/>
      <c r="Y34" s="638"/>
      <c r="Z34" s="94" t="s">
        <v>78</v>
      </c>
      <c r="AA34" s="330">
        <v>251</v>
      </c>
      <c r="AB34" s="90">
        <f t="shared" si="7"/>
        <v>835</v>
      </c>
      <c r="AC34" s="91">
        <f t="shared" si="8"/>
        <v>0</v>
      </c>
      <c r="AD34" s="9"/>
    </row>
    <row r="35" spans="1:30" x14ac:dyDescent="0.25">
      <c r="A35" s="1" t="s">
        <v>79</v>
      </c>
      <c r="B35" s="633"/>
      <c r="C35" s="634"/>
      <c r="D35" s="13">
        <v>0</v>
      </c>
      <c r="E35" s="13">
        <v>0</v>
      </c>
      <c r="F35" s="92">
        <v>0</v>
      </c>
      <c r="G35" s="46">
        <f t="shared" si="5"/>
        <v>0</v>
      </c>
      <c r="H35" s="80"/>
      <c r="I35" s="93" t="s">
        <v>78</v>
      </c>
      <c r="J35" s="82">
        <v>252</v>
      </c>
      <c r="K35" s="83">
        <v>3168</v>
      </c>
      <c r="L35" s="84">
        <f t="shared" si="6"/>
        <v>0</v>
      </c>
      <c r="N35" s="337">
        <v>5103</v>
      </c>
      <c r="O35" s="54">
        <v>252</v>
      </c>
      <c r="P35" s="86"/>
      <c r="Q35" s="95"/>
      <c r="V35" s="637"/>
      <c r="W35" s="637"/>
      <c r="X35" s="638"/>
      <c r="Y35" s="638"/>
      <c r="Z35" s="94" t="s">
        <v>78</v>
      </c>
      <c r="AA35" s="330">
        <v>252</v>
      </c>
      <c r="AB35" s="90">
        <f t="shared" si="7"/>
        <v>3168</v>
      </c>
      <c r="AC35" s="91">
        <f t="shared" si="8"/>
        <v>0</v>
      </c>
      <c r="AD35" s="9"/>
    </row>
    <row r="36" spans="1:30" ht="16.5" thickBot="1" x14ac:dyDescent="0.3">
      <c r="A36" s="1" t="s">
        <v>80</v>
      </c>
      <c r="B36" s="635"/>
      <c r="C36" s="636"/>
      <c r="D36" s="13">
        <v>0</v>
      </c>
      <c r="E36" s="13">
        <v>0</v>
      </c>
      <c r="F36" s="92">
        <v>0</v>
      </c>
      <c r="G36" s="46">
        <f t="shared" si="5"/>
        <v>0</v>
      </c>
      <c r="H36" s="80"/>
      <c r="I36" s="93" t="s">
        <v>78</v>
      </c>
      <c r="J36" s="82">
        <v>253</v>
      </c>
      <c r="K36" s="83">
        <v>6685</v>
      </c>
      <c r="L36" s="96">
        <f t="shared" si="6"/>
        <v>0</v>
      </c>
      <c r="N36" s="337">
        <v>5103</v>
      </c>
      <c r="O36" s="54">
        <v>253</v>
      </c>
      <c r="P36" s="86"/>
      <c r="Q36" s="97"/>
      <c r="V36" s="637"/>
      <c r="W36" s="637"/>
      <c r="X36" s="645"/>
      <c r="Y36" s="645"/>
      <c r="Z36" s="94" t="s">
        <v>78</v>
      </c>
      <c r="AA36" s="330">
        <v>253</v>
      </c>
      <c r="AB36" s="90">
        <f t="shared" si="7"/>
        <v>6685</v>
      </c>
      <c r="AC36" s="98">
        <f t="shared" si="8"/>
        <v>0</v>
      </c>
      <c r="AD36" s="9"/>
    </row>
    <row r="37" spans="1:30" ht="18.75" customHeight="1" x14ac:dyDescent="0.25">
      <c r="B37" s="13" t="s">
        <v>81</v>
      </c>
      <c r="C37" s="13"/>
      <c r="D37" s="63">
        <f>SUM(D28:D36)</f>
        <v>25.98</v>
      </c>
      <c r="E37" s="63">
        <f>SUM(E28:E36)</f>
        <v>26.509999999999998</v>
      </c>
      <c r="F37" s="63"/>
      <c r="G37" s="63">
        <f>SUM(G28:G36)</f>
        <v>52.49</v>
      </c>
      <c r="H37" s="64"/>
      <c r="I37" s="13" t="s">
        <v>82</v>
      </c>
      <c r="J37" s="13"/>
      <c r="K37" s="13"/>
      <c r="L37" s="50">
        <f>SUM(L28:L36)</f>
        <v>60157</v>
      </c>
      <c r="N37" s="54"/>
      <c r="O37" s="68"/>
      <c r="P37" s="54"/>
      <c r="Q37" s="54"/>
      <c r="V37" s="646" t="s">
        <v>81</v>
      </c>
      <c r="W37" s="646"/>
      <c r="X37" s="626">
        <f>SUM(X28:X36)</f>
        <v>0</v>
      </c>
      <c r="Y37" s="626"/>
      <c r="Z37" s="646" t="s">
        <v>82</v>
      </c>
      <c r="AA37" s="646"/>
      <c r="AB37" s="646"/>
      <c r="AC37" s="56">
        <f>SUM(AC28:AC36)</f>
        <v>0</v>
      </c>
      <c r="AD37" s="9"/>
    </row>
    <row r="38" spans="1:30" ht="30.75" customHeight="1" x14ac:dyDescent="0.25">
      <c r="B38" s="99" t="s">
        <v>83</v>
      </c>
      <c r="C38" s="99"/>
      <c r="D38" s="99"/>
      <c r="E38" s="99"/>
      <c r="F38" s="99"/>
      <c r="G38" s="99"/>
      <c r="H38" s="100"/>
      <c r="I38" s="99"/>
      <c r="J38" s="99"/>
      <c r="K38" s="99"/>
      <c r="L38" s="99"/>
      <c r="M38" s="101"/>
      <c r="N38" s="54"/>
      <c r="O38" s="68"/>
      <c r="P38" s="54"/>
      <c r="Q38" s="54"/>
      <c r="V38" s="639" t="s">
        <v>83</v>
      </c>
      <c r="W38" s="639"/>
      <c r="X38" s="639"/>
      <c r="Y38" s="639"/>
      <c r="Z38" s="639"/>
      <c r="AA38" s="639"/>
      <c r="AB38" s="639"/>
      <c r="AC38" s="639"/>
      <c r="AD38" s="102"/>
    </row>
    <row r="39" spans="1:30" ht="15.75" customHeight="1" x14ac:dyDescent="0.25">
      <c r="B39" s="103" t="s">
        <v>84</v>
      </c>
      <c r="C39" s="103"/>
      <c r="D39" s="103"/>
      <c r="E39" s="103"/>
      <c r="F39" s="103"/>
      <c r="G39" s="104">
        <v>34389540</v>
      </c>
      <c r="H39" s="104"/>
      <c r="I39" s="13" t="s">
        <v>85</v>
      </c>
      <c r="J39" s="13"/>
      <c r="K39" s="13"/>
      <c r="L39" s="13"/>
      <c r="O39" s="1"/>
      <c r="V39" s="640" t="s">
        <v>84</v>
      </c>
      <c r="W39" s="640"/>
      <c r="X39" s="641">
        <f>+G39</f>
        <v>34389540</v>
      </c>
      <c r="Y39" s="641"/>
      <c r="Z39" s="642" t="s">
        <v>85</v>
      </c>
      <c r="AA39" s="642"/>
      <c r="AB39" s="642"/>
      <c r="AC39" s="642"/>
      <c r="AD39" s="9"/>
    </row>
    <row r="40" spans="1:30" ht="15.75" customHeight="1" x14ac:dyDescent="0.25">
      <c r="B40" s="105" t="s">
        <v>86</v>
      </c>
      <c r="C40" s="105"/>
      <c r="D40" s="105"/>
      <c r="E40" s="105"/>
      <c r="F40" s="105"/>
      <c r="G40" s="106">
        <v>180284.81</v>
      </c>
      <c r="H40" s="106"/>
      <c r="I40" s="106"/>
      <c r="J40" s="106"/>
      <c r="K40" s="50">
        <f>ROUND(G39/G40,0)</f>
        <v>191</v>
      </c>
      <c r="L40" s="50">
        <f>ROUND(K40*$G$26,0)</f>
        <v>98844</v>
      </c>
      <c r="N40" s="107"/>
      <c r="O40" s="107"/>
      <c r="P40" s="107"/>
      <c r="Q40" s="107"/>
      <c r="V40" s="643" t="s">
        <v>86</v>
      </c>
      <c r="W40" s="643"/>
      <c r="X40" s="644">
        <f>+G40</f>
        <v>180284.81</v>
      </c>
      <c r="Y40" s="644"/>
      <c r="Z40" s="644"/>
      <c r="AA40" s="644"/>
      <c r="AB40" s="56">
        <f>ROUND(X39/X40,0)</f>
        <v>191</v>
      </c>
      <c r="AC40" s="56">
        <f>ROUND(AB40*$X$26,0)</f>
        <v>0</v>
      </c>
      <c r="AD40" s="9"/>
    </row>
    <row r="41" spans="1:30" ht="15.75" customHeight="1" x14ac:dyDescent="0.25">
      <c r="B41" s="108" t="s">
        <v>87</v>
      </c>
      <c r="C41" s="108"/>
      <c r="D41" s="108"/>
      <c r="E41" s="108"/>
      <c r="F41" s="108"/>
      <c r="G41" s="108"/>
      <c r="H41" s="108"/>
      <c r="I41" s="108"/>
      <c r="J41" s="108"/>
      <c r="K41" s="108"/>
      <c r="L41" s="108"/>
      <c r="N41" s="101"/>
      <c r="O41" s="109"/>
      <c r="P41" s="101"/>
      <c r="Q41" s="101"/>
      <c r="V41" s="652" t="s">
        <v>87</v>
      </c>
      <c r="W41" s="652"/>
      <c r="X41" s="652"/>
      <c r="Y41" s="652"/>
      <c r="Z41" s="652"/>
      <c r="AA41" s="652"/>
      <c r="AB41" s="652"/>
      <c r="AC41" s="652"/>
      <c r="AD41" s="9"/>
    </row>
    <row r="42" spans="1:30" ht="28.5" customHeight="1" x14ac:dyDescent="0.25">
      <c r="B42" s="99" t="s">
        <v>88</v>
      </c>
      <c r="C42" s="99"/>
      <c r="D42" s="99"/>
      <c r="E42" s="99"/>
      <c r="F42" s="99"/>
      <c r="G42" s="99"/>
      <c r="H42" s="99"/>
      <c r="I42" s="99"/>
      <c r="J42" s="99"/>
      <c r="K42" s="99"/>
      <c r="L42" s="99"/>
      <c r="M42" s="107"/>
      <c r="O42" s="1"/>
      <c r="V42" s="639" t="s">
        <v>88</v>
      </c>
      <c r="W42" s="639"/>
      <c r="X42" s="639"/>
      <c r="Y42" s="639"/>
      <c r="Z42" s="639"/>
      <c r="AA42" s="639"/>
      <c r="AB42" s="639"/>
      <c r="AC42" s="639"/>
      <c r="AD42" s="334"/>
    </row>
    <row r="43" spans="1:30" x14ac:dyDescent="0.25">
      <c r="B43" s="111" t="s">
        <v>89</v>
      </c>
      <c r="C43" s="111"/>
      <c r="D43" s="111"/>
      <c r="E43" s="111"/>
      <c r="F43" s="111"/>
      <c r="G43" s="111"/>
      <c r="H43" s="111"/>
      <c r="I43" s="111"/>
      <c r="J43" s="111"/>
      <c r="K43" s="111"/>
      <c r="L43" s="111"/>
      <c r="M43" s="112"/>
      <c r="N43" s="101"/>
      <c r="O43" s="101"/>
      <c r="P43" s="101"/>
      <c r="Q43" s="101"/>
      <c r="V43" s="653" t="s">
        <v>89</v>
      </c>
      <c r="W43" s="653"/>
      <c r="X43" s="653"/>
      <c r="Y43" s="653"/>
      <c r="Z43" s="653"/>
      <c r="AA43" s="653"/>
      <c r="AB43" s="653"/>
      <c r="AC43" s="653"/>
      <c r="AD43" s="113"/>
    </row>
    <row r="44" spans="1:30" ht="24" customHeight="1" x14ac:dyDescent="0.25">
      <c r="B44" s="62" t="s">
        <v>90</v>
      </c>
      <c r="C44" s="62"/>
      <c r="D44" s="62"/>
      <c r="E44" s="62"/>
      <c r="F44" s="62"/>
      <c r="G44" s="62"/>
      <c r="H44" s="62"/>
      <c r="I44" s="62"/>
      <c r="J44" s="62"/>
      <c r="K44" s="62"/>
      <c r="L44" s="114">
        <f>SUM(L26,L37,L40)</f>
        <v>2344265</v>
      </c>
      <c r="O44" s="1"/>
      <c r="V44" s="654" t="s">
        <v>90</v>
      </c>
      <c r="W44" s="654"/>
      <c r="X44" s="654"/>
      <c r="Y44" s="654"/>
      <c r="Z44" s="654"/>
      <c r="AA44" s="654"/>
      <c r="AB44" s="654"/>
      <c r="AC44" s="115">
        <f>SUM(AC26,AC37,AC40)</f>
        <v>0</v>
      </c>
      <c r="AD44" s="9"/>
    </row>
    <row r="45" spans="1:30" ht="30.75" customHeight="1" x14ac:dyDescent="0.25">
      <c r="B45" s="99" t="s">
        <v>91</v>
      </c>
      <c r="C45" s="99"/>
      <c r="D45" s="99"/>
      <c r="E45" s="99"/>
      <c r="F45" s="99"/>
      <c r="G45" s="99"/>
      <c r="H45" s="99"/>
      <c r="I45" s="99"/>
      <c r="J45" s="99"/>
      <c r="K45" s="99"/>
      <c r="L45" s="99"/>
      <c r="M45" s="116"/>
      <c r="O45" s="1"/>
      <c r="V45" s="639" t="s">
        <v>91</v>
      </c>
      <c r="W45" s="639"/>
      <c r="X45" s="639"/>
      <c r="Y45" s="639"/>
      <c r="Z45" s="639"/>
      <c r="AA45" s="639"/>
      <c r="AB45" s="639"/>
      <c r="AC45" s="639"/>
      <c r="AD45" s="333"/>
    </row>
    <row r="46" spans="1:30" ht="18.75" customHeight="1" x14ac:dyDescent="0.25">
      <c r="B46" s="1"/>
      <c r="C46" s="118" t="s">
        <v>92</v>
      </c>
      <c r="D46" s="118"/>
      <c r="E46" s="118"/>
      <c r="F46" s="118"/>
      <c r="G46" s="118" t="s">
        <v>93</v>
      </c>
      <c r="H46" s="119"/>
      <c r="I46" s="120" t="s">
        <v>94</v>
      </c>
      <c r="J46" s="121"/>
      <c r="K46" s="121"/>
      <c r="L46" s="121"/>
      <c r="M46" s="122"/>
      <c r="O46" s="1"/>
      <c r="V46" s="9"/>
      <c r="W46" s="336" t="s">
        <v>92</v>
      </c>
      <c r="X46" s="655" t="s">
        <v>95</v>
      </c>
      <c r="Y46" s="655"/>
      <c r="Z46" s="656" t="s">
        <v>94</v>
      </c>
      <c r="AA46" s="656"/>
      <c r="AB46" s="656"/>
      <c r="AC46" s="656"/>
      <c r="AD46" s="124"/>
    </row>
    <row r="47" spans="1:30" ht="18.75" customHeight="1" x14ac:dyDescent="0.25">
      <c r="B47" s="107" t="s">
        <v>96</v>
      </c>
      <c r="C47" s="125">
        <f>K10+K11+K16+K19+K22</f>
        <v>410.90440000000001</v>
      </c>
      <c r="D47" s="125"/>
      <c r="E47" s="125"/>
      <c r="F47" s="125"/>
      <c r="G47" s="126">
        <f>K7</f>
        <v>1.0326</v>
      </c>
      <c r="H47" s="126"/>
      <c r="I47" s="127">
        <v>1316.85</v>
      </c>
      <c r="J47" s="128" t="s">
        <v>97</v>
      </c>
      <c r="K47" s="129">
        <f>ROUND(C47*G47*I47,0)</f>
        <v>558739</v>
      </c>
      <c r="L47" s="130"/>
      <c r="O47" s="1"/>
      <c r="V47" s="334" t="s">
        <v>96</v>
      </c>
      <c r="W47" s="131">
        <f>AB10+AB11+AB16+AB19+AB22</f>
        <v>0</v>
      </c>
      <c r="X47" s="647">
        <f>AB7</f>
        <v>1.0326</v>
      </c>
      <c r="Y47" s="647"/>
      <c r="Z47" s="132">
        <f>+I47</f>
        <v>1316.85</v>
      </c>
      <c r="AA47" s="133" t="s">
        <v>97</v>
      </c>
      <c r="AB47" s="134">
        <f>ROUND(W47*X47*Z47,0)</f>
        <v>0</v>
      </c>
      <c r="AC47" s="135"/>
      <c r="AD47" s="9"/>
    </row>
    <row r="48" spans="1:30" ht="18" customHeight="1" x14ac:dyDescent="0.25">
      <c r="B48" s="136" t="s">
        <v>74</v>
      </c>
      <c r="C48" s="125">
        <f>K12+K13+K17+K20+K23</f>
        <v>153.089</v>
      </c>
      <c r="D48" s="125"/>
      <c r="E48" s="125"/>
      <c r="F48" s="125"/>
      <c r="G48" s="126">
        <f>K7</f>
        <v>1.0326</v>
      </c>
      <c r="H48" s="126"/>
      <c r="I48" s="127">
        <v>898.23</v>
      </c>
      <c r="J48" s="128" t="s">
        <v>97</v>
      </c>
      <c r="K48" s="129">
        <f>ROUND(C48*G48*I48,0)</f>
        <v>141992</v>
      </c>
      <c r="L48" s="62"/>
      <c r="O48" s="1"/>
      <c r="V48" s="137" t="s">
        <v>74</v>
      </c>
      <c r="W48" s="131">
        <f>AB12+AB13+AB17+AB20+AB23</f>
        <v>0</v>
      </c>
      <c r="X48" s="647">
        <f>AB7</f>
        <v>1.0326</v>
      </c>
      <c r="Y48" s="647"/>
      <c r="Z48" s="132">
        <f>+I48</f>
        <v>898.23</v>
      </c>
      <c r="AA48" s="133" t="s">
        <v>97</v>
      </c>
      <c r="AB48" s="134">
        <f>ROUND(W48*X48*Z48,0)</f>
        <v>0</v>
      </c>
      <c r="AC48" s="138"/>
      <c r="AD48" s="9"/>
    </row>
    <row r="49" spans="2:30" ht="19.5" customHeight="1" thickBot="1" x14ac:dyDescent="0.3">
      <c r="B49" s="139" t="s">
        <v>78</v>
      </c>
      <c r="C49" s="140">
        <f>K14+K15+K18+K21+K24+K25</f>
        <v>0</v>
      </c>
      <c r="D49" s="125"/>
      <c r="E49" s="125"/>
      <c r="F49" s="125"/>
      <c r="G49" s="126">
        <f>K7</f>
        <v>1.0326</v>
      </c>
      <c r="H49" s="126"/>
      <c r="I49" s="127">
        <v>900.39</v>
      </c>
      <c r="J49" s="128" t="s">
        <v>97</v>
      </c>
      <c r="K49" s="129">
        <f>ROUND(C49*G49*I49,0)</f>
        <v>0</v>
      </c>
      <c r="L49" s="62"/>
      <c r="M49" s="112"/>
      <c r="N49" s="141"/>
      <c r="O49" s="142"/>
      <c r="P49" s="101"/>
      <c r="Q49" s="143"/>
      <c r="V49" s="144" t="s">
        <v>78</v>
      </c>
      <c r="W49" s="145">
        <f>AB14+AB15+AB18+AB21+AB24+AB25</f>
        <v>0</v>
      </c>
      <c r="X49" s="647">
        <f>AB7</f>
        <v>1.0326</v>
      </c>
      <c r="Y49" s="647"/>
      <c r="Z49" s="132">
        <f>+I49</f>
        <v>900.39</v>
      </c>
      <c r="AA49" s="133" t="s">
        <v>97</v>
      </c>
      <c r="AB49" s="134">
        <f>ROUND(W49*X49*Z49,0)</f>
        <v>0</v>
      </c>
      <c r="AC49" s="138"/>
      <c r="AD49" s="113"/>
    </row>
    <row r="50" spans="2:30" ht="24" customHeight="1" thickBot="1" x14ac:dyDescent="0.3">
      <c r="B50" s="146" t="s">
        <v>98</v>
      </c>
      <c r="C50" s="147">
        <f>SUM(C47:C49)</f>
        <v>563.99340000000007</v>
      </c>
      <c r="D50" s="148"/>
      <c r="E50" s="149"/>
      <c r="F50" s="149"/>
      <c r="G50" s="150" t="s">
        <v>99</v>
      </c>
      <c r="H50" s="150"/>
      <c r="I50" s="150"/>
      <c r="J50" s="150"/>
      <c r="K50" s="150"/>
      <c r="L50" s="50">
        <f>IF(B2=75,0,K49+K48+K47)</f>
        <v>700731</v>
      </c>
      <c r="N50" s="3"/>
      <c r="O50" s="1"/>
      <c r="V50" s="335" t="s">
        <v>98</v>
      </c>
      <c r="W50" s="152">
        <f>SUM(W47:W49)</f>
        <v>0</v>
      </c>
      <c r="X50" s="648" t="s">
        <v>99</v>
      </c>
      <c r="Y50" s="649"/>
      <c r="Z50" s="649"/>
      <c r="AA50" s="649"/>
      <c r="AB50" s="649"/>
      <c r="AC50" s="56">
        <f>IF(V2=75,0,AB49+AB48+AB47)</f>
        <v>0</v>
      </c>
      <c r="AD50" s="9"/>
    </row>
    <row r="51" spans="2:30" ht="19.5" customHeight="1" x14ac:dyDescent="0.25">
      <c r="B51" s="153" t="s">
        <v>100</v>
      </c>
      <c r="C51" s="153"/>
      <c r="D51" s="153"/>
      <c r="E51" s="153"/>
      <c r="F51" s="153"/>
      <c r="G51" s="153"/>
      <c r="H51" s="153"/>
      <c r="I51" s="153"/>
      <c r="J51" s="153"/>
      <c r="K51" s="153"/>
      <c r="L51" s="153"/>
      <c r="M51" s="141"/>
      <c r="N51" s="101"/>
      <c r="O51" s="1"/>
      <c r="V51" s="650" t="s">
        <v>100</v>
      </c>
      <c r="W51" s="650"/>
      <c r="X51" s="650"/>
      <c r="Y51" s="650"/>
      <c r="Z51" s="650"/>
      <c r="AA51" s="650"/>
      <c r="AB51" s="650"/>
      <c r="AC51" s="650"/>
      <c r="AD51" s="154"/>
    </row>
    <row r="52" spans="2:30" ht="27.75" customHeight="1" x14ac:dyDescent="0.25">
      <c r="B52" s="13" t="s">
        <v>101</v>
      </c>
      <c r="C52" s="13"/>
      <c r="D52" s="13"/>
      <c r="E52" s="13"/>
      <c r="F52" s="13"/>
      <c r="G52" s="13"/>
      <c r="H52" s="13"/>
      <c r="I52" s="13"/>
      <c r="J52" s="13"/>
      <c r="K52" s="13"/>
      <c r="L52" s="13"/>
      <c r="O52" s="1"/>
      <c r="V52" s="651" t="s">
        <v>101</v>
      </c>
      <c r="W52" s="651"/>
      <c r="X52" s="651"/>
      <c r="Y52" s="651"/>
      <c r="Z52" s="651"/>
      <c r="AA52" s="651"/>
      <c r="AB52" s="651"/>
      <c r="AC52" s="651"/>
      <c r="AD52" s="9"/>
    </row>
    <row r="53" spans="2:30" x14ac:dyDescent="0.25">
      <c r="B53" s="13" t="s">
        <v>102</v>
      </c>
      <c r="C53" s="13"/>
      <c r="D53" s="13"/>
      <c r="E53" s="13"/>
      <c r="F53" s="13"/>
      <c r="G53" s="155">
        <f>K26</f>
        <v>563.99339999999995</v>
      </c>
      <c r="H53" s="57" t="s">
        <v>103</v>
      </c>
      <c r="I53" s="57"/>
      <c r="J53" s="156">
        <v>197823.77</v>
      </c>
      <c r="K53" s="156"/>
      <c r="L53" s="156"/>
      <c r="N53" s="3"/>
      <c r="O53" s="1"/>
      <c r="V53" s="657" t="s">
        <v>102</v>
      </c>
      <c r="W53" s="657"/>
      <c r="X53" s="157">
        <f>AB26</f>
        <v>0</v>
      </c>
      <c r="Y53" s="658" t="s">
        <v>103</v>
      </c>
      <c r="Z53" s="658"/>
      <c r="AA53" s="659">
        <f>+J53</f>
        <v>197823.77</v>
      </c>
      <c r="AB53" s="659"/>
      <c r="AC53" s="659"/>
      <c r="AD53" s="9"/>
    </row>
    <row r="54" spans="2:30" x14ac:dyDescent="0.25">
      <c r="B54" s="13" t="s">
        <v>104</v>
      </c>
      <c r="C54" s="13"/>
      <c r="D54" s="13"/>
      <c r="E54" s="13"/>
      <c r="F54" s="13"/>
      <c r="G54" s="13"/>
      <c r="H54" s="13"/>
      <c r="I54" s="13"/>
      <c r="J54" s="13"/>
      <c r="K54" s="158">
        <f>ROUND(G53/J53,6)</f>
        <v>2.8509999999999998E-3</v>
      </c>
      <c r="L54" s="158"/>
      <c r="N54" s="101"/>
      <c r="O54" s="1"/>
      <c r="V54" s="657" t="s">
        <v>104</v>
      </c>
      <c r="W54" s="657"/>
      <c r="X54" s="657"/>
      <c r="Y54" s="657"/>
      <c r="Z54" s="657"/>
      <c r="AA54" s="657"/>
      <c r="AB54" s="660">
        <f>ROUND(X53/AA53,6)</f>
        <v>0</v>
      </c>
      <c r="AC54" s="660"/>
      <c r="AD54" s="9"/>
    </row>
    <row r="55" spans="2:30" ht="24" customHeight="1" x14ac:dyDescent="0.25">
      <c r="B55" s="13" t="s">
        <v>105</v>
      </c>
      <c r="C55" s="13"/>
      <c r="D55" s="13"/>
      <c r="E55" s="13"/>
      <c r="F55" s="13"/>
      <c r="G55" s="13"/>
      <c r="H55" s="13"/>
      <c r="I55" s="13"/>
      <c r="J55" s="13"/>
      <c r="K55" s="13"/>
      <c r="L55" s="13"/>
      <c r="O55" s="1"/>
      <c r="V55" s="651" t="s">
        <v>105</v>
      </c>
      <c r="W55" s="651"/>
      <c r="X55" s="651"/>
      <c r="Y55" s="651"/>
      <c r="Z55" s="651"/>
      <c r="AA55" s="651"/>
      <c r="AB55" s="651"/>
      <c r="AC55" s="651"/>
      <c r="AD55" s="9"/>
    </row>
    <row r="56" spans="2:30" x14ac:dyDescent="0.25">
      <c r="B56" s="13" t="s">
        <v>106</v>
      </c>
      <c r="C56" s="13"/>
      <c r="D56" s="13"/>
      <c r="E56" s="13"/>
      <c r="F56" s="13"/>
      <c r="G56" s="159">
        <f>G26</f>
        <v>517.5100000000001</v>
      </c>
      <c r="H56" s="57" t="s">
        <v>107</v>
      </c>
      <c r="I56" s="57"/>
      <c r="J56" s="156">
        <f>+G40</f>
        <v>180284.81</v>
      </c>
      <c r="K56" s="156"/>
      <c r="L56" s="156"/>
      <c r="O56" s="1"/>
      <c r="V56" s="657" t="s">
        <v>106</v>
      </c>
      <c r="W56" s="657"/>
      <c r="X56" s="160">
        <f>X26</f>
        <v>0</v>
      </c>
      <c r="Y56" s="658" t="s">
        <v>107</v>
      </c>
      <c r="Z56" s="658"/>
      <c r="AA56" s="659">
        <f>+J56</f>
        <v>180284.81</v>
      </c>
      <c r="AB56" s="659"/>
      <c r="AC56" s="659"/>
      <c r="AD56" s="9"/>
    </row>
    <row r="57" spans="2:30" x14ac:dyDescent="0.25">
      <c r="B57" s="13" t="s">
        <v>108</v>
      </c>
      <c r="C57" s="13"/>
      <c r="D57" s="13"/>
      <c r="E57" s="13"/>
      <c r="F57" s="13"/>
      <c r="G57" s="13"/>
      <c r="H57" s="13"/>
      <c r="I57" s="13"/>
      <c r="J57" s="13"/>
      <c r="K57" s="158">
        <f>ROUND(G56/J56,6)</f>
        <v>2.8709999999999999E-3</v>
      </c>
      <c r="L57" s="158"/>
      <c r="O57" s="1"/>
      <c r="V57" s="657" t="s">
        <v>108</v>
      </c>
      <c r="W57" s="657"/>
      <c r="X57" s="657"/>
      <c r="Y57" s="657"/>
      <c r="Z57" s="657"/>
      <c r="AA57" s="657"/>
      <c r="AB57" s="660">
        <f>ROUND(X56/AA56,6)</f>
        <v>0</v>
      </c>
      <c r="AC57" s="660"/>
      <c r="AD57" s="9"/>
    </row>
    <row r="58" spans="2:30" ht="20.25" customHeight="1" x14ac:dyDescent="0.25">
      <c r="B58" s="161" t="s">
        <v>109</v>
      </c>
      <c r="C58" s="161"/>
      <c r="D58" s="161"/>
      <c r="E58" s="161"/>
      <c r="F58" s="161"/>
      <c r="G58" s="161"/>
      <c r="H58" s="161"/>
      <c r="I58" s="161"/>
      <c r="J58" s="161"/>
      <c r="K58" s="161"/>
      <c r="L58" s="161"/>
      <c r="N58" s="18"/>
      <c r="O58" s="18"/>
      <c r="V58" s="629" t="s">
        <v>110</v>
      </c>
      <c r="W58" s="629"/>
      <c r="X58" s="629"/>
      <c r="Y58" s="661">
        <f>X65+X64+X62+X61+X60</f>
        <v>4123852</v>
      </c>
      <c r="Z58" s="661"/>
      <c r="AA58" s="332" t="s">
        <v>111</v>
      </c>
      <c r="AB58" s="163">
        <f>AB54</f>
        <v>0</v>
      </c>
      <c r="AC58" s="56">
        <f>ROUND(Y58*AB58,0)</f>
        <v>0</v>
      </c>
      <c r="AD58" s="9"/>
    </row>
    <row r="59" spans="2:30" x14ac:dyDescent="0.25">
      <c r="B59" s="62" t="s">
        <v>110</v>
      </c>
      <c r="C59" s="62"/>
      <c r="D59" s="62"/>
      <c r="E59" s="62"/>
      <c r="F59" s="62"/>
      <c r="G59" s="62"/>
      <c r="H59" s="164" t="s">
        <v>22</v>
      </c>
      <c r="I59" s="129">
        <v>4123852</v>
      </c>
      <c r="J59" s="165" t="s">
        <v>111</v>
      </c>
      <c r="K59" s="166">
        <f>K54</f>
        <v>2.8509999999999998E-3</v>
      </c>
      <c r="L59" s="50">
        <f>ROUND(I59*K59,0)</f>
        <v>11757</v>
      </c>
      <c r="O59" s="1"/>
      <c r="P59" s="165"/>
      <c r="Q59" s="165"/>
      <c r="V59" s="662" t="s">
        <v>112</v>
      </c>
      <c r="W59" s="662"/>
      <c r="X59" s="662"/>
      <c r="Y59" s="662"/>
      <c r="Z59" s="662"/>
      <c r="AA59" s="662"/>
      <c r="AB59" s="662"/>
      <c r="AC59" s="662"/>
      <c r="AD59" s="9"/>
    </row>
    <row r="60" spans="2:30" x14ac:dyDescent="0.25">
      <c r="B60" s="62" t="s">
        <v>112</v>
      </c>
      <c r="C60" s="62"/>
      <c r="D60" s="62"/>
      <c r="E60" s="62"/>
      <c r="F60" s="62"/>
      <c r="G60" s="62"/>
      <c r="H60" s="62"/>
      <c r="I60" s="62"/>
      <c r="J60" s="62"/>
      <c r="K60" s="62"/>
      <c r="L60" s="62"/>
      <c r="O60" s="1"/>
      <c r="P60" s="165"/>
      <c r="Q60" s="165"/>
      <c r="V60" s="663" t="s">
        <v>113</v>
      </c>
      <c r="W60" s="663"/>
      <c r="X60" s="664">
        <f>+G61</f>
        <v>0</v>
      </c>
      <c r="Y60" s="664"/>
      <c r="Z60" s="664"/>
      <c r="AA60" s="664"/>
      <c r="AB60" s="664"/>
      <c r="AC60" s="664"/>
      <c r="AD60" s="9"/>
    </row>
    <row r="61" spans="2:30" ht="15" customHeight="1" x14ac:dyDescent="0.25">
      <c r="B61" s="167" t="s">
        <v>113</v>
      </c>
      <c r="C61" s="62"/>
      <c r="D61" s="62"/>
      <c r="E61" s="62"/>
      <c r="F61" s="62"/>
      <c r="G61" s="168">
        <v>0</v>
      </c>
      <c r="H61" s="168"/>
      <c r="I61" s="168"/>
      <c r="J61" s="168"/>
      <c r="K61" s="168"/>
      <c r="L61" s="168"/>
      <c r="O61" s="1"/>
      <c r="P61" s="165"/>
      <c r="Q61" s="165"/>
      <c r="V61" s="663" t="s">
        <v>114</v>
      </c>
      <c r="W61" s="663"/>
      <c r="X61" s="664">
        <f>+G62</f>
        <v>0</v>
      </c>
      <c r="Y61" s="664"/>
      <c r="Z61" s="664"/>
      <c r="AA61" s="664"/>
      <c r="AB61" s="664"/>
      <c r="AC61" s="664"/>
      <c r="AD61" s="9"/>
    </row>
    <row r="62" spans="2:30" ht="13.5" customHeight="1" x14ac:dyDescent="0.25">
      <c r="B62" s="167" t="s">
        <v>114</v>
      </c>
      <c r="C62" s="62"/>
      <c r="D62" s="62"/>
      <c r="E62" s="62"/>
      <c r="F62" s="62"/>
      <c r="G62" s="168">
        <v>0</v>
      </c>
      <c r="H62" s="168"/>
      <c r="I62" s="168"/>
      <c r="J62" s="168"/>
      <c r="K62" s="168"/>
      <c r="L62" s="168"/>
      <c r="N62" s="165"/>
      <c r="O62" s="165"/>
      <c r="P62" s="165"/>
      <c r="Q62" s="165"/>
      <c r="V62" s="663" t="s">
        <v>115</v>
      </c>
      <c r="W62" s="663"/>
      <c r="X62" s="664">
        <v>0</v>
      </c>
      <c r="Y62" s="664"/>
      <c r="Z62" s="664"/>
      <c r="AA62" s="664"/>
      <c r="AB62" s="664"/>
      <c r="AC62" s="664"/>
      <c r="AD62" s="9"/>
    </row>
    <row r="63" spans="2:30" ht="13.5" hidden="1" customHeight="1" x14ac:dyDescent="0.25">
      <c r="B63" s="62" t="s">
        <v>115</v>
      </c>
      <c r="C63" s="62"/>
      <c r="D63" s="62"/>
      <c r="E63" s="62"/>
      <c r="F63" s="62"/>
      <c r="G63" s="168">
        <v>0</v>
      </c>
      <c r="H63" s="168"/>
      <c r="I63" s="168"/>
      <c r="J63" s="168"/>
      <c r="K63" s="168"/>
      <c r="L63" s="168"/>
      <c r="O63" s="1"/>
      <c r="P63" s="165"/>
      <c r="Q63" s="165"/>
      <c r="V63" s="662" t="s">
        <v>116</v>
      </c>
      <c r="W63" s="662"/>
      <c r="X63" s="662"/>
      <c r="Y63" s="662"/>
      <c r="Z63" s="662"/>
      <c r="AA63" s="662"/>
      <c r="AB63" s="662"/>
      <c r="AC63" s="662"/>
      <c r="AD63" s="333"/>
    </row>
    <row r="64" spans="2:30" ht="13.5" customHeight="1" x14ac:dyDescent="0.25">
      <c r="B64" s="62" t="s">
        <v>116</v>
      </c>
      <c r="C64" s="62"/>
      <c r="D64" s="62"/>
      <c r="E64" s="62"/>
      <c r="F64" s="62"/>
      <c r="G64" s="62"/>
      <c r="H64" s="62"/>
      <c r="I64" s="62"/>
      <c r="J64" s="62"/>
      <c r="K64" s="62"/>
      <c r="L64" s="62"/>
      <c r="M64" s="116"/>
      <c r="N64" s="18"/>
      <c r="O64" s="1"/>
      <c r="V64" s="663" t="s">
        <v>117</v>
      </c>
      <c r="W64" s="663"/>
      <c r="X64" s="664">
        <f>+G65</f>
        <v>4123852</v>
      </c>
      <c r="Y64" s="664"/>
      <c r="Z64" s="664"/>
      <c r="AA64" s="664"/>
      <c r="AB64" s="664"/>
      <c r="AC64" s="664"/>
      <c r="AD64" s="9"/>
    </row>
    <row r="65" spans="1:30" ht="12.75" customHeight="1" x14ac:dyDescent="0.25">
      <c r="B65" s="167" t="s">
        <v>117</v>
      </c>
      <c r="C65" s="62"/>
      <c r="D65" s="62"/>
      <c r="E65" s="62"/>
      <c r="F65" s="62"/>
      <c r="G65" s="168">
        <f>+I59</f>
        <v>4123852</v>
      </c>
      <c r="H65" s="168"/>
      <c r="I65" s="168"/>
      <c r="J65" s="168"/>
      <c r="K65" s="168"/>
      <c r="L65" s="168"/>
      <c r="O65" s="1"/>
      <c r="V65" s="663" t="s">
        <v>118</v>
      </c>
      <c r="W65" s="663"/>
      <c r="X65" s="664">
        <f>+G66</f>
        <v>0</v>
      </c>
      <c r="Y65" s="664"/>
      <c r="Z65" s="664"/>
      <c r="AA65" s="664"/>
      <c r="AB65" s="664"/>
      <c r="AC65" s="664"/>
      <c r="AD65" s="20"/>
    </row>
    <row r="66" spans="1:30" ht="15" customHeight="1" x14ac:dyDescent="0.25">
      <c r="B66" s="167" t="s">
        <v>118</v>
      </c>
      <c r="C66" s="62"/>
      <c r="D66" s="62"/>
      <c r="E66" s="62"/>
      <c r="F66" s="62"/>
      <c r="G66" s="168">
        <v>0</v>
      </c>
      <c r="H66" s="168"/>
      <c r="I66" s="168"/>
      <c r="J66" s="168"/>
      <c r="K66" s="168"/>
      <c r="L66" s="168"/>
      <c r="M66" s="18"/>
      <c r="N66" s="3"/>
      <c r="O66" s="169"/>
      <c r="P66" s="169"/>
      <c r="Q66" s="169"/>
      <c r="V66" s="651" t="s">
        <v>119</v>
      </c>
      <c r="W66" s="651"/>
      <c r="X66" s="651"/>
      <c r="Y66" s="661">
        <f>+I67</f>
        <v>96774526</v>
      </c>
      <c r="Z66" s="661"/>
      <c r="AA66" s="332" t="s">
        <v>111</v>
      </c>
      <c r="AB66" s="163">
        <f>AB54</f>
        <v>0</v>
      </c>
      <c r="AC66" s="56">
        <f>ROUND(Y66*AB66,0)</f>
        <v>0</v>
      </c>
      <c r="AD66" s="9"/>
    </row>
    <row r="67" spans="1:30" ht="20.25" customHeight="1" x14ac:dyDescent="0.25">
      <c r="B67" s="13" t="s">
        <v>119</v>
      </c>
      <c r="C67" s="13"/>
      <c r="D67" s="13"/>
      <c r="E67" s="13"/>
      <c r="F67" s="13"/>
      <c r="H67" s="164" t="s">
        <v>25</v>
      </c>
      <c r="I67" s="129">
        <v>96774526</v>
      </c>
      <c r="J67" s="165" t="s">
        <v>111</v>
      </c>
      <c r="K67" s="166">
        <f>K54</f>
        <v>2.8509999999999998E-3</v>
      </c>
      <c r="L67" s="50">
        <f>ROUND(I67*K67,0)</f>
        <v>275904</v>
      </c>
      <c r="O67" s="1"/>
      <c r="V67" s="651" t="s">
        <v>120</v>
      </c>
      <c r="W67" s="651"/>
      <c r="X67" s="651"/>
      <c r="Y67" s="651"/>
      <c r="Z67" s="651"/>
      <c r="AA67" s="651"/>
      <c r="AB67" s="651"/>
      <c r="AC67" s="651"/>
      <c r="AD67" s="9"/>
    </row>
    <row r="68" spans="1:30" ht="20.25" customHeight="1" x14ac:dyDescent="0.25">
      <c r="B68" s="13" t="s">
        <v>120</v>
      </c>
      <c r="C68" s="13"/>
      <c r="D68" s="13"/>
      <c r="E68" s="13"/>
      <c r="F68" s="13"/>
      <c r="H68" s="13"/>
      <c r="I68" s="13"/>
      <c r="J68" s="82"/>
      <c r="K68" s="13"/>
      <c r="L68" s="13"/>
      <c r="O68" s="1"/>
      <c r="V68" s="667" t="s">
        <v>121</v>
      </c>
      <c r="W68" s="667"/>
      <c r="X68" s="667"/>
      <c r="Y68" s="661">
        <f>+I69</f>
        <v>0</v>
      </c>
      <c r="Z68" s="661"/>
      <c r="AA68" s="332" t="s">
        <v>111</v>
      </c>
      <c r="AB68" s="163">
        <f>AB57</f>
        <v>0</v>
      </c>
      <c r="AC68" s="56">
        <f>ROUND(Y68*AB68,0)</f>
        <v>0</v>
      </c>
      <c r="AD68" s="9"/>
    </row>
    <row r="69" spans="1:30" ht="15" customHeight="1" x14ac:dyDescent="0.25">
      <c r="B69" s="170" t="s">
        <v>121</v>
      </c>
      <c r="C69" s="13"/>
      <c r="D69" s="13"/>
      <c r="E69" s="13"/>
      <c r="F69" s="13"/>
      <c r="H69" s="164" t="s">
        <v>23</v>
      </c>
      <c r="I69" s="129">
        <v>0</v>
      </c>
      <c r="J69" s="165" t="s">
        <v>111</v>
      </c>
      <c r="K69" s="166">
        <f>K57</f>
        <v>2.8709999999999999E-3</v>
      </c>
      <c r="L69" s="50">
        <f>ROUND(I69*K69,0)</f>
        <v>0</v>
      </c>
      <c r="O69" s="1"/>
      <c r="V69" s="651" t="s">
        <v>122</v>
      </c>
      <c r="W69" s="651"/>
      <c r="X69" s="651"/>
      <c r="Y69" s="668">
        <f>+I70</f>
        <v>-3460775</v>
      </c>
      <c r="Z69" s="668"/>
      <c r="AA69" s="332" t="s">
        <v>111</v>
      </c>
      <c r="AB69" s="163">
        <f>AB54</f>
        <v>0</v>
      </c>
      <c r="AC69" s="56">
        <f>ROUND(Y69*AB69,0)</f>
        <v>0</v>
      </c>
      <c r="AD69" s="9"/>
    </row>
    <row r="70" spans="1:30" ht="20.25" customHeight="1" x14ac:dyDescent="0.25">
      <c r="B70" s="13" t="s">
        <v>122</v>
      </c>
      <c r="C70" s="13"/>
      <c r="D70" s="13"/>
      <c r="E70" s="13"/>
      <c r="F70" s="13"/>
      <c r="H70" s="164" t="s">
        <v>22</v>
      </c>
      <c r="I70" s="129">
        <v>-3460775</v>
      </c>
      <c r="J70" s="165" t="s">
        <v>111</v>
      </c>
      <c r="K70" s="166">
        <f>K54</f>
        <v>2.8509999999999998E-3</v>
      </c>
      <c r="L70" s="50">
        <f>ROUND(I70*K70,0)</f>
        <v>-9867</v>
      </c>
      <c r="O70" s="1"/>
      <c r="V70" s="651" t="s">
        <v>123</v>
      </c>
      <c r="W70" s="651"/>
      <c r="X70" s="651"/>
      <c r="Y70" s="665">
        <f>+I71</f>
        <v>1874788</v>
      </c>
      <c r="Z70" s="665"/>
      <c r="AA70" s="332" t="s">
        <v>111</v>
      </c>
      <c r="AB70" s="163">
        <f>AB54</f>
        <v>0</v>
      </c>
      <c r="AC70" s="56">
        <f>ROUND(Y70*AB70,0)</f>
        <v>0</v>
      </c>
      <c r="AD70" s="9"/>
    </row>
    <row r="71" spans="1:30" ht="20.25" customHeight="1" x14ac:dyDescent="0.25">
      <c r="B71" s="13" t="s">
        <v>123</v>
      </c>
      <c r="C71" s="13"/>
      <c r="D71" s="13"/>
      <c r="E71" s="13"/>
      <c r="F71" s="13"/>
      <c r="H71" s="164" t="s">
        <v>22</v>
      </c>
      <c r="I71" s="129">
        <v>1874788</v>
      </c>
      <c r="J71" s="165" t="s">
        <v>111</v>
      </c>
      <c r="K71" s="166">
        <f>K54</f>
        <v>2.8509999999999998E-3</v>
      </c>
      <c r="L71" s="50">
        <f>ROUND(I71*K71,0)</f>
        <v>5345</v>
      </c>
      <c r="O71" s="1"/>
      <c r="V71" s="651" t="s">
        <v>124</v>
      </c>
      <c r="W71" s="651"/>
      <c r="X71" s="651"/>
      <c r="Y71" s="665">
        <f>+I72</f>
        <v>14223298</v>
      </c>
      <c r="Z71" s="665"/>
      <c r="AA71" s="332" t="s">
        <v>111</v>
      </c>
      <c r="AB71" s="163">
        <f>AB57</f>
        <v>0</v>
      </c>
      <c r="AC71" s="56">
        <f>ROUND(Y71*AB71,0)</f>
        <v>0</v>
      </c>
      <c r="AD71" s="9"/>
    </row>
    <row r="72" spans="1:30" ht="21" customHeight="1" x14ac:dyDescent="0.25">
      <c r="B72" s="13" t="s">
        <v>124</v>
      </c>
      <c r="C72" s="13"/>
      <c r="D72" s="13"/>
      <c r="E72" s="13"/>
      <c r="F72" s="13"/>
      <c r="H72" s="164" t="s">
        <v>23</v>
      </c>
      <c r="I72" s="171">
        <v>14223298</v>
      </c>
      <c r="J72" s="165" t="s">
        <v>111</v>
      </c>
      <c r="K72" s="166">
        <f>K57</f>
        <v>2.8709999999999999E-3</v>
      </c>
      <c r="L72" s="50">
        <f>ROUND(I72*K72,0)</f>
        <v>40835</v>
      </c>
      <c r="O72" s="1"/>
      <c r="V72" s="623" t="s">
        <v>125</v>
      </c>
      <c r="W72" s="623"/>
      <c r="X72" s="623"/>
      <c r="Y72" s="623"/>
      <c r="Z72" s="623"/>
      <c r="AA72" s="623"/>
      <c r="AB72" s="623"/>
      <c r="AC72" s="60"/>
      <c r="AD72" s="9"/>
    </row>
    <row r="73" spans="1:30" ht="17.25" customHeight="1" x14ac:dyDescent="0.25">
      <c r="B73" s="13" t="s">
        <v>125</v>
      </c>
      <c r="C73" s="13"/>
      <c r="D73" s="13"/>
      <c r="E73" s="13"/>
      <c r="F73" s="13"/>
      <c r="H73" s="13"/>
      <c r="I73" s="13"/>
      <c r="J73" s="82"/>
      <c r="K73" s="13"/>
      <c r="L73" s="59"/>
      <c r="O73" s="1"/>
      <c r="V73" s="651" t="s">
        <v>126</v>
      </c>
      <c r="W73" s="651"/>
      <c r="X73" s="651"/>
      <c r="Y73" s="651"/>
      <c r="Z73" s="651"/>
      <c r="AA73" s="651"/>
      <c r="AB73" s="651"/>
      <c r="AC73" s="651"/>
      <c r="AD73" s="9"/>
    </row>
    <row r="74" spans="1:30" ht="31.5" x14ac:dyDescent="0.25">
      <c r="B74" s="13" t="s">
        <v>126</v>
      </c>
      <c r="C74" s="13"/>
      <c r="D74" s="27" t="s">
        <v>13</v>
      </c>
      <c r="E74" s="27" t="s">
        <v>14</v>
      </c>
      <c r="F74" s="27"/>
      <c r="H74" s="164" t="s">
        <v>26</v>
      </c>
      <c r="I74" s="172"/>
      <c r="J74" s="164"/>
      <c r="K74" s="172"/>
      <c r="L74" s="112"/>
      <c r="O74" s="1"/>
      <c r="V74" s="666" t="s">
        <v>127</v>
      </c>
      <c r="W74" s="666"/>
      <c r="X74" s="173" t="s">
        <v>128</v>
      </c>
      <c r="Y74" s="174"/>
      <c r="Z74" s="175">
        <f>+I75</f>
        <v>110.5</v>
      </c>
      <c r="AA74" s="331" t="s">
        <v>129</v>
      </c>
      <c r="AB74" s="177">
        <f>+K75</f>
        <v>361</v>
      </c>
      <c r="AC74" s="56">
        <f>ROUND(AB74*Z74,0)</f>
        <v>39891</v>
      </c>
      <c r="AD74" s="9"/>
    </row>
    <row r="75" spans="1:30" ht="19.5" customHeight="1" x14ac:dyDescent="0.25">
      <c r="A75" s="1" t="s">
        <v>130</v>
      </c>
      <c r="B75" s="178" t="s">
        <v>127</v>
      </c>
      <c r="C75" s="179" t="s">
        <v>128</v>
      </c>
      <c r="D75" s="178">
        <v>107</v>
      </c>
      <c r="E75" s="178">
        <v>114</v>
      </c>
      <c r="F75" s="178">
        <v>0</v>
      </c>
      <c r="G75" s="180">
        <f>IF(E75=0,D75,E75)</f>
        <v>114</v>
      </c>
      <c r="H75" s="181"/>
      <c r="I75" s="182">
        <f>AVERAGE(G75,D75)</f>
        <v>110.5</v>
      </c>
      <c r="J75" s="183" t="s">
        <v>129</v>
      </c>
      <c r="K75" s="184">
        <v>361</v>
      </c>
      <c r="L75" s="50">
        <f>ROUND(K75*I75,0)</f>
        <v>39891</v>
      </c>
      <c r="N75" s="1">
        <v>7802</v>
      </c>
      <c r="O75" s="1">
        <v>0</v>
      </c>
      <c r="V75" s="666" t="s">
        <v>127</v>
      </c>
      <c r="W75" s="666"/>
      <c r="X75" s="173" t="s">
        <v>131</v>
      </c>
      <c r="Y75" s="185"/>
      <c r="Z75" s="186">
        <f>+I76</f>
        <v>0</v>
      </c>
      <c r="AA75" s="331" t="s">
        <v>129</v>
      </c>
      <c r="AB75" s="187">
        <f>+K76</f>
        <v>1358</v>
      </c>
      <c r="AC75" s="56">
        <f>ROUND(AB75*Z75,0)</f>
        <v>0</v>
      </c>
      <c r="AD75" s="9"/>
    </row>
    <row r="76" spans="1:30" ht="19.5" customHeight="1" x14ac:dyDescent="0.25">
      <c r="A76" s="1" t="s">
        <v>132</v>
      </c>
      <c r="B76" s="178" t="s">
        <v>127</v>
      </c>
      <c r="C76" s="179" t="s">
        <v>131</v>
      </c>
      <c r="D76" s="178">
        <v>0</v>
      </c>
      <c r="E76" s="178">
        <v>0</v>
      </c>
      <c r="F76" s="178">
        <v>0</v>
      </c>
      <c r="G76" s="180">
        <f>IF(E76=0,D76,E76)</f>
        <v>0</v>
      </c>
      <c r="H76" s="181"/>
      <c r="I76" s="182">
        <f>AVERAGE(G76,D76)</f>
        <v>0</v>
      </c>
      <c r="J76" s="183" t="s">
        <v>129</v>
      </c>
      <c r="K76" s="188">
        <v>1358</v>
      </c>
      <c r="L76" s="50">
        <f>ROUND(K76*I76,0)</f>
        <v>0</v>
      </c>
      <c r="N76" s="1">
        <v>7802</v>
      </c>
      <c r="O76" s="1">
        <v>110</v>
      </c>
      <c r="V76" s="651" t="s">
        <v>133</v>
      </c>
      <c r="W76" s="651"/>
      <c r="X76" s="651"/>
      <c r="Y76" s="661">
        <f>+I77</f>
        <v>33305823</v>
      </c>
      <c r="Z76" s="661"/>
      <c r="AA76" s="331" t="s">
        <v>129</v>
      </c>
      <c r="AB76" s="163">
        <f>AB54</f>
        <v>0</v>
      </c>
      <c r="AC76" s="56">
        <f>ROUND(Y76*AB76,0)</f>
        <v>0</v>
      </c>
      <c r="AD76" s="9"/>
    </row>
    <row r="77" spans="1:30" ht="26.25" customHeight="1" x14ac:dyDescent="0.25">
      <c r="B77" s="13" t="s">
        <v>133</v>
      </c>
      <c r="C77" s="13"/>
      <c r="D77" s="13"/>
      <c r="E77" s="13"/>
      <c r="F77" s="13"/>
      <c r="H77" s="164" t="s">
        <v>134</v>
      </c>
      <c r="I77" s="189">
        <v>33305823</v>
      </c>
      <c r="J77" s="165" t="s">
        <v>111</v>
      </c>
      <c r="K77" s="166">
        <f>K54</f>
        <v>2.8509999999999998E-3</v>
      </c>
      <c r="L77" s="50">
        <f>ROUND(I77*K77,0)</f>
        <v>94955</v>
      </c>
      <c r="O77" s="1"/>
      <c r="V77" s="651" t="str">
        <f>+B78</f>
        <v>15.  Additional Allocation (WFTE share)</v>
      </c>
      <c r="W77" s="651"/>
      <c r="X77" s="651"/>
      <c r="Y77" s="661">
        <f>+I78</f>
        <v>680688</v>
      </c>
      <c r="Z77" s="661"/>
      <c r="AA77" s="331" t="s">
        <v>129</v>
      </c>
      <c r="AB77" s="163">
        <f>AB54</f>
        <v>0</v>
      </c>
      <c r="AC77" s="56">
        <f>ROUND(Y77*AB77,0)</f>
        <v>0</v>
      </c>
      <c r="AD77" s="9"/>
    </row>
    <row r="78" spans="1:30" ht="26.25" customHeight="1" x14ac:dyDescent="0.25">
      <c r="B78" s="669" t="s">
        <v>135</v>
      </c>
      <c r="C78" s="669"/>
      <c r="D78" s="669"/>
      <c r="E78" s="13"/>
      <c r="F78" s="13"/>
      <c r="H78" s="164" t="s">
        <v>136</v>
      </c>
      <c r="I78" s="190">
        <v>680688</v>
      </c>
      <c r="J78" s="165" t="s">
        <v>111</v>
      </c>
      <c r="K78" s="166">
        <f>K54</f>
        <v>2.8509999999999998E-3</v>
      </c>
      <c r="L78" s="50">
        <f>ROUND(I78*K78,0)</f>
        <v>1941</v>
      </c>
      <c r="O78" s="1"/>
      <c r="V78" s="651" t="str">
        <f>+B79</f>
        <v>16.  Florida Teachers Lead Program Stipend</v>
      </c>
      <c r="W78" s="651"/>
      <c r="X78" s="651"/>
      <c r="Y78" s="191"/>
      <c r="Z78" s="191"/>
      <c r="AA78" s="191"/>
      <c r="AB78" s="191"/>
      <c r="AC78" s="134"/>
      <c r="AD78" s="9"/>
    </row>
    <row r="79" spans="1:30" ht="21" customHeight="1" x14ac:dyDescent="0.25">
      <c r="B79" s="669" t="s">
        <v>137</v>
      </c>
      <c r="C79" s="669"/>
      <c r="D79" s="669"/>
      <c r="E79" s="13"/>
      <c r="F79" s="13"/>
      <c r="H79" s="164"/>
      <c r="I79" s="172"/>
      <c r="J79" s="172"/>
      <c r="K79" s="172"/>
      <c r="L79" s="129"/>
      <c r="N79" s="192"/>
      <c r="O79" s="1"/>
      <c r="Q79" s="164"/>
      <c r="V79" s="651" t="str">
        <f>+B80</f>
        <v>17.  Food Service Allocation</v>
      </c>
      <c r="W79" s="651"/>
      <c r="X79" s="651"/>
      <c r="Y79" s="191"/>
      <c r="Z79" s="191"/>
      <c r="AA79" s="191"/>
      <c r="AB79" s="191"/>
      <c r="AC79" s="193"/>
      <c r="AD79" s="9"/>
    </row>
    <row r="80" spans="1:30" ht="21" customHeight="1" x14ac:dyDescent="0.25">
      <c r="B80" s="669" t="s">
        <v>138</v>
      </c>
      <c r="C80" s="669"/>
      <c r="D80" s="669"/>
      <c r="E80" s="13"/>
      <c r="F80" s="13"/>
      <c r="H80" s="194" t="s">
        <v>139</v>
      </c>
      <c r="I80" s="195"/>
      <c r="J80" s="195"/>
      <c r="K80" s="195"/>
      <c r="L80" s="196"/>
      <c r="N80" s="197"/>
      <c r="O80" s="1"/>
      <c r="Q80" s="164"/>
      <c r="V80" s="191"/>
      <c r="W80" s="191"/>
      <c r="X80" s="191"/>
      <c r="Y80" s="191"/>
      <c r="Z80" s="191"/>
      <c r="AA80" s="191"/>
      <c r="AB80" s="191"/>
      <c r="AC80" s="193"/>
      <c r="AD80" s="9"/>
    </row>
    <row r="81" spans="1:30" ht="21" customHeight="1" thickBot="1" x14ac:dyDescent="0.3">
      <c r="B81" s="13"/>
      <c r="C81" s="13"/>
      <c r="D81" s="13"/>
      <c r="E81" s="13"/>
      <c r="F81" s="13"/>
      <c r="G81" s="13"/>
      <c r="H81" s="13"/>
      <c r="I81" s="13"/>
      <c r="J81" s="13"/>
      <c r="K81" s="13"/>
      <c r="L81" s="196"/>
      <c r="M81" s="198"/>
      <c r="N81" s="197"/>
      <c r="O81" s="1"/>
      <c r="Q81" s="164"/>
      <c r="V81" s="191" t="s">
        <v>140</v>
      </c>
      <c r="W81" s="191"/>
      <c r="X81" s="191"/>
      <c r="Y81" s="191"/>
      <c r="Z81" s="191"/>
      <c r="AA81" s="191"/>
      <c r="AB81" s="191"/>
      <c r="AC81" s="199">
        <f>SUM(AC44:AC80)</f>
        <v>39891</v>
      </c>
      <c r="AD81" s="200"/>
    </row>
    <row r="82" spans="1:30" ht="22.5" customHeight="1" thickTop="1" thickBot="1" x14ac:dyDescent="0.3">
      <c r="B82" s="13" t="s">
        <v>141</v>
      </c>
      <c r="C82" s="13"/>
      <c r="D82" s="13"/>
      <c r="E82" s="13"/>
      <c r="F82" s="13"/>
      <c r="G82" s="13"/>
      <c r="H82" s="13"/>
      <c r="I82" s="13"/>
      <c r="J82" s="13"/>
      <c r="K82" s="13"/>
      <c r="L82" s="201">
        <f>SUM(L44:L81)</f>
        <v>3505757</v>
      </c>
      <c r="M82" s="202"/>
      <c r="N82" s="203"/>
      <c r="O82" s="1"/>
      <c r="Q82" s="164"/>
      <c r="V82" s="191"/>
      <c r="W82" s="191"/>
      <c r="X82" s="191"/>
      <c r="Y82" s="191"/>
      <c r="Z82" s="191"/>
      <c r="AA82" s="191"/>
      <c r="AB82" s="191"/>
      <c r="AC82" s="204"/>
      <c r="AD82" s="200"/>
    </row>
    <row r="83" spans="1:30" ht="27.75" customHeight="1" thickTop="1" x14ac:dyDescent="0.25">
      <c r="B83" s="13" t="s">
        <v>142</v>
      </c>
      <c r="C83" s="13"/>
      <c r="D83" s="13"/>
      <c r="E83" s="13"/>
      <c r="F83" s="13"/>
      <c r="G83" s="13"/>
      <c r="H83" s="13"/>
      <c r="I83" s="13"/>
      <c r="J83" s="13"/>
      <c r="K83" s="82" t="s">
        <v>143</v>
      </c>
      <c r="L83" s="205" t="s">
        <v>144</v>
      </c>
      <c r="M83" s="202"/>
      <c r="N83" s="203"/>
      <c r="O83" s="1"/>
      <c r="Q83" s="164"/>
      <c r="V83" s="9" t="s">
        <v>145</v>
      </c>
      <c r="W83" s="9"/>
      <c r="X83" s="9"/>
      <c r="Y83" s="9"/>
      <c r="Z83" s="9"/>
      <c r="AA83" s="9"/>
      <c r="AB83" s="9"/>
      <c r="AC83" s="9"/>
      <c r="AD83" s="206"/>
    </row>
    <row r="84" spans="1:30" ht="18.75" customHeight="1" thickBot="1" x14ac:dyDescent="0.3">
      <c r="B84" s="13" t="s">
        <v>146</v>
      </c>
      <c r="C84" s="13"/>
      <c r="D84" s="13"/>
      <c r="E84" s="13"/>
      <c r="F84" s="13"/>
      <c r="G84" s="13"/>
      <c r="H84" s="13"/>
      <c r="I84" s="13"/>
      <c r="J84" s="13"/>
      <c r="K84" s="207" t="str">
        <f>IF(G26=0,"",IF((G11+G13+SUM(G15:G21))/G26&gt;0.75,1,""))</f>
        <v/>
      </c>
      <c r="L84" s="201">
        <f>'3395 June Final'!AC81</f>
        <v>39891</v>
      </c>
      <c r="M84" s="202"/>
      <c r="N84" s="203"/>
      <c r="O84" s="1"/>
      <c r="Q84" s="164"/>
      <c r="V84" s="208" t="s">
        <v>147</v>
      </c>
      <c r="W84" s="208"/>
      <c r="X84" s="208"/>
      <c r="Y84" s="208"/>
      <c r="Z84" s="208"/>
      <c r="AA84" s="208"/>
      <c r="AB84" s="208"/>
      <c r="AC84" s="208"/>
      <c r="AD84" s="9"/>
    </row>
    <row r="85" spans="1:30" ht="18.75" customHeight="1" thickTop="1" x14ac:dyDescent="0.25">
      <c r="B85" s="13"/>
      <c r="C85" s="13"/>
      <c r="D85" s="13"/>
      <c r="E85" s="13"/>
      <c r="F85" s="13"/>
      <c r="G85" s="13"/>
      <c r="H85" s="13"/>
      <c r="I85" s="13"/>
      <c r="J85" s="13"/>
      <c r="M85" s="202"/>
      <c r="N85" s="203"/>
      <c r="O85" s="1"/>
      <c r="Q85" s="164"/>
      <c r="V85" s="208" t="s">
        <v>148</v>
      </c>
      <c r="W85" s="208"/>
      <c r="X85" s="208"/>
      <c r="Y85" s="208"/>
      <c r="Z85" s="208"/>
      <c r="AA85" s="208"/>
      <c r="AB85" s="208"/>
      <c r="AC85" s="208"/>
      <c r="AD85" s="206"/>
    </row>
    <row r="86" spans="1:30" ht="18.75" customHeight="1" x14ac:dyDescent="0.25">
      <c r="B86" s="2" t="s">
        <v>149</v>
      </c>
      <c r="C86" s="13"/>
      <c r="D86" s="13"/>
      <c r="E86" s="13"/>
      <c r="F86" s="13"/>
      <c r="G86" s="13"/>
      <c r="H86" s="13"/>
      <c r="I86" s="13"/>
      <c r="J86" s="209" t="s">
        <v>150</v>
      </c>
      <c r="K86" s="210">
        <f>IF(K84=1,L84,L82)</f>
        <v>3505757</v>
      </c>
      <c r="L86" s="211">
        <f>IF(G26=0,0,IF(G26&gt;250,-(((250/G26)*K86)*IF(M86="H",0.02,0.05)),IF(M86="H",-0.02*K86,-0.05*K86)))</f>
        <v>-84678.484473729972</v>
      </c>
      <c r="M86" s="212" t="str">
        <f>IF(B123="2801","H",IF(B123="2911","H",IF(B123="3382","H"," ")))</f>
        <v xml:space="preserve"> </v>
      </c>
      <c r="N86" s="203"/>
      <c r="O86" s="1"/>
      <c r="Q86" s="164"/>
      <c r="V86" s="208" t="s">
        <v>151</v>
      </c>
      <c r="W86" s="208"/>
      <c r="X86" s="208"/>
      <c r="Y86" s="208"/>
      <c r="Z86" s="208"/>
      <c r="AA86" s="208"/>
      <c r="AB86" s="208"/>
      <c r="AC86" s="208"/>
      <c r="AD86" s="206"/>
    </row>
    <row r="87" spans="1:30" ht="18.75" customHeight="1" x14ac:dyDescent="0.25">
      <c r="B87" s="2" t="s">
        <v>152</v>
      </c>
      <c r="C87" s="13"/>
      <c r="D87" s="13"/>
      <c r="E87" s="13"/>
      <c r="F87" s="13"/>
      <c r="G87" s="13"/>
      <c r="H87" s="13"/>
      <c r="I87" s="13"/>
      <c r="J87" s="13"/>
      <c r="K87" s="213"/>
      <c r="L87" s="205">
        <f>L82+L86</f>
        <v>3421078.51552627</v>
      </c>
      <c r="M87" s="202"/>
      <c r="N87" s="203"/>
      <c r="O87" s="1"/>
      <c r="Q87" s="164"/>
      <c r="V87" s="198"/>
      <c r="W87" s="198"/>
      <c r="X87" s="198"/>
      <c r="Y87" s="198"/>
      <c r="Z87" s="198"/>
      <c r="AA87" s="198"/>
      <c r="AB87" s="198"/>
      <c r="AC87" s="198"/>
      <c r="AD87" s="214"/>
    </row>
    <row r="88" spans="1:30" x14ac:dyDescent="0.25">
      <c r="V88" s="198"/>
      <c r="W88" s="198"/>
      <c r="X88" s="198"/>
      <c r="Y88" s="198"/>
      <c r="Z88" s="198"/>
      <c r="AA88" s="198"/>
      <c r="AB88" s="198"/>
      <c r="AC88" s="198"/>
      <c r="AD88" s="215"/>
    </row>
    <row r="89" spans="1:30" ht="18.75" customHeight="1" x14ac:dyDescent="0.25">
      <c r="A89" s="1" t="s">
        <v>153</v>
      </c>
      <c r="B89" s="13" t="s">
        <v>154</v>
      </c>
      <c r="C89" s="13"/>
      <c r="D89" s="13">
        <v>1706860</v>
      </c>
      <c r="E89" s="13">
        <v>289194</v>
      </c>
      <c r="F89" s="13">
        <v>2863636</v>
      </c>
      <c r="G89" s="13"/>
      <c r="H89" s="13"/>
      <c r="I89" s="13"/>
      <c r="J89" s="13"/>
      <c r="K89" s="213"/>
      <c r="L89" s="84">
        <v>-3423095.5889547998</v>
      </c>
      <c r="M89" s="202"/>
      <c r="N89" s="203"/>
      <c r="O89" s="1"/>
      <c r="Q89" s="164"/>
      <c r="V89" s="198">
        <v>2801</v>
      </c>
      <c r="W89" s="198"/>
      <c r="X89" s="198"/>
      <c r="Y89" s="198"/>
      <c r="Z89" s="198"/>
      <c r="AA89" s="198"/>
      <c r="AB89" s="198"/>
      <c r="AC89" s="198"/>
      <c r="AD89" s="214"/>
    </row>
    <row r="90" spans="1:30" ht="18.75" customHeight="1" x14ac:dyDescent="0.25">
      <c r="B90" s="13" t="s">
        <v>155</v>
      </c>
      <c r="C90" s="13"/>
      <c r="D90" s="13"/>
      <c r="E90" s="13"/>
      <c r="F90" s="13"/>
      <c r="G90" s="13"/>
      <c r="H90" s="13"/>
      <c r="I90" s="13"/>
      <c r="J90" s="13"/>
      <c r="K90" s="213"/>
      <c r="L90" s="205">
        <f>L87+L89</f>
        <v>-2017.0734285297804</v>
      </c>
      <c r="M90" s="202"/>
      <c r="N90" s="203"/>
      <c r="O90" s="1"/>
      <c r="Q90" s="164"/>
      <c r="V90" s="198">
        <v>2911</v>
      </c>
      <c r="W90" s="216"/>
      <c r="X90" s="216"/>
      <c r="Y90" s="216"/>
      <c r="Z90" s="216"/>
      <c r="AA90" s="216"/>
      <c r="AB90" s="216"/>
      <c r="AC90" s="216"/>
      <c r="AD90" s="214"/>
    </row>
    <row r="91" spans="1:30" ht="18.75" customHeight="1" x14ac:dyDescent="0.25">
      <c r="B91" s="13" t="s">
        <v>156</v>
      </c>
      <c r="C91" s="13"/>
      <c r="D91" s="13"/>
      <c r="E91" s="13"/>
      <c r="F91" s="13"/>
      <c r="G91" s="13"/>
      <c r="H91" s="13"/>
      <c r="I91" s="13"/>
      <c r="J91" s="13"/>
      <c r="K91" s="213"/>
      <c r="L91" s="205">
        <v>1</v>
      </c>
      <c r="M91" s="202"/>
      <c r="N91" s="203"/>
      <c r="O91" s="1"/>
      <c r="Q91" s="164"/>
      <c r="V91" s="198">
        <v>3382</v>
      </c>
      <c r="W91" s="216"/>
      <c r="X91" s="216"/>
      <c r="Y91" s="216"/>
      <c r="Z91" s="216"/>
      <c r="AA91" s="216"/>
      <c r="AB91" s="216"/>
      <c r="AC91" s="216"/>
      <c r="AD91" s="214"/>
    </row>
    <row r="92" spans="1:30" ht="18.75" customHeight="1" thickBot="1" x14ac:dyDescent="0.3">
      <c r="B92" s="13" t="s">
        <v>434</v>
      </c>
      <c r="C92" s="13"/>
      <c r="D92" s="13"/>
      <c r="E92" s="13"/>
      <c r="F92" s="13"/>
      <c r="G92" s="13"/>
      <c r="H92" s="13"/>
      <c r="I92" s="13"/>
      <c r="J92" s="13"/>
      <c r="K92" s="213"/>
      <c r="L92" s="217">
        <f>L90/L91</f>
        <v>-2017.0734285297804</v>
      </c>
      <c r="M92" s="202"/>
      <c r="N92" s="203"/>
      <c r="O92" s="1"/>
      <c r="Q92" s="164"/>
      <c r="V92" s="218"/>
      <c r="W92" s="218"/>
      <c r="X92" s="218"/>
      <c r="Y92" s="218"/>
      <c r="Z92" s="218"/>
      <c r="AA92" s="218"/>
      <c r="AB92" s="218"/>
      <c r="AC92" s="218"/>
      <c r="AD92" s="219"/>
    </row>
    <row r="93" spans="1:30" ht="18.75" customHeight="1" thickTop="1" x14ac:dyDescent="0.25">
      <c r="N93" s="219"/>
      <c r="O93" s="220"/>
      <c r="P93" s="219"/>
      <c r="Q93" s="219"/>
      <c r="V93" s="218"/>
      <c r="W93" s="218"/>
      <c r="X93" s="218"/>
      <c r="Y93" s="218"/>
      <c r="Z93" s="218"/>
      <c r="AA93" s="218"/>
      <c r="AB93" s="218"/>
      <c r="AC93" s="218"/>
      <c r="AD93" s="214"/>
    </row>
    <row r="94" spans="1:30" ht="18.75" customHeight="1" thickBot="1" x14ac:dyDescent="0.3">
      <c r="B94" s="221" t="s">
        <v>158</v>
      </c>
      <c r="C94" s="13"/>
      <c r="D94" s="13"/>
      <c r="E94" s="13"/>
      <c r="G94" s="13"/>
      <c r="H94" s="13"/>
      <c r="I94" s="13"/>
      <c r="J94" s="13"/>
      <c r="L94" s="222">
        <f>IF(M86="H",(K86*0.02)+L86,(K86*0.05)+L86)</f>
        <v>90609.365526270034</v>
      </c>
      <c r="M94" s="202"/>
      <c r="V94" s="223"/>
      <c r="W94" s="223"/>
      <c r="X94" s="223"/>
      <c r="Y94" s="223"/>
      <c r="Z94" s="223"/>
      <c r="AA94" s="223"/>
      <c r="AB94" s="223"/>
      <c r="AC94" s="223"/>
      <c r="AD94" s="214"/>
    </row>
    <row r="95" spans="1:30" ht="21.75" customHeight="1" thickTop="1" x14ac:dyDescent="0.25">
      <c r="B95" s="224" t="s">
        <v>159</v>
      </c>
      <c r="C95" s="224"/>
      <c r="D95" s="224"/>
      <c r="E95" s="224"/>
      <c r="F95" s="224"/>
      <c r="G95" s="224"/>
      <c r="H95" s="224"/>
      <c r="I95" s="224"/>
      <c r="J95" s="224"/>
      <c r="K95" s="224"/>
      <c r="L95" s="224"/>
      <c r="M95" s="219"/>
      <c r="V95" s="223"/>
      <c r="W95" s="223"/>
      <c r="X95" s="223"/>
      <c r="Y95" s="223"/>
      <c r="Z95" s="223"/>
      <c r="AA95" s="223"/>
      <c r="AB95" s="223"/>
      <c r="AC95" s="223"/>
      <c r="AD95" s="214"/>
    </row>
    <row r="96" spans="1:30" x14ac:dyDescent="0.25">
      <c r="B96" s="225"/>
      <c r="V96" s="223"/>
      <c r="W96" s="223"/>
      <c r="X96" s="223"/>
      <c r="Y96" s="223"/>
      <c r="Z96" s="223"/>
      <c r="AA96" s="223"/>
      <c r="AB96" s="223"/>
      <c r="AC96" s="223"/>
      <c r="AD96" s="219"/>
    </row>
    <row r="97" spans="2:30" x14ac:dyDescent="0.25">
      <c r="B97" s="225"/>
      <c r="V97" s="223"/>
      <c r="W97" s="223"/>
      <c r="X97" s="223"/>
      <c r="Y97" s="223"/>
      <c r="Z97" s="223"/>
      <c r="AA97" s="223"/>
      <c r="AB97" s="223"/>
      <c r="AC97" s="223"/>
      <c r="AD97" s="219"/>
    </row>
    <row r="98" spans="2:30" hidden="1" x14ac:dyDescent="0.25">
      <c r="B98" s="226" t="s">
        <v>160</v>
      </c>
      <c r="C98" s="227"/>
      <c r="V98" s="228"/>
      <c r="W98" s="228"/>
      <c r="X98" s="228"/>
      <c r="Y98" s="228"/>
      <c r="Z98" s="228"/>
      <c r="AA98" s="228"/>
      <c r="AB98" s="228"/>
      <c r="AC98" s="228"/>
    </row>
    <row r="99" spans="2:30" hidden="1" x14ac:dyDescent="0.25">
      <c r="B99" s="229"/>
      <c r="C99" s="227"/>
      <c r="V99" s="225"/>
      <c r="W99" s="13"/>
      <c r="X99" s="13"/>
      <c r="Y99" s="13"/>
      <c r="Z99" s="13"/>
      <c r="AA99" s="13"/>
      <c r="AB99" s="13"/>
      <c r="AC99" s="13"/>
    </row>
    <row r="100" spans="2:30" hidden="1" x14ac:dyDescent="0.25">
      <c r="B100" s="230" t="s">
        <v>161</v>
      </c>
      <c r="C100" s="226" t="s">
        <v>162</v>
      </c>
      <c r="V100" s="225"/>
    </row>
    <row r="101" spans="2:30" hidden="1" x14ac:dyDescent="0.25">
      <c r="B101" s="230" t="s">
        <v>163</v>
      </c>
      <c r="C101" s="226" t="s">
        <v>164</v>
      </c>
      <c r="V101" s="225"/>
    </row>
    <row r="102" spans="2:30" hidden="1" x14ac:dyDescent="0.25">
      <c r="B102" s="230" t="s">
        <v>165</v>
      </c>
      <c r="C102" s="226" t="s">
        <v>166</v>
      </c>
      <c r="V102" s="225"/>
      <c r="W102" s="231"/>
      <c r="X102" s="231"/>
      <c r="Y102" s="231"/>
      <c r="Z102" s="231"/>
      <c r="AA102" s="231"/>
      <c r="AB102" s="231"/>
      <c r="AC102" s="231"/>
      <c r="AD102" s="231"/>
    </row>
    <row r="103" spans="2:30" hidden="1" x14ac:dyDescent="0.25">
      <c r="B103" s="230" t="s">
        <v>167</v>
      </c>
      <c r="C103" s="226" t="s">
        <v>168</v>
      </c>
      <c r="V103" s="225"/>
    </row>
    <row r="104" spans="2:30" hidden="1" x14ac:dyDescent="0.25">
      <c r="B104" s="232"/>
      <c r="C104" s="226" t="s">
        <v>169</v>
      </c>
      <c r="V104" s="225"/>
    </row>
    <row r="105" spans="2:30" hidden="1" x14ac:dyDescent="0.25">
      <c r="B105" s="230" t="s">
        <v>170</v>
      </c>
      <c r="C105" s="226" t="s">
        <v>171</v>
      </c>
      <c r="V105" s="225"/>
    </row>
    <row r="106" spans="2:30" hidden="1" x14ac:dyDescent="0.25">
      <c r="B106" s="230" t="s">
        <v>172</v>
      </c>
      <c r="C106" s="226" t="s">
        <v>173</v>
      </c>
      <c r="V106" s="225"/>
    </row>
    <row r="107" spans="2:30" hidden="1" x14ac:dyDescent="0.25">
      <c r="B107" s="230" t="s">
        <v>283</v>
      </c>
      <c r="C107" s="226" t="s">
        <v>175</v>
      </c>
      <c r="V107" s="225"/>
    </row>
    <row r="108" spans="2:30" hidden="1" x14ac:dyDescent="0.25">
      <c r="B108" s="230" t="s">
        <v>176</v>
      </c>
      <c r="C108" s="226" t="s">
        <v>177</v>
      </c>
      <c r="V108" s="225"/>
    </row>
    <row r="109" spans="2:30" hidden="1" x14ac:dyDescent="0.25">
      <c r="B109" s="230" t="s">
        <v>178</v>
      </c>
      <c r="C109" s="226" t="s">
        <v>179</v>
      </c>
      <c r="V109" s="225"/>
    </row>
    <row r="110" spans="2:30" hidden="1" x14ac:dyDescent="0.25">
      <c r="B110" s="232"/>
      <c r="C110" s="226"/>
      <c r="V110" s="225"/>
    </row>
    <row r="111" spans="2:30" hidden="1" x14ac:dyDescent="0.25">
      <c r="B111" s="230" t="s">
        <v>180</v>
      </c>
      <c r="C111" s="226" t="s">
        <v>181</v>
      </c>
      <c r="V111" s="225"/>
    </row>
    <row r="112" spans="2:30" hidden="1" x14ac:dyDescent="0.25">
      <c r="B112" s="230" t="s">
        <v>180</v>
      </c>
      <c r="C112" s="226" t="s">
        <v>182</v>
      </c>
    </row>
    <row r="113" spans="2:3" hidden="1" x14ac:dyDescent="0.25">
      <c r="B113" s="230" t="s">
        <v>183</v>
      </c>
      <c r="C113" s="226" t="s">
        <v>184</v>
      </c>
    </row>
    <row r="114" spans="2:3" hidden="1" x14ac:dyDescent="0.25">
      <c r="B114" s="230" t="s">
        <v>185</v>
      </c>
      <c r="C114" s="226" t="s">
        <v>186</v>
      </c>
    </row>
    <row r="115" spans="2:3" hidden="1" x14ac:dyDescent="0.25">
      <c r="B115" s="230" t="s">
        <v>183</v>
      </c>
      <c r="C115" s="226" t="s">
        <v>187</v>
      </c>
    </row>
    <row r="116" spans="2:3" hidden="1" x14ac:dyDescent="0.25">
      <c r="B116" s="230" t="s">
        <v>188</v>
      </c>
      <c r="C116" s="226" t="s">
        <v>189</v>
      </c>
    </row>
    <row r="117" spans="2:3" hidden="1" x14ac:dyDescent="0.25">
      <c r="B117" s="230" t="s">
        <v>190</v>
      </c>
      <c r="C117" s="226" t="s">
        <v>191</v>
      </c>
    </row>
    <row r="118" spans="2:3" hidden="1" x14ac:dyDescent="0.25">
      <c r="B118" s="232" t="s">
        <v>192</v>
      </c>
      <c r="C118" s="226" t="s">
        <v>193</v>
      </c>
    </row>
    <row r="119" spans="2:3" hidden="1" x14ac:dyDescent="0.25">
      <c r="B119" s="232"/>
      <c r="C119" s="226"/>
    </row>
    <row r="120" spans="2:3" hidden="1" x14ac:dyDescent="0.25">
      <c r="B120" s="230" t="s">
        <v>161</v>
      </c>
      <c r="C120" s="226" t="s">
        <v>194</v>
      </c>
    </row>
    <row r="121" spans="2:3" hidden="1" x14ac:dyDescent="0.25">
      <c r="B121" s="230" t="s">
        <v>195</v>
      </c>
      <c r="C121" s="226" t="s">
        <v>196</v>
      </c>
    </row>
    <row r="122" spans="2:3" hidden="1" x14ac:dyDescent="0.25">
      <c r="B122" s="230" t="s">
        <v>197</v>
      </c>
      <c r="C122" s="226" t="s">
        <v>198</v>
      </c>
    </row>
    <row r="123" spans="2:3" hidden="1" x14ac:dyDescent="0.25">
      <c r="B123" s="230" t="s">
        <v>284</v>
      </c>
      <c r="C123" s="226" t="s">
        <v>200</v>
      </c>
    </row>
    <row r="124" spans="2:3" hidden="1" x14ac:dyDescent="0.25">
      <c r="B124" s="230" t="s">
        <v>285</v>
      </c>
      <c r="C124" s="226" t="s">
        <v>202</v>
      </c>
    </row>
    <row r="125" spans="2:3" hidden="1" x14ac:dyDescent="0.25">
      <c r="B125" s="230" t="s">
        <v>203</v>
      </c>
      <c r="C125" s="226" t="s">
        <v>204</v>
      </c>
    </row>
    <row r="126" spans="2:3" hidden="1" x14ac:dyDescent="0.25">
      <c r="B126" s="230" t="s">
        <v>203</v>
      </c>
      <c r="C126" s="226" t="s">
        <v>205</v>
      </c>
    </row>
    <row r="127" spans="2:3" hidden="1" x14ac:dyDescent="0.25">
      <c r="B127" s="230" t="s">
        <v>203</v>
      </c>
      <c r="C127" s="226" t="s">
        <v>206</v>
      </c>
    </row>
    <row r="128" spans="2:3" hidden="1" x14ac:dyDescent="0.25">
      <c r="B128" s="230" t="s">
        <v>203</v>
      </c>
      <c r="C128" s="226" t="s">
        <v>207</v>
      </c>
    </row>
    <row r="129" spans="2:3" hidden="1" x14ac:dyDescent="0.25">
      <c r="B129" s="230" t="s">
        <v>167</v>
      </c>
      <c r="C129" s="226" t="s">
        <v>208</v>
      </c>
    </row>
    <row r="130" spans="2:3" hidden="1" x14ac:dyDescent="0.25">
      <c r="B130" s="230" t="s">
        <v>209</v>
      </c>
      <c r="C130" s="226" t="s">
        <v>210</v>
      </c>
    </row>
    <row r="131" spans="2:3" hidden="1" x14ac:dyDescent="0.25">
      <c r="B131" s="230" t="s">
        <v>203</v>
      </c>
      <c r="C131" s="226" t="s">
        <v>211</v>
      </c>
    </row>
    <row r="132" spans="2:3" hidden="1" x14ac:dyDescent="0.25">
      <c r="B132" s="226"/>
      <c r="C132" s="226"/>
    </row>
    <row r="133" spans="2:3" hidden="1" x14ac:dyDescent="0.25">
      <c r="B133" s="226"/>
      <c r="C133" s="226"/>
    </row>
    <row r="134" spans="2:3" hidden="1" x14ac:dyDescent="0.25">
      <c r="B134" s="232"/>
      <c r="C134" s="232"/>
    </row>
    <row r="135" spans="2:3" hidden="1" x14ac:dyDescent="0.25">
      <c r="B135" s="232">
        <f>NvsElapsedTime</f>
        <v>1.15740767796524E-5</v>
      </c>
      <c r="C135" s="232"/>
    </row>
    <row r="136" spans="2:3" hidden="1" x14ac:dyDescent="0.25">
      <c r="B136" s="233">
        <f>NvsEndTime</f>
        <v>41754.487951388903</v>
      </c>
      <c r="C136" s="233" t="s">
        <v>212</v>
      </c>
    </row>
    <row r="137" spans="2:3" x14ac:dyDescent="0.25">
      <c r="B137" s="226"/>
      <c r="C137" s="234"/>
    </row>
    <row r="138" spans="2:3" x14ac:dyDescent="0.25">
      <c r="B138" s="226"/>
      <c r="C138" s="226"/>
    </row>
    <row r="139" spans="2:3" x14ac:dyDescent="0.25">
      <c r="B139" s="226"/>
      <c r="C139" s="226"/>
    </row>
    <row r="140" spans="2:3" x14ac:dyDescent="0.25">
      <c r="B140" s="226"/>
      <c r="C140" s="226"/>
    </row>
    <row r="141" spans="2:3" x14ac:dyDescent="0.25">
      <c r="B141" s="226"/>
      <c r="C141" s="226"/>
    </row>
    <row r="142" spans="2:3" x14ac:dyDescent="0.25">
      <c r="B142" s="226"/>
      <c r="C142" s="226"/>
    </row>
    <row r="143" spans="2:3" x14ac:dyDescent="0.25">
      <c r="B143" s="226"/>
      <c r="C143" s="226"/>
    </row>
    <row r="144" spans="2:3" x14ac:dyDescent="0.25">
      <c r="B144" s="226"/>
      <c r="C144" s="226"/>
    </row>
    <row r="145" spans="2:3" x14ac:dyDescent="0.25">
      <c r="B145" s="226"/>
      <c r="C145" s="226"/>
    </row>
    <row r="146" spans="2:3" x14ac:dyDescent="0.25">
      <c r="B146" s="226"/>
      <c r="C146" s="226"/>
    </row>
    <row r="147" spans="2:3" x14ac:dyDescent="0.25">
      <c r="B147" s="226"/>
      <c r="C147" s="226"/>
    </row>
    <row r="148" spans="2:3" x14ac:dyDescent="0.25">
      <c r="B148" s="226"/>
      <c r="C148" s="226"/>
    </row>
    <row r="149" spans="2:3" x14ac:dyDescent="0.25">
      <c r="B149" s="226"/>
      <c r="C149" s="226"/>
    </row>
    <row r="150" spans="2:3" x14ac:dyDescent="0.25">
      <c r="B150" s="226"/>
      <c r="C150" s="226"/>
    </row>
    <row r="151" spans="2:3" x14ac:dyDescent="0.25">
      <c r="B151" s="226"/>
      <c r="C151" s="226"/>
    </row>
  </sheetData>
  <mergeCells count="151">
    <mergeCell ref="B80:D80"/>
    <mergeCell ref="V76:X76"/>
    <mergeCell ref="Y76:Z76"/>
    <mergeCell ref="V77:X77"/>
    <mergeCell ref="Y77:Z77"/>
    <mergeCell ref="B78:D78"/>
    <mergeCell ref="V78:X78"/>
    <mergeCell ref="V70:X70"/>
    <mergeCell ref="Y70:Z70"/>
    <mergeCell ref="V71:X71"/>
    <mergeCell ref="Y71:Z71"/>
    <mergeCell ref="V72:AB72"/>
    <mergeCell ref="V73:AC73"/>
    <mergeCell ref="V74:W74"/>
    <mergeCell ref="V75:W75"/>
    <mergeCell ref="B79:D79"/>
    <mergeCell ref="V79:X79"/>
    <mergeCell ref="V65:W65"/>
    <mergeCell ref="X65:AC65"/>
    <mergeCell ref="V66:X66"/>
    <mergeCell ref="Y66:Z66"/>
    <mergeCell ref="V67:AC67"/>
    <mergeCell ref="V68:X68"/>
    <mergeCell ref="Y68:Z68"/>
    <mergeCell ref="V69:X69"/>
    <mergeCell ref="Y69:Z69"/>
    <mergeCell ref="V60:W60"/>
    <mergeCell ref="X60:AC60"/>
    <mergeCell ref="V61:W61"/>
    <mergeCell ref="X61:AC61"/>
    <mergeCell ref="V62:W62"/>
    <mergeCell ref="X62:AC62"/>
    <mergeCell ref="V63:AC63"/>
    <mergeCell ref="V64:W64"/>
    <mergeCell ref="X64:AC64"/>
    <mergeCell ref="V55:AC55"/>
    <mergeCell ref="V56:W56"/>
    <mergeCell ref="Y56:Z56"/>
    <mergeCell ref="AA56:AC56"/>
    <mergeCell ref="V57:AA57"/>
    <mergeCell ref="AB57:AC57"/>
    <mergeCell ref="V58:X58"/>
    <mergeCell ref="Y58:Z58"/>
    <mergeCell ref="V59:AC59"/>
    <mergeCell ref="X49:Y49"/>
    <mergeCell ref="X50:AB50"/>
    <mergeCell ref="V51:AC51"/>
    <mergeCell ref="V52:AC52"/>
    <mergeCell ref="V53:W53"/>
    <mergeCell ref="Y53:Z53"/>
    <mergeCell ref="AA53:AC53"/>
    <mergeCell ref="V54:AA54"/>
    <mergeCell ref="AB54:AC54"/>
    <mergeCell ref="V41:AC41"/>
    <mergeCell ref="V42:AC42"/>
    <mergeCell ref="V43:AC43"/>
    <mergeCell ref="V44:AB44"/>
    <mergeCell ref="V45:AC45"/>
    <mergeCell ref="X46:Y46"/>
    <mergeCell ref="Z46:AC46"/>
    <mergeCell ref="X47:Y47"/>
    <mergeCell ref="X48:Y48"/>
    <mergeCell ref="V37:W37"/>
    <mergeCell ref="X37:Y37"/>
    <mergeCell ref="Z37:AB37"/>
    <mergeCell ref="V38:AC38"/>
    <mergeCell ref="V39:W39"/>
    <mergeCell ref="X39:Y39"/>
    <mergeCell ref="Z39:AC39"/>
    <mergeCell ref="V40:W40"/>
    <mergeCell ref="X40:AA40"/>
    <mergeCell ref="V26:W26"/>
    <mergeCell ref="X26:Y26"/>
    <mergeCell ref="Z26:AA26"/>
    <mergeCell ref="V27:W27"/>
    <mergeCell ref="X27:Y27"/>
    <mergeCell ref="B28:C36"/>
    <mergeCell ref="V28:W36"/>
    <mergeCell ref="X28:Y28"/>
    <mergeCell ref="X29:Y29"/>
    <mergeCell ref="X30:Y30"/>
    <mergeCell ref="X31:Y31"/>
    <mergeCell ref="X32:Y32"/>
    <mergeCell ref="X33:Y33"/>
    <mergeCell ref="X34:Y34"/>
    <mergeCell ref="X35:Y35"/>
    <mergeCell ref="X36:Y36"/>
    <mergeCell ref="V23:W23"/>
    <mergeCell ref="X23:Y23"/>
    <mergeCell ref="Z23:AA23"/>
    <mergeCell ref="V24:W24"/>
    <mergeCell ref="X24:Y24"/>
    <mergeCell ref="Z24:AA24"/>
    <mergeCell ref="V25:W25"/>
    <mergeCell ref="X25:Y25"/>
    <mergeCell ref="Z25:AA25"/>
    <mergeCell ref="V20:W20"/>
    <mergeCell ref="X20:Y20"/>
    <mergeCell ref="Z20:AA20"/>
    <mergeCell ref="V21:W21"/>
    <mergeCell ref="X21:Y21"/>
    <mergeCell ref="Z21:AA21"/>
    <mergeCell ref="V22:W22"/>
    <mergeCell ref="X22:Y22"/>
    <mergeCell ref="Z22:AA22"/>
    <mergeCell ref="V17:W17"/>
    <mergeCell ref="X17:Y17"/>
    <mergeCell ref="Z17:AA17"/>
    <mergeCell ref="V18:W18"/>
    <mergeCell ref="X18:Y18"/>
    <mergeCell ref="Z18:AA18"/>
    <mergeCell ref="V19:W19"/>
    <mergeCell ref="X19:Y19"/>
    <mergeCell ref="Z19:AA19"/>
    <mergeCell ref="V14:W14"/>
    <mergeCell ref="X14:Y14"/>
    <mergeCell ref="Z14:AA14"/>
    <mergeCell ref="V15:W15"/>
    <mergeCell ref="X15:Y15"/>
    <mergeCell ref="Z15:AA15"/>
    <mergeCell ref="V16:W16"/>
    <mergeCell ref="X16:Y16"/>
    <mergeCell ref="Z16:AA16"/>
    <mergeCell ref="V11:W11"/>
    <mergeCell ref="X11:Y11"/>
    <mergeCell ref="Z11:AA11"/>
    <mergeCell ref="V12:W12"/>
    <mergeCell ref="X12:Y12"/>
    <mergeCell ref="Z12:AA12"/>
    <mergeCell ref="V13:W13"/>
    <mergeCell ref="X13:Y13"/>
    <mergeCell ref="Z13:AA13"/>
    <mergeCell ref="V8:W8"/>
    <mergeCell ref="X8:Y8"/>
    <mergeCell ref="Z8:AA8"/>
    <mergeCell ref="V9:W9"/>
    <mergeCell ref="X9:Y9"/>
    <mergeCell ref="Z9:AA9"/>
    <mergeCell ref="V10:W10"/>
    <mergeCell ref="X10:Y10"/>
    <mergeCell ref="Z10:AA10"/>
    <mergeCell ref="W2:AC2"/>
    <mergeCell ref="V3:AC3"/>
    <mergeCell ref="V4:AC4"/>
    <mergeCell ref="V5:W5"/>
    <mergeCell ref="X5:Y5"/>
    <mergeCell ref="V6:AC6"/>
    <mergeCell ref="V7:W7"/>
    <mergeCell ref="X7:Y7"/>
    <mergeCell ref="Z7:AA7"/>
    <mergeCell ref="AB7:AC7"/>
  </mergeCells>
  <printOptions horizontalCentered="1"/>
  <pageMargins left="0" right="0" top="0.67" bottom="0.2" header="0.25" footer="0.196850393700787"/>
  <pageSetup scale="63" fitToWidth="2" fitToHeight="2" orientation="portrait" horizontalDpi="4294967295" verticalDpi="4294967295" r:id="rId1"/>
  <headerFooter alignWithMargins="0">
    <oddHeader>&amp;L&amp;8&amp;F
&amp;D &amp;T</oddHeader>
    <oddFooter>&amp;C&amp;P</oddFooter>
  </headerFooter>
  <rowBreaks count="1" manualBreakCount="1">
    <brk id="51" max="16383"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dimension ref="A1:AD151"/>
  <sheetViews>
    <sheetView topLeftCell="B56" zoomScale="70" zoomScaleNormal="70" workbookViewId="0">
      <selection activeCell="B2" sqref="B2"/>
    </sheetView>
  </sheetViews>
  <sheetFormatPr defaultColWidth="8.85546875" defaultRowHeight="15.75" x14ac:dyDescent="0.25"/>
  <cols>
    <col min="1" max="1" width="11.28515625" style="1" hidden="1" customWidth="1"/>
    <col min="2" max="2" width="10.28515625" style="2" customWidth="1"/>
    <col min="3" max="3" width="29" style="1" customWidth="1"/>
    <col min="4" max="5" width="12.28515625" style="1" customWidth="1"/>
    <col min="6" max="6" width="12.28515625" style="1" hidden="1" customWidth="1"/>
    <col min="7" max="7" width="15.28515625" style="1" customWidth="1"/>
    <col min="8" max="8" width="6.7109375" style="1" customWidth="1"/>
    <col min="9" max="9" width="12.5703125" style="1" customWidth="1"/>
    <col min="10" max="10" width="12.85546875" style="1" customWidth="1"/>
    <col min="11" max="11" width="13" style="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28515625" style="1" customWidth="1"/>
    <col min="18" max="18" width="8.85546875" style="1"/>
    <col min="19" max="21" width="0" style="1" hidden="1" customWidth="1"/>
    <col min="22" max="23" width="8.85546875" style="1"/>
    <col min="24" max="24" width="12.7109375" style="1" customWidth="1"/>
    <col min="25" max="27" width="8.85546875" style="1"/>
    <col min="28" max="28" width="13.140625" style="1" bestFit="1" customWidth="1"/>
    <col min="29" max="16384" width="8.85546875" style="1"/>
  </cols>
  <sheetData>
    <row r="1" spans="1:30" ht="15.6"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7"/>
      <c r="N2" s="3"/>
      <c r="O2" s="1"/>
      <c r="V2" s="8">
        <f>'3396'!B2</f>
        <v>50</v>
      </c>
      <c r="W2" s="606" t="s">
        <v>4</v>
      </c>
      <c r="X2" s="607"/>
      <c r="Y2" s="608"/>
      <c r="Z2" s="608"/>
      <c r="AA2" s="608"/>
      <c r="AB2" s="608"/>
      <c r="AC2" s="608"/>
      <c r="AD2" s="9"/>
    </row>
    <row r="3" spans="1:30" ht="20.25" x14ac:dyDescent="0.3">
      <c r="B3" s="10" t="str">
        <f>"Revenue Estimate Worksheet for "&amp;B124</f>
        <v>Revenue Estimate Worksheet for G Hauptner G-Star Charter</v>
      </c>
      <c r="C3" s="11"/>
      <c r="D3" s="11"/>
      <c r="E3" s="11"/>
      <c r="F3" s="11"/>
      <c r="G3" s="11"/>
      <c r="H3" s="11"/>
      <c r="I3" s="11"/>
      <c r="J3" s="11"/>
      <c r="K3" s="11"/>
      <c r="L3" s="11"/>
      <c r="M3" s="10"/>
      <c r="N3" s="10"/>
      <c r="O3" s="10"/>
      <c r="P3" s="10"/>
      <c r="Q3" s="10"/>
      <c r="V3" s="609" t="s">
        <v>5</v>
      </c>
      <c r="W3" s="609"/>
      <c r="X3" s="609"/>
      <c r="Y3" s="609"/>
      <c r="Z3" s="609"/>
      <c r="AA3" s="609"/>
      <c r="AB3" s="609"/>
      <c r="AC3" s="609"/>
      <c r="AD3" s="12"/>
    </row>
    <row r="4" spans="1:30" ht="18.75" x14ac:dyDescent="0.3">
      <c r="B4" s="2" t="s">
        <v>6</v>
      </c>
      <c r="C4" s="13"/>
      <c r="D4" s="13"/>
      <c r="E4" s="13"/>
      <c r="F4" s="13"/>
      <c r="G4" s="13"/>
      <c r="H4" s="13"/>
      <c r="I4" s="13"/>
      <c r="J4" s="13"/>
      <c r="K4" s="13"/>
      <c r="L4" s="13"/>
      <c r="M4" s="14"/>
      <c r="N4" s="14"/>
      <c r="O4" s="14"/>
      <c r="P4" s="14"/>
      <c r="Q4" s="14"/>
      <c r="V4" s="610" t="str">
        <f>+Based_on_the_Second_Calculation_of_the_FEFP_2010_11</f>
        <v>Based on the Fourth Calculation of the FEFP 2013-14</v>
      </c>
      <c r="W4" s="610"/>
      <c r="X4" s="610"/>
      <c r="Y4" s="610"/>
      <c r="Z4" s="610"/>
      <c r="AA4" s="610"/>
      <c r="AB4" s="610"/>
      <c r="AC4" s="610"/>
      <c r="AD4" s="15"/>
    </row>
    <row r="5" spans="1:30" ht="18.75" customHeight="1" x14ac:dyDescent="0.25">
      <c r="B5" s="16" t="s">
        <v>7</v>
      </c>
      <c r="C5" s="16"/>
      <c r="D5" s="16"/>
      <c r="E5" s="16"/>
      <c r="F5" s="16"/>
      <c r="G5" s="17" t="s">
        <v>8</v>
      </c>
      <c r="H5" s="17"/>
      <c r="I5" s="17"/>
      <c r="J5" s="17"/>
      <c r="K5" s="17"/>
      <c r="L5" s="17"/>
      <c r="M5" s="18"/>
      <c r="N5" s="18"/>
      <c r="O5" s="18"/>
      <c r="P5" s="18"/>
      <c r="Q5" s="18"/>
      <c r="V5" s="611" t="s">
        <v>7</v>
      </c>
      <c r="W5" s="611"/>
      <c r="X5" s="612" t="s">
        <v>8</v>
      </c>
      <c r="Y5" s="612"/>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613" t="s">
        <v>9</v>
      </c>
      <c r="W6" s="613"/>
      <c r="X6" s="613"/>
      <c r="Y6" s="613"/>
      <c r="Z6" s="613"/>
      <c r="AA6" s="613"/>
      <c r="AB6" s="613"/>
      <c r="AC6" s="613"/>
      <c r="AD6" s="22"/>
    </row>
    <row r="7" spans="1:30" ht="18" customHeight="1" x14ac:dyDescent="0.25">
      <c r="B7" s="23" t="s">
        <v>10</v>
      </c>
      <c r="C7" s="23"/>
      <c r="D7" s="23"/>
      <c r="E7" s="23"/>
      <c r="F7" s="23"/>
      <c r="G7" s="24">
        <v>3752.3</v>
      </c>
      <c r="H7" s="24"/>
      <c r="I7" s="23" t="s">
        <v>11</v>
      </c>
      <c r="J7" s="23"/>
      <c r="K7" s="25">
        <v>1.0326</v>
      </c>
      <c r="L7" s="25"/>
      <c r="O7" s="1"/>
      <c r="V7" s="620" t="s">
        <v>10</v>
      </c>
      <c r="W7" s="620"/>
      <c r="X7" s="621">
        <f>'3396'!G7</f>
        <v>3752.3</v>
      </c>
      <c r="Y7" s="621"/>
      <c r="Z7" s="622" t="s">
        <v>11</v>
      </c>
      <c r="AA7" s="622"/>
      <c r="AB7" s="602">
        <f>+K7</f>
        <v>1.0326</v>
      </c>
      <c r="AC7" s="602"/>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603" t="s">
        <v>12</v>
      </c>
      <c r="W8" s="603"/>
      <c r="X8" s="604" t="s">
        <v>15</v>
      </c>
      <c r="Y8" s="604"/>
      <c r="Z8" s="605" t="s">
        <v>16</v>
      </c>
      <c r="AA8" s="605"/>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614" t="s">
        <v>22</v>
      </c>
      <c r="W9" s="614"/>
      <c r="X9" s="615" t="s">
        <v>23</v>
      </c>
      <c r="Y9" s="615"/>
      <c r="Z9" s="616" t="s">
        <v>24</v>
      </c>
      <c r="AA9" s="616"/>
      <c r="AB9" s="43" t="s">
        <v>25</v>
      </c>
      <c r="AC9" s="44" t="s">
        <v>26</v>
      </c>
      <c r="AD9" s="9"/>
    </row>
    <row r="10" spans="1:30" x14ac:dyDescent="0.25">
      <c r="A10" s="1" t="s">
        <v>27</v>
      </c>
      <c r="B10" s="45" t="s">
        <v>28</v>
      </c>
      <c r="C10" s="45"/>
      <c r="D10" s="45">
        <v>0</v>
      </c>
      <c r="E10" s="45">
        <v>0</v>
      </c>
      <c r="F10" s="45">
        <v>0</v>
      </c>
      <c r="G10" s="46">
        <f>D10+E10</f>
        <v>0</v>
      </c>
      <c r="H10" s="47"/>
      <c r="I10" s="48">
        <v>1.125</v>
      </c>
      <c r="J10" s="48"/>
      <c r="K10" s="49">
        <f>ROUND(G10*I10,4)</f>
        <v>0</v>
      </c>
      <c r="L10" s="50">
        <f>ROUND(ROUND(K10*$G$7,4)*($K$7),0)</f>
        <v>0</v>
      </c>
      <c r="N10" s="51">
        <v>5101</v>
      </c>
      <c r="O10" s="52">
        <v>101</v>
      </c>
      <c r="P10" s="53"/>
      <c r="Q10" s="54"/>
      <c r="V10" s="617" t="s">
        <v>28</v>
      </c>
      <c r="W10" s="617"/>
      <c r="X10" s="618">
        <f>IF('3396'!K$84=1,'3396'!G10,0)</f>
        <v>0</v>
      </c>
      <c r="Y10" s="618"/>
      <c r="Z10" s="619">
        <v>1</v>
      </c>
      <c r="AA10" s="619"/>
      <c r="AB10" s="55">
        <f t="shared" ref="AB10:AB25" si="0">ROUND(X10*Z10,4)</f>
        <v>0</v>
      </c>
      <c r="AC10" s="56">
        <f t="shared" ref="AC10:AC25" si="1">ROUND(ROUND(AB10*$X$7,4)*($AB$7),0)</f>
        <v>0</v>
      </c>
      <c r="AD10" s="9">
        <v>1</v>
      </c>
    </row>
    <row r="11" spans="1:30" x14ac:dyDescent="0.25">
      <c r="A11" s="1" t="s">
        <v>29</v>
      </c>
      <c r="B11" s="13" t="s">
        <v>30</v>
      </c>
      <c r="C11" s="13"/>
      <c r="D11" s="13">
        <v>0</v>
      </c>
      <c r="E11" s="13">
        <v>0</v>
      </c>
      <c r="F11" s="13">
        <v>0</v>
      </c>
      <c r="G11" s="46">
        <f t="shared" ref="G11:G25" si="2">D11+E11</f>
        <v>0</v>
      </c>
      <c r="H11" s="47"/>
      <c r="I11" s="57">
        <f>I10</f>
        <v>1.125</v>
      </c>
      <c r="J11" s="57"/>
      <c r="K11" s="49">
        <f t="shared" ref="K11:K25" si="3">ROUND(G11*I11,4)</f>
        <v>0</v>
      </c>
      <c r="L11" s="50">
        <f t="shared" ref="L11:L25" si="4">ROUND(ROUND(K11*$G$7,4)*($K$7),0)</f>
        <v>0</v>
      </c>
      <c r="M11" s="1" t="str">
        <f>IF(ROUND(G11,2)=ROUND(SUM(G28:G30),2)," ","CHECK 2. PK-3 Lines Below")</f>
        <v xml:space="preserve"> </v>
      </c>
      <c r="N11" s="51">
        <v>5101</v>
      </c>
      <c r="O11" s="58" t="s">
        <v>31</v>
      </c>
      <c r="P11" s="53"/>
      <c r="Q11" s="54"/>
      <c r="V11" s="623" t="s">
        <v>30</v>
      </c>
      <c r="W11" s="623"/>
      <c r="X11" s="618">
        <f>IF('3396'!K$84=1,'3396'!G11,0)</f>
        <v>0</v>
      </c>
      <c r="Y11" s="618"/>
      <c r="Z11" s="624">
        <v>1</v>
      </c>
      <c r="AA11" s="624"/>
      <c r="AB11" s="55">
        <f t="shared" si="0"/>
        <v>0</v>
      </c>
      <c r="AC11" s="56">
        <f t="shared" si="1"/>
        <v>0</v>
      </c>
      <c r="AD11" s="9"/>
    </row>
    <row r="12" spans="1:30" x14ac:dyDescent="0.25">
      <c r="A12" s="1" t="s">
        <v>32</v>
      </c>
      <c r="B12" s="13" t="s">
        <v>33</v>
      </c>
      <c r="C12" s="13"/>
      <c r="D12" s="13">
        <v>0</v>
      </c>
      <c r="E12" s="13">
        <v>0</v>
      </c>
      <c r="F12" s="13">
        <v>0</v>
      </c>
      <c r="G12" s="46">
        <f t="shared" si="2"/>
        <v>0</v>
      </c>
      <c r="H12" s="47"/>
      <c r="I12" s="57">
        <v>1</v>
      </c>
      <c r="J12" s="57"/>
      <c r="K12" s="49">
        <f t="shared" si="3"/>
        <v>0</v>
      </c>
      <c r="L12" s="50">
        <f t="shared" si="4"/>
        <v>0</v>
      </c>
      <c r="N12" s="51">
        <v>5102</v>
      </c>
      <c r="O12" s="52">
        <v>102</v>
      </c>
      <c r="P12" s="53"/>
      <c r="Q12" s="54"/>
      <c r="V12" s="623" t="s">
        <v>33</v>
      </c>
      <c r="W12" s="623"/>
      <c r="X12" s="618">
        <f>IF('3396'!K$84=1,'3396'!G12,0)</f>
        <v>0</v>
      </c>
      <c r="Y12" s="618"/>
      <c r="Z12" s="624">
        <v>1</v>
      </c>
      <c r="AA12" s="624"/>
      <c r="AB12" s="55">
        <f t="shared" si="0"/>
        <v>0</v>
      </c>
      <c r="AC12" s="56">
        <f t="shared" si="1"/>
        <v>0</v>
      </c>
      <c r="AD12" s="9"/>
    </row>
    <row r="13" spans="1:30" x14ac:dyDescent="0.25">
      <c r="A13" s="1" t="s">
        <v>34</v>
      </c>
      <c r="B13" s="13" t="s">
        <v>35</v>
      </c>
      <c r="C13" s="13"/>
      <c r="D13" s="13">
        <v>0</v>
      </c>
      <c r="E13" s="13">
        <v>0</v>
      </c>
      <c r="F13" s="13">
        <v>0</v>
      </c>
      <c r="G13" s="46">
        <f t="shared" si="2"/>
        <v>0</v>
      </c>
      <c r="H13" s="47"/>
      <c r="I13" s="57">
        <f>I12</f>
        <v>1</v>
      </c>
      <c r="J13" s="57"/>
      <c r="K13" s="49">
        <f t="shared" si="3"/>
        <v>0</v>
      </c>
      <c r="L13" s="50">
        <f t="shared" si="4"/>
        <v>0</v>
      </c>
      <c r="M13" s="1" t="str">
        <f>IF(ROUND(G13,2)=ROUND(SUM(G31:G33),2)," ","CHECK 2. PK-3 Lines Below")</f>
        <v xml:space="preserve"> </v>
      </c>
      <c r="N13" s="51">
        <v>5102</v>
      </c>
      <c r="O13" s="58" t="s">
        <v>36</v>
      </c>
      <c r="P13" s="53"/>
      <c r="Q13" s="54"/>
      <c r="V13" s="623" t="s">
        <v>35</v>
      </c>
      <c r="W13" s="623"/>
      <c r="X13" s="618">
        <f>IF('3396'!K$84=1,'3396'!G13,0)</f>
        <v>0</v>
      </c>
      <c r="Y13" s="618"/>
      <c r="Z13" s="624">
        <v>1</v>
      </c>
      <c r="AA13" s="624"/>
      <c r="AB13" s="55">
        <f t="shared" si="0"/>
        <v>0</v>
      </c>
      <c r="AC13" s="56">
        <f t="shared" si="1"/>
        <v>0</v>
      </c>
      <c r="AD13" s="9"/>
    </row>
    <row r="14" spans="1:30" x14ac:dyDescent="0.25">
      <c r="A14" s="1" t="s">
        <v>37</v>
      </c>
      <c r="B14" s="13" t="s">
        <v>38</v>
      </c>
      <c r="C14" s="13"/>
      <c r="D14" s="13">
        <v>438.4</v>
      </c>
      <c r="E14" s="13">
        <v>436.01</v>
      </c>
      <c r="F14" s="13">
        <v>499.06</v>
      </c>
      <c r="G14" s="46">
        <f t="shared" si="2"/>
        <v>874.41</v>
      </c>
      <c r="H14" s="47"/>
      <c r="I14" s="57">
        <v>1.0109999999999999</v>
      </c>
      <c r="J14" s="57"/>
      <c r="K14" s="49">
        <f t="shared" si="3"/>
        <v>884.02850000000001</v>
      </c>
      <c r="L14" s="50">
        <f t="shared" si="4"/>
        <v>3425279</v>
      </c>
      <c r="N14" s="51">
        <v>5103</v>
      </c>
      <c r="O14" s="52">
        <v>103</v>
      </c>
      <c r="P14" s="53"/>
      <c r="Q14" s="54"/>
      <c r="V14" s="623" t="s">
        <v>38</v>
      </c>
      <c r="W14" s="623"/>
      <c r="X14" s="618">
        <f>IF('3396'!K$84=1,'3396'!G14,0)</f>
        <v>0</v>
      </c>
      <c r="Y14" s="618"/>
      <c r="Z14" s="624">
        <v>1</v>
      </c>
      <c r="AA14" s="624"/>
      <c r="AB14" s="55">
        <f t="shared" si="0"/>
        <v>0</v>
      </c>
      <c r="AC14" s="56">
        <f t="shared" si="1"/>
        <v>0</v>
      </c>
      <c r="AD14" s="9"/>
    </row>
    <row r="15" spans="1:30" x14ac:dyDescent="0.25">
      <c r="A15" s="1" t="s">
        <v>39</v>
      </c>
      <c r="B15" s="13" t="s">
        <v>40</v>
      </c>
      <c r="C15" s="13"/>
      <c r="D15" s="13">
        <v>40.74</v>
      </c>
      <c r="E15" s="13">
        <v>39.94</v>
      </c>
      <c r="F15" s="13">
        <v>47.54</v>
      </c>
      <c r="G15" s="46">
        <f t="shared" si="2"/>
        <v>80.680000000000007</v>
      </c>
      <c r="H15" s="47"/>
      <c r="I15" s="57">
        <f>I14</f>
        <v>1.0109999999999999</v>
      </c>
      <c r="J15" s="57"/>
      <c r="K15" s="49">
        <f t="shared" si="3"/>
        <v>81.567499999999995</v>
      </c>
      <c r="L15" s="59">
        <f t="shared" si="4"/>
        <v>316043</v>
      </c>
      <c r="M15" s="1" t="str">
        <f>IF(ROUND(G15,2)=ROUND(SUM(G34:G36),2)," ","CHECK 2. PK-3 Lines Below")</f>
        <v xml:space="preserve"> </v>
      </c>
      <c r="N15" s="51">
        <v>5103</v>
      </c>
      <c r="O15" s="58" t="s">
        <v>41</v>
      </c>
      <c r="P15" s="53"/>
      <c r="Q15" s="54"/>
      <c r="V15" s="623" t="s">
        <v>40</v>
      </c>
      <c r="W15" s="623"/>
      <c r="X15" s="618">
        <f>IF('3396'!K$84=1,'3396'!G15,0)</f>
        <v>0</v>
      </c>
      <c r="Y15" s="618"/>
      <c r="Z15" s="624">
        <v>1</v>
      </c>
      <c r="AA15" s="624"/>
      <c r="AB15" s="55">
        <f t="shared" si="0"/>
        <v>0</v>
      </c>
      <c r="AC15" s="60">
        <f t="shared" si="1"/>
        <v>0</v>
      </c>
      <c r="AD15" s="9"/>
    </row>
    <row r="16" spans="1:30" x14ac:dyDescent="0.25">
      <c r="A16" s="1" t="s">
        <v>42</v>
      </c>
      <c r="B16" s="13" t="s">
        <v>43</v>
      </c>
      <c r="C16" s="13"/>
      <c r="D16" s="13">
        <v>0</v>
      </c>
      <c r="E16" s="13">
        <v>0</v>
      </c>
      <c r="F16" s="13">
        <v>0</v>
      </c>
      <c r="G16" s="46">
        <f t="shared" si="2"/>
        <v>0</v>
      </c>
      <c r="H16" s="47"/>
      <c r="I16" s="57">
        <v>3.5579999999999998</v>
      </c>
      <c r="J16" s="57"/>
      <c r="K16" s="49">
        <f t="shared" si="3"/>
        <v>0</v>
      </c>
      <c r="L16" s="50">
        <f t="shared" si="4"/>
        <v>0</v>
      </c>
      <c r="N16" s="51">
        <v>5101</v>
      </c>
      <c r="O16" s="53">
        <v>254</v>
      </c>
      <c r="P16" s="53"/>
      <c r="Q16" s="54"/>
      <c r="V16" s="623" t="s">
        <v>43</v>
      </c>
      <c r="W16" s="623"/>
      <c r="X16" s="618">
        <f>IF('3396'!K$84=1,'3396'!G16,0)</f>
        <v>0</v>
      </c>
      <c r="Y16" s="618"/>
      <c r="Z16" s="624">
        <v>1</v>
      </c>
      <c r="AA16" s="624"/>
      <c r="AB16" s="55">
        <f t="shared" si="0"/>
        <v>0</v>
      </c>
      <c r="AC16" s="56">
        <f t="shared" si="1"/>
        <v>0</v>
      </c>
      <c r="AD16" s="9"/>
    </row>
    <row r="17" spans="1:30" x14ac:dyDescent="0.25">
      <c r="A17" s="1" t="s">
        <v>44</v>
      </c>
      <c r="B17" s="13" t="s">
        <v>45</v>
      </c>
      <c r="C17" s="13"/>
      <c r="D17" s="13">
        <v>0</v>
      </c>
      <c r="E17" s="13">
        <v>0</v>
      </c>
      <c r="F17" s="13">
        <v>0</v>
      </c>
      <c r="G17" s="46">
        <f t="shared" si="2"/>
        <v>0</v>
      </c>
      <c r="H17" s="47"/>
      <c r="I17" s="57">
        <f>I16</f>
        <v>3.5579999999999998</v>
      </c>
      <c r="J17" s="57"/>
      <c r="K17" s="49">
        <f t="shared" si="3"/>
        <v>0</v>
      </c>
      <c r="L17" s="50">
        <f t="shared" si="4"/>
        <v>0</v>
      </c>
      <c r="N17" s="51">
        <v>5102</v>
      </c>
      <c r="O17" s="54">
        <v>254</v>
      </c>
      <c r="P17" s="53"/>
      <c r="Q17" s="54"/>
      <c r="V17" s="623" t="s">
        <v>45</v>
      </c>
      <c r="W17" s="623"/>
      <c r="X17" s="618">
        <f>IF('3396'!K$84=1,'3396'!G17,0)</f>
        <v>0</v>
      </c>
      <c r="Y17" s="618"/>
      <c r="Z17" s="624">
        <v>1</v>
      </c>
      <c r="AA17" s="624"/>
      <c r="AB17" s="55">
        <f t="shared" si="0"/>
        <v>0</v>
      </c>
      <c r="AC17" s="56">
        <f t="shared" si="1"/>
        <v>0</v>
      </c>
      <c r="AD17" s="9"/>
    </row>
    <row r="18" spans="1:30" x14ac:dyDescent="0.25">
      <c r="A18" s="1" t="s">
        <v>46</v>
      </c>
      <c r="B18" s="13" t="s">
        <v>47</v>
      </c>
      <c r="C18" s="13"/>
      <c r="D18" s="13">
        <v>0</v>
      </c>
      <c r="E18" s="13">
        <v>0</v>
      </c>
      <c r="F18" s="13">
        <v>0</v>
      </c>
      <c r="G18" s="46">
        <f t="shared" si="2"/>
        <v>0</v>
      </c>
      <c r="H18" s="47"/>
      <c r="I18" s="57">
        <f>I17</f>
        <v>3.5579999999999998</v>
      </c>
      <c r="J18" s="57"/>
      <c r="K18" s="49">
        <f t="shared" si="3"/>
        <v>0</v>
      </c>
      <c r="L18" s="50">
        <f t="shared" si="4"/>
        <v>0</v>
      </c>
      <c r="N18" s="51">
        <v>5103</v>
      </c>
      <c r="O18" s="54">
        <v>254</v>
      </c>
      <c r="P18" s="53"/>
      <c r="Q18" s="54"/>
      <c r="V18" s="623" t="s">
        <v>47</v>
      </c>
      <c r="W18" s="623"/>
      <c r="X18" s="618">
        <f>IF('3396'!K$84=1,'3396'!G18,0)</f>
        <v>0</v>
      </c>
      <c r="Y18" s="618"/>
      <c r="Z18" s="624">
        <v>1</v>
      </c>
      <c r="AA18" s="624"/>
      <c r="AB18" s="55">
        <f t="shared" si="0"/>
        <v>0</v>
      </c>
      <c r="AC18" s="56">
        <f t="shared" si="1"/>
        <v>0</v>
      </c>
      <c r="AD18" s="9"/>
    </row>
    <row r="19" spans="1:30" ht="15" customHeight="1" x14ac:dyDescent="0.25">
      <c r="A19" s="1" t="s">
        <v>48</v>
      </c>
      <c r="B19" s="13" t="s">
        <v>49</v>
      </c>
      <c r="C19" s="13"/>
      <c r="D19" s="13">
        <v>0</v>
      </c>
      <c r="E19" s="13">
        <v>0</v>
      </c>
      <c r="F19" s="13">
        <v>0</v>
      </c>
      <c r="G19" s="46">
        <f t="shared" si="2"/>
        <v>0</v>
      </c>
      <c r="H19" s="47"/>
      <c r="I19" s="57">
        <v>5.0890000000000004</v>
      </c>
      <c r="J19" s="57"/>
      <c r="K19" s="49">
        <f t="shared" si="3"/>
        <v>0</v>
      </c>
      <c r="L19" s="50">
        <f t="shared" si="4"/>
        <v>0</v>
      </c>
      <c r="N19" s="51">
        <v>5101</v>
      </c>
      <c r="O19" s="53">
        <v>255</v>
      </c>
      <c r="P19" s="53"/>
      <c r="Q19" s="54"/>
      <c r="V19" s="623" t="s">
        <v>49</v>
      </c>
      <c r="W19" s="623"/>
      <c r="X19" s="618">
        <f>IF('3396'!K$84=1,'3396'!G19,0)</f>
        <v>0</v>
      </c>
      <c r="Y19" s="618"/>
      <c r="Z19" s="624">
        <v>1</v>
      </c>
      <c r="AA19" s="624"/>
      <c r="AB19" s="55">
        <f t="shared" si="0"/>
        <v>0</v>
      </c>
      <c r="AC19" s="56">
        <f t="shared" si="1"/>
        <v>0</v>
      </c>
      <c r="AD19" s="9"/>
    </row>
    <row r="20" spans="1:30" ht="15" customHeight="1" x14ac:dyDescent="0.25">
      <c r="A20" s="1" t="s">
        <v>50</v>
      </c>
      <c r="B20" s="13" t="s">
        <v>51</v>
      </c>
      <c r="C20" s="13"/>
      <c r="D20" s="13">
        <v>0</v>
      </c>
      <c r="E20" s="13">
        <v>0</v>
      </c>
      <c r="F20" s="13">
        <v>0</v>
      </c>
      <c r="G20" s="46">
        <f t="shared" si="2"/>
        <v>0</v>
      </c>
      <c r="H20" s="47"/>
      <c r="I20" s="57">
        <f>I19</f>
        <v>5.0890000000000004</v>
      </c>
      <c r="J20" s="57"/>
      <c r="K20" s="49">
        <f t="shared" si="3"/>
        <v>0</v>
      </c>
      <c r="L20" s="50">
        <f t="shared" si="4"/>
        <v>0</v>
      </c>
      <c r="N20" s="51">
        <v>5102</v>
      </c>
      <c r="O20" s="54">
        <v>255</v>
      </c>
      <c r="P20" s="53"/>
      <c r="Q20" s="54"/>
      <c r="V20" s="623" t="s">
        <v>51</v>
      </c>
      <c r="W20" s="623"/>
      <c r="X20" s="618">
        <f>IF('3396'!K$84=1,'3396'!G20,0)</f>
        <v>0</v>
      </c>
      <c r="Y20" s="618"/>
      <c r="Z20" s="624">
        <v>1</v>
      </c>
      <c r="AA20" s="624"/>
      <c r="AB20" s="55">
        <f t="shared" si="0"/>
        <v>0</v>
      </c>
      <c r="AC20" s="56">
        <f t="shared" si="1"/>
        <v>0</v>
      </c>
      <c r="AD20" s="9"/>
    </row>
    <row r="21" spans="1:30" ht="15" customHeight="1" x14ac:dyDescent="0.25">
      <c r="A21" s="1" t="s">
        <v>52</v>
      </c>
      <c r="B21" s="13" t="s">
        <v>53</v>
      </c>
      <c r="C21" s="13"/>
      <c r="D21" s="13">
        <v>0</v>
      </c>
      <c r="E21" s="13">
        <v>0</v>
      </c>
      <c r="F21" s="13">
        <v>0</v>
      </c>
      <c r="G21" s="46">
        <f t="shared" si="2"/>
        <v>0</v>
      </c>
      <c r="H21" s="47"/>
      <c r="I21" s="57">
        <f>I20</f>
        <v>5.0890000000000004</v>
      </c>
      <c r="J21" s="57"/>
      <c r="K21" s="49">
        <f t="shared" si="3"/>
        <v>0</v>
      </c>
      <c r="L21" s="50">
        <f t="shared" si="4"/>
        <v>0</v>
      </c>
      <c r="N21" s="51">
        <v>5103</v>
      </c>
      <c r="O21" s="54">
        <v>255</v>
      </c>
      <c r="P21" s="53"/>
      <c r="Q21" s="54"/>
      <c r="V21" s="623" t="s">
        <v>53</v>
      </c>
      <c r="W21" s="623"/>
      <c r="X21" s="618">
        <f>IF('3396'!K$84=1,'3396'!G21,0)</f>
        <v>0</v>
      </c>
      <c r="Y21" s="618"/>
      <c r="Z21" s="624">
        <v>1</v>
      </c>
      <c r="AA21" s="624"/>
      <c r="AB21" s="55">
        <f t="shared" si="0"/>
        <v>0</v>
      </c>
      <c r="AC21" s="56">
        <f t="shared" si="1"/>
        <v>0</v>
      </c>
      <c r="AD21" s="9"/>
    </row>
    <row r="22" spans="1:30" x14ac:dyDescent="0.25">
      <c r="A22" s="1" t="s">
        <v>54</v>
      </c>
      <c r="B22" s="13" t="s">
        <v>55</v>
      </c>
      <c r="C22" s="13"/>
      <c r="D22" s="13">
        <v>0</v>
      </c>
      <c r="E22" s="13">
        <v>0</v>
      </c>
      <c r="F22" s="13">
        <v>0</v>
      </c>
      <c r="G22" s="46">
        <f t="shared" si="2"/>
        <v>0</v>
      </c>
      <c r="H22" s="47"/>
      <c r="I22" s="57">
        <v>1.145</v>
      </c>
      <c r="J22" s="57"/>
      <c r="K22" s="49">
        <f t="shared" si="3"/>
        <v>0</v>
      </c>
      <c r="L22" s="50">
        <f t="shared" si="4"/>
        <v>0</v>
      </c>
      <c r="N22" s="51">
        <v>5101</v>
      </c>
      <c r="O22" s="52">
        <v>130</v>
      </c>
      <c r="P22" s="53"/>
      <c r="Q22" s="54"/>
      <c r="V22" s="623" t="s">
        <v>55</v>
      </c>
      <c r="W22" s="623"/>
      <c r="X22" s="618">
        <f>IF('3396'!K$84=1,'3396'!G22,0)</f>
        <v>0</v>
      </c>
      <c r="Y22" s="618"/>
      <c r="Z22" s="624">
        <v>1</v>
      </c>
      <c r="AA22" s="624"/>
      <c r="AB22" s="55">
        <f t="shared" si="0"/>
        <v>0</v>
      </c>
      <c r="AC22" s="56">
        <f t="shared" si="1"/>
        <v>0</v>
      </c>
      <c r="AD22" s="9"/>
    </row>
    <row r="23" spans="1:30" x14ac:dyDescent="0.25">
      <c r="A23" s="1" t="s">
        <v>56</v>
      </c>
      <c r="B23" s="13" t="s">
        <v>57</v>
      </c>
      <c r="C23" s="13"/>
      <c r="D23" s="13">
        <v>0</v>
      </c>
      <c r="E23" s="13">
        <v>0</v>
      </c>
      <c r="F23" s="13">
        <v>0</v>
      </c>
      <c r="G23" s="46">
        <f t="shared" si="2"/>
        <v>0</v>
      </c>
      <c r="H23" s="47"/>
      <c r="I23" s="57">
        <f>I22</f>
        <v>1.145</v>
      </c>
      <c r="J23" s="57"/>
      <c r="K23" s="49">
        <f t="shared" si="3"/>
        <v>0</v>
      </c>
      <c r="L23" s="50">
        <f t="shared" si="4"/>
        <v>0</v>
      </c>
      <c r="N23" s="51">
        <v>5102</v>
      </c>
      <c r="O23" s="52">
        <v>130</v>
      </c>
      <c r="P23" s="53"/>
      <c r="Q23" s="54"/>
      <c r="V23" s="623" t="s">
        <v>57</v>
      </c>
      <c r="W23" s="623"/>
      <c r="X23" s="618">
        <f>IF('3396'!K$84=1,'3396'!G23,0)</f>
        <v>0</v>
      </c>
      <c r="Y23" s="618"/>
      <c r="Z23" s="624">
        <v>1</v>
      </c>
      <c r="AA23" s="624"/>
      <c r="AB23" s="55">
        <f t="shared" si="0"/>
        <v>0</v>
      </c>
      <c r="AC23" s="56">
        <f t="shared" si="1"/>
        <v>0</v>
      </c>
      <c r="AD23" s="9"/>
    </row>
    <row r="24" spans="1:30" x14ac:dyDescent="0.25">
      <c r="A24" s="1" t="s">
        <v>58</v>
      </c>
      <c r="B24" s="13" t="s">
        <v>59</v>
      </c>
      <c r="C24" s="13"/>
      <c r="D24" s="13">
        <v>0.28999999999999998</v>
      </c>
      <c r="E24" s="13">
        <v>0.56999999999999995</v>
      </c>
      <c r="F24" s="13">
        <v>0.33</v>
      </c>
      <c r="G24" s="46">
        <f t="shared" si="2"/>
        <v>0.85999999999999988</v>
      </c>
      <c r="H24" s="47"/>
      <c r="I24" s="57">
        <f>I23</f>
        <v>1.145</v>
      </c>
      <c r="J24" s="57"/>
      <c r="K24" s="49">
        <f t="shared" si="3"/>
        <v>0.98470000000000002</v>
      </c>
      <c r="L24" s="50">
        <f t="shared" si="4"/>
        <v>3815</v>
      </c>
      <c r="N24" s="51">
        <v>5103</v>
      </c>
      <c r="O24" s="52">
        <v>130</v>
      </c>
      <c r="P24" s="53"/>
      <c r="Q24" s="54"/>
      <c r="V24" s="623" t="s">
        <v>59</v>
      </c>
      <c r="W24" s="623"/>
      <c r="X24" s="618">
        <f>IF('3396'!K$84=1,'3396'!G24,0)</f>
        <v>0</v>
      </c>
      <c r="Y24" s="618"/>
      <c r="Z24" s="624">
        <v>1</v>
      </c>
      <c r="AA24" s="624"/>
      <c r="AB24" s="55">
        <f t="shared" si="0"/>
        <v>0</v>
      </c>
      <c r="AC24" s="56">
        <f t="shared" si="1"/>
        <v>0</v>
      </c>
      <c r="AD24" s="9"/>
    </row>
    <row r="25" spans="1:30" ht="16.5" thickBot="1" x14ac:dyDescent="0.3">
      <c r="A25" s="1" t="s">
        <v>60</v>
      </c>
      <c r="B25" s="13" t="s">
        <v>61</v>
      </c>
      <c r="C25" s="13"/>
      <c r="D25" s="13">
        <v>47.64</v>
      </c>
      <c r="E25" s="13">
        <v>46.9</v>
      </c>
      <c r="F25" s="13">
        <v>54.87</v>
      </c>
      <c r="G25" s="46">
        <f t="shared" si="2"/>
        <v>94.539999999999992</v>
      </c>
      <c r="H25" s="47"/>
      <c r="I25" s="57">
        <v>1.0109999999999999</v>
      </c>
      <c r="J25" s="57"/>
      <c r="K25" s="49">
        <f t="shared" si="3"/>
        <v>95.579899999999995</v>
      </c>
      <c r="L25" s="50">
        <f t="shared" si="4"/>
        <v>370336</v>
      </c>
      <c r="N25" s="51">
        <v>5310</v>
      </c>
      <c r="O25" s="52">
        <v>300</v>
      </c>
      <c r="P25" s="53"/>
      <c r="Q25" s="54"/>
      <c r="V25" s="623" t="s">
        <v>61</v>
      </c>
      <c r="W25" s="623"/>
      <c r="X25" s="618">
        <f>IF('3396'!K$84=1,'3396'!G25,0)</f>
        <v>0</v>
      </c>
      <c r="Y25" s="618"/>
      <c r="Z25" s="624">
        <v>1</v>
      </c>
      <c r="AA25" s="624"/>
      <c r="AB25" s="55">
        <f t="shared" si="0"/>
        <v>0</v>
      </c>
      <c r="AC25" s="56">
        <f t="shared" si="1"/>
        <v>0</v>
      </c>
      <c r="AD25" s="9"/>
    </row>
    <row r="26" spans="1:30" ht="20.25" customHeight="1" thickBot="1" x14ac:dyDescent="0.3">
      <c r="B26" s="62" t="s">
        <v>62</v>
      </c>
      <c r="C26" s="62"/>
      <c r="D26" s="63">
        <f t="shared" ref="D26:E26" si="5">SUM(D10:D25)</f>
        <v>527.07000000000005</v>
      </c>
      <c r="E26" s="63">
        <f t="shared" si="5"/>
        <v>523.41999999999996</v>
      </c>
      <c r="F26" s="63"/>
      <c r="G26" s="63">
        <f>SUM(G10:G25)</f>
        <v>1050.49</v>
      </c>
      <c r="H26" s="64"/>
      <c r="I26" s="64"/>
      <c r="J26" s="65"/>
      <c r="K26" s="66">
        <f>SUM(K10:K25)</f>
        <v>1062.1605999999999</v>
      </c>
      <c r="L26" s="67">
        <f>SUM(L10:L25)</f>
        <v>4115473</v>
      </c>
      <c r="N26" s="54"/>
      <c r="O26" s="68"/>
      <c r="P26" s="54"/>
      <c r="Q26" s="54"/>
      <c r="V26" s="625" t="s">
        <v>62</v>
      </c>
      <c r="W26" s="625"/>
      <c r="X26" s="626">
        <f>SUM(X10:X25)</f>
        <v>0</v>
      </c>
      <c r="Y26" s="626"/>
      <c r="Z26" s="627"/>
      <c r="AA26" s="628"/>
      <c r="AB26" s="69">
        <f>SUM(AB10:AB25)</f>
        <v>0</v>
      </c>
      <c r="AC26" s="70">
        <f>SUM(AC10:AC25)</f>
        <v>0</v>
      </c>
      <c r="AD26" s="9"/>
    </row>
    <row r="27" spans="1:30" ht="51.75" customHeight="1" x14ac:dyDescent="0.25">
      <c r="B27" s="62" t="s">
        <v>63</v>
      </c>
      <c r="C27" s="62"/>
      <c r="D27" s="71" t="s">
        <v>13</v>
      </c>
      <c r="E27" s="71" t="s">
        <v>14</v>
      </c>
      <c r="F27" s="27"/>
      <c r="G27" s="72" t="s">
        <v>64</v>
      </c>
      <c r="H27" s="73"/>
      <c r="I27" s="74" t="s">
        <v>65</v>
      </c>
      <c r="J27" s="74" t="s">
        <v>66</v>
      </c>
      <c r="K27" s="75" t="s">
        <v>67</v>
      </c>
      <c r="N27" s="54"/>
      <c r="O27" s="68"/>
      <c r="P27" s="54"/>
      <c r="Q27" s="54"/>
      <c r="V27" s="629" t="s">
        <v>63</v>
      </c>
      <c r="W27" s="629"/>
      <c r="X27" s="630" t="s">
        <v>64</v>
      </c>
      <c r="Y27" s="630"/>
      <c r="Z27" s="76" t="s">
        <v>65</v>
      </c>
      <c r="AA27" s="77" t="s">
        <v>66</v>
      </c>
      <c r="AB27" s="78" t="s">
        <v>67</v>
      </c>
      <c r="AC27" s="9"/>
      <c r="AD27" s="9"/>
    </row>
    <row r="28" spans="1:30" ht="15.75" customHeight="1" x14ac:dyDescent="0.25">
      <c r="A28" s="1" t="s">
        <v>68</v>
      </c>
      <c r="B28" s="631" t="s">
        <v>69</v>
      </c>
      <c r="C28" s="632"/>
      <c r="D28" s="13">
        <v>0</v>
      </c>
      <c r="E28" s="13">
        <v>0</v>
      </c>
      <c r="F28" s="79">
        <v>0</v>
      </c>
      <c r="G28" s="46">
        <f t="shared" ref="G28:G36" si="6">D28+E28</f>
        <v>0</v>
      </c>
      <c r="H28" s="80"/>
      <c r="I28" s="81" t="s">
        <v>70</v>
      </c>
      <c r="J28" s="82">
        <v>251</v>
      </c>
      <c r="K28" s="83">
        <v>1047</v>
      </c>
      <c r="L28" s="84">
        <f>ROUND(G28*K28,0)</f>
        <v>0</v>
      </c>
      <c r="N28" s="85">
        <v>5101</v>
      </c>
      <c r="O28" s="54">
        <v>251</v>
      </c>
      <c r="P28" s="86"/>
      <c r="Q28" s="87"/>
      <c r="V28" s="637" t="s">
        <v>69</v>
      </c>
      <c r="W28" s="637"/>
      <c r="X28" s="638"/>
      <c r="Y28" s="638"/>
      <c r="Z28" s="88" t="s">
        <v>70</v>
      </c>
      <c r="AA28" s="89">
        <v>251</v>
      </c>
      <c r="AB28" s="90">
        <f>+K28</f>
        <v>1047</v>
      </c>
      <c r="AC28" s="91">
        <f t="shared" ref="AC28:AC36" si="7">ROUND(X28*AB28,0)</f>
        <v>0</v>
      </c>
      <c r="AD28" s="9"/>
    </row>
    <row r="29" spans="1:30" x14ac:dyDescent="0.25">
      <c r="A29" s="1" t="s">
        <v>71</v>
      </c>
      <c r="B29" s="633"/>
      <c r="C29" s="634"/>
      <c r="D29" s="13">
        <v>0</v>
      </c>
      <c r="E29" s="13">
        <v>0</v>
      </c>
      <c r="F29" s="92">
        <v>0</v>
      </c>
      <c r="G29" s="46">
        <f t="shared" si="6"/>
        <v>0</v>
      </c>
      <c r="H29" s="80"/>
      <c r="I29" s="82" t="s">
        <v>70</v>
      </c>
      <c r="J29" s="82">
        <v>252</v>
      </c>
      <c r="K29" s="83">
        <v>3380</v>
      </c>
      <c r="L29" s="84">
        <f t="shared" ref="L29:L36" si="8">ROUND(G29*K29,0)</f>
        <v>0</v>
      </c>
      <c r="N29" s="85">
        <v>5101</v>
      </c>
      <c r="O29" s="54">
        <v>252</v>
      </c>
      <c r="P29" s="86"/>
      <c r="Q29" s="87"/>
      <c r="V29" s="637"/>
      <c r="W29" s="637"/>
      <c r="X29" s="638"/>
      <c r="Y29" s="638"/>
      <c r="Z29" s="89" t="s">
        <v>70</v>
      </c>
      <c r="AA29" s="89">
        <v>252</v>
      </c>
      <c r="AB29" s="90">
        <f t="shared" ref="AB29:AB36" si="9">+K29</f>
        <v>3380</v>
      </c>
      <c r="AC29" s="91">
        <f t="shared" si="7"/>
        <v>0</v>
      </c>
      <c r="AD29" s="9"/>
    </row>
    <row r="30" spans="1:30" x14ac:dyDescent="0.25">
      <c r="A30" s="1" t="s">
        <v>72</v>
      </c>
      <c r="B30" s="633"/>
      <c r="C30" s="634"/>
      <c r="D30" s="13">
        <v>0</v>
      </c>
      <c r="E30" s="13">
        <v>0</v>
      </c>
      <c r="F30" s="92">
        <v>0</v>
      </c>
      <c r="G30" s="46">
        <f t="shared" si="6"/>
        <v>0</v>
      </c>
      <c r="H30" s="80"/>
      <c r="I30" s="82" t="s">
        <v>70</v>
      </c>
      <c r="J30" s="82">
        <v>253</v>
      </c>
      <c r="K30" s="83">
        <v>6896</v>
      </c>
      <c r="L30" s="84">
        <f t="shared" si="8"/>
        <v>0</v>
      </c>
      <c r="N30" s="85">
        <v>5101</v>
      </c>
      <c r="O30" s="54">
        <v>253</v>
      </c>
      <c r="P30" s="86"/>
      <c r="Q30" s="68"/>
      <c r="V30" s="637"/>
      <c r="W30" s="637"/>
      <c r="X30" s="638"/>
      <c r="Y30" s="638"/>
      <c r="Z30" s="89" t="s">
        <v>70</v>
      </c>
      <c r="AA30" s="89">
        <v>253</v>
      </c>
      <c r="AB30" s="90">
        <f t="shared" si="9"/>
        <v>6896</v>
      </c>
      <c r="AC30" s="91">
        <f t="shared" si="7"/>
        <v>0</v>
      </c>
      <c r="AD30" s="9"/>
    </row>
    <row r="31" spans="1:30" x14ac:dyDescent="0.25">
      <c r="A31" s="1" t="s">
        <v>73</v>
      </c>
      <c r="B31" s="633"/>
      <c r="C31" s="634"/>
      <c r="D31" s="13">
        <v>0</v>
      </c>
      <c r="E31" s="13">
        <v>0</v>
      </c>
      <c r="F31" s="92">
        <v>0</v>
      </c>
      <c r="G31" s="46">
        <f t="shared" si="6"/>
        <v>0</v>
      </c>
      <c r="H31" s="80"/>
      <c r="I31" s="93" t="s">
        <v>74</v>
      </c>
      <c r="J31" s="82">
        <v>251</v>
      </c>
      <c r="K31" s="83">
        <v>1173</v>
      </c>
      <c r="L31" s="84">
        <f t="shared" si="8"/>
        <v>0</v>
      </c>
      <c r="N31" s="85">
        <v>5102</v>
      </c>
      <c r="O31" s="54">
        <v>251</v>
      </c>
      <c r="P31" s="86"/>
      <c r="Q31" s="68"/>
      <c r="V31" s="637"/>
      <c r="W31" s="637"/>
      <c r="X31" s="638"/>
      <c r="Y31" s="638"/>
      <c r="Z31" s="94" t="s">
        <v>74</v>
      </c>
      <c r="AA31" s="89">
        <v>251</v>
      </c>
      <c r="AB31" s="90">
        <f t="shared" si="9"/>
        <v>1173</v>
      </c>
      <c r="AC31" s="91">
        <f t="shared" si="7"/>
        <v>0</v>
      </c>
      <c r="AD31" s="9"/>
    </row>
    <row r="32" spans="1:30" x14ac:dyDescent="0.25">
      <c r="A32" s="1" t="s">
        <v>75</v>
      </c>
      <c r="B32" s="633"/>
      <c r="C32" s="634"/>
      <c r="D32" s="13">
        <v>0</v>
      </c>
      <c r="E32" s="13">
        <v>0</v>
      </c>
      <c r="F32" s="92">
        <v>0</v>
      </c>
      <c r="G32" s="46">
        <f t="shared" si="6"/>
        <v>0</v>
      </c>
      <c r="H32" s="80"/>
      <c r="I32" s="93" t="s">
        <v>74</v>
      </c>
      <c r="J32" s="82">
        <v>252</v>
      </c>
      <c r="K32" s="83">
        <v>3506</v>
      </c>
      <c r="L32" s="84">
        <f t="shared" si="8"/>
        <v>0</v>
      </c>
      <c r="N32" s="85">
        <v>5102</v>
      </c>
      <c r="O32" s="54">
        <v>252</v>
      </c>
      <c r="P32" s="86"/>
      <c r="Q32" s="54"/>
      <c r="V32" s="637"/>
      <c r="W32" s="637"/>
      <c r="X32" s="638"/>
      <c r="Y32" s="638"/>
      <c r="Z32" s="94" t="s">
        <v>74</v>
      </c>
      <c r="AA32" s="89">
        <v>252</v>
      </c>
      <c r="AB32" s="90">
        <f t="shared" si="9"/>
        <v>3506</v>
      </c>
      <c r="AC32" s="91">
        <f t="shared" si="7"/>
        <v>0</v>
      </c>
      <c r="AD32" s="9"/>
    </row>
    <row r="33" spans="1:30" x14ac:dyDescent="0.25">
      <c r="A33" s="1" t="s">
        <v>76</v>
      </c>
      <c r="B33" s="633"/>
      <c r="C33" s="634"/>
      <c r="D33" s="13">
        <v>0</v>
      </c>
      <c r="E33" s="13">
        <v>0</v>
      </c>
      <c r="F33" s="92">
        <v>0</v>
      </c>
      <c r="G33" s="46">
        <f t="shared" si="6"/>
        <v>0</v>
      </c>
      <c r="H33" s="80"/>
      <c r="I33" s="93" t="s">
        <v>74</v>
      </c>
      <c r="J33" s="82">
        <v>253</v>
      </c>
      <c r="K33" s="83">
        <v>7023</v>
      </c>
      <c r="L33" s="84">
        <f t="shared" si="8"/>
        <v>0</v>
      </c>
      <c r="N33" s="85">
        <v>5102</v>
      </c>
      <c r="O33" s="54">
        <v>253</v>
      </c>
      <c r="P33" s="86"/>
      <c r="Q33" s="87"/>
      <c r="V33" s="637"/>
      <c r="W33" s="637"/>
      <c r="X33" s="638"/>
      <c r="Y33" s="638"/>
      <c r="Z33" s="94" t="s">
        <v>74</v>
      </c>
      <c r="AA33" s="89">
        <v>253</v>
      </c>
      <c r="AB33" s="90">
        <f t="shared" si="9"/>
        <v>7023</v>
      </c>
      <c r="AC33" s="91">
        <f t="shared" si="7"/>
        <v>0</v>
      </c>
      <c r="AD33" s="9"/>
    </row>
    <row r="34" spans="1:30" x14ac:dyDescent="0.25">
      <c r="A34" s="1" t="s">
        <v>77</v>
      </c>
      <c r="B34" s="633"/>
      <c r="C34" s="634"/>
      <c r="D34" s="13">
        <v>40.74</v>
      </c>
      <c r="E34" s="13">
        <v>39.94</v>
      </c>
      <c r="F34" s="92">
        <v>36</v>
      </c>
      <c r="G34" s="46">
        <f t="shared" si="6"/>
        <v>80.680000000000007</v>
      </c>
      <c r="H34" s="80"/>
      <c r="I34" s="93" t="s">
        <v>78</v>
      </c>
      <c r="J34" s="82">
        <v>251</v>
      </c>
      <c r="K34" s="83">
        <v>835</v>
      </c>
      <c r="L34" s="84">
        <f t="shared" si="8"/>
        <v>67368</v>
      </c>
      <c r="N34" s="85">
        <v>5103</v>
      </c>
      <c r="O34" s="54">
        <v>251</v>
      </c>
      <c r="P34" s="86"/>
      <c r="Q34" s="87"/>
      <c r="V34" s="637"/>
      <c r="W34" s="637"/>
      <c r="X34" s="638"/>
      <c r="Y34" s="638"/>
      <c r="Z34" s="94" t="s">
        <v>78</v>
      </c>
      <c r="AA34" s="89">
        <v>251</v>
      </c>
      <c r="AB34" s="90">
        <f t="shared" si="9"/>
        <v>835</v>
      </c>
      <c r="AC34" s="91">
        <f t="shared" si="7"/>
        <v>0</v>
      </c>
      <c r="AD34" s="9"/>
    </row>
    <row r="35" spans="1:30" x14ac:dyDescent="0.25">
      <c r="A35" s="1" t="s">
        <v>79</v>
      </c>
      <c r="B35" s="633"/>
      <c r="C35" s="634"/>
      <c r="D35" s="13">
        <v>0</v>
      </c>
      <c r="E35" s="13">
        <v>0</v>
      </c>
      <c r="F35" s="92">
        <v>1</v>
      </c>
      <c r="G35" s="46">
        <f t="shared" si="6"/>
        <v>0</v>
      </c>
      <c r="H35" s="80"/>
      <c r="I35" s="93" t="s">
        <v>78</v>
      </c>
      <c r="J35" s="82">
        <v>252</v>
      </c>
      <c r="K35" s="83">
        <v>3168</v>
      </c>
      <c r="L35" s="84">
        <f t="shared" si="8"/>
        <v>0</v>
      </c>
      <c r="N35" s="85">
        <v>5103</v>
      </c>
      <c r="O35" s="54">
        <v>252</v>
      </c>
      <c r="P35" s="86"/>
      <c r="Q35" s="95"/>
      <c r="V35" s="637"/>
      <c r="W35" s="637"/>
      <c r="X35" s="638"/>
      <c r="Y35" s="638"/>
      <c r="Z35" s="94" t="s">
        <v>78</v>
      </c>
      <c r="AA35" s="89">
        <v>252</v>
      </c>
      <c r="AB35" s="90">
        <f t="shared" si="9"/>
        <v>3168</v>
      </c>
      <c r="AC35" s="91">
        <f t="shared" si="7"/>
        <v>0</v>
      </c>
      <c r="AD35" s="9"/>
    </row>
    <row r="36" spans="1:30" ht="16.5" thickBot="1" x14ac:dyDescent="0.3">
      <c r="A36" s="1" t="s">
        <v>80</v>
      </c>
      <c r="B36" s="635"/>
      <c r="C36" s="636"/>
      <c r="D36" s="13">
        <v>0</v>
      </c>
      <c r="E36" s="13">
        <v>0</v>
      </c>
      <c r="F36" s="92">
        <v>0.5</v>
      </c>
      <c r="G36" s="46">
        <f t="shared" si="6"/>
        <v>0</v>
      </c>
      <c r="H36" s="80"/>
      <c r="I36" s="93" t="s">
        <v>78</v>
      </c>
      <c r="J36" s="82">
        <v>253</v>
      </c>
      <c r="K36" s="83">
        <v>6685</v>
      </c>
      <c r="L36" s="96">
        <f t="shared" si="8"/>
        <v>0</v>
      </c>
      <c r="N36" s="85">
        <v>5103</v>
      </c>
      <c r="O36" s="54">
        <v>253</v>
      </c>
      <c r="P36" s="86"/>
      <c r="Q36" s="97"/>
      <c r="V36" s="637"/>
      <c r="W36" s="637"/>
      <c r="X36" s="645"/>
      <c r="Y36" s="645"/>
      <c r="Z36" s="94" t="s">
        <v>78</v>
      </c>
      <c r="AA36" s="89">
        <v>253</v>
      </c>
      <c r="AB36" s="90">
        <f t="shared" si="9"/>
        <v>6685</v>
      </c>
      <c r="AC36" s="98">
        <f t="shared" si="7"/>
        <v>0</v>
      </c>
      <c r="AD36" s="9"/>
    </row>
    <row r="37" spans="1:30" ht="18.75" customHeight="1" x14ac:dyDescent="0.25">
      <c r="B37" s="13" t="s">
        <v>81</v>
      </c>
      <c r="C37" s="13"/>
      <c r="D37" s="63">
        <f t="shared" ref="D37:E37" si="10">SUM(D28:D36)</f>
        <v>40.74</v>
      </c>
      <c r="E37" s="63">
        <f t="shared" si="10"/>
        <v>39.94</v>
      </c>
      <c r="F37" s="63"/>
      <c r="G37" s="63">
        <f>SUM(G28:G36)</f>
        <v>80.680000000000007</v>
      </c>
      <c r="H37" s="64"/>
      <c r="I37" s="13" t="s">
        <v>82</v>
      </c>
      <c r="J37" s="13"/>
      <c r="K37" s="13"/>
      <c r="L37" s="50">
        <f>SUM(L28:L36)</f>
        <v>67368</v>
      </c>
      <c r="N37" s="54"/>
      <c r="O37" s="68"/>
      <c r="P37" s="54"/>
      <c r="Q37" s="54"/>
      <c r="V37" s="646" t="s">
        <v>81</v>
      </c>
      <c r="W37" s="646"/>
      <c r="X37" s="626">
        <f>SUM(X28:X36)</f>
        <v>0</v>
      </c>
      <c r="Y37" s="626"/>
      <c r="Z37" s="646" t="s">
        <v>82</v>
      </c>
      <c r="AA37" s="646"/>
      <c r="AB37" s="646"/>
      <c r="AC37" s="56">
        <f>SUM(AC28:AC36)</f>
        <v>0</v>
      </c>
      <c r="AD37" s="9"/>
    </row>
    <row r="38" spans="1:30" ht="30.75" customHeight="1" x14ac:dyDescent="0.25">
      <c r="B38" s="99" t="s">
        <v>83</v>
      </c>
      <c r="C38" s="99"/>
      <c r="D38" s="99"/>
      <c r="E38" s="99"/>
      <c r="F38" s="99"/>
      <c r="G38" s="99"/>
      <c r="H38" s="100"/>
      <c r="I38" s="99"/>
      <c r="J38" s="99"/>
      <c r="K38" s="99"/>
      <c r="L38" s="99"/>
      <c r="M38" s="101"/>
      <c r="N38" s="54"/>
      <c r="O38" s="68"/>
      <c r="P38" s="54"/>
      <c r="Q38" s="54"/>
      <c r="V38" s="639" t="s">
        <v>83</v>
      </c>
      <c r="W38" s="639"/>
      <c r="X38" s="639"/>
      <c r="Y38" s="639"/>
      <c r="Z38" s="639"/>
      <c r="AA38" s="639"/>
      <c r="AB38" s="639"/>
      <c r="AC38" s="639"/>
      <c r="AD38" s="102"/>
    </row>
    <row r="39" spans="1:30" ht="15.75" customHeight="1" x14ac:dyDescent="0.25">
      <c r="B39" s="103" t="s">
        <v>84</v>
      </c>
      <c r="C39" s="103"/>
      <c r="D39" s="103"/>
      <c r="E39" s="103"/>
      <c r="F39" s="103"/>
      <c r="G39" s="104">
        <v>34389540</v>
      </c>
      <c r="H39" s="104"/>
      <c r="I39" s="13" t="s">
        <v>85</v>
      </c>
      <c r="J39" s="13"/>
      <c r="K39" s="13"/>
      <c r="L39" s="13"/>
      <c r="O39" s="1"/>
      <c r="V39" s="640" t="s">
        <v>84</v>
      </c>
      <c r="W39" s="640"/>
      <c r="X39" s="641">
        <f>+G39</f>
        <v>34389540</v>
      </c>
      <c r="Y39" s="641"/>
      <c r="Z39" s="642" t="s">
        <v>85</v>
      </c>
      <c r="AA39" s="642"/>
      <c r="AB39" s="642"/>
      <c r="AC39" s="642"/>
      <c r="AD39" s="9"/>
    </row>
    <row r="40" spans="1:30" ht="15.75" customHeight="1" x14ac:dyDescent="0.25">
      <c r="B40" s="105" t="s">
        <v>86</v>
      </c>
      <c r="C40" s="105"/>
      <c r="D40" s="105"/>
      <c r="E40" s="105"/>
      <c r="F40" s="105"/>
      <c r="G40" s="106">
        <v>180284.81</v>
      </c>
      <c r="H40" s="106"/>
      <c r="I40" s="106"/>
      <c r="J40" s="106"/>
      <c r="K40" s="50">
        <f>ROUND(G39/G40,0)</f>
        <v>191</v>
      </c>
      <c r="L40" s="50">
        <f>ROUND(K40*$G$26,0)</f>
        <v>200644</v>
      </c>
      <c r="N40" s="107"/>
      <c r="O40" s="107"/>
      <c r="P40" s="107"/>
      <c r="Q40" s="107"/>
      <c r="V40" s="643" t="s">
        <v>86</v>
      </c>
      <c r="W40" s="643"/>
      <c r="X40" s="644">
        <f>+G40</f>
        <v>180284.81</v>
      </c>
      <c r="Y40" s="644"/>
      <c r="Z40" s="644"/>
      <c r="AA40" s="644"/>
      <c r="AB40" s="56">
        <f>ROUND(X39/X40,0)</f>
        <v>191</v>
      </c>
      <c r="AC40" s="56">
        <f>ROUND(AB40*$X$26,0)</f>
        <v>0</v>
      </c>
      <c r="AD40" s="9"/>
    </row>
    <row r="41" spans="1:30" ht="15.75" customHeight="1" x14ac:dyDescent="0.25">
      <c r="B41" s="108" t="s">
        <v>87</v>
      </c>
      <c r="C41" s="108"/>
      <c r="D41" s="108"/>
      <c r="E41" s="108"/>
      <c r="F41" s="108"/>
      <c r="G41" s="108"/>
      <c r="H41" s="108"/>
      <c r="I41" s="108"/>
      <c r="J41" s="108"/>
      <c r="K41" s="108"/>
      <c r="L41" s="108"/>
      <c r="N41" s="101"/>
      <c r="O41" s="109"/>
      <c r="P41" s="101"/>
      <c r="Q41" s="101"/>
      <c r="V41" s="652" t="s">
        <v>87</v>
      </c>
      <c r="W41" s="652"/>
      <c r="X41" s="652"/>
      <c r="Y41" s="652"/>
      <c r="Z41" s="652"/>
      <c r="AA41" s="652"/>
      <c r="AB41" s="652"/>
      <c r="AC41" s="652"/>
      <c r="AD41" s="9"/>
    </row>
    <row r="42" spans="1:30" ht="28.5" customHeight="1" x14ac:dyDescent="0.25">
      <c r="B42" s="99" t="s">
        <v>88</v>
      </c>
      <c r="C42" s="99"/>
      <c r="D42" s="99"/>
      <c r="E42" s="99"/>
      <c r="F42" s="99"/>
      <c r="G42" s="99"/>
      <c r="H42" s="99"/>
      <c r="I42" s="99"/>
      <c r="J42" s="99"/>
      <c r="K42" s="99"/>
      <c r="L42" s="99"/>
      <c r="M42" s="107"/>
      <c r="O42" s="1"/>
      <c r="V42" s="639" t="s">
        <v>88</v>
      </c>
      <c r="W42" s="639"/>
      <c r="X42" s="639"/>
      <c r="Y42" s="639"/>
      <c r="Z42" s="639"/>
      <c r="AA42" s="639"/>
      <c r="AB42" s="639"/>
      <c r="AC42" s="639"/>
      <c r="AD42" s="110"/>
    </row>
    <row r="43" spans="1:30" x14ac:dyDescent="0.25">
      <c r="B43" s="111" t="s">
        <v>89</v>
      </c>
      <c r="C43" s="111"/>
      <c r="D43" s="111"/>
      <c r="E43" s="111"/>
      <c r="F43" s="111"/>
      <c r="G43" s="111"/>
      <c r="H43" s="111"/>
      <c r="I43" s="111"/>
      <c r="J43" s="111"/>
      <c r="K43" s="111"/>
      <c r="L43" s="111"/>
      <c r="M43" s="112"/>
      <c r="N43" s="101"/>
      <c r="O43" s="101"/>
      <c r="P43" s="101"/>
      <c r="Q43" s="101"/>
      <c r="V43" s="653" t="s">
        <v>89</v>
      </c>
      <c r="W43" s="653"/>
      <c r="X43" s="653"/>
      <c r="Y43" s="653"/>
      <c r="Z43" s="653"/>
      <c r="AA43" s="653"/>
      <c r="AB43" s="653"/>
      <c r="AC43" s="653"/>
      <c r="AD43" s="113"/>
    </row>
    <row r="44" spans="1:30" ht="24" customHeight="1" x14ac:dyDescent="0.25">
      <c r="B44" s="62" t="s">
        <v>90</v>
      </c>
      <c r="C44" s="62"/>
      <c r="D44" s="62"/>
      <c r="E44" s="62"/>
      <c r="F44" s="62"/>
      <c r="G44" s="62"/>
      <c r="H44" s="62"/>
      <c r="I44" s="62"/>
      <c r="J44" s="62"/>
      <c r="K44" s="62"/>
      <c r="L44" s="114">
        <f>SUM(L26,L37,L40)</f>
        <v>4383485</v>
      </c>
      <c r="O44" s="1"/>
      <c r="V44" s="654" t="s">
        <v>90</v>
      </c>
      <c r="W44" s="654"/>
      <c r="X44" s="654"/>
      <c r="Y44" s="654"/>
      <c r="Z44" s="654"/>
      <c r="AA44" s="654"/>
      <c r="AB44" s="654"/>
      <c r="AC44" s="115">
        <f>SUM(AC26,AC37,AC40)</f>
        <v>0</v>
      </c>
      <c r="AD44" s="9"/>
    </row>
    <row r="45" spans="1:30" ht="30.75" customHeight="1" x14ac:dyDescent="0.25">
      <c r="B45" s="99" t="s">
        <v>91</v>
      </c>
      <c r="C45" s="99"/>
      <c r="D45" s="99"/>
      <c r="E45" s="99"/>
      <c r="F45" s="99"/>
      <c r="G45" s="99"/>
      <c r="H45" s="99"/>
      <c r="I45" s="99"/>
      <c r="J45" s="99"/>
      <c r="K45" s="99"/>
      <c r="L45" s="99"/>
      <c r="M45" s="116"/>
      <c r="O45" s="1"/>
      <c r="V45" s="639" t="s">
        <v>91</v>
      </c>
      <c r="W45" s="639"/>
      <c r="X45" s="639"/>
      <c r="Y45" s="639"/>
      <c r="Z45" s="639"/>
      <c r="AA45" s="639"/>
      <c r="AB45" s="639"/>
      <c r="AC45" s="639"/>
      <c r="AD45" s="117"/>
    </row>
    <row r="46" spans="1:30" ht="18.75" customHeight="1" x14ac:dyDescent="0.25">
      <c r="B46" s="1"/>
      <c r="C46" s="118" t="s">
        <v>92</v>
      </c>
      <c r="D46" s="118"/>
      <c r="E46" s="118"/>
      <c r="F46" s="118"/>
      <c r="G46" s="118" t="s">
        <v>93</v>
      </c>
      <c r="H46" s="119"/>
      <c r="I46" s="120" t="s">
        <v>94</v>
      </c>
      <c r="J46" s="121"/>
      <c r="K46" s="121"/>
      <c r="L46" s="121"/>
      <c r="M46" s="122"/>
      <c r="O46" s="1"/>
      <c r="V46" s="9"/>
      <c r="W46" s="123" t="s">
        <v>92</v>
      </c>
      <c r="X46" s="655" t="s">
        <v>95</v>
      </c>
      <c r="Y46" s="655"/>
      <c r="Z46" s="656" t="s">
        <v>94</v>
      </c>
      <c r="AA46" s="656"/>
      <c r="AB46" s="656"/>
      <c r="AC46" s="656"/>
      <c r="AD46" s="124"/>
    </row>
    <row r="47" spans="1:30" ht="18.75" customHeight="1" x14ac:dyDescent="0.25">
      <c r="B47" s="107" t="s">
        <v>96</v>
      </c>
      <c r="C47" s="125">
        <f>K10+K11+K16+K19+K22</f>
        <v>0</v>
      </c>
      <c r="D47" s="125"/>
      <c r="E47" s="125"/>
      <c r="F47" s="125"/>
      <c r="G47" s="126">
        <f>K7</f>
        <v>1.0326</v>
      </c>
      <c r="H47" s="126"/>
      <c r="I47" s="127">
        <v>1316.85</v>
      </c>
      <c r="J47" s="128" t="s">
        <v>97</v>
      </c>
      <c r="K47" s="129">
        <f>ROUND(C47*G47*I47,0)</f>
        <v>0</v>
      </c>
      <c r="L47" s="130"/>
      <c r="O47" s="1"/>
      <c r="V47" s="110" t="s">
        <v>96</v>
      </c>
      <c r="W47" s="131">
        <f>AB10+AB11+AB16+AB19+AB22</f>
        <v>0</v>
      </c>
      <c r="X47" s="647">
        <f>AB7</f>
        <v>1.0326</v>
      </c>
      <c r="Y47" s="647"/>
      <c r="Z47" s="132">
        <f>+I47</f>
        <v>1316.85</v>
      </c>
      <c r="AA47" s="133" t="s">
        <v>97</v>
      </c>
      <c r="AB47" s="134">
        <f>ROUND(W47*X47*Z47,0)</f>
        <v>0</v>
      </c>
      <c r="AC47" s="135"/>
      <c r="AD47" s="9"/>
    </row>
    <row r="48" spans="1:30" ht="18" customHeight="1" x14ac:dyDescent="0.25">
      <c r="B48" s="136" t="s">
        <v>74</v>
      </c>
      <c r="C48" s="125">
        <f>K12+K13+K17+K20+K23</f>
        <v>0</v>
      </c>
      <c r="D48" s="125"/>
      <c r="E48" s="125"/>
      <c r="F48" s="125"/>
      <c r="G48" s="126">
        <f>K7</f>
        <v>1.0326</v>
      </c>
      <c r="H48" s="126"/>
      <c r="I48" s="127">
        <v>898.23</v>
      </c>
      <c r="J48" s="128" t="s">
        <v>97</v>
      </c>
      <c r="K48" s="129">
        <f>ROUND(C48*G48*I48,0)</f>
        <v>0</v>
      </c>
      <c r="L48" s="62"/>
      <c r="O48" s="1"/>
      <c r="V48" s="137" t="s">
        <v>74</v>
      </c>
      <c r="W48" s="131">
        <f>AB12+AB13+AB17+AB20+AB23</f>
        <v>0</v>
      </c>
      <c r="X48" s="647">
        <f>AB7</f>
        <v>1.0326</v>
      </c>
      <c r="Y48" s="647"/>
      <c r="Z48" s="132">
        <f>+I48</f>
        <v>898.23</v>
      </c>
      <c r="AA48" s="133" t="s">
        <v>97</v>
      </c>
      <c r="AB48" s="134">
        <f>ROUND(W48*X48*Z48,0)</f>
        <v>0</v>
      </c>
      <c r="AC48" s="138"/>
      <c r="AD48" s="9"/>
    </row>
    <row r="49" spans="2:30" ht="19.5" customHeight="1" thickBot="1" x14ac:dyDescent="0.3">
      <c r="B49" s="139" t="s">
        <v>78</v>
      </c>
      <c r="C49" s="140">
        <f>K14+K15+K18+K21+K24+K25</f>
        <v>1062.1605999999999</v>
      </c>
      <c r="D49" s="125"/>
      <c r="E49" s="125"/>
      <c r="F49" s="125"/>
      <c r="G49" s="126">
        <f>K7</f>
        <v>1.0326</v>
      </c>
      <c r="H49" s="126"/>
      <c r="I49" s="127">
        <v>900.39</v>
      </c>
      <c r="J49" s="128" t="s">
        <v>97</v>
      </c>
      <c r="K49" s="129">
        <f>ROUND(C49*G49*I49,0)</f>
        <v>987536</v>
      </c>
      <c r="L49" s="62"/>
      <c r="M49" s="112"/>
      <c r="N49" s="141"/>
      <c r="O49" s="142"/>
      <c r="P49" s="101"/>
      <c r="Q49" s="143"/>
      <c r="V49" s="144" t="s">
        <v>78</v>
      </c>
      <c r="W49" s="145">
        <f>AB14+AB15+AB18+AB21+AB24+AB25</f>
        <v>0</v>
      </c>
      <c r="X49" s="647">
        <f>AB7</f>
        <v>1.0326</v>
      </c>
      <c r="Y49" s="647"/>
      <c r="Z49" s="132">
        <f>+I49</f>
        <v>900.39</v>
      </c>
      <c r="AA49" s="133" t="s">
        <v>97</v>
      </c>
      <c r="AB49" s="134">
        <f>ROUND(W49*X49*Z49,0)</f>
        <v>0</v>
      </c>
      <c r="AC49" s="138"/>
      <c r="AD49" s="113"/>
    </row>
    <row r="50" spans="2:30" ht="24" customHeight="1" thickBot="1" x14ac:dyDescent="0.3">
      <c r="B50" s="146" t="s">
        <v>98</v>
      </c>
      <c r="C50" s="147">
        <f>SUM(C47:C49)</f>
        <v>1062.1605999999999</v>
      </c>
      <c r="D50" s="148"/>
      <c r="E50" s="149"/>
      <c r="F50" s="149"/>
      <c r="G50" s="150" t="s">
        <v>99</v>
      </c>
      <c r="H50" s="150"/>
      <c r="I50" s="150"/>
      <c r="J50" s="150"/>
      <c r="K50" s="150"/>
      <c r="L50" s="50">
        <f>IF(B2=75,0,K49+K48+K47)</f>
        <v>987536</v>
      </c>
      <c r="N50" s="3"/>
      <c r="O50" s="1"/>
      <c r="V50" s="151" t="s">
        <v>98</v>
      </c>
      <c r="W50" s="152">
        <f>SUM(W47:W49)</f>
        <v>0</v>
      </c>
      <c r="X50" s="648" t="s">
        <v>99</v>
      </c>
      <c r="Y50" s="649"/>
      <c r="Z50" s="649"/>
      <c r="AA50" s="649"/>
      <c r="AB50" s="649"/>
      <c r="AC50" s="56">
        <f>IF(V2=75,0,AB49+AB48+AB47)</f>
        <v>0</v>
      </c>
      <c r="AD50" s="9"/>
    </row>
    <row r="51" spans="2:30" ht="19.5" customHeight="1" x14ac:dyDescent="0.25">
      <c r="B51" s="153" t="s">
        <v>100</v>
      </c>
      <c r="C51" s="153"/>
      <c r="D51" s="153"/>
      <c r="E51" s="153"/>
      <c r="F51" s="153"/>
      <c r="G51" s="153"/>
      <c r="H51" s="153"/>
      <c r="I51" s="153"/>
      <c r="J51" s="153"/>
      <c r="K51" s="153"/>
      <c r="L51" s="153"/>
      <c r="M51" s="141"/>
      <c r="N51" s="101"/>
      <c r="O51" s="1"/>
      <c r="V51" s="650" t="s">
        <v>100</v>
      </c>
      <c r="W51" s="650"/>
      <c r="X51" s="650"/>
      <c r="Y51" s="650"/>
      <c r="Z51" s="650"/>
      <c r="AA51" s="650"/>
      <c r="AB51" s="650"/>
      <c r="AC51" s="650"/>
      <c r="AD51" s="154"/>
    </row>
    <row r="52" spans="2:30" ht="27.75" customHeight="1" x14ac:dyDescent="0.25">
      <c r="B52" s="13" t="s">
        <v>101</v>
      </c>
      <c r="C52" s="13"/>
      <c r="D52" s="13"/>
      <c r="E52" s="13"/>
      <c r="F52" s="13"/>
      <c r="G52" s="13"/>
      <c r="H52" s="13"/>
      <c r="I52" s="13"/>
      <c r="J52" s="13"/>
      <c r="K52" s="13"/>
      <c r="L52" s="13"/>
      <c r="O52" s="1"/>
      <c r="V52" s="651" t="s">
        <v>101</v>
      </c>
      <c r="W52" s="651"/>
      <c r="X52" s="651"/>
      <c r="Y52" s="651"/>
      <c r="Z52" s="651"/>
      <c r="AA52" s="651"/>
      <c r="AB52" s="651"/>
      <c r="AC52" s="651"/>
      <c r="AD52" s="9"/>
    </row>
    <row r="53" spans="2:30" x14ac:dyDescent="0.25">
      <c r="B53" s="13" t="s">
        <v>102</v>
      </c>
      <c r="C53" s="13"/>
      <c r="D53" s="13"/>
      <c r="E53" s="13"/>
      <c r="F53" s="13"/>
      <c r="G53" s="155">
        <f>K26</f>
        <v>1062.1605999999999</v>
      </c>
      <c r="H53" s="57" t="s">
        <v>103</v>
      </c>
      <c r="I53" s="57"/>
      <c r="J53" s="156">
        <v>197823.77</v>
      </c>
      <c r="K53" s="156"/>
      <c r="L53" s="156"/>
      <c r="N53" s="3"/>
      <c r="O53" s="1"/>
      <c r="V53" s="657" t="s">
        <v>102</v>
      </c>
      <c r="W53" s="657"/>
      <c r="X53" s="157">
        <f>AB26</f>
        <v>0</v>
      </c>
      <c r="Y53" s="658" t="s">
        <v>103</v>
      </c>
      <c r="Z53" s="658"/>
      <c r="AA53" s="659">
        <f>+J53</f>
        <v>197823.77</v>
      </c>
      <c r="AB53" s="659"/>
      <c r="AC53" s="659"/>
      <c r="AD53" s="9"/>
    </row>
    <row r="54" spans="2:30" x14ac:dyDescent="0.25">
      <c r="B54" s="13" t="s">
        <v>104</v>
      </c>
      <c r="C54" s="13"/>
      <c r="D54" s="13"/>
      <c r="E54" s="13"/>
      <c r="F54" s="13"/>
      <c r="G54" s="13"/>
      <c r="H54" s="13"/>
      <c r="I54" s="13"/>
      <c r="J54" s="13"/>
      <c r="K54" s="158">
        <f>ROUND(G53/J53,6)</f>
        <v>5.3689999999999996E-3</v>
      </c>
      <c r="L54" s="158"/>
      <c r="N54" s="101"/>
      <c r="O54" s="1"/>
      <c r="V54" s="657" t="s">
        <v>104</v>
      </c>
      <c r="W54" s="657"/>
      <c r="X54" s="657"/>
      <c r="Y54" s="657"/>
      <c r="Z54" s="657"/>
      <c r="AA54" s="657"/>
      <c r="AB54" s="660">
        <f>ROUND(X53/AA53,6)</f>
        <v>0</v>
      </c>
      <c r="AC54" s="660"/>
      <c r="AD54" s="9"/>
    </row>
    <row r="55" spans="2:30" ht="24" customHeight="1" x14ac:dyDescent="0.25">
      <c r="B55" s="13" t="s">
        <v>105</v>
      </c>
      <c r="C55" s="13"/>
      <c r="D55" s="13"/>
      <c r="E55" s="13"/>
      <c r="F55" s="13"/>
      <c r="G55" s="13"/>
      <c r="H55" s="13"/>
      <c r="I55" s="13"/>
      <c r="J55" s="13"/>
      <c r="K55" s="13"/>
      <c r="L55" s="13"/>
      <c r="O55" s="1"/>
      <c r="V55" s="651" t="s">
        <v>105</v>
      </c>
      <c r="W55" s="651"/>
      <c r="X55" s="651"/>
      <c r="Y55" s="651"/>
      <c r="Z55" s="651"/>
      <c r="AA55" s="651"/>
      <c r="AB55" s="651"/>
      <c r="AC55" s="651"/>
      <c r="AD55" s="9"/>
    </row>
    <row r="56" spans="2:30" x14ac:dyDescent="0.25">
      <c r="B56" s="13" t="s">
        <v>106</v>
      </c>
      <c r="C56" s="13"/>
      <c r="D56" s="13"/>
      <c r="E56" s="13"/>
      <c r="F56" s="13"/>
      <c r="G56" s="159">
        <f>G26</f>
        <v>1050.49</v>
      </c>
      <c r="H56" s="57" t="s">
        <v>107</v>
      </c>
      <c r="I56" s="57"/>
      <c r="J56" s="156">
        <f>+G40</f>
        <v>180284.81</v>
      </c>
      <c r="K56" s="156"/>
      <c r="L56" s="156"/>
      <c r="O56" s="1"/>
      <c r="V56" s="657" t="s">
        <v>106</v>
      </c>
      <c r="W56" s="657"/>
      <c r="X56" s="160">
        <f>X26</f>
        <v>0</v>
      </c>
      <c r="Y56" s="658" t="s">
        <v>107</v>
      </c>
      <c r="Z56" s="658"/>
      <c r="AA56" s="659">
        <f>+J56</f>
        <v>180284.81</v>
      </c>
      <c r="AB56" s="659"/>
      <c r="AC56" s="659"/>
      <c r="AD56" s="9"/>
    </row>
    <row r="57" spans="2:30" x14ac:dyDescent="0.25">
      <c r="B57" s="13" t="s">
        <v>108</v>
      </c>
      <c r="C57" s="13"/>
      <c r="D57" s="13"/>
      <c r="E57" s="13"/>
      <c r="F57" s="13"/>
      <c r="G57" s="13"/>
      <c r="H57" s="13"/>
      <c r="I57" s="13"/>
      <c r="J57" s="13"/>
      <c r="K57" s="158">
        <f>ROUND(G56/J56,6)</f>
        <v>5.8269999999999997E-3</v>
      </c>
      <c r="L57" s="158"/>
      <c r="O57" s="1"/>
      <c r="V57" s="657" t="s">
        <v>108</v>
      </c>
      <c r="W57" s="657"/>
      <c r="X57" s="657"/>
      <c r="Y57" s="657"/>
      <c r="Z57" s="657"/>
      <c r="AA57" s="657"/>
      <c r="AB57" s="660">
        <f>ROUND(X56/AA56,6)</f>
        <v>0</v>
      </c>
      <c r="AC57" s="660"/>
      <c r="AD57" s="9"/>
    </row>
    <row r="58" spans="2:30" ht="20.25" customHeight="1" x14ac:dyDescent="0.25">
      <c r="B58" s="161" t="s">
        <v>109</v>
      </c>
      <c r="C58" s="161"/>
      <c r="D58" s="161"/>
      <c r="E58" s="161"/>
      <c r="F58" s="161"/>
      <c r="G58" s="161"/>
      <c r="H58" s="161"/>
      <c r="I58" s="161"/>
      <c r="J58" s="161"/>
      <c r="K58" s="161"/>
      <c r="L58" s="161"/>
      <c r="N58" s="18"/>
      <c r="O58" s="18"/>
      <c r="V58" s="629" t="s">
        <v>110</v>
      </c>
      <c r="W58" s="629"/>
      <c r="X58" s="629"/>
      <c r="Y58" s="661">
        <f>X65+X64+X62+X61+X60</f>
        <v>4123852</v>
      </c>
      <c r="Z58" s="661"/>
      <c r="AA58" s="162" t="s">
        <v>111</v>
      </c>
      <c r="AB58" s="163">
        <f>AB54</f>
        <v>0</v>
      </c>
      <c r="AC58" s="56">
        <f>ROUND(Y58*AB58,0)</f>
        <v>0</v>
      </c>
      <c r="AD58" s="9"/>
    </row>
    <row r="59" spans="2:30" x14ac:dyDescent="0.25">
      <c r="B59" s="62" t="s">
        <v>110</v>
      </c>
      <c r="C59" s="62"/>
      <c r="D59" s="62"/>
      <c r="E59" s="62"/>
      <c r="F59" s="62"/>
      <c r="G59" s="62"/>
      <c r="H59" s="164" t="s">
        <v>22</v>
      </c>
      <c r="I59" s="129">
        <v>4123852</v>
      </c>
      <c r="J59" s="165" t="s">
        <v>111</v>
      </c>
      <c r="K59" s="166">
        <f>K54</f>
        <v>5.3689999999999996E-3</v>
      </c>
      <c r="L59" s="50">
        <f>ROUND(I59*K59,0)</f>
        <v>22141</v>
      </c>
      <c r="O59" s="1"/>
      <c r="P59" s="165"/>
      <c r="Q59" s="165"/>
      <c r="V59" s="662" t="s">
        <v>112</v>
      </c>
      <c r="W59" s="662"/>
      <c r="X59" s="662"/>
      <c r="Y59" s="662"/>
      <c r="Z59" s="662"/>
      <c r="AA59" s="662"/>
      <c r="AB59" s="662"/>
      <c r="AC59" s="662"/>
      <c r="AD59" s="9"/>
    </row>
    <row r="60" spans="2:30" x14ac:dyDescent="0.25">
      <c r="B60" s="62" t="s">
        <v>112</v>
      </c>
      <c r="C60" s="62"/>
      <c r="D60" s="62"/>
      <c r="E60" s="62"/>
      <c r="F60" s="62"/>
      <c r="G60" s="62"/>
      <c r="H60" s="62"/>
      <c r="I60" s="62"/>
      <c r="J60" s="62"/>
      <c r="K60" s="62"/>
      <c r="L60" s="62"/>
      <c r="O60" s="1"/>
      <c r="P60" s="165"/>
      <c r="Q60" s="165"/>
      <c r="V60" s="663" t="s">
        <v>113</v>
      </c>
      <c r="W60" s="663"/>
      <c r="X60" s="664">
        <f>+G61</f>
        <v>0</v>
      </c>
      <c r="Y60" s="664"/>
      <c r="Z60" s="664"/>
      <c r="AA60" s="664"/>
      <c r="AB60" s="664"/>
      <c r="AC60" s="664"/>
      <c r="AD60" s="9"/>
    </row>
    <row r="61" spans="2:30" ht="15" customHeight="1" x14ac:dyDescent="0.25">
      <c r="B61" s="167" t="s">
        <v>113</v>
      </c>
      <c r="C61" s="62"/>
      <c r="D61" s="62"/>
      <c r="E61" s="62"/>
      <c r="F61" s="62"/>
      <c r="G61" s="168">
        <v>0</v>
      </c>
      <c r="H61" s="168"/>
      <c r="I61" s="168"/>
      <c r="J61" s="168"/>
      <c r="K61" s="168"/>
      <c r="L61" s="168"/>
      <c r="O61" s="1"/>
      <c r="P61" s="165"/>
      <c r="Q61" s="165"/>
      <c r="V61" s="663" t="s">
        <v>114</v>
      </c>
      <c r="W61" s="663"/>
      <c r="X61" s="664">
        <f>+G62</f>
        <v>0</v>
      </c>
      <c r="Y61" s="664"/>
      <c r="Z61" s="664"/>
      <c r="AA61" s="664"/>
      <c r="AB61" s="664"/>
      <c r="AC61" s="664"/>
      <c r="AD61" s="9"/>
    </row>
    <row r="62" spans="2:30" ht="13.5" customHeight="1" x14ac:dyDescent="0.25">
      <c r="B62" s="167" t="s">
        <v>114</v>
      </c>
      <c r="C62" s="62"/>
      <c r="D62" s="62"/>
      <c r="E62" s="62"/>
      <c r="F62" s="62"/>
      <c r="G62" s="168">
        <v>0</v>
      </c>
      <c r="H62" s="168"/>
      <c r="I62" s="168"/>
      <c r="J62" s="168"/>
      <c r="K62" s="168"/>
      <c r="L62" s="168"/>
      <c r="N62" s="165"/>
      <c r="O62" s="165"/>
      <c r="P62" s="165"/>
      <c r="Q62" s="165"/>
      <c r="V62" s="663" t="s">
        <v>115</v>
      </c>
      <c r="W62" s="663"/>
      <c r="X62" s="664">
        <v>0</v>
      </c>
      <c r="Y62" s="664"/>
      <c r="Z62" s="664"/>
      <c r="AA62" s="664"/>
      <c r="AB62" s="664"/>
      <c r="AC62" s="664"/>
      <c r="AD62" s="9"/>
    </row>
    <row r="63" spans="2:30" ht="13.5" hidden="1" customHeight="1" x14ac:dyDescent="0.25">
      <c r="B63" s="62" t="s">
        <v>115</v>
      </c>
      <c r="C63" s="62"/>
      <c r="D63" s="62"/>
      <c r="E63" s="62"/>
      <c r="F63" s="62"/>
      <c r="G63" s="168">
        <v>0</v>
      </c>
      <c r="H63" s="168"/>
      <c r="I63" s="168"/>
      <c r="J63" s="168"/>
      <c r="K63" s="168"/>
      <c r="L63" s="168"/>
      <c r="O63" s="1"/>
      <c r="P63" s="165"/>
      <c r="Q63" s="165"/>
      <c r="V63" s="662" t="s">
        <v>116</v>
      </c>
      <c r="W63" s="662"/>
      <c r="X63" s="662"/>
      <c r="Y63" s="662"/>
      <c r="Z63" s="662"/>
      <c r="AA63" s="662"/>
      <c r="AB63" s="662"/>
      <c r="AC63" s="662"/>
      <c r="AD63" s="117"/>
    </row>
    <row r="64" spans="2:30" ht="13.5" customHeight="1" x14ac:dyDescent="0.25">
      <c r="B64" s="62" t="s">
        <v>116</v>
      </c>
      <c r="C64" s="62"/>
      <c r="D64" s="62"/>
      <c r="E64" s="62"/>
      <c r="F64" s="62"/>
      <c r="G64" s="62"/>
      <c r="H64" s="62"/>
      <c r="I64" s="62"/>
      <c r="J64" s="62"/>
      <c r="K64" s="62"/>
      <c r="L64" s="62"/>
      <c r="M64" s="116"/>
      <c r="N64" s="18"/>
      <c r="O64" s="1"/>
      <c r="V64" s="663" t="s">
        <v>117</v>
      </c>
      <c r="W64" s="663"/>
      <c r="X64" s="664">
        <f>+G65</f>
        <v>4123852</v>
      </c>
      <c r="Y64" s="664"/>
      <c r="Z64" s="664"/>
      <c r="AA64" s="664"/>
      <c r="AB64" s="664"/>
      <c r="AC64" s="664"/>
      <c r="AD64" s="9"/>
    </row>
    <row r="65" spans="1:30" ht="12.75" customHeight="1" x14ac:dyDescent="0.25">
      <c r="B65" s="167" t="s">
        <v>117</v>
      </c>
      <c r="C65" s="62"/>
      <c r="D65" s="62"/>
      <c r="E65" s="62"/>
      <c r="F65" s="62"/>
      <c r="G65" s="168">
        <f>+I59</f>
        <v>4123852</v>
      </c>
      <c r="H65" s="168"/>
      <c r="I65" s="168"/>
      <c r="J65" s="168"/>
      <c r="K65" s="168"/>
      <c r="L65" s="168"/>
      <c r="O65" s="1"/>
      <c r="V65" s="663" t="s">
        <v>118</v>
      </c>
      <c r="W65" s="663"/>
      <c r="X65" s="664">
        <f>+G66</f>
        <v>0</v>
      </c>
      <c r="Y65" s="664"/>
      <c r="Z65" s="664"/>
      <c r="AA65" s="664"/>
      <c r="AB65" s="664"/>
      <c r="AC65" s="664"/>
      <c r="AD65" s="20"/>
    </row>
    <row r="66" spans="1:30" ht="15" customHeight="1" x14ac:dyDescent="0.25">
      <c r="B66" s="167" t="s">
        <v>118</v>
      </c>
      <c r="C66" s="62"/>
      <c r="D66" s="62"/>
      <c r="E66" s="62"/>
      <c r="F66" s="62"/>
      <c r="G66" s="168">
        <v>0</v>
      </c>
      <c r="H66" s="168"/>
      <c r="I66" s="168"/>
      <c r="J66" s="168"/>
      <c r="K66" s="168"/>
      <c r="L66" s="168"/>
      <c r="M66" s="18"/>
      <c r="N66" s="3"/>
      <c r="O66" s="169"/>
      <c r="P66" s="169"/>
      <c r="Q66" s="169"/>
      <c r="V66" s="651" t="s">
        <v>119</v>
      </c>
      <c r="W66" s="651"/>
      <c r="X66" s="651"/>
      <c r="Y66" s="661">
        <f>+I67</f>
        <v>96774526</v>
      </c>
      <c r="Z66" s="661"/>
      <c r="AA66" s="162" t="s">
        <v>111</v>
      </c>
      <c r="AB66" s="163">
        <f>AB54</f>
        <v>0</v>
      </c>
      <c r="AC66" s="56">
        <f>ROUND(Y66*AB66,0)</f>
        <v>0</v>
      </c>
      <c r="AD66" s="9"/>
    </row>
    <row r="67" spans="1:30" ht="20.25" customHeight="1" x14ac:dyDescent="0.25">
      <c r="B67" s="13" t="s">
        <v>119</v>
      </c>
      <c r="C67" s="13"/>
      <c r="D67" s="13"/>
      <c r="E67" s="13"/>
      <c r="F67" s="13"/>
      <c r="H67" s="164" t="s">
        <v>25</v>
      </c>
      <c r="I67" s="129">
        <v>96774526</v>
      </c>
      <c r="J67" s="165" t="s">
        <v>111</v>
      </c>
      <c r="K67" s="166">
        <f>K54</f>
        <v>5.3689999999999996E-3</v>
      </c>
      <c r="L67" s="50">
        <f>ROUND(I67*K67,0)</f>
        <v>519582</v>
      </c>
      <c r="O67" s="1"/>
      <c r="V67" s="651" t="s">
        <v>120</v>
      </c>
      <c r="W67" s="651"/>
      <c r="X67" s="651"/>
      <c r="Y67" s="651"/>
      <c r="Z67" s="651"/>
      <c r="AA67" s="651"/>
      <c r="AB67" s="651"/>
      <c r="AC67" s="651"/>
      <c r="AD67" s="9"/>
    </row>
    <row r="68" spans="1:30" ht="20.25" customHeight="1" x14ac:dyDescent="0.25">
      <c r="B68" s="13" t="s">
        <v>120</v>
      </c>
      <c r="C68" s="13"/>
      <c r="D68" s="13"/>
      <c r="E68" s="13"/>
      <c r="F68" s="13"/>
      <c r="H68" s="13"/>
      <c r="I68" s="13"/>
      <c r="J68" s="82"/>
      <c r="K68" s="13"/>
      <c r="L68" s="13"/>
      <c r="O68" s="1"/>
      <c r="V68" s="667" t="s">
        <v>121</v>
      </c>
      <c r="W68" s="667"/>
      <c r="X68" s="667"/>
      <c r="Y68" s="661">
        <f>+I69</f>
        <v>0</v>
      </c>
      <c r="Z68" s="661"/>
      <c r="AA68" s="162" t="s">
        <v>111</v>
      </c>
      <c r="AB68" s="163">
        <f>AB57</f>
        <v>0</v>
      </c>
      <c r="AC68" s="56">
        <f>ROUND(Y68*AB68,0)</f>
        <v>0</v>
      </c>
      <c r="AD68" s="9"/>
    </row>
    <row r="69" spans="1:30" ht="15" customHeight="1" x14ac:dyDescent="0.25">
      <c r="B69" s="170" t="s">
        <v>121</v>
      </c>
      <c r="C69" s="13"/>
      <c r="D69" s="13"/>
      <c r="E69" s="13"/>
      <c r="F69" s="13"/>
      <c r="H69" s="164" t="s">
        <v>23</v>
      </c>
      <c r="I69" s="129">
        <v>0</v>
      </c>
      <c r="J69" s="165" t="s">
        <v>111</v>
      </c>
      <c r="K69" s="166">
        <f>K57</f>
        <v>5.8269999999999997E-3</v>
      </c>
      <c r="L69" s="50">
        <f>ROUND(I69*K69,0)</f>
        <v>0</v>
      </c>
      <c r="O69" s="1"/>
      <c r="V69" s="651" t="s">
        <v>122</v>
      </c>
      <c r="W69" s="651"/>
      <c r="X69" s="651"/>
      <c r="Y69" s="668">
        <f>+I70</f>
        <v>-3460775</v>
      </c>
      <c r="Z69" s="668"/>
      <c r="AA69" s="162" t="s">
        <v>111</v>
      </c>
      <c r="AB69" s="163">
        <f>AB54</f>
        <v>0</v>
      </c>
      <c r="AC69" s="56">
        <f>ROUND(Y69*AB69,0)</f>
        <v>0</v>
      </c>
      <c r="AD69" s="9"/>
    </row>
    <row r="70" spans="1:30" ht="20.25" customHeight="1" x14ac:dyDescent="0.25">
      <c r="B70" s="13" t="s">
        <v>122</v>
      </c>
      <c r="C70" s="13"/>
      <c r="D70" s="13"/>
      <c r="E70" s="13"/>
      <c r="F70" s="13"/>
      <c r="H70" s="164" t="s">
        <v>22</v>
      </c>
      <c r="I70" s="129">
        <v>-3460775</v>
      </c>
      <c r="J70" s="165" t="s">
        <v>111</v>
      </c>
      <c r="K70" s="166">
        <f>K54</f>
        <v>5.3689999999999996E-3</v>
      </c>
      <c r="L70" s="50">
        <f>ROUND(I70*K70,0)</f>
        <v>-18581</v>
      </c>
      <c r="O70" s="1"/>
      <c r="V70" s="651" t="s">
        <v>123</v>
      </c>
      <c r="W70" s="651"/>
      <c r="X70" s="651"/>
      <c r="Y70" s="665">
        <f>+I71</f>
        <v>1874788</v>
      </c>
      <c r="Z70" s="665"/>
      <c r="AA70" s="162" t="s">
        <v>111</v>
      </c>
      <c r="AB70" s="163">
        <f>AB54</f>
        <v>0</v>
      </c>
      <c r="AC70" s="56">
        <f>ROUND(Y70*AB70,0)</f>
        <v>0</v>
      </c>
      <c r="AD70" s="9"/>
    </row>
    <row r="71" spans="1:30" ht="20.25" customHeight="1" x14ac:dyDescent="0.25">
      <c r="B71" s="13" t="s">
        <v>123</v>
      </c>
      <c r="C71" s="13"/>
      <c r="D71" s="13"/>
      <c r="E71" s="13"/>
      <c r="F71" s="13"/>
      <c r="H71" s="164" t="s">
        <v>22</v>
      </c>
      <c r="I71" s="129">
        <v>1874788</v>
      </c>
      <c r="J71" s="165" t="s">
        <v>111</v>
      </c>
      <c r="K71" s="166">
        <f>K54</f>
        <v>5.3689999999999996E-3</v>
      </c>
      <c r="L71" s="50">
        <f>ROUND(I71*K71,0)</f>
        <v>10066</v>
      </c>
      <c r="O71" s="1"/>
      <c r="V71" s="651" t="s">
        <v>124</v>
      </c>
      <c r="W71" s="651"/>
      <c r="X71" s="651"/>
      <c r="Y71" s="665">
        <f>+I72</f>
        <v>14223298</v>
      </c>
      <c r="Z71" s="665"/>
      <c r="AA71" s="162" t="s">
        <v>111</v>
      </c>
      <c r="AB71" s="163">
        <f>AB57</f>
        <v>0</v>
      </c>
      <c r="AC71" s="56">
        <f>ROUND(Y71*AB71,0)</f>
        <v>0</v>
      </c>
      <c r="AD71" s="9"/>
    </row>
    <row r="72" spans="1:30" ht="21" customHeight="1" x14ac:dyDescent="0.25">
      <c r="B72" s="13" t="s">
        <v>124</v>
      </c>
      <c r="C72" s="13"/>
      <c r="D72" s="13"/>
      <c r="E72" s="13"/>
      <c r="F72" s="13"/>
      <c r="H72" s="164" t="s">
        <v>23</v>
      </c>
      <c r="I72" s="171">
        <v>14223298</v>
      </c>
      <c r="J72" s="165" t="s">
        <v>111</v>
      </c>
      <c r="K72" s="166">
        <f>K57</f>
        <v>5.8269999999999997E-3</v>
      </c>
      <c r="L72" s="50">
        <f>ROUND(I72*K72,0)</f>
        <v>82879</v>
      </c>
      <c r="O72" s="1"/>
      <c r="V72" s="623" t="s">
        <v>125</v>
      </c>
      <c r="W72" s="623"/>
      <c r="X72" s="623"/>
      <c r="Y72" s="623"/>
      <c r="Z72" s="623"/>
      <c r="AA72" s="623"/>
      <c r="AB72" s="623"/>
      <c r="AC72" s="60"/>
      <c r="AD72" s="9"/>
    </row>
    <row r="73" spans="1:30" ht="17.25" customHeight="1" x14ac:dyDescent="0.25">
      <c r="B73" s="13" t="s">
        <v>125</v>
      </c>
      <c r="C73" s="13"/>
      <c r="D73" s="13"/>
      <c r="E73" s="13"/>
      <c r="F73" s="13"/>
      <c r="H73" s="13"/>
      <c r="I73" s="13"/>
      <c r="J73" s="82"/>
      <c r="K73" s="13"/>
      <c r="L73" s="59"/>
      <c r="O73" s="1"/>
      <c r="V73" s="651" t="s">
        <v>126</v>
      </c>
      <c r="W73" s="651"/>
      <c r="X73" s="651"/>
      <c r="Y73" s="651"/>
      <c r="Z73" s="651"/>
      <c r="AA73" s="651"/>
      <c r="AB73" s="651"/>
      <c r="AC73" s="651"/>
      <c r="AD73" s="9"/>
    </row>
    <row r="74" spans="1:30" ht="31.5" x14ac:dyDescent="0.25">
      <c r="B74" s="13" t="s">
        <v>126</v>
      </c>
      <c r="C74" s="13"/>
      <c r="D74" s="27" t="s">
        <v>13</v>
      </c>
      <c r="E74" s="27" t="s">
        <v>14</v>
      </c>
      <c r="F74" s="27"/>
      <c r="H74" s="164" t="s">
        <v>26</v>
      </c>
      <c r="I74" s="172"/>
      <c r="J74" s="164"/>
      <c r="K74" s="172"/>
      <c r="L74" s="112"/>
      <c r="O74" s="1"/>
      <c r="V74" s="666" t="s">
        <v>127</v>
      </c>
      <c r="W74" s="666"/>
      <c r="X74" s="173" t="s">
        <v>128</v>
      </c>
      <c r="Y74" s="174"/>
      <c r="Z74" s="175">
        <f>+I75</f>
        <v>624.5</v>
      </c>
      <c r="AA74" s="176" t="s">
        <v>129</v>
      </c>
      <c r="AB74" s="177">
        <f>+K75</f>
        <v>361</v>
      </c>
      <c r="AC74" s="56">
        <f>ROUND(AB74*Z74,0)</f>
        <v>225445</v>
      </c>
      <c r="AD74" s="9"/>
    </row>
    <row r="75" spans="1:30" ht="19.5" customHeight="1" x14ac:dyDescent="0.25">
      <c r="A75" s="1" t="s">
        <v>130</v>
      </c>
      <c r="B75" s="178" t="s">
        <v>127</v>
      </c>
      <c r="C75" s="179" t="s">
        <v>128</v>
      </c>
      <c r="D75" s="178">
        <v>594</v>
      </c>
      <c r="E75" s="178">
        <v>655</v>
      </c>
      <c r="F75" s="178">
        <v>0</v>
      </c>
      <c r="G75" s="180">
        <f>IF(E75=0,D75,E75)</f>
        <v>655</v>
      </c>
      <c r="H75" s="181"/>
      <c r="I75" s="182">
        <f>AVERAGE(G75,D75)</f>
        <v>624.5</v>
      </c>
      <c r="J75" s="183" t="s">
        <v>129</v>
      </c>
      <c r="K75" s="184">
        <v>361</v>
      </c>
      <c r="L75" s="50">
        <f>ROUND(K75*I75,0)</f>
        <v>225445</v>
      </c>
      <c r="N75" s="1">
        <v>7802</v>
      </c>
      <c r="O75" s="1">
        <v>0</v>
      </c>
      <c r="V75" s="666" t="s">
        <v>127</v>
      </c>
      <c r="W75" s="666"/>
      <c r="X75" s="173" t="s">
        <v>131</v>
      </c>
      <c r="Y75" s="185"/>
      <c r="Z75" s="186">
        <f>+I76</f>
        <v>0</v>
      </c>
      <c r="AA75" s="176" t="s">
        <v>129</v>
      </c>
      <c r="AB75" s="187">
        <f>+K76</f>
        <v>1358</v>
      </c>
      <c r="AC75" s="56">
        <f>ROUND(AB75*Z75,0)</f>
        <v>0</v>
      </c>
      <c r="AD75" s="9"/>
    </row>
    <row r="76" spans="1:30" ht="19.5" customHeight="1" x14ac:dyDescent="0.25">
      <c r="A76" s="1" t="s">
        <v>132</v>
      </c>
      <c r="B76" s="178" t="s">
        <v>127</v>
      </c>
      <c r="C76" s="179" t="s">
        <v>131</v>
      </c>
      <c r="D76" s="178">
        <v>0</v>
      </c>
      <c r="E76" s="178">
        <v>0</v>
      </c>
      <c r="F76" s="178">
        <v>0</v>
      </c>
      <c r="G76" s="180">
        <f>IF(E76=0,D76,E76)</f>
        <v>0</v>
      </c>
      <c r="H76" s="181"/>
      <c r="I76" s="182">
        <f>AVERAGE(G76,D76)</f>
        <v>0</v>
      </c>
      <c r="J76" s="183" t="s">
        <v>129</v>
      </c>
      <c r="K76" s="188">
        <v>1358</v>
      </c>
      <c r="L76" s="50">
        <f>ROUND(K76*I76,0)</f>
        <v>0</v>
      </c>
      <c r="N76" s="1">
        <v>7802</v>
      </c>
      <c r="O76" s="1">
        <v>110</v>
      </c>
      <c r="V76" s="651" t="s">
        <v>133</v>
      </c>
      <c r="W76" s="651"/>
      <c r="X76" s="651"/>
      <c r="Y76" s="661">
        <f>+I77</f>
        <v>33305823</v>
      </c>
      <c r="Z76" s="661"/>
      <c r="AA76" s="176" t="s">
        <v>129</v>
      </c>
      <c r="AB76" s="163">
        <f>AB54</f>
        <v>0</v>
      </c>
      <c r="AC76" s="56">
        <f>ROUND(Y76*AB76,0)</f>
        <v>0</v>
      </c>
      <c r="AD76" s="9"/>
    </row>
    <row r="77" spans="1:30" ht="26.25" customHeight="1" x14ac:dyDescent="0.25">
      <c r="B77" s="13" t="s">
        <v>133</v>
      </c>
      <c r="C77" s="13"/>
      <c r="D77" s="13"/>
      <c r="E77" s="13"/>
      <c r="F77" s="13"/>
      <c r="H77" s="164" t="s">
        <v>134</v>
      </c>
      <c r="I77" s="189">
        <v>33305823</v>
      </c>
      <c r="J77" s="165" t="s">
        <v>111</v>
      </c>
      <c r="K77" s="166">
        <f>K54</f>
        <v>5.3689999999999996E-3</v>
      </c>
      <c r="L77" s="50">
        <f>ROUND(I77*K77,0)</f>
        <v>178819</v>
      </c>
      <c r="O77" s="1"/>
      <c r="V77" s="651" t="str">
        <f>+B78</f>
        <v>15.  Additional Allocation (WFTE share)</v>
      </c>
      <c r="W77" s="651"/>
      <c r="X77" s="651"/>
      <c r="Y77" s="661">
        <f>+I78</f>
        <v>680688</v>
      </c>
      <c r="Z77" s="661"/>
      <c r="AA77" s="176" t="s">
        <v>129</v>
      </c>
      <c r="AB77" s="163">
        <f>AB54</f>
        <v>0</v>
      </c>
      <c r="AC77" s="56">
        <f>ROUND(Y77*AB77,0)</f>
        <v>0</v>
      </c>
      <c r="AD77" s="9"/>
    </row>
    <row r="78" spans="1:30" ht="26.25" customHeight="1" x14ac:dyDescent="0.25">
      <c r="B78" s="669" t="s">
        <v>135</v>
      </c>
      <c r="C78" s="669"/>
      <c r="D78" s="669"/>
      <c r="E78" s="13"/>
      <c r="F78" s="13"/>
      <c r="H78" s="164" t="s">
        <v>136</v>
      </c>
      <c r="I78" s="190">
        <v>680688</v>
      </c>
      <c r="J78" s="165" t="s">
        <v>111</v>
      </c>
      <c r="K78" s="166">
        <f>K54</f>
        <v>5.3689999999999996E-3</v>
      </c>
      <c r="L78" s="50">
        <f>ROUND(I78*K78,0)</f>
        <v>3655</v>
      </c>
      <c r="O78" s="1"/>
      <c r="V78" s="651" t="str">
        <f t="shared" ref="V78:V79" si="11">+B79</f>
        <v>16.  Florida Teachers Lead Program Stipend</v>
      </c>
      <c r="W78" s="651"/>
      <c r="X78" s="651"/>
      <c r="Y78" s="191"/>
      <c r="Z78" s="191"/>
      <c r="AA78" s="191"/>
      <c r="AB78" s="191"/>
      <c r="AC78" s="134"/>
      <c r="AD78" s="9"/>
    </row>
    <row r="79" spans="1:30" ht="21" customHeight="1" x14ac:dyDescent="0.25">
      <c r="B79" s="669" t="s">
        <v>137</v>
      </c>
      <c r="C79" s="669"/>
      <c r="D79" s="669"/>
      <c r="E79" s="13"/>
      <c r="F79" s="13"/>
      <c r="H79" s="164"/>
      <c r="I79" s="172"/>
      <c r="J79" s="172"/>
      <c r="K79" s="172"/>
      <c r="L79" s="129"/>
      <c r="N79" s="192"/>
      <c r="O79" s="1"/>
      <c r="Q79" s="164"/>
      <c r="V79" s="651" t="str">
        <f t="shared" si="11"/>
        <v>17.  Food Service Allocation</v>
      </c>
      <c r="W79" s="651"/>
      <c r="X79" s="651"/>
      <c r="Y79" s="191"/>
      <c r="Z79" s="191"/>
      <c r="AA79" s="191"/>
      <c r="AB79" s="191"/>
      <c r="AC79" s="193"/>
      <c r="AD79" s="9"/>
    </row>
    <row r="80" spans="1:30" ht="21" customHeight="1" x14ac:dyDescent="0.25">
      <c r="B80" s="669" t="s">
        <v>138</v>
      </c>
      <c r="C80" s="669"/>
      <c r="D80" s="669"/>
      <c r="E80" s="13"/>
      <c r="F80" s="13"/>
      <c r="H80" s="194" t="s">
        <v>139</v>
      </c>
      <c r="I80" s="195"/>
      <c r="J80" s="195"/>
      <c r="K80" s="195"/>
      <c r="L80" s="196"/>
      <c r="N80" s="197"/>
      <c r="O80" s="1"/>
      <c r="Q80" s="164"/>
      <c r="V80" s="191"/>
      <c r="W80" s="191"/>
      <c r="X80" s="191"/>
      <c r="Y80" s="191"/>
      <c r="Z80" s="191"/>
      <c r="AA80" s="191"/>
      <c r="AB80" s="191"/>
      <c r="AC80" s="193"/>
      <c r="AD80" s="9"/>
    </row>
    <row r="81" spans="1:30" ht="21" customHeight="1" thickBot="1" x14ac:dyDescent="0.3">
      <c r="B81" s="13"/>
      <c r="C81" s="13"/>
      <c r="D81" s="13"/>
      <c r="E81" s="13"/>
      <c r="F81" s="13"/>
      <c r="G81" s="13"/>
      <c r="H81" s="13"/>
      <c r="I81" s="13"/>
      <c r="J81" s="13"/>
      <c r="K81" s="13"/>
      <c r="L81" s="196"/>
      <c r="M81" s="198"/>
      <c r="N81" s="197"/>
      <c r="O81" s="1"/>
      <c r="Q81" s="164"/>
      <c r="V81" s="191" t="s">
        <v>140</v>
      </c>
      <c r="W81" s="191"/>
      <c r="X81" s="191"/>
      <c r="Y81" s="191"/>
      <c r="Z81" s="191"/>
      <c r="AA81" s="191"/>
      <c r="AB81" s="191"/>
      <c r="AC81" s="199">
        <f>SUM(AC44:AC80)</f>
        <v>225445</v>
      </c>
      <c r="AD81" s="200"/>
    </row>
    <row r="82" spans="1:30" ht="22.5" customHeight="1" thickTop="1" thickBot="1" x14ac:dyDescent="0.3">
      <c r="B82" s="13" t="s">
        <v>141</v>
      </c>
      <c r="C82" s="13"/>
      <c r="D82" s="13"/>
      <c r="E82" s="13"/>
      <c r="F82" s="13"/>
      <c r="G82" s="13"/>
      <c r="H82" s="13"/>
      <c r="I82" s="13"/>
      <c r="J82" s="13"/>
      <c r="K82" s="13"/>
      <c r="L82" s="201">
        <f>SUM(L44:L81)</f>
        <v>6395027</v>
      </c>
      <c r="M82" s="202"/>
      <c r="N82" s="203"/>
      <c r="O82" s="1"/>
      <c r="Q82" s="164"/>
      <c r="V82" s="191"/>
      <c r="W82" s="191"/>
      <c r="X82" s="191"/>
      <c r="Y82" s="191"/>
      <c r="Z82" s="191"/>
      <c r="AA82" s="191"/>
      <c r="AB82" s="191"/>
      <c r="AC82" s="204"/>
      <c r="AD82" s="200"/>
    </row>
    <row r="83" spans="1:30" ht="27.75" customHeight="1" thickTop="1" x14ac:dyDescent="0.25">
      <c r="B83" s="13" t="s">
        <v>142</v>
      </c>
      <c r="C83" s="13"/>
      <c r="D83" s="13"/>
      <c r="E83" s="13"/>
      <c r="F83" s="13"/>
      <c r="G83" s="13"/>
      <c r="H83" s="13"/>
      <c r="I83" s="13"/>
      <c r="J83" s="13"/>
      <c r="K83" s="82" t="s">
        <v>143</v>
      </c>
      <c r="L83" s="205" t="s">
        <v>144</v>
      </c>
      <c r="M83" s="202"/>
      <c r="N83" s="203"/>
      <c r="O83" s="1"/>
      <c r="Q83" s="164"/>
      <c r="V83" s="9" t="s">
        <v>145</v>
      </c>
      <c r="W83" s="9"/>
      <c r="X83" s="9"/>
      <c r="Y83" s="9"/>
      <c r="Z83" s="9"/>
      <c r="AA83" s="9"/>
      <c r="AB83" s="9"/>
      <c r="AC83" s="9"/>
      <c r="AD83" s="206"/>
    </row>
    <row r="84" spans="1:30" ht="18.75" customHeight="1" thickBot="1" x14ac:dyDescent="0.3">
      <c r="B84" s="13" t="s">
        <v>146</v>
      </c>
      <c r="C84" s="13"/>
      <c r="D84" s="13"/>
      <c r="E84" s="13"/>
      <c r="F84" s="13"/>
      <c r="G84" s="13"/>
      <c r="H84" s="13"/>
      <c r="I84" s="13"/>
      <c r="J84" s="13"/>
      <c r="K84" s="207" t="str">
        <f>IF(G26=0,"",IF((G11+G13+SUM(G15:G21))/G26&gt;0.75,1,""))</f>
        <v/>
      </c>
      <c r="L84" s="201">
        <f>'3396'!AC81</f>
        <v>225445</v>
      </c>
      <c r="M84" s="202"/>
      <c r="N84" s="203"/>
      <c r="O84" s="1"/>
      <c r="Q84" s="164"/>
      <c r="V84" s="208" t="s">
        <v>147</v>
      </c>
      <c r="W84" s="208"/>
      <c r="X84" s="208"/>
      <c r="Y84" s="208"/>
      <c r="Z84" s="208"/>
      <c r="AA84" s="208"/>
      <c r="AB84" s="208"/>
      <c r="AC84" s="208"/>
      <c r="AD84" s="9"/>
    </row>
    <row r="85" spans="1:30" ht="18.75" customHeight="1" thickTop="1" x14ac:dyDescent="0.25">
      <c r="B85" s="13"/>
      <c r="C85" s="13"/>
      <c r="D85" s="13"/>
      <c r="E85" s="13"/>
      <c r="F85" s="13"/>
      <c r="G85" s="13"/>
      <c r="H85" s="13"/>
      <c r="I85" s="13"/>
      <c r="J85" s="13"/>
      <c r="M85" s="202"/>
      <c r="N85" s="203"/>
      <c r="O85" s="1"/>
      <c r="Q85" s="164"/>
      <c r="V85" s="208" t="s">
        <v>148</v>
      </c>
      <c r="W85" s="208"/>
      <c r="X85" s="208"/>
      <c r="Y85" s="208"/>
      <c r="Z85" s="208"/>
      <c r="AA85" s="208"/>
      <c r="AB85" s="208"/>
      <c r="AC85" s="208"/>
      <c r="AD85" s="206"/>
    </row>
    <row r="86" spans="1:30" ht="18.75" customHeight="1" x14ac:dyDescent="0.25">
      <c r="B86" s="2" t="s">
        <v>421</v>
      </c>
      <c r="C86" s="13"/>
      <c r="D86" s="13"/>
      <c r="E86" s="13"/>
      <c r="F86" s="13"/>
      <c r="G86" s="13"/>
      <c r="H86" s="13"/>
      <c r="I86" s="13"/>
      <c r="J86" s="209" t="s">
        <v>150</v>
      </c>
      <c r="K86" s="210">
        <f>IF(K84=1,L84,L82)</f>
        <v>6395027</v>
      </c>
      <c r="L86" s="211">
        <f>IF(G26=0,0,IF(G26&gt;250,-(((250/G26)*K86)*IF(M86="H",0.02,0.05)),IF(M86="H",-0.02*K86,-0.05*K86)))</f>
        <v>-30438.304981484835</v>
      </c>
      <c r="M86" s="212" t="s">
        <v>417</v>
      </c>
      <c r="N86" s="203"/>
      <c r="O86" s="1"/>
      <c r="Q86" s="164"/>
      <c r="V86" s="208" t="s">
        <v>151</v>
      </c>
      <c r="W86" s="208"/>
      <c r="X86" s="208"/>
      <c r="Y86" s="208"/>
      <c r="Z86" s="208"/>
      <c r="AA86" s="208"/>
      <c r="AB86" s="208"/>
      <c r="AC86" s="208"/>
      <c r="AD86" s="206"/>
    </row>
    <row r="87" spans="1:30" ht="18.75" customHeight="1" x14ac:dyDescent="0.25">
      <c r="B87" s="2" t="s">
        <v>152</v>
      </c>
      <c r="C87" s="13"/>
      <c r="D87" s="13"/>
      <c r="E87" s="13"/>
      <c r="F87" s="13"/>
      <c r="G87" s="13"/>
      <c r="H87" s="13"/>
      <c r="I87" s="13"/>
      <c r="J87" s="13"/>
      <c r="K87" s="213"/>
      <c r="L87" s="205">
        <f>L82+L86</f>
        <v>6364588.695018515</v>
      </c>
      <c r="M87" s="202"/>
      <c r="N87" s="203"/>
      <c r="O87" s="1"/>
      <c r="Q87" s="164"/>
      <c r="V87" s="198"/>
      <c r="W87" s="198"/>
      <c r="X87" s="198"/>
      <c r="Y87" s="198"/>
      <c r="Z87" s="198"/>
      <c r="AA87" s="198"/>
      <c r="AB87" s="198"/>
      <c r="AC87" s="198"/>
      <c r="AD87" s="214"/>
    </row>
    <row r="88" spans="1:30" x14ac:dyDescent="0.25">
      <c r="V88" s="198"/>
      <c r="W88" s="198"/>
      <c r="X88" s="198"/>
      <c r="Y88" s="198"/>
      <c r="Z88" s="198"/>
      <c r="AA88" s="198"/>
      <c r="AB88" s="198"/>
      <c r="AC88" s="198"/>
      <c r="AD88" s="215"/>
    </row>
    <row r="89" spans="1:30" ht="18.75" customHeight="1" x14ac:dyDescent="0.25">
      <c r="A89" s="1" t="s">
        <v>153</v>
      </c>
      <c r="B89" s="13" t="s">
        <v>154</v>
      </c>
      <c r="C89" s="13"/>
      <c r="D89" s="13">
        <v>3210597</v>
      </c>
      <c r="E89" s="13">
        <v>516285</v>
      </c>
      <c r="F89" s="13">
        <v>5298651</v>
      </c>
      <c r="G89" s="13"/>
      <c r="H89" s="13"/>
      <c r="I89" s="13"/>
      <c r="J89" s="13"/>
      <c r="K89" s="213"/>
      <c r="L89" s="84">
        <f>-F89-533508</f>
        <v>-5832159</v>
      </c>
      <c r="M89" s="202"/>
      <c r="N89" s="203"/>
      <c r="O89" s="1"/>
      <c r="Q89" s="164"/>
      <c r="V89" s="198">
        <v>2801</v>
      </c>
      <c r="W89" s="198"/>
      <c r="X89" s="198"/>
      <c r="Y89" s="198"/>
      <c r="Z89" s="198"/>
      <c r="AA89" s="198"/>
      <c r="AB89" s="198"/>
      <c r="AC89" s="198"/>
      <c r="AD89" s="214"/>
    </row>
    <row r="90" spans="1:30" ht="18.75" customHeight="1" x14ac:dyDescent="0.25">
      <c r="B90" s="13" t="s">
        <v>155</v>
      </c>
      <c r="C90" s="13"/>
      <c r="D90" s="13"/>
      <c r="E90" s="13"/>
      <c r="F90" s="13"/>
      <c r="G90" s="13"/>
      <c r="H90" s="13"/>
      <c r="I90" s="13"/>
      <c r="J90" s="13"/>
      <c r="K90" s="213"/>
      <c r="L90" s="205">
        <f>L87+L89</f>
        <v>532429.69501851499</v>
      </c>
      <c r="M90" s="202"/>
      <c r="N90" s="203"/>
      <c r="O90" s="1"/>
      <c r="Q90" s="164"/>
      <c r="V90" s="198">
        <v>2911</v>
      </c>
      <c r="W90" s="216"/>
      <c r="X90" s="216"/>
      <c r="Y90" s="216"/>
      <c r="Z90" s="216"/>
      <c r="AA90" s="216"/>
      <c r="AB90" s="216"/>
      <c r="AC90" s="216"/>
      <c r="AD90" s="214"/>
    </row>
    <row r="91" spans="1:30" ht="18.75" customHeight="1" x14ac:dyDescent="0.25">
      <c r="B91" s="13" t="s">
        <v>156</v>
      </c>
      <c r="C91" s="13"/>
      <c r="D91" s="13"/>
      <c r="E91" s="13"/>
      <c r="F91" s="13"/>
      <c r="G91" s="13"/>
      <c r="H91" s="13"/>
      <c r="I91" s="13"/>
      <c r="J91" s="13"/>
      <c r="K91" s="213"/>
      <c r="L91" s="205">
        <v>1</v>
      </c>
      <c r="M91" s="202"/>
      <c r="N91" s="203"/>
      <c r="O91" s="1"/>
      <c r="Q91" s="164"/>
      <c r="V91" s="198">
        <v>3382</v>
      </c>
      <c r="W91" s="216"/>
      <c r="X91" s="216"/>
      <c r="Y91" s="216"/>
      <c r="Z91" s="216"/>
      <c r="AA91" s="216"/>
      <c r="AB91" s="216"/>
      <c r="AC91" s="216"/>
      <c r="AD91" s="214"/>
    </row>
    <row r="92" spans="1:30" ht="18.75" customHeight="1" thickBot="1" x14ac:dyDescent="0.3">
      <c r="B92" s="13" t="s">
        <v>157</v>
      </c>
      <c r="C92" s="13"/>
      <c r="D92" s="13"/>
      <c r="E92" s="13"/>
      <c r="F92" s="13"/>
      <c r="G92" s="13"/>
      <c r="H92" s="13"/>
      <c r="I92" s="13"/>
      <c r="J92" s="13"/>
      <c r="K92" s="213"/>
      <c r="L92" s="217">
        <f>L90/L91</f>
        <v>532429.69501851499</v>
      </c>
      <c r="M92" s="202"/>
      <c r="N92" s="203"/>
      <c r="O92" s="1"/>
      <c r="Q92" s="164"/>
      <c r="V92" s="218"/>
      <c r="W92" s="218"/>
      <c r="X92" s="218"/>
      <c r="Y92" s="218"/>
      <c r="Z92" s="218"/>
      <c r="AA92" s="218"/>
      <c r="AB92" s="218"/>
      <c r="AC92" s="218"/>
      <c r="AD92" s="219"/>
    </row>
    <row r="93" spans="1:30" ht="18.75" customHeight="1" thickTop="1" x14ac:dyDescent="0.25">
      <c r="N93" s="219"/>
      <c r="O93" s="220"/>
      <c r="P93" s="219"/>
      <c r="Q93" s="219"/>
      <c r="V93" s="218"/>
      <c r="W93" s="218"/>
      <c r="X93" s="218"/>
      <c r="Y93" s="218"/>
      <c r="Z93" s="218"/>
      <c r="AA93" s="218"/>
      <c r="AB93" s="218"/>
      <c r="AC93" s="218"/>
      <c r="AD93" s="214"/>
    </row>
    <row r="94" spans="1:30" ht="18.75" customHeight="1" thickBot="1" x14ac:dyDescent="0.3">
      <c r="B94" s="221" t="s">
        <v>158</v>
      </c>
      <c r="C94" s="13"/>
      <c r="D94" s="13"/>
      <c r="E94" s="13"/>
      <c r="G94" s="13"/>
      <c r="H94" s="13"/>
      <c r="I94" s="13"/>
      <c r="J94" s="13"/>
      <c r="L94" s="222">
        <f>IF(M86="H",(K86*0.02)+L86,(K86*0.05)+L86)</f>
        <v>97462.235018515174</v>
      </c>
      <c r="M94" s="202"/>
      <c r="V94" s="223"/>
      <c r="W94" s="223"/>
      <c r="X94" s="223"/>
      <c r="Y94" s="223"/>
      <c r="Z94" s="223"/>
      <c r="AA94" s="223"/>
      <c r="AB94" s="223"/>
      <c r="AC94" s="223"/>
      <c r="AD94" s="214"/>
    </row>
    <row r="95" spans="1:30" ht="21.75" customHeight="1" thickTop="1" x14ac:dyDescent="0.25">
      <c r="B95" s="224" t="s">
        <v>159</v>
      </c>
      <c r="C95" s="224"/>
      <c r="D95" s="224"/>
      <c r="E95" s="224"/>
      <c r="F95" s="224"/>
      <c r="G95" s="224"/>
      <c r="H95" s="224"/>
      <c r="I95" s="224"/>
      <c r="J95" s="224"/>
      <c r="K95" s="224"/>
      <c r="L95" s="224"/>
      <c r="M95" s="219"/>
      <c r="V95" s="223"/>
      <c r="W95" s="223"/>
      <c r="X95" s="223"/>
      <c r="Y95" s="223"/>
      <c r="Z95" s="223"/>
      <c r="AA95" s="223"/>
      <c r="AB95" s="223"/>
      <c r="AC95" s="223"/>
      <c r="AD95" s="214"/>
    </row>
    <row r="96" spans="1:30" x14ac:dyDescent="0.25">
      <c r="B96" s="225"/>
      <c r="V96" s="223"/>
      <c r="W96" s="223"/>
      <c r="X96" s="223"/>
      <c r="Y96" s="223"/>
      <c r="Z96" s="223"/>
      <c r="AA96" s="223"/>
      <c r="AB96" s="223"/>
      <c r="AC96" s="223"/>
      <c r="AD96" s="219"/>
    </row>
    <row r="97" spans="2:30" x14ac:dyDescent="0.25">
      <c r="B97" s="225"/>
      <c r="V97" s="223"/>
      <c r="W97" s="223"/>
      <c r="X97" s="223"/>
      <c r="Y97" s="223"/>
      <c r="Z97" s="223"/>
      <c r="AA97" s="223"/>
      <c r="AB97" s="223"/>
      <c r="AC97" s="223"/>
      <c r="AD97" s="219"/>
    </row>
    <row r="98" spans="2:30" hidden="1" x14ac:dyDescent="0.25">
      <c r="B98" s="226" t="s">
        <v>160</v>
      </c>
      <c r="C98" s="227"/>
      <c r="V98" s="228"/>
      <c r="W98" s="228"/>
      <c r="X98" s="228"/>
      <c r="Y98" s="228"/>
      <c r="Z98" s="228"/>
      <c r="AA98" s="228"/>
      <c r="AB98" s="228"/>
      <c r="AC98" s="228"/>
    </row>
    <row r="99" spans="2:30" hidden="1" x14ac:dyDescent="0.25">
      <c r="B99" s="229"/>
      <c r="C99" s="227"/>
      <c r="V99" s="225"/>
      <c r="W99" s="13"/>
      <c r="X99" s="13"/>
      <c r="Y99" s="13"/>
      <c r="Z99" s="13"/>
      <c r="AA99" s="13"/>
      <c r="AB99" s="13"/>
      <c r="AC99" s="13"/>
    </row>
    <row r="100" spans="2:30" hidden="1" x14ac:dyDescent="0.25">
      <c r="B100" s="230" t="s">
        <v>161</v>
      </c>
      <c r="C100" s="226" t="s">
        <v>162</v>
      </c>
      <c r="V100" s="225"/>
    </row>
    <row r="101" spans="2:30" hidden="1" x14ac:dyDescent="0.25">
      <c r="B101" s="230" t="s">
        <v>163</v>
      </c>
      <c r="C101" s="226" t="s">
        <v>164</v>
      </c>
      <c r="V101" s="225"/>
    </row>
    <row r="102" spans="2:30" hidden="1" x14ac:dyDescent="0.25">
      <c r="B102" s="230" t="s">
        <v>165</v>
      </c>
      <c r="C102" s="226" t="s">
        <v>166</v>
      </c>
      <c r="V102" s="225"/>
      <c r="W102" s="231"/>
      <c r="X102" s="231"/>
      <c r="Y102" s="231"/>
      <c r="Z102" s="231"/>
      <c r="AA102" s="231"/>
      <c r="AB102" s="231"/>
      <c r="AC102" s="231"/>
      <c r="AD102" s="231"/>
    </row>
    <row r="103" spans="2:30" hidden="1" x14ac:dyDescent="0.25">
      <c r="B103" s="230" t="s">
        <v>167</v>
      </c>
      <c r="C103" s="226" t="s">
        <v>168</v>
      </c>
      <c r="V103" s="225"/>
    </row>
    <row r="104" spans="2:30" hidden="1" x14ac:dyDescent="0.25">
      <c r="B104" s="232"/>
      <c r="C104" s="226" t="s">
        <v>169</v>
      </c>
      <c r="V104" s="225"/>
    </row>
    <row r="105" spans="2:30" hidden="1" x14ac:dyDescent="0.25">
      <c r="B105" s="230" t="s">
        <v>170</v>
      </c>
      <c r="C105" s="226" t="s">
        <v>171</v>
      </c>
      <c r="V105" s="225"/>
    </row>
    <row r="106" spans="2:30" hidden="1" x14ac:dyDescent="0.25">
      <c r="B106" s="230" t="s">
        <v>172</v>
      </c>
      <c r="C106" s="226" t="s">
        <v>173</v>
      </c>
      <c r="V106" s="225"/>
    </row>
    <row r="107" spans="2:30" hidden="1" x14ac:dyDescent="0.25">
      <c r="B107" s="230" t="s">
        <v>286</v>
      </c>
      <c r="C107" s="226" t="s">
        <v>175</v>
      </c>
      <c r="V107" s="225"/>
    </row>
    <row r="108" spans="2:30" hidden="1" x14ac:dyDescent="0.25">
      <c r="B108" s="230" t="s">
        <v>176</v>
      </c>
      <c r="C108" s="226" t="s">
        <v>177</v>
      </c>
      <c r="V108" s="225"/>
    </row>
    <row r="109" spans="2:30" hidden="1" x14ac:dyDescent="0.25">
      <c r="B109" s="230" t="s">
        <v>178</v>
      </c>
      <c r="C109" s="226" t="s">
        <v>179</v>
      </c>
      <c r="V109" s="225"/>
    </row>
    <row r="110" spans="2:30" hidden="1" x14ac:dyDescent="0.25">
      <c r="B110" s="232"/>
      <c r="C110" s="226"/>
      <c r="V110" s="225"/>
    </row>
    <row r="111" spans="2:30" hidden="1" x14ac:dyDescent="0.25">
      <c r="B111" s="230" t="s">
        <v>180</v>
      </c>
      <c r="C111" s="226" t="s">
        <v>181</v>
      </c>
      <c r="V111" s="225"/>
    </row>
    <row r="112" spans="2:30" hidden="1" x14ac:dyDescent="0.25">
      <c r="B112" s="230" t="s">
        <v>180</v>
      </c>
      <c r="C112" s="226" t="s">
        <v>182</v>
      </c>
    </row>
    <row r="113" spans="2:3" hidden="1" x14ac:dyDescent="0.25">
      <c r="B113" s="230" t="s">
        <v>183</v>
      </c>
      <c r="C113" s="226" t="s">
        <v>184</v>
      </c>
    </row>
    <row r="114" spans="2:3" hidden="1" x14ac:dyDescent="0.25">
      <c r="B114" s="230" t="s">
        <v>185</v>
      </c>
      <c r="C114" s="226" t="s">
        <v>186</v>
      </c>
    </row>
    <row r="115" spans="2:3" hidden="1" x14ac:dyDescent="0.25">
      <c r="B115" s="230" t="s">
        <v>183</v>
      </c>
      <c r="C115" s="226" t="s">
        <v>187</v>
      </c>
    </row>
    <row r="116" spans="2:3" hidden="1" x14ac:dyDescent="0.25">
      <c r="B116" s="230" t="s">
        <v>188</v>
      </c>
      <c r="C116" s="226" t="s">
        <v>189</v>
      </c>
    </row>
    <row r="117" spans="2:3" hidden="1" x14ac:dyDescent="0.25">
      <c r="B117" s="230" t="s">
        <v>190</v>
      </c>
      <c r="C117" s="226" t="s">
        <v>191</v>
      </c>
    </row>
    <row r="118" spans="2:3" hidden="1" x14ac:dyDescent="0.25">
      <c r="B118" s="232" t="s">
        <v>192</v>
      </c>
      <c r="C118" s="226" t="s">
        <v>193</v>
      </c>
    </row>
    <row r="119" spans="2:3" hidden="1" x14ac:dyDescent="0.25">
      <c r="B119" s="232"/>
      <c r="C119" s="226"/>
    </row>
    <row r="120" spans="2:3" hidden="1" x14ac:dyDescent="0.25">
      <c r="B120" s="230" t="s">
        <v>161</v>
      </c>
      <c r="C120" s="226" t="s">
        <v>194</v>
      </c>
    </row>
    <row r="121" spans="2:3" hidden="1" x14ac:dyDescent="0.25">
      <c r="B121" s="230" t="s">
        <v>195</v>
      </c>
      <c r="C121" s="226" t="s">
        <v>196</v>
      </c>
    </row>
    <row r="122" spans="2:3" hidden="1" x14ac:dyDescent="0.25">
      <c r="B122" s="230" t="s">
        <v>197</v>
      </c>
      <c r="C122" s="226" t="s">
        <v>198</v>
      </c>
    </row>
    <row r="123" spans="2:3" hidden="1" x14ac:dyDescent="0.25">
      <c r="B123" s="230" t="s">
        <v>287</v>
      </c>
      <c r="C123" s="226" t="s">
        <v>200</v>
      </c>
    </row>
    <row r="124" spans="2:3" hidden="1" x14ac:dyDescent="0.25">
      <c r="B124" s="230" t="s">
        <v>288</v>
      </c>
      <c r="C124" s="226" t="s">
        <v>202</v>
      </c>
    </row>
    <row r="125" spans="2:3" hidden="1" x14ac:dyDescent="0.25">
      <c r="B125" s="230" t="s">
        <v>203</v>
      </c>
      <c r="C125" s="226" t="s">
        <v>204</v>
      </c>
    </row>
    <row r="126" spans="2:3" hidden="1" x14ac:dyDescent="0.25">
      <c r="B126" s="230" t="s">
        <v>203</v>
      </c>
      <c r="C126" s="226" t="s">
        <v>205</v>
      </c>
    </row>
    <row r="127" spans="2:3" hidden="1" x14ac:dyDescent="0.25">
      <c r="B127" s="230" t="s">
        <v>203</v>
      </c>
      <c r="C127" s="226" t="s">
        <v>206</v>
      </c>
    </row>
    <row r="128" spans="2:3" hidden="1" x14ac:dyDescent="0.25">
      <c r="B128" s="230" t="s">
        <v>203</v>
      </c>
      <c r="C128" s="226" t="s">
        <v>207</v>
      </c>
    </row>
    <row r="129" spans="2:3" hidden="1" x14ac:dyDescent="0.25">
      <c r="B129" s="230" t="s">
        <v>167</v>
      </c>
      <c r="C129" s="226" t="s">
        <v>208</v>
      </c>
    </row>
    <row r="130" spans="2:3" hidden="1" x14ac:dyDescent="0.25">
      <c r="B130" s="230" t="s">
        <v>209</v>
      </c>
      <c r="C130" s="226" t="s">
        <v>210</v>
      </c>
    </row>
    <row r="131" spans="2:3" hidden="1" x14ac:dyDescent="0.25">
      <c r="B131" s="230" t="s">
        <v>203</v>
      </c>
      <c r="C131" s="226" t="s">
        <v>211</v>
      </c>
    </row>
    <row r="132" spans="2:3" hidden="1" x14ac:dyDescent="0.25">
      <c r="B132" s="226"/>
      <c r="C132" s="226"/>
    </row>
    <row r="133" spans="2:3" hidden="1" x14ac:dyDescent="0.25">
      <c r="B133" s="226"/>
      <c r="C133" s="226"/>
    </row>
    <row r="134" spans="2:3" hidden="1" x14ac:dyDescent="0.25">
      <c r="B134" s="232"/>
      <c r="C134" s="232"/>
    </row>
    <row r="135" spans="2:3" hidden="1" x14ac:dyDescent="0.25">
      <c r="B135" s="232">
        <f>NvsElapsedTime</f>
        <v>1.15740767796524E-5</v>
      </c>
      <c r="C135" s="232"/>
    </row>
    <row r="136" spans="2:3" hidden="1" x14ac:dyDescent="0.25">
      <c r="B136" s="233">
        <f>NvsEndTime</f>
        <v>41754.487962963001</v>
      </c>
      <c r="C136" s="233" t="s">
        <v>212</v>
      </c>
    </row>
    <row r="137" spans="2:3" x14ac:dyDescent="0.25">
      <c r="B137" s="226"/>
      <c r="C137" s="234"/>
    </row>
    <row r="138" spans="2:3" x14ac:dyDescent="0.25">
      <c r="B138" s="226"/>
      <c r="C138" s="226"/>
    </row>
    <row r="139" spans="2:3" x14ac:dyDescent="0.25">
      <c r="B139" s="226"/>
      <c r="C139" s="226"/>
    </row>
    <row r="140" spans="2:3" x14ac:dyDescent="0.25">
      <c r="B140" s="226"/>
      <c r="C140" s="226"/>
    </row>
    <row r="141" spans="2:3" x14ac:dyDescent="0.25">
      <c r="B141" s="226"/>
      <c r="C141" s="226"/>
    </row>
    <row r="142" spans="2:3" x14ac:dyDescent="0.25">
      <c r="B142" s="226"/>
      <c r="C142" s="226"/>
    </row>
    <row r="143" spans="2:3" x14ac:dyDescent="0.25">
      <c r="B143" s="226"/>
      <c r="C143" s="226"/>
    </row>
    <row r="144" spans="2:3" x14ac:dyDescent="0.25">
      <c r="B144" s="226"/>
      <c r="C144" s="226"/>
    </row>
    <row r="145" spans="2:3" x14ac:dyDescent="0.25">
      <c r="B145" s="226"/>
      <c r="C145" s="226"/>
    </row>
    <row r="146" spans="2:3" x14ac:dyDescent="0.25">
      <c r="B146" s="226"/>
      <c r="C146" s="226"/>
    </row>
    <row r="147" spans="2:3" x14ac:dyDescent="0.25">
      <c r="B147" s="226"/>
      <c r="C147" s="226"/>
    </row>
    <row r="148" spans="2:3" x14ac:dyDescent="0.25">
      <c r="B148" s="226"/>
      <c r="C148" s="226"/>
    </row>
    <row r="149" spans="2:3" x14ac:dyDescent="0.25">
      <c r="B149" s="226"/>
      <c r="C149" s="226"/>
    </row>
    <row r="150" spans="2:3" x14ac:dyDescent="0.25">
      <c r="B150" s="226"/>
      <c r="C150" s="226"/>
    </row>
    <row r="151" spans="2:3" x14ac:dyDescent="0.25">
      <c r="B151" s="226"/>
      <c r="C151" s="226"/>
    </row>
  </sheetData>
  <mergeCells count="151">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9:W9"/>
    <mergeCell ref="X9:Y9"/>
    <mergeCell ref="Z9:AA9"/>
    <mergeCell ref="V10:W10"/>
    <mergeCell ref="X10:Y10"/>
    <mergeCell ref="Z10:AA10"/>
    <mergeCell ref="V7:W7"/>
    <mergeCell ref="X7:Y7"/>
    <mergeCell ref="Z7:AA7"/>
    <mergeCell ref="AB7:AC7"/>
    <mergeCell ref="V8:W8"/>
    <mergeCell ref="X8:Y8"/>
    <mergeCell ref="Z8:AA8"/>
    <mergeCell ref="W2:AC2"/>
    <mergeCell ref="V3:AC3"/>
    <mergeCell ref="V4:AC4"/>
    <mergeCell ref="V5:W5"/>
    <mergeCell ref="X5:Y5"/>
    <mergeCell ref="V6:AC6"/>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D151"/>
  <sheetViews>
    <sheetView topLeftCell="B53" zoomScale="70" zoomScaleNormal="70" workbookViewId="0">
      <selection activeCell="J25" sqref="J25"/>
    </sheetView>
  </sheetViews>
  <sheetFormatPr defaultColWidth="8.85546875" defaultRowHeight="15.75" x14ac:dyDescent="0.25"/>
  <cols>
    <col min="1" max="1" width="11.28515625" style="1" hidden="1" customWidth="1"/>
    <col min="2" max="2" width="10.28515625" style="2" customWidth="1"/>
    <col min="3" max="3" width="29" style="1" customWidth="1"/>
    <col min="4" max="5" width="12.28515625" style="1" customWidth="1"/>
    <col min="6" max="6" width="12.28515625" style="1" hidden="1" customWidth="1"/>
    <col min="7" max="7" width="15.28515625" style="1" customWidth="1"/>
    <col min="8" max="8" width="6.7109375" style="1" customWidth="1"/>
    <col min="9" max="9" width="12.5703125" style="1" customWidth="1"/>
    <col min="10" max="10" width="12.85546875" style="1" customWidth="1"/>
    <col min="11" max="11" width="13" style="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28515625" style="1" customWidth="1"/>
    <col min="18" max="18" width="8.85546875" style="1"/>
    <col min="19" max="21" width="0" style="1" hidden="1" customWidth="1"/>
    <col min="22" max="23" width="8.85546875" style="1"/>
    <col min="24" max="24" width="12.7109375" style="1" customWidth="1"/>
    <col min="25" max="27" width="8.85546875" style="1"/>
    <col min="28" max="28" width="13.140625" style="1" bestFit="1" customWidth="1"/>
    <col min="29" max="16384" width="8.85546875" style="1"/>
  </cols>
  <sheetData>
    <row r="1" spans="1:30" ht="15.6"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7"/>
      <c r="N2" s="3"/>
      <c r="O2" s="1"/>
      <c r="V2" s="8">
        <f>'3398'!B2</f>
        <v>50</v>
      </c>
      <c r="W2" s="606" t="s">
        <v>4</v>
      </c>
      <c r="X2" s="607"/>
      <c r="Y2" s="608"/>
      <c r="Z2" s="608"/>
      <c r="AA2" s="608"/>
      <c r="AB2" s="608"/>
      <c r="AC2" s="608"/>
      <c r="AD2" s="9"/>
    </row>
    <row r="3" spans="1:30" ht="20.25" x14ac:dyDescent="0.3">
      <c r="B3" s="10" t="str">
        <f>"Revenue Estimate Worksheet for "&amp;B124</f>
        <v>Revenue Estimate Worksheet for Everglades Prep Academy</v>
      </c>
      <c r="C3" s="11"/>
      <c r="D3" s="11"/>
      <c r="E3" s="11"/>
      <c r="F3" s="11"/>
      <c r="G3" s="11"/>
      <c r="H3" s="11"/>
      <c r="I3" s="11"/>
      <c r="J3" s="11"/>
      <c r="K3" s="11"/>
      <c r="L3" s="11"/>
      <c r="M3" s="10"/>
      <c r="N3" s="10"/>
      <c r="O3" s="10"/>
      <c r="P3" s="10"/>
      <c r="Q3" s="10"/>
      <c r="V3" s="609" t="s">
        <v>5</v>
      </c>
      <c r="W3" s="609"/>
      <c r="X3" s="609"/>
      <c r="Y3" s="609"/>
      <c r="Z3" s="609"/>
      <c r="AA3" s="609"/>
      <c r="AB3" s="609"/>
      <c r="AC3" s="609"/>
      <c r="AD3" s="12"/>
    </row>
    <row r="4" spans="1:30" ht="18.75" x14ac:dyDescent="0.3">
      <c r="B4" s="2" t="s">
        <v>6</v>
      </c>
      <c r="C4" s="13"/>
      <c r="D4" s="13"/>
      <c r="E4" s="13"/>
      <c r="F4" s="13"/>
      <c r="G4" s="13"/>
      <c r="H4" s="13"/>
      <c r="I4" s="13"/>
      <c r="J4" s="13"/>
      <c r="K4" s="13"/>
      <c r="L4" s="13"/>
      <c r="M4" s="14"/>
      <c r="N4" s="14"/>
      <c r="O4" s="14"/>
      <c r="P4" s="14"/>
      <c r="Q4" s="14"/>
      <c r="V4" s="610" t="str">
        <f>+Based_on_the_Second_Calculation_of_the_FEFP_2010_11</f>
        <v>Based on the Fourth Calculation of the FEFP 2013-14</v>
      </c>
      <c r="W4" s="610"/>
      <c r="X4" s="610"/>
      <c r="Y4" s="610"/>
      <c r="Z4" s="610"/>
      <c r="AA4" s="610"/>
      <c r="AB4" s="610"/>
      <c r="AC4" s="610"/>
      <c r="AD4" s="15"/>
    </row>
    <row r="5" spans="1:30" ht="18.75" customHeight="1" x14ac:dyDescent="0.25">
      <c r="B5" s="16" t="s">
        <v>7</v>
      </c>
      <c r="C5" s="16"/>
      <c r="D5" s="16"/>
      <c r="E5" s="16"/>
      <c r="F5" s="16"/>
      <c r="G5" s="17" t="s">
        <v>8</v>
      </c>
      <c r="H5" s="17"/>
      <c r="I5" s="17"/>
      <c r="J5" s="17"/>
      <c r="K5" s="17"/>
      <c r="L5" s="17"/>
      <c r="M5" s="18"/>
      <c r="N5" s="18"/>
      <c r="O5" s="18"/>
      <c r="P5" s="18"/>
      <c r="Q5" s="18"/>
      <c r="V5" s="611" t="s">
        <v>7</v>
      </c>
      <c r="W5" s="611"/>
      <c r="X5" s="612" t="s">
        <v>8</v>
      </c>
      <c r="Y5" s="612"/>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613" t="s">
        <v>9</v>
      </c>
      <c r="W6" s="613"/>
      <c r="X6" s="613"/>
      <c r="Y6" s="613"/>
      <c r="Z6" s="613"/>
      <c r="AA6" s="613"/>
      <c r="AB6" s="613"/>
      <c r="AC6" s="613"/>
      <c r="AD6" s="22"/>
    </row>
    <row r="7" spans="1:30" ht="18" customHeight="1" x14ac:dyDescent="0.25">
      <c r="B7" s="23" t="s">
        <v>10</v>
      </c>
      <c r="C7" s="23"/>
      <c r="D7" s="23"/>
      <c r="E7" s="23"/>
      <c r="F7" s="23"/>
      <c r="G7" s="24">
        <v>3752.3</v>
      </c>
      <c r="H7" s="24"/>
      <c r="I7" s="23" t="s">
        <v>11</v>
      </c>
      <c r="J7" s="23"/>
      <c r="K7" s="25">
        <v>1.0326</v>
      </c>
      <c r="L7" s="25"/>
      <c r="O7" s="1"/>
      <c r="V7" s="620" t="s">
        <v>10</v>
      </c>
      <c r="W7" s="620"/>
      <c r="X7" s="621">
        <f>'3398'!G7</f>
        <v>3752.3</v>
      </c>
      <c r="Y7" s="621"/>
      <c r="Z7" s="622" t="s">
        <v>11</v>
      </c>
      <c r="AA7" s="622"/>
      <c r="AB7" s="602">
        <f>+K7</f>
        <v>1.0326</v>
      </c>
      <c r="AC7" s="602"/>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603" t="s">
        <v>12</v>
      </c>
      <c r="W8" s="603"/>
      <c r="X8" s="604" t="s">
        <v>15</v>
      </c>
      <c r="Y8" s="604"/>
      <c r="Z8" s="605" t="s">
        <v>16</v>
      </c>
      <c r="AA8" s="605"/>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614" t="s">
        <v>22</v>
      </c>
      <c r="W9" s="614"/>
      <c r="X9" s="615" t="s">
        <v>23</v>
      </c>
      <c r="Y9" s="615"/>
      <c r="Z9" s="616" t="s">
        <v>24</v>
      </c>
      <c r="AA9" s="616"/>
      <c r="AB9" s="43" t="s">
        <v>25</v>
      </c>
      <c r="AC9" s="44" t="s">
        <v>26</v>
      </c>
      <c r="AD9" s="9"/>
    </row>
    <row r="10" spans="1:30" x14ac:dyDescent="0.25">
      <c r="A10" s="1" t="s">
        <v>27</v>
      </c>
      <c r="B10" s="45" t="s">
        <v>28</v>
      </c>
      <c r="C10" s="45"/>
      <c r="D10" s="45">
        <v>0</v>
      </c>
      <c r="E10" s="45">
        <v>0</v>
      </c>
      <c r="F10" s="45">
        <v>0</v>
      </c>
      <c r="G10" s="46">
        <f>D10+E10</f>
        <v>0</v>
      </c>
      <c r="H10" s="47"/>
      <c r="I10" s="48">
        <v>1.125</v>
      </c>
      <c r="J10" s="48"/>
      <c r="K10" s="49">
        <f>ROUND(G10*I10,4)</f>
        <v>0</v>
      </c>
      <c r="L10" s="50">
        <f>ROUND(ROUND(K10*$G$7,4)*($K$7),0)</f>
        <v>0</v>
      </c>
      <c r="N10" s="51">
        <v>5101</v>
      </c>
      <c r="O10" s="52">
        <v>101</v>
      </c>
      <c r="P10" s="53"/>
      <c r="Q10" s="54"/>
      <c r="V10" s="617" t="s">
        <v>28</v>
      </c>
      <c r="W10" s="617"/>
      <c r="X10" s="618">
        <f>IF('3398'!K$84=1,'3398'!G10,0)</f>
        <v>0</v>
      </c>
      <c r="Y10" s="618"/>
      <c r="Z10" s="619">
        <v>1</v>
      </c>
      <c r="AA10" s="619"/>
      <c r="AB10" s="55">
        <f t="shared" ref="AB10:AB25" si="0">ROUND(X10*Z10,4)</f>
        <v>0</v>
      </c>
      <c r="AC10" s="56">
        <f t="shared" ref="AC10:AC25" si="1">ROUND(ROUND(AB10*$X$7,4)*($AB$7),0)</f>
        <v>0</v>
      </c>
      <c r="AD10" s="9">
        <v>1</v>
      </c>
    </row>
    <row r="11" spans="1:30" x14ac:dyDescent="0.25">
      <c r="A11" s="1" t="s">
        <v>29</v>
      </c>
      <c r="B11" s="13" t="s">
        <v>30</v>
      </c>
      <c r="C11" s="13"/>
      <c r="D11" s="13">
        <v>0</v>
      </c>
      <c r="E11" s="13">
        <v>0</v>
      </c>
      <c r="F11" s="13">
        <v>0</v>
      </c>
      <c r="G11" s="46">
        <f t="shared" ref="G11:G25" si="2">D11+E11</f>
        <v>0</v>
      </c>
      <c r="H11" s="47"/>
      <c r="I11" s="57">
        <f>I10</f>
        <v>1.125</v>
      </c>
      <c r="J11" s="57"/>
      <c r="K11" s="49">
        <f t="shared" ref="K11:K25" si="3">ROUND(G11*I11,4)</f>
        <v>0</v>
      </c>
      <c r="L11" s="50">
        <f t="shared" ref="L11:L25" si="4">ROUND(ROUND(K11*$G$7,4)*($K$7),0)</f>
        <v>0</v>
      </c>
      <c r="M11" s="1" t="str">
        <f>IF(ROUND(G11,2)=ROUND(SUM(G28:G30),2)," ","CHECK 2. PK-3 Lines Below")</f>
        <v xml:space="preserve"> </v>
      </c>
      <c r="N11" s="51">
        <v>5101</v>
      </c>
      <c r="O11" s="58" t="s">
        <v>31</v>
      </c>
      <c r="P11" s="53"/>
      <c r="Q11" s="54"/>
      <c r="V11" s="623" t="s">
        <v>30</v>
      </c>
      <c r="W11" s="623"/>
      <c r="X11" s="618">
        <f>IF('3398'!K$84=1,'3398'!G11,0)</f>
        <v>0</v>
      </c>
      <c r="Y11" s="618"/>
      <c r="Z11" s="624">
        <v>1</v>
      </c>
      <c r="AA11" s="624"/>
      <c r="AB11" s="55">
        <f t="shared" si="0"/>
        <v>0</v>
      </c>
      <c r="AC11" s="56">
        <f t="shared" si="1"/>
        <v>0</v>
      </c>
      <c r="AD11" s="9"/>
    </row>
    <row r="12" spans="1:30" x14ac:dyDescent="0.25">
      <c r="A12" s="1" t="s">
        <v>32</v>
      </c>
      <c r="B12" s="13" t="s">
        <v>33</v>
      </c>
      <c r="C12" s="13"/>
      <c r="D12" s="13">
        <v>0</v>
      </c>
      <c r="E12" s="13">
        <v>0</v>
      </c>
      <c r="F12" s="13">
        <v>0</v>
      </c>
      <c r="G12" s="46">
        <f t="shared" si="2"/>
        <v>0</v>
      </c>
      <c r="H12" s="47"/>
      <c r="I12" s="57">
        <v>1</v>
      </c>
      <c r="J12" s="57"/>
      <c r="K12" s="49">
        <f t="shared" si="3"/>
        <v>0</v>
      </c>
      <c r="L12" s="50">
        <f t="shared" si="4"/>
        <v>0</v>
      </c>
      <c r="N12" s="51">
        <v>5102</v>
      </c>
      <c r="O12" s="52">
        <v>102</v>
      </c>
      <c r="P12" s="53"/>
      <c r="Q12" s="54"/>
      <c r="V12" s="623" t="s">
        <v>33</v>
      </c>
      <c r="W12" s="623"/>
      <c r="X12" s="618">
        <f>IF('3398'!K$84=1,'3398'!G12,0)</f>
        <v>0</v>
      </c>
      <c r="Y12" s="618"/>
      <c r="Z12" s="624">
        <v>1</v>
      </c>
      <c r="AA12" s="624"/>
      <c r="AB12" s="55">
        <f t="shared" si="0"/>
        <v>0</v>
      </c>
      <c r="AC12" s="56">
        <f t="shared" si="1"/>
        <v>0</v>
      </c>
      <c r="AD12" s="9"/>
    </row>
    <row r="13" spans="1:30" x14ac:dyDescent="0.25">
      <c r="A13" s="1" t="s">
        <v>34</v>
      </c>
      <c r="B13" s="13" t="s">
        <v>35</v>
      </c>
      <c r="C13" s="13"/>
      <c r="D13" s="13">
        <v>0</v>
      </c>
      <c r="E13" s="13">
        <v>0</v>
      </c>
      <c r="F13" s="13">
        <v>0</v>
      </c>
      <c r="G13" s="46">
        <f t="shared" si="2"/>
        <v>0</v>
      </c>
      <c r="H13" s="47"/>
      <c r="I13" s="57">
        <f>I12</f>
        <v>1</v>
      </c>
      <c r="J13" s="57"/>
      <c r="K13" s="49">
        <f t="shared" si="3"/>
        <v>0</v>
      </c>
      <c r="L13" s="50">
        <f t="shared" si="4"/>
        <v>0</v>
      </c>
      <c r="M13" s="1" t="str">
        <f>IF(ROUND(G13,2)=ROUND(SUM(G31:G33),2)," ","CHECK 2. PK-3 Lines Below")</f>
        <v xml:space="preserve"> </v>
      </c>
      <c r="N13" s="51">
        <v>5102</v>
      </c>
      <c r="O13" s="58" t="s">
        <v>36</v>
      </c>
      <c r="P13" s="53"/>
      <c r="Q13" s="54"/>
      <c r="V13" s="623" t="s">
        <v>35</v>
      </c>
      <c r="W13" s="623"/>
      <c r="X13" s="618">
        <f>IF('3398'!K$84=1,'3398'!G13,0)</f>
        <v>0</v>
      </c>
      <c r="Y13" s="618"/>
      <c r="Z13" s="624">
        <v>1</v>
      </c>
      <c r="AA13" s="624"/>
      <c r="AB13" s="55">
        <f t="shared" si="0"/>
        <v>0</v>
      </c>
      <c r="AC13" s="56">
        <f t="shared" si="1"/>
        <v>0</v>
      </c>
      <c r="AD13" s="9"/>
    </row>
    <row r="14" spans="1:30" x14ac:dyDescent="0.25">
      <c r="A14" s="1" t="s">
        <v>37</v>
      </c>
      <c r="B14" s="13" t="s">
        <v>38</v>
      </c>
      <c r="C14" s="13"/>
      <c r="D14" s="13">
        <v>27.87</v>
      </c>
      <c r="E14" s="13">
        <v>31.04</v>
      </c>
      <c r="F14" s="13">
        <v>30.08</v>
      </c>
      <c r="G14" s="46">
        <f t="shared" si="2"/>
        <v>58.91</v>
      </c>
      <c r="H14" s="47"/>
      <c r="I14" s="57">
        <v>1.0109999999999999</v>
      </c>
      <c r="J14" s="57"/>
      <c r="K14" s="49">
        <f t="shared" si="3"/>
        <v>59.558</v>
      </c>
      <c r="L14" s="50">
        <f t="shared" si="4"/>
        <v>230765</v>
      </c>
      <c r="N14" s="51">
        <v>5103</v>
      </c>
      <c r="O14" s="52">
        <v>103</v>
      </c>
      <c r="P14" s="53"/>
      <c r="Q14" s="54"/>
      <c r="V14" s="623" t="s">
        <v>38</v>
      </c>
      <c r="W14" s="623"/>
      <c r="X14" s="618">
        <f>IF('3398'!K$84=1,'3398'!G14,0)</f>
        <v>0</v>
      </c>
      <c r="Y14" s="618"/>
      <c r="Z14" s="624">
        <v>1</v>
      </c>
      <c r="AA14" s="624"/>
      <c r="AB14" s="55">
        <f t="shared" si="0"/>
        <v>0</v>
      </c>
      <c r="AC14" s="56">
        <f t="shared" si="1"/>
        <v>0</v>
      </c>
      <c r="AD14" s="9"/>
    </row>
    <row r="15" spans="1:30" x14ac:dyDescent="0.25">
      <c r="A15" s="1" t="s">
        <v>39</v>
      </c>
      <c r="B15" s="13" t="s">
        <v>40</v>
      </c>
      <c r="C15" s="13"/>
      <c r="D15" s="13">
        <v>13.54</v>
      </c>
      <c r="E15" s="13">
        <v>14.4</v>
      </c>
      <c r="F15" s="13">
        <v>19.3</v>
      </c>
      <c r="G15" s="46">
        <f t="shared" si="2"/>
        <v>27.939999999999998</v>
      </c>
      <c r="H15" s="47"/>
      <c r="I15" s="57">
        <f>I14</f>
        <v>1.0109999999999999</v>
      </c>
      <c r="J15" s="57"/>
      <c r="K15" s="49">
        <f t="shared" si="3"/>
        <v>28.247299999999999</v>
      </c>
      <c r="L15" s="59">
        <f t="shared" si="4"/>
        <v>109448</v>
      </c>
      <c r="M15" s="1" t="str">
        <f>IF(ROUND(G15,2)=ROUND(SUM(G34:G36),2)," ","CHECK 2. PK-3 Lines Below")</f>
        <v xml:space="preserve"> </v>
      </c>
      <c r="N15" s="51">
        <v>5103</v>
      </c>
      <c r="O15" s="58" t="s">
        <v>41</v>
      </c>
      <c r="P15" s="53"/>
      <c r="Q15" s="54"/>
      <c r="V15" s="623" t="s">
        <v>40</v>
      </c>
      <c r="W15" s="623"/>
      <c r="X15" s="618">
        <f>IF('3398'!K$84=1,'3398'!G15,0)</f>
        <v>0</v>
      </c>
      <c r="Y15" s="618"/>
      <c r="Z15" s="624">
        <v>1</v>
      </c>
      <c r="AA15" s="624"/>
      <c r="AB15" s="55">
        <f t="shared" si="0"/>
        <v>0</v>
      </c>
      <c r="AC15" s="60">
        <f t="shared" si="1"/>
        <v>0</v>
      </c>
      <c r="AD15" s="9"/>
    </row>
    <row r="16" spans="1:30" x14ac:dyDescent="0.25">
      <c r="A16" s="1" t="s">
        <v>42</v>
      </c>
      <c r="B16" s="13" t="s">
        <v>43</v>
      </c>
      <c r="C16" s="13"/>
      <c r="D16" s="13">
        <v>0</v>
      </c>
      <c r="E16" s="13">
        <v>0</v>
      </c>
      <c r="F16" s="13">
        <v>0</v>
      </c>
      <c r="G16" s="46">
        <f t="shared" si="2"/>
        <v>0</v>
      </c>
      <c r="H16" s="47"/>
      <c r="I16" s="57">
        <v>3.5579999999999998</v>
      </c>
      <c r="J16" s="57"/>
      <c r="K16" s="49">
        <f t="shared" si="3"/>
        <v>0</v>
      </c>
      <c r="L16" s="50">
        <f t="shared" si="4"/>
        <v>0</v>
      </c>
      <c r="N16" s="51">
        <v>5101</v>
      </c>
      <c r="O16" s="53">
        <v>254</v>
      </c>
      <c r="P16" s="53"/>
      <c r="Q16" s="54"/>
      <c r="V16" s="623" t="s">
        <v>43</v>
      </c>
      <c r="W16" s="623"/>
      <c r="X16" s="618">
        <f>IF('3398'!K$84=1,'3398'!G16,0)</f>
        <v>0</v>
      </c>
      <c r="Y16" s="618"/>
      <c r="Z16" s="624">
        <v>1</v>
      </c>
      <c r="AA16" s="624"/>
      <c r="AB16" s="55">
        <f t="shared" si="0"/>
        <v>0</v>
      </c>
      <c r="AC16" s="56">
        <f t="shared" si="1"/>
        <v>0</v>
      </c>
      <c r="AD16" s="9"/>
    </row>
    <row r="17" spans="1:30" x14ac:dyDescent="0.25">
      <c r="A17" s="1" t="s">
        <v>44</v>
      </c>
      <c r="B17" s="13" t="s">
        <v>45</v>
      </c>
      <c r="C17" s="13"/>
      <c r="D17" s="13">
        <v>0</v>
      </c>
      <c r="E17" s="13">
        <v>0</v>
      </c>
      <c r="F17" s="13">
        <v>0</v>
      </c>
      <c r="G17" s="46">
        <f t="shared" si="2"/>
        <v>0</v>
      </c>
      <c r="H17" s="47"/>
      <c r="I17" s="57">
        <f>I16</f>
        <v>3.5579999999999998</v>
      </c>
      <c r="J17" s="57"/>
      <c r="K17" s="49">
        <f t="shared" si="3"/>
        <v>0</v>
      </c>
      <c r="L17" s="50">
        <f t="shared" si="4"/>
        <v>0</v>
      </c>
      <c r="N17" s="51">
        <v>5102</v>
      </c>
      <c r="O17" s="54">
        <v>254</v>
      </c>
      <c r="P17" s="53"/>
      <c r="Q17" s="54"/>
      <c r="V17" s="623" t="s">
        <v>45</v>
      </c>
      <c r="W17" s="623"/>
      <c r="X17" s="618">
        <f>IF('3398'!K$84=1,'3398'!G17,0)</f>
        <v>0</v>
      </c>
      <c r="Y17" s="618"/>
      <c r="Z17" s="624">
        <v>1</v>
      </c>
      <c r="AA17" s="624"/>
      <c r="AB17" s="55">
        <f t="shared" si="0"/>
        <v>0</v>
      </c>
      <c r="AC17" s="56">
        <f t="shared" si="1"/>
        <v>0</v>
      </c>
      <c r="AD17" s="9"/>
    </row>
    <row r="18" spans="1:30" x14ac:dyDescent="0.25">
      <c r="A18" s="1" t="s">
        <v>46</v>
      </c>
      <c r="B18" s="13" t="s">
        <v>47</v>
      </c>
      <c r="C18" s="13"/>
      <c r="D18" s="13">
        <v>0</v>
      </c>
      <c r="E18" s="13">
        <v>0</v>
      </c>
      <c r="F18" s="13">
        <v>0</v>
      </c>
      <c r="G18" s="46">
        <f t="shared" si="2"/>
        <v>0</v>
      </c>
      <c r="H18" s="47"/>
      <c r="I18" s="57">
        <f>I17</f>
        <v>3.5579999999999998</v>
      </c>
      <c r="J18" s="57"/>
      <c r="K18" s="49">
        <f t="shared" si="3"/>
        <v>0</v>
      </c>
      <c r="L18" s="50">
        <f t="shared" si="4"/>
        <v>0</v>
      </c>
      <c r="N18" s="51">
        <v>5103</v>
      </c>
      <c r="O18" s="54">
        <v>254</v>
      </c>
      <c r="P18" s="53"/>
      <c r="Q18" s="54"/>
      <c r="V18" s="623" t="s">
        <v>47</v>
      </c>
      <c r="W18" s="623"/>
      <c r="X18" s="618">
        <f>IF('3398'!K$84=1,'3398'!G18,0)</f>
        <v>0</v>
      </c>
      <c r="Y18" s="618"/>
      <c r="Z18" s="624">
        <v>1</v>
      </c>
      <c r="AA18" s="624"/>
      <c r="AB18" s="55">
        <f t="shared" si="0"/>
        <v>0</v>
      </c>
      <c r="AC18" s="56">
        <f t="shared" si="1"/>
        <v>0</v>
      </c>
      <c r="AD18" s="9"/>
    </row>
    <row r="19" spans="1:30" ht="15" customHeight="1" x14ac:dyDescent="0.25">
      <c r="A19" s="1" t="s">
        <v>48</v>
      </c>
      <c r="B19" s="13" t="s">
        <v>49</v>
      </c>
      <c r="C19" s="13"/>
      <c r="D19" s="13">
        <v>0</v>
      </c>
      <c r="E19" s="13">
        <v>0</v>
      </c>
      <c r="F19" s="13">
        <v>0</v>
      </c>
      <c r="G19" s="46">
        <f t="shared" si="2"/>
        <v>0</v>
      </c>
      <c r="H19" s="47"/>
      <c r="I19" s="57">
        <v>5.0890000000000004</v>
      </c>
      <c r="J19" s="57"/>
      <c r="K19" s="49">
        <f t="shared" si="3"/>
        <v>0</v>
      </c>
      <c r="L19" s="50">
        <f t="shared" si="4"/>
        <v>0</v>
      </c>
      <c r="N19" s="51">
        <v>5101</v>
      </c>
      <c r="O19" s="53">
        <v>255</v>
      </c>
      <c r="P19" s="53"/>
      <c r="Q19" s="54"/>
      <c r="V19" s="623" t="s">
        <v>49</v>
      </c>
      <c r="W19" s="623"/>
      <c r="X19" s="618">
        <f>IF('3398'!K$84=1,'3398'!G19,0)</f>
        <v>0</v>
      </c>
      <c r="Y19" s="618"/>
      <c r="Z19" s="624">
        <v>1</v>
      </c>
      <c r="AA19" s="624"/>
      <c r="AB19" s="55">
        <f t="shared" si="0"/>
        <v>0</v>
      </c>
      <c r="AC19" s="56">
        <f t="shared" si="1"/>
        <v>0</v>
      </c>
      <c r="AD19" s="9"/>
    </row>
    <row r="20" spans="1:30" ht="15" customHeight="1" x14ac:dyDescent="0.25">
      <c r="A20" s="1" t="s">
        <v>50</v>
      </c>
      <c r="B20" s="13" t="s">
        <v>51</v>
      </c>
      <c r="C20" s="13"/>
      <c r="D20" s="13">
        <v>0</v>
      </c>
      <c r="E20" s="13">
        <v>0</v>
      </c>
      <c r="F20" s="13">
        <v>0</v>
      </c>
      <c r="G20" s="46">
        <f t="shared" si="2"/>
        <v>0</v>
      </c>
      <c r="H20" s="47"/>
      <c r="I20" s="57">
        <f>I19</f>
        <v>5.0890000000000004</v>
      </c>
      <c r="J20" s="57"/>
      <c r="K20" s="49">
        <f t="shared" si="3"/>
        <v>0</v>
      </c>
      <c r="L20" s="50">
        <f t="shared" si="4"/>
        <v>0</v>
      </c>
      <c r="N20" s="51">
        <v>5102</v>
      </c>
      <c r="O20" s="54">
        <v>255</v>
      </c>
      <c r="P20" s="53"/>
      <c r="Q20" s="54"/>
      <c r="V20" s="623" t="s">
        <v>51</v>
      </c>
      <c r="W20" s="623"/>
      <c r="X20" s="618">
        <f>IF('3398'!K$84=1,'3398'!G20,0)</f>
        <v>0</v>
      </c>
      <c r="Y20" s="618"/>
      <c r="Z20" s="624">
        <v>1</v>
      </c>
      <c r="AA20" s="624"/>
      <c r="AB20" s="55">
        <f t="shared" si="0"/>
        <v>0</v>
      </c>
      <c r="AC20" s="56">
        <f t="shared" si="1"/>
        <v>0</v>
      </c>
      <c r="AD20" s="9"/>
    </row>
    <row r="21" spans="1:30" ht="15" customHeight="1" x14ac:dyDescent="0.25">
      <c r="A21" s="1" t="s">
        <v>52</v>
      </c>
      <c r="B21" s="13" t="s">
        <v>53</v>
      </c>
      <c r="C21" s="13"/>
      <c r="D21" s="13">
        <v>0</v>
      </c>
      <c r="E21" s="13">
        <v>0</v>
      </c>
      <c r="F21" s="13">
        <v>0</v>
      </c>
      <c r="G21" s="46">
        <f t="shared" si="2"/>
        <v>0</v>
      </c>
      <c r="H21" s="47"/>
      <c r="I21" s="57">
        <f>I20</f>
        <v>5.0890000000000004</v>
      </c>
      <c r="J21" s="57"/>
      <c r="K21" s="49">
        <f t="shared" si="3"/>
        <v>0</v>
      </c>
      <c r="L21" s="50">
        <f t="shared" si="4"/>
        <v>0</v>
      </c>
      <c r="N21" s="51">
        <v>5103</v>
      </c>
      <c r="O21" s="54">
        <v>255</v>
      </c>
      <c r="P21" s="53"/>
      <c r="Q21" s="54"/>
      <c r="V21" s="623" t="s">
        <v>53</v>
      </c>
      <c r="W21" s="623"/>
      <c r="X21" s="618">
        <f>IF('3398'!K$84=1,'3398'!G21,0)</f>
        <v>0</v>
      </c>
      <c r="Y21" s="618"/>
      <c r="Z21" s="624">
        <v>1</v>
      </c>
      <c r="AA21" s="624"/>
      <c r="AB21" s="55">
        <f t="shared" si="0"/>
        <v>0</v>
      </c>
      <c r="AC21" s="56">
        <f t="shared" si="1"/>
        <v>0</v>
      </c>
      <c r="AD21" s="9"/>
    </row>
    <row r="22" spans="1:30" x14ac:dyDescent="0.25">
      <c r="A22" s="1" t="s">
        <v>54</v>
      </c>
      <c r="B22" s="13" t="s">
        <v>55</v>
      </c>
      <c r="C22" s="13"/>
      <c r="D22" s="13">
        <v>0</v>
      </c>
      <c r="E22" s="13">
        <v>0</v>
      </c>
      <c r="F22" s="13">
        <v>0</v>
      </c>
      <c r="G22" s="46">
        <f t="shared" si="2"/>
        <v>0</v>
      </c>
      <c r="H22" s="47"/>
      <c r="I22" s="57">
        <v>1.145</v>
      </c>
      <c r="J22" s="57"/>
      <c r="K22" s="49">
        <f t="shared" si="3"/>
        <v>0</v>
      </c>
      <c r="L22" s="50">
        <f t="shared" si="4"/>
        <v>0</v>
      </c>
      <c r="N22" s="51">
        <v>5101</v>
      </c>
      <c r="O22" s="52">
        <v>130</v>
      </c>
      <c r="P22" s="53"/>
      <c r="Q22" s="54"/>
      <c r="V22" s="623" t="s">
        <v>55</v>
      </c>
      <c r="W22" s="623"/>
      <c r="X22" s="618">
        <f>IF('3398'!K$84=1,'3398'!G22,0)</f>
        <v>0</v>
      </c>
      <c r="Y22" s="618"/>
      <c r="Z22" s="624">
        <v>1</v>
      </c>
      <c r="AA22" s="624"/>
      <c r="AB22" s="55">
        <f t="shared" si="0"/>
        <v>0</v>
      </c>
      <c r="AC22" s="56">
        <f t="shared" si="1"/>
        <v>0</v>
      </c>
      <c r="AD22" s="9"/>
    </row>
    <row r="23" spans="1:30" x14ac:dyDescent="0.25">
      <c r="A23" s="1" t="s">
        <v>56</v>
      </c>
      <c r="B23" s="13" t="s">
        <v>57</v>
      </c>
      <c r="C23" s="13"/>
      <c r="D23" s="13">
        <v>0</v>
      </c>
      <c r="E23" s="13">
        <v>0</v>
      </c>
      <c r="F23" s="13">
        <v>0</v>
      </c>
      <c r="G23" s="46">
        <f t="shared" si="2"/>
        <v>0</v>
      </c>
      <c r="H23" s="47"/>
      <c r="I23" s="57">
        <f>I22</f>
        <v>1.145</v>
      </c>
      <c r="J23" s="57"/>
      <c r="K23" s="49">
        <f t="shared" si="3"/>
        <v>0</v>
      </c>
      <c r="L23" s="50">
        <f t="shared" si="4"/>
        <v>0</v>
      </c>
      <c r="N23" s="51">
        <v>5102</v>
      </c>
      <c r="O23" s="52">
        <v>130</v>
      </c>
      <c r="P23" s="53"/>
      <c r="Q23" s="54"/>
      <c r="V23" s="623" t="s">
        <v>57</v>
      </c>
      <c r="W23" s="623"/>
      <c r="X23" s="618">
        <f>IF('3398'!K$84=1,'3398'!G23,0)</f>
        <v>0</v>
      </c>
      <c r="Y23" s="618"/>
      <c r="Z23" s="624">
        <v>1</v>
      </c>
      <c r="AA23" s="624"/>
      <c r="AB23" s="55">
        <f t="shared" si="0"/>
        <v>0</v>
      </c>
      <c r="AC23" s="56">
        <f t="shared" si="1"/>
        <v>0</v>
      </c>
      <c r="AD23" s="9"/>
    </row>
    <row r="24" spans="1:30" x14ac:dyDescent="0.25">
      <c r="A24" s="1" t="s">
        <v>58</v>
      </c>
      <c r="B24" s="13" t="s">
        <v>59</v>
      </c>
      <c r="C24" s="13"/>
      <c r="D24" s="13">
        <v>0</v>
      </c>
      <c r="E24" s="13">
        <v>0</v>
      </c>
      <c r="F24" s="13">
        <v>0</v>
      </c>
      <c r="G24" s="46">
        <f t="shared" si="2"/>
        <v>0</v>
      </c>
      <c r="H24" s="47"/>
      <c r="I24" s="57">
        <f>I23</f>
        <v>1.145</v>
      </c>
      <c r="J24" s="57"/>
      <c r="K24" s="49">
        <f t="shared" si="3"/>
        <v>0</v>
      </c>
      <c r="L24" s="50">
        <f t="shared" si="4"/>
        <v>0</v>
      </c>
      <c r="N24" s="51">
        <v>5103</v>
      </c>
      <c r="O24" s="52">
        <v>130</v>
      </c>
      <c r="P24" s="53"/>
      <c r="Q24" s="54"/>
      <c r="V24" s="623" t="s">
        <v>59</v>
      </c>
      <c r="W24" s="623"/>
      <c r="X24" s="618">
        <f>IF('3398'!K$84=1,'3398'!G24,0)</f>
        <v>0</v>
      </c>
      <c r="Y24" s="618"/>
      <c r="Z24" s="624">
        <v>1</v>
      </c>
      <c r="AA24" s="624"/>
      <c r="AB24" s="55">
        <f t="shared" si="0"/>
        <v>0</v>
      </c>
      <c r="AC24" s="56">
        <f t="shared" si="1"/>
        <v>0</v>
      </c>
      <c r="AD24" s="9"/>
    </row>
    <row r="25" spans="1:30" ht="16.5" thickBot="1" x14ac:dyDescent="0.3">
      <c r="A25" s="1" t="s">
        <v>60</v>
      </c>
      <c r="B25" s="13" t="s">
        <v>61</v>
      </c>
      <c r="C25" s="13"/>
      <c r="D25" s="13">
        <v>3.37</v>
      </c>
      <c r="E25" s="13">
        <v>2.52</v>
      </c>
      <c r="F25" s="13">
        <v>3.67</v>
      </c>
      <c r="G25" s="46">
        <f t="shared" si="2"/>
        <v>5.8900000000000006</v>
      </c>
      <c r="H25" s="47"/>
      <c r="I25" s="57">
        <v>1.0109999999999999</v>
      </c>
      <c r="J25" s="57"/>
      <c r="K25" s="49">
        <f t="shared" si="3"/>
        <v>5.9547999999999996</v>
      </c>
      <c r="L25" s="50">
        <f t="shared" si="4"/>
        <v>23073</v>
      </c>
      <c r="N25" s="51">
        <v>5310</v>
      </c>
      <c r="O25" s="52">
        <v>300</v>
      </c>
      <c r="P25" s="53"/>
      <c r="Q25" s="54"/>
      <c r="V25" s="623" t="s">
        <v>61</v>
      </c>
      <c r="W25" s="623"/>
      <c r="X25" s="618">
        <f>IF('3398'!K$84=1,'3398'!G25,0)</f>
        <v>0</v>
      </c>
      <c r="Y25" s="618"/>
      <c r="Z25" s="624">
        <v>1</v>
      </c>
      <c r="AA25" s="624"/>
      <c r="AB25" s="55">
        <f t="shared" si="0"/>
        <v>0</v>
      </c>
      <c r="AC25" s="56">
        <f t="shared" si="1"/>
        <v>0</v>
      </c>
      <c r="AD25" s="9"/>
    </row>
    <row r="26" spans="1:30" ht="20.25" customHeight="1" thickBot="1" x14ac:dyDescent="0.3">
      <c r="B26" s="62" t="s">
        <v>62</v>
      </c>
      <c r="C26" s="62"/>
      <c r="D26" s="63">
        <f t="shared" ref="D26:E26" si="5">SUM(D10:D25)</f>
        <v>44.779999999999994</v>
      </c>
      <c r="E26" s="63">
        <f t="shared" si="5"/>
        <v>47.96</v>
      </c>
      <c r="F26" s="63"/>
      <c r="G26" s="63">
        <f>SUM(G10:G25)</f>
        <v>92.74</v>
      </c>
      <c r="H26" s="64"/>
      <c r="I26" s="64"/>
      <c r="J26" s="65"/>
      <c r="K26" s="66">
        <f>SUM(K10:K25)</f>
        <v>93.760100000000008</v>
      </c>
      <c r="L26" s="67">
        <f>SUM(L10:L25)</f>
        <v>363286</v>
      </c>
      <c r="N26" s="54"/>
      <c r="O26" s="68"/>
      <c r="P26" s="54"/>
      <c r="Q26" s="54"/>
      <c r="V26" s="625" t="s">
        <v>62</v>
      </c>
      <c r="W26" s="625"/>
      <c r="X26" s="626">
        <f>SUM(X10:X25)</f>
        <v>0</v>
      </c>
      <c r="Y26" s="626"/>
      <c r="Z26" s="627"/>
      <c r="AA26" s="628"/>
      <c r="AB26" s="69">
        <f>SUM(AB10:AB25)</f>
        <v>0</v>
      </c>
      <c r="AC26" s="70">
        <f>SUM(AC10:AC25)</f>
        <v>0</v>
      </c>
      <c r="AD26" s="9"/>
    </row>
    <row r="27" spans="1:30" ht="51.75" customHeight="1" x14ac:dyDescent="0.25">
      <c r="B27" s="62" t="s">
        <v>63</v>
      </c>
      <c r="C27" s="62"/>
      <c r="D27" s="71" t="s">
        <v>13</v>
      </c>
      <c r="E27" s="71" t="s">
        <v>14</v>
      </c>
      <c r="F27" s="27"/>
      <c r="G27" s="72" t="s">
        <v>64</v>
      </c>
      <c r="H27" s="73"/>
      <c r="I27" s="74" t="s">
        <v>65</v>
      </c>
      <c r="J27" s="74" t="s">
        <v>66</v>
      </c>
      <c r="K27" s="75" t="s">
        <v>67</v>
      </c>
      <c r="N27" s="54"/>
      <c r="O27" s="68"/>
      <c r="P27" s="54"/>
      <c r="Q27" s="54"/>
      <c r="V27" s="629" t="s">
        <v>63</v>
      </c>
      <c r="W27" s="629"/>
      <c r="X27" s="630" t="s">
        <v>64</v>
      </c>
      <c r="Y27" s="630"/>
      <c r="Z27" s="76" t="s">
        <v>65</v>
      </c>
      <c r="AA27" s="77" t="s">
        <v>66</v>
      </c>
      <c r="AB27" s="78" t="s">
        <v>67</v>
      </c>
      <c r="AC27" s="9"/>
      <c r="AD27" s="9"/>
    </row>
    <row r="28" spans="1:30" ht="15.75" customHeight="1" x14ac:dyDescent="0.25">
      <c r="A28" s="1" t="s">
        <v>68</v>
      </c>
      <c r="B28" s="631" t="s">
        <v>69</v>
      </c>
      <c r="C28" s="632"/>
      <c r="D28" s="13">
        <v>0</v>
      </c>
      <c r="E28" s="13">
        <v>0</v>
      </c>
      <c r="F28" s="79">
        <v>0</v>
      </c>
      <c r="G28" s="46">
        <f t="shared" ref="G28:G36" si="6">D28+E28</f>
        <v>0</v>
      </c>
      <c r="H28" s="80"/>
      <c r="I28" s="81" t="s">
        <v>70</v>
      </c>
      <c r="J28" s="82">
        <v>251</v>
      </c>
      <c r="K28" s="83">
        <v>1047</v>
      </c>
      <c r="L28" s="84">
        <f>ROUND(G28*K28,0)</f>
        <v>0</v>
      </c>
      <c r="N28" s="85">
        <v>5101</v>
      </c>
      <c r="O28" s="54">
        <v>251</v>
      </c>
      <c r="P28" s="86"/>
      <c r="Q28" s="87"/>
      <c r="V28" s="637" t="s">
        <v>69</v>
      </c>
      <c r="W28" s="637"/>
      <c r="X28" s="638"/>
      <c r="Y28" s="638"/>
      <c r="Z28" s="88" t="s">
        <v>70</v>
      </c>
      <c r="AA28" s="89">
        <v>251</v>
      </c>
      <c r="AB28" s="90">
        <f>+K28</f>
        <v>1047</v>
      </c>
      <c r="AC28" s="91">
        <f t="shared" ref="AC28:AC36" si="7">ROUND(X28*AB28,0)</f>
        <v>0</v>
      </c>
      <c r="AD28" s="9"/>
    </row>
    <row r="29" spans="1:30" x14ac:dyDescent="0.25">
      <c r="A29" s="1" t="s">
        <v>71</v>
      </c>
      <c r="B29" s="633"/>
      <c r="C29" s="634"/>
      <c r="D29" s="13">
        <v>0</v>
      </c>
      <c r="E29" s="13">
        <v>0</v>
      </c>
      <c r="F29" s="92">
        <v>0</v>
      </c>
      <c r="G29" s="46">
        <f t="shared" si="6"/>
        <v>0</v>
      </c>
      <c r="H29" s="80"/>
      <c r="I29" s="82" t="s">
        <v>70</v>
      </c>
      <c r="J29" s="82">
        <v>252</v>
      </c>
      <c r="K29" s="83">
        <v>3380</v>
      </c>
      <c r="L29" s="84">
        <f t="shared" ref="L29:L36" si="8">ROUND(G29*K29,0)</f>
        <v>0</v>
      </c>
      <c r="N29" s="85">
        <v>5101</v>
      </c>
      <c r="O29" s="54">
        <v>252</v>
      </c>
      <c r="P29" s="86"/>
      <c r="Q29" s="87"/>
      <c r="V29" s="637"/>
      <c r="W29" s="637"/>
      <c r="X29" s="638"/>
      <c r="Y29" s="638"/>
      <c r="Z29" s="89" t="s">
        <v>70</v>
      </c>
      <c r="AA29" s="89">
        <v>252</v>
      </c>
      <c r="AB29" s="90">
        <f t="shared" ref="AB29:AB36" si="9">+K29</f>
        <v>3380</v>
      </c>
      <c r="AC29" s="91">
        <f t="shared" si="7"/>
        <v>0</v>
      </c>
      <c r="AD29" s="9"/>
    </row>
    <row r="30" spans="1:30" x14ac:dyDescent="0.25">
      <c r="A30" s="1" t="s">
        <v>72</v>
      </c>
      <c r="B30" s="633"/>
      <c r="C30" s="634"/>
      <c r="D30" s="13">
        <v>0</v>
      </c>
      <c r="E30" s="13">
        <v>0</v>
      </c>
      <c r="F30" s="92">
        <v>0</v>
      </c>
      <c r="G30" s="46">
        <f t="shared" si="6"/>
        <v>0</v>
      </c>
      <c r="H30" s="80"/>
      <c r="I30" s="82" t="s">
        <v>70</v>
      </c>
      <c r="J30" s="82">
        <v>253</v>
      </c>
      <c r="K30" s="83">
        <v>6896</v>
      </c>
      <c r="L30" s="84">
        <f t="shared" si="8"/>
        <v>0</v>
      </c>
      <c r="N30" s="85">
        <v>5101</v>
      </c>
      <c r="O30" s="54">
        <v>253</v>
      </c>
      <c r="P30" s="86"/>
      <c r="Q30" s="68"/>
      <c r="V30" s="637"/>
      <c r="W30" s="637"/>
      <c r="X30" s="638"/>
      <c r="Y30" s="638"/>
      <c r="Z30" s="89" t="s">
        <v>70</v>
      </c>
      <c r="AA30" s="89">
        <v>253</v>
      </c>
      <c r="AB30" s="90">
        <f t="shared" si="9"/>
        <v>6896</v>
      </c>
      <c r="AC30" s="91">
        <f t="shared" si="7"/>
        <v>0</v>
      </c>
      <c r="AD30" s="9"/>
    </row>
    <row r="31" spans="1:30" x14ac:dyDescent="0.25">
      <c r="A31" s="1" t="s">
        <v>73</v>
      </c>
      <c r="B31" s="633"/>
      <c r="C31" s="634"/>
      <c r="D31" s="13">
        <v>0</v>
      </c>
      <c r="E31" s="13">
        <v>0</v>
      </c>
      <c r="F31" s="92">
        <v>0</v>
      </c>
      <c r="G31" s="46">
        <f t="shared" si="6"/>
        <v>0</v>
      </c>
      <c r="H31" s="80"/>
      <c r="I31" s="93" t="s">
        <v>74</v>
      </c>
      <c r="J31" s="82">
        <v>251</v>
      </c>
      <c r="K31" s="83">
        <v>1173</v>
      </c>
      <c r="L31" s="84">
        <f t="shared" si="8"/>
        <v>0</v>
      </c>
      <c r="N31" s="85">
        <v>5102</v>
      </c>
      <c r="O31" s="54">
        <v>251</v>
      </c>
      <c r="P31" s="86"/>
      <c r="Q31" s="68"/>
      <c r="V31" s="637"/>
      <c r="W31" s="637"/>
      <c r="X31" s="638"/>
      <c r="Y31" s="638"/>
      <c r="Z31" s="94" t="s">
        <v>74</v>
      </c>
      <c r="AA31" s="89">
        <v>251</v>
      </c>
      <c r="AB31" s="90">
        <f t="shared" si="9"/>
        <v>1173</v>
      </c>
      <c r="AC31" s="91">
        <f t="shared" si="7"/>
        <v>0</v>
      </c>
      <c r="AD31" s="9"/>
    </row>
    <row r="32" spans="1:30" x14ac:dyDescent="0.25">
      <c r="A32" s="1" t="s">
        <v>75</v>
      </c>
      <c r="B32" s="633"/>
      <c r="C32" s="634"/>
      <c r="D32" s="13">
        <v>0</v>
      </c>
      <c r="E32" s="13">
        <v>0</v>
      </c>
      <c r="F32" s="92">
        <v>0</v>
      </c>
      <c r="G32" s="46">
        <f t="shared" si="6"/>
        <v>0</v>
      </c>
      <c r="H32" s="80"/>
      <c r="I32" s="93" t="s">
        <v>74</v>
      </c>
      <c r="J32" s="82">
        <v>252</v>
      </c>
      <c r="K32" s="83">
        <v>3506</v>
      </c>
      <c r="L32" s="84">
        <f t="shared" si="8"/>
        <v>0</v>
      </c>
      <c r="N32" s="85">
        <v>5102</v>
      </c>
      <c r="O32" s="54">
        <v>252</v>
      </c>
      <c r="P32" s="86"/>
      <c r="Q32" s="54"/>
      <c r="V32" s="637"/>
      <c r="W32" s="637"/>
      <c r="X32" s="638"/>
      <c r="Y32" s="638"/>
      <c r="Z32" s="94" t="s">
        <v>74</v>
      </c>
      <c r="AA32" s="89">
        <v>252</v>
      </c>
      <c r="AB32" s="90">
        <f t="shared" si="9"/>
        <v>3506</v>
      </c>
      <c r="AC32" s="91">
        <f t="shared" si="7"/>
        <v>0</v>
      </c>
      <c r="AD32" s="9"/>
    </row>
    <row r="33" spans="1:30" x14ac:dyDescent="0.25">
      <c r="A33" s="1" t="s">
        <v>76</v>
      </c>
      <c r="B33" s="633"/>
      <c r="C33" s="634"/>
      <c r="D33" s="13">
        <v>0</v>
      </c>
      <c r="E33" s="13">
        <v>0</v>
      </c>
      <c r="F33" s="92">
        <v>0</v>
      </c>
      <c r="G33" s="46">
        <f t="shared" si="6"/>
        <v>0</v>
      </c>
      <c r="H33" s="80"/>
      <c r="I33" s="93" t="s">
        <v>74</v>
      </c>
      <c r="J33" s="82">
        <v>253</v>
      </c>
      <c r="K33" s="83">
        <v>7023</v>
      </c>
      <c r="L33" s="84">
        <f t="shared" si="8"/>
        <v>0</v>
      </c>
      <c r="N33" s="85">
        <v>5102</v>
      </c>
      <c r="O33" s="54">
        <v>253</v>
      </c>
      <c r="P33" s="86"/>
      <c r="Q33" s="87"/>
      <c r="V33" s="637"/>
      <c r="W33" s="637"/>
      <c r="X33" s="638"/>
      <c r="Y33" s="638"/>
      <c r="Z33" s="94" t="s">
        <v>74</v>
      </c>
      <c r="AA33" s="89">
        <v>253</v>
      </c>
      <c r="AB33" s="90">
        <f t="shared" si="9"/>
        <v>7023</v>
      </c>
      <c r="AC33" s="91">
        <f t="shared" si="7"/>
        <v>0</v>
      </c>
      <c r="AD33" s="9"/>
    </row>
    <row r="34" spans="1:30" x14ac:dyDescent="0.25">
      <c r="A34" s="1" t="s">
        <v>77</v>
      </c>
      <c r="B34" s="633"/>
      <c r="C34" s="634"/>
      <c r="D34" s="13">
        <v>10.98</v>
      </c>
      <c r="E34" s="13">
        <v>10.93</v>
      </c>
      <c r="F34" s="92">
        <v>7.5</v>
      </c>
      <c r="G34" s="46">
        <f t="shared" si="6"/>
        <v>21.91</v>
      </c>
      <c r="H34" s="80"/>
      <c r="I34" s="93" t="s">
        <v>78</v>
      </c>
      <c r="J34" s="82">
        <v>251</v>
      </c>
      <c r="K34" s="83">
        <v>835</v>
      </c>
      <c r="L34" s="84">
        <f t="shared" si="8"/>
        <v>18295</v>
      </c>
      <c r="N34" s="85">
        <v>5103</v>
      </c>
      <c r="O34" s="54">
        <v>251</v>
      </c>
      <c r="P34" s="86"/>
      <c r="Q34" s="87"/>
      <c r="V34" s="637"/>
      <c r="W34" s="637"/>
      <c r="X34" s="638"/>
      <c r="Y34" s="638"/>
      <c r="Z34" s="94" t="s">
        <v>78</v>
      </c>
      <c r="AA34" s="89">
        <v>251</v>
      </c>
      <c r="AB34" s="90">
        <f t="shared" si="9"/>
        <v>835</v>
      </c>
      <c r="AC34" s="91">
        <f t="shared" si="7"/>
        <v>0</v>
      </c>
      <c r="AD34" s="9"/>
    </row>
    <row r="35" spans="1:30" x14ac:dyDescent="0.25">
      <c r="A35" s="1" t="s">
        <v>79</v>
      </c>
      <c r="B35" s="633"/>
      <c r="C35" s="634"/>
      <c r="D35" s="13">
        <v>2.56</v>
      </c>
      <c r="E35" s="13">
        <v>3.46</v>
      </c>
      <c r="F35" s="92">
        <v>2.5</v>
      </c>
      <c r="G35" s="46">
        <f t="shared" si="6"/>
        <v>6.02</v>
      </c>
      <c r="H35" s="80"/>
      <c r="I35" s="93" t="s">
        <v>78</v>
      </c>
      <c r="J35" s="82">
        <v>252</v>
      </c>
      <c r="K35" s="83">
        <v>3168</v>
      </c>
      <c r="L35" s="84">
        <f t="shared" si="8"/>
        <v>19071</v>
      </c>
      <c r="N35" s="85">
        <v>5103</v>
      </c>
      <c r="O35" s="54">
        <v>252</v>
      </c>
      <c r="P35" s="86"/>
      <c r="Q35" s="95"/>
      <c r="V35" s="637"/>
      <c r="W35" s="637"/>
      <c r="X35" s="638"/>
      <c r="Y35" s="638"/>
      <c r="Z35" s="94" t="s">
        <v>78</v>
      </c>
      <c r="AA35" s="89">
        <v>252</v>
      </c>
      <c r="AB35" s="90">
        <f t="shared" si="9"/>
        <v>3168</v>
      </c>
      <c r="AC35" s="91">
        <f t="shared" si="7"/>
        <v>0</v>
      </c>
      <c r="AD35" s="9"/>
    </row>
    <row r="36" spans="1:30" ht="16.5" thickBot="1" x14ac:dyDescent="0.3">
      <c r="A36" s="1" t="s">
        <v>80</v>
      </c>
      <c r="B36" s="635"/>
      <c r="C36" s="636"/>
      <c r="D36" s="13">
        <v>0</v>
      </c>
      <c r="E36" s="13">
        <v>0.01</v>
      </c>
      <c r="F36" s="92">
        <v>0</v>
      </c>
      <c r="G36" s="46">
        <f t="shared" si="6"/>
        <v>0.01</v>
      </c>
      <c r="H36" s="80"/>
      <c r="I36" s="93" t="s">
        <v>78</v>
      </c>
      <c r="J36" s="82">
        <v>253</v>
      </c>
      <c r="K36" s="83">
        <v>6685</v>
      </c>
      <c r="L36" s="96">
        <f t="shared" si="8"/>
        <v>67</v>
      </c>
      <c r="N36" s="85">
        <v>5103</v>
      </c>
      <c r="O36" s="54">
        <v>253</v>
      </c>
      <c r="P36" s="86"/>
      <c r="Q36" s="97"/>
      <c r="V36" s="637"/>
      <c r="W36" s="637"/>
      <c r="X36" s="645"/>
      <c r="Y36" s="645"/>
      <c r="Z36" s="94" t="s">
        <v>78</v>
      </c>
      <c r="AA36" s="89">
        <v>253</v>
      </c>
      <c r="AB36" s="90">
        <f t="shared" si="9"/>
        <v>6685</v>
      </c>
      <c r="AC36" s="98">
        <f t="shared" si="7"/>
        <v>0</v>
      </c>
      <c r="AD36" s="9"/>
    </row>
    <row r="37" spans="1:30" ht="18.75" customHeight="1" x14ac:dyDescent="0.25">
      <c r="B37" s="13" t="s">
        <v>81</v>
      </c>
      <c r="C37" s="13"/>
      <c r="D37" s="63">
        <f t="shared" ref="D37:E37" si="10">SUM(D28:D36)</f>
        <v>13.540000000000001</v>
      </c>
      <c r="E37" s="63">
        <f t="shared" si="10"/>
        <v>14.4</v>
      </c>
      <c r="F37" s="63"/>
      <c r="G37" s="63">
        <f>SUM(G28:G36)</f>
        <v>27.94</v>
      </c>
      <c r="H37" s="64"/>
      <c r="I37" s="13" t="s">
        <v>82</v>
      </c>
      <c r="J37" s="13"/>
      <c r="K37" s="13"/>
      <c r="L37" s="50">
        <f>SUM(L28:L36)</f>
        <v>37433</v>
      </c>
      <c r="N37" s="54"/>
      <c r="O37" s="68"/>
      <c r="P37" s="54"/>
      <c r="Q37" s="54"/>
      <c r="V37" s="646" t="s">
        <v>81</v>
      </c>
      <c r="W37" s="646"/>
      <c r="X37" s="626">
        <f>SUM(X28:X36)</f>
        <v>0</v>
      </c>
      <c r="Y37" s="626"/>
      <c r="Z37" s="646" t="s">
        <v>82</v>
      </c>
      <c r="AA37" s="646"/>
      <c r="AB37" s="646"/>
      <c r="AC37" s="56">
        <f>SUM(AC28:AC36)</f>
        <v>0</v>
      </c>
      <c r="AD37" s="9"/>
    </row>
    <row r="38" spans="1:30" ht="30.75" customHeight="1" x14ac:dyDescent="0.25">
      <c r="B38" s="99" t="s">
        <v>83</v>
      </c>
      <c r="C38" s="99"/>
      <c r="D38" s="99"/>
      <c r="E38" s="99"/>
      <c r="F38" s="99"/>
      <c r="G38" s="99"/>
      <c r="H38" s="100"/>
      <c r="I38" s="99"/>
      <c r="J38" s="99"/>
      <c r="K38" s="99"/>
      <c r="L38" s="99"/>
      <c r="M38" s="101"/>
      <c r="N38" s="54"/>
      <c r="O38" s="68"/>
      <c r="P38" s="54"/>
      <c r="Q38" s="54"/>
      <c r="V38" s="639" t="s">
        <v>83</v>
      </c>
      <c r="W38" s="639"/>
      <c r="X38" s="639"/>
      <c r="Y38" s="639"/>
      <c r="Z38" s="639"/>
      <c r="AA38" s="639"/>
      <c r="AB38" s="639"/>
      <c r="AC38" s="639"/>
      <c r="AD38" s="102"/>
    </row>
    <row r="39" spans="1:30" ht="15.75" customHeight="1" x14ac:dyDescent="0.25">
      <c r="B39" s="103" t="s">
        <v>84</v>
      </c>
      <c r="C39" s="103"/>
      <c r="D39" s="103"/>
      <c r="E39" s="103"/>
      <c r="F39" s="103"/>
      <c r="G39" s="104">
        <v>34389540</v>
      </c>
      <c r="H39" s="104"/>
      <c r="I39" s="13" t="s">
        <v>85</v>
      </c>
      <c r="J39" s="13"/>
      <c r="K39" s="13"/>
      <c r="L39" s="13"/>
      <c r="O39" s="1"/>
      <c r="V39" s="640" t="s">
        <v>84</v>
      </c>
      <c r="W39" s="640"/>
      <c r="X39" s="641">
        <f>+G39</f>
        <v>34389540</v>
      </c>
      <c r="Y39" s="641"/>
      <c r="Z39" s="642" t="s">
        <v>85</v>
      </c>
      <c r="AA39" s="642"/>
      <c r="AB39" s="642"/>
      <c r="AC39" s="642"/>
      <c r="AD39" s="9"/>
    </row>
    <row r="40" spans="1:30" ht="15.75" customHeight="1" x14ac:dyDescent="0.25">
      <c r="B40" s="105" t="s">
        <v>86</v>
      </c>
      <c r="C40" s="105"/>
      <c r="D40" s="105"/>
      <c r="E40" s="105"/>
      <c r="F40" s="105"/>
      <c r="G40" s="106">
        <v>180284.81</v>
      </c>
      <c r="H40" s="106"/>
      <c r="I40" s="106"/>
      <c r="J40" s="106"/>
      <c r="K40" s="50">
        <f>ROUND(G39/G40,0)</f>
        <v>191</v>
      </c>
      <c r="L40" s="50">
        <f>ROUND(K40*$G$26,0)</f>
        <v>17713</v>
      </c>
      <c r="N40" s="107"/>
      <c r="O40" s="107"/>
      <c r="P40" s="107"/>
      <c r="Q40" s="107"/>
      <c r="V40" s="643" t="s">
        <v>86</v>
      </c>
      <c r="W40" s="643"/>
      <c r="X40" s="644">
        <f>+G40</f>
        <v>180284.81</v>
      </c>
      <c r="Y40" s="644"/>
      <c r="Z40" s="644"/>
      <c r="AA40" s="644"/>
      <c r="AB40" s="56">
        <f>ROUND(X39/X40,0)</f>
        <v>191</v>
      </c>
      <c r="AC40" s="56">
        <f>ROUND(AB40*$X$26,0)</f>
        <v>0</v>
      </c>
      <c r="AD40" s="9"/>
    </row>
    <row r="41" spans="1:30" ht="15.75" customHeight="1" x14ac:dyDescent="0.25">
      <c r="B41" s="108" t="s">
        <v>87</v>
      </c>
      <c r="C41" s="108"/>
      <c r="D41" s="108"/>
      <c r="E41" s="108"/>
      <c r="F41" s="108"/>
      <c r="G41" s="108"/>
      <c r="H41" s="108"/>
      <c r="I41" s="108"/>
      <c r="J41" s="108"/>
      <c r="K41" s="108"/>
      <c r="L41" s="108"/>
      <c r="N41" s="101"/>
      <c r="O41" s="109"/>
      <c r="P41" s="101"/>
      <c r="Q41" s="101"/>
      <c r="V41" s="652" t="s">
        <v>87</v>
      </c>
      <c r="W41" s="652"/>
      <c r="X41" s="652"/>
      <c r="Y41" s="652"/>
      <c r="Z41" s="652"/>
      <c r="AA41" s="652"/>
      <c r="AB41" s="652"/>
      <c r="AC41" s="652"/>
      <c r="AD41" s="9"/>
    </row>
    <row r="42" spans="1:30" ht="28.5" customHeight="1" x14ac:dyDescent="0.25">
      <c r="B42" s="99" t="s">
        <v>88</v>
      </c>
      <c r="C42" s="99"/>
      <c r="D42" s="99"/>
      <c r="E42" s="99"/>
      <c r="F42" s="99"/>
      <c r="G42" s="99"/>
      <c r="H42" s="99"/>
      <c r="I42" s="99"/>
      <c r="J42" s="99"/>
      <c r="K42" s="99"/>
      <c r="L42" s="99"/>
      <c r="M42" s="107"/>
      <c r="O42" s="1"/>
      <c r="V42" s="639" t="s">
        <v>88</v>
      </c>
      <c r="W42" s="639"/>
      <c r="X42" s="639"/>
      <c r="Y42" s="639"/>
      <c r="Z42" s="639"/>
      <c r="AA42" s="639"/>
      <c r="AB42" s="639"/>
      <c r="AC42" s="639"/>
      <c r="AD42" s="110"/>
    </row>
    <row r="43" spans="1:30" x14ac:dyDescent="0.25">
      <c r="B43" s="111" t="s">
        <v>89</v>
      </c>
      <c r="C43" s="111"/>
      <c r="D43" s="111"/>
      <c r="E43" s="111"/>
      <c r="F43" s="111"/>
      <c r="G43" s="111"/>
      <c r="H43" s="111"/>
      <c r="I43" s="111"/>
      <c r="J43" s="111"/>
      <c r="K43" s="111"/>
      <c r="L43" s="111"/>
      <c r="M43" s="112"/>
      <c r="N43" s="101"/>
      <c r="O43" s="101"/>
      <c r="P43" s="101"/>
      <c r="Q43" s="101"/>
      <c r="V43" s="653" t="s">
        <v>89</v>
      </c>
      <c r="W43" s="653"/>
      <c r="X43" s="653"/>
      <c r="Y43" s="653"/>
      <c r="Z43" s="653"/>
      <c r="AA43" s="653"/>
      <c r="AB43" s="653"/>
      <c r="AC43" s="653"/>
      <c r="AD43" s="113"/>
    </row>
    <row r="44" spans="1:30" ht="24" customHeight="1" x14ac:dyDescent="0.25">
      <c r="B44" s="62" t="s">
        <v>90</v>
      </c>
      <c r="C44" s="62"/>
      <c r="D44" s="62"/>
      <c r="E44" s="62"/>
      <c r="F44" s="62"/>
      <c r="G44" s="62"/>
      <c r="H44" s="62"/>
      <c r="I44" s="62"/>
      <c r="J44" s="62"/>
      <c r="K44" s="62"/>
      <c r="L44" s="114">
        <f>SUM(L26,L37,L40)</f>
        <v>418432</v>
      </c>
      <c r="O44" s="1"/>
      <c r="V44" s="654" t="s">
        <v>90</v>
      </c>
      <c r="W44" s="654"/>
      <c r="X44" s="654"/>
      <c r="Y44" s="654"/>
      <c r="Z44" s="654"/>
      <c r="AA44" s="654"/>
      <c r="AB44" s="654"/>
      <c r="AC44" s="115">
        <f>SUM(AC26,AC37,AC40)</f>
        <v>0</v>
      </c>
      <c r="AD44" s="9"/>
    </row>
    <row r="45" spans="1:30" ht="30.75" customHeight="1" x14ac:dyDescent="0.25">
      <c r="B45" s="99" t="s">
        <v>91</v>
      </c>
      <c r="C45" s="99"/>
      <c r="D45" s="99"/>
      <c r="E45" s="99"/>
      <c r="F45" s="99"/>
      <c r="G45" s="99"/>
      <c r="H45" s="99"/>
      <c r="I45" s="99"/>
      <c r="J45" s="99"/>
      <c r="K45" s="99"/>
      <c r="L45" s="99"/>
      <c r="M45" s="116"/>
      <c r="O45" s="1"/>
      <c r="V45" s="639" t="s">
        <v>91</v>
      </c>
      <c r="W45" s="639"/>
      <c r="X45" s="639"/>
      <c r="Y45" s="639"/>
      <c r="Z45" s="639"/>
      <c r="AA45" s="639"/>
      <c r="AB45" s="639"/>
      <c r="AC45" s="639"/>
      <c r="AD45" s="117"/>
    </row>
    <row r="46" spans="1:30" ht="18.75" customHeight="1" x14ac:dyDescent="0.25">
      <c r="B46" s="1"/>
      <c r="C46" s="118" t="s">
        <v>92</v>
      </c>
      <c r="D46" s="118"/>
      <c r="E46" s="118"/>
      <c r="F46" s="118"/>
      <c r="G46" s="118" t="s">
        <v>93</v>
      </c>
      <c r="H46" s="119"/>
      <c r="I46" s="120" t="s">
        <v>94</v>
      </c>
      <c r="J46" s="121"/>
      <c r="K46" s="121"/>
      <c r="L46" s="121"/>
      <c r="M46" s="122"/>
      <c r="O46" s="1"/>
      <c r="V46" s="9"/>
      <c r="W46" s="123" t="s">
        <v>92</v>
      </c>
      <c r="X46" s="655" t="s">
        <v>95</v>
      </c>
      <c r="Y46" s="655"/>
      <c r="Z46" s="656" t="s">
        <v>94</v>
      </c>
      <c r="AA46" s="656"/>
      <c r="AB46" s="656"/>
      <c r="AC46" s="656"/>
      <c r="AD46" s="124"/>
    </row>
    <row r="47" spans="1:30" ht="18.75" customHeight="1" x14ac:dyDescent="0.25">
      <c r="B47" s="107" t="s">
        <v>96</v>
      </c>
      <c r="C47" s="125">
        <f>K10+K11+K16+K19+K22</f>
        <v>0</v>
      </c>
      <c r="D47" s="125"/>
      <c r="E47" s="125"/>
      <c r="F47" s="125"/>
      <c r="G47" s="126">
        <f>K7</f>
        <v>1.0326</v>
      </c>
      <c r="H47" s="126"/>
      <c r="I47" s="127">
        <v>1316.85</v>
      </c>
      <c r="J47" s="128" t="s">
        <v>97</v>
      </c>
      <c r="K47" s="129">
        <f>ROUND(C47*G47*I47,0)</f>
        <v>0</v>
      </c>
      <c r="L47" s="130"/>
      <c r="O47" s="1"/>
      <c r="V47" s="110" t="s">
        <v>96</v>
      </c>
      <c r="W47" s="131">
        <f>AB10+AB11+AB16+AB19+AB22</f>
        <v>0</v>
      </c>
      <c r="X47" s="647">
        <f>AB7</f>
        <v>1.0326</v>
      </c>
      <c r="Y47" s="647"/>
      <c r="Z47" s="132">
        <f>+I47</f>
        <v>1316.85</v>
      </c>
      <c r="AA47" s="133" t="s">
        <v>97</v>
      </c>
      <c r="AB47" s="134">
        <f>ROUND(W47*X47*Z47,0)</f>
        <v>0</v>
      </c>
      <c r="AC47" s="135"/>
      <c r="AD47" s="9"/>
    </row>
    <row r="48" spans="1:30" ht="18" customHeight="1" x14ac:dyDescent="0.25">
      <c r="B48" s="136" t="s">
        <v>74</v>
      </c>
      <c r="C48" s="125">
        <f>K12+K13+K17+K20+K23</f>
        <v>0</v>
      </c>
      <c r="D48" s="125"/>
      <c r="E48" s="125"/>
      <c r="F48" s="125"/>
      <c r="G48" s="126">
        <f>K7</f>
        <v>1.0326</v>
      </c>
      <c r="H48" s="126"/>
      <c r="I48" s="127">
        <v>898.23</v>
      </c>
      <c r="J48" s="128" t="s">
        <v>97</v>
      </c>
      <c r="K48" s="129">
        <f>ROUND(C48*G48*I48,0)</f>
        <v>0</v>
      </c>
      <c r="L48" s="62"/>
      <c r="O48" s="1"/>
      <c r="V48" s="137" t="s">
        <v>74</v>
      </c>
      <c r="W48" s="131">
        <f>AB12+AB13+AB17+AB20+AB23</f>
        <v>0</v>
      </c>
      <c r="X48" s="647">
        <f>AB7</f>
        <v>1.0326</v>
      </c>
      <c r="Y48" s="647"/>
      <c r="Z48" s="132">
        <f>+I48</f>
        <v>898.23</v>
      </c>
      <c r="AA48" s="133" t="s">
        <v>97</v>
      </c>
      <c r="AB48" s="134">
        <f>ROUND(W48*X48*Z48,0)</f>
        <v>0</v>
      </c>
      <c r="AC48" s="138"/>
      <c r="AD48" s="9"/>
    </row>
    <row r="49" spans="2:30" ht="19.5" customHeight="1" thickBot="1" x14ac:dyDescent="0.3">
      <c r="B49" s="139" t="s">
        <v>78</v>
      </c>
      <c r="C49" s="140">
        <f>K14+K15+K18+K21+K24+K25</f>
        <v>93.760100000000008</v>
      </c>
      <c r="D49" s="125"/>
      <c r="E49" s="125"/>
      <c r="F49" s="125"/>
      <c r="G49" s="126">
        <f>K7</f>
        <v>1.0326</v>
      </c>
      <c r="H49" s="126"/>
      <c r="I49" s="127">
        <v>900.39</v>
      </c>
      <c r="J49" s="128" t="s">
        <v>97</v>
      </c>
      <c r="K49" s="129">
        <f>ROUND(C49*G49*I49,0)</f>
        <v>87173</v>
      </c>
      <c r="L49" s="62"/>
      <c r="M49" s="112"/>
      <c r="N49" s="141"/>
      <c r="O49" s="142"/>
      <c r="P49" s="101"/>
      <c r="Q49" s="143"/>
      <c r="V49" s="144" t="s">
        <v>78</v>
      </c>
      <c r="W49" s="145">
        <f>AB14+AB15+AB18+AB21+AB24+AB25</f>
        <v>0</v>
      </c>
      <c r="X49" s="647">
        <f>AB7</f>
        <v>1.0326</v>
      </c>
      <c r="Y49" s="647"/>
      <c r="Z49" s="132">
        <f>+I49</f>
        <v>900.39</v>
      </c>
      <c r="AA49" s="133" t="s">
        <v>97</v>
      </c>
      <c r="AB49" s="134">
        <f>ROUND(W49*X49*Z49,0)</f>
        <v>0</v>
      </c>
      <c r="AC49" s="138"/>
      <c r="AD49" s="113"/>
    </row>
    <row r="50" spans="2:30" ht="24" customHeight="1" thickBot="1" x14ac:dyDescent="0.3">
      <c r="B50" s="146" t="s">
        <v>98</v>
      </c>
      <c r="C50" s="147">
        <f>SUM(C47:C49)</f>
        <v>93.760100000000008</v>
      </c>
      <c r="D50" s="148"/>
      <c r="E50" s="149"/>
      <c r="F50" s="149"/>
      <c r="G50" s="150" t="s">
        <v>99</v>
      </c>
      <c r="H50" s="150"/>
      <c r="I50" s="150"/>
      <c r="J50" s="150"/>
      <c r="K50" s="150"/>
      <c r="L50" s="50">
        <f>IF(B2=75,0,K49+K48+K47)</f>
        <v>87173</v>
      </c>
      <c r="N50" s="3"/>
      <c r="O50" s="1"/>
      <c r="V50" s="151" t="s">
        <v>98</v>
      </c>
      <c r="W50" s="152">
        <f>SUM(W47:W49)</f>
        <v>0</v>
      </c>
      <c r="X50" s="648" t="s">
        <v>99</v>
      </c>
      <c r="Y50" s="649"/>
      <c r="Z50" s="649"/>
      <c r="AA50" s="649"/>
      <c r="AB50" s="649"/>
      <c r="AC50" s="56">
        <f>IF(V2=75,0,AB49+AB48+AB47)</f>
        <v>0</v>
      </c>
      <c r="AD50" s="9"/>
    </row>
    <row r="51" spans="2:30" ht="19.5" customHeight="1" x14ac:dyDescent="0.25">
      <c r="B51" s="153" t="s">
        <v>100</v>
      </c>
      <c r="C51" s="153"/>
      <c r="D51" s="153"/>
      <c r="E51" s="153"/>
      <c r="F51" s="153"/>
      <c r="G51" s="153"/>
      <c r="H51" s="153"/>
      <c r="I51" s="153"/>
      <c r="J51" s="153"/>
      <c r="K51" s="153"/>
      <c r="L51" s="153"/>
      <c r="M51" s="141"/>
      <c r="N51" s="101"/>
      <c r="O51" s="1"/>
      <c r="V51" s="650" t="s">
        <v>100</v>
      </c>
      <c r="W51" s="650"/>
      <c r="X51" s="650"/>
      <c r="Y51" s="650"/>
      <c r="Z51" s="650"/>
      <c r="AA51" s="650"/>
      <c r="AB51" s="650"/>
      <c r="AC51" s="650"/>
      <c r="AD51" s="154"/>
    </row>
    <row r="52" spans="2:30" ht="27.75" customHeight="1" x14ac:dyDescent="0.25">
      <c r="B52" s="13" t="s">
        <v>101</v>
      </c>
      <c r="C52" s="13"/>
      <c r="D52" s="13"/>
      <c r="E52" s="13"/>
      <c r="F52" s="13"/>
      <c r="G52" s="13"/>
      <c r="H52" s="13"/>
      <c r="I52" s="13"/>
      <c r="J52" s="13"/>
      <c r="K52" s="13"/>
      <c r="L52" s="13"/>
      <c r="O52" s="1"/>
      <c r="V52" s="651" t="s">
        <v>101</v>
      </c>
      <c r="W52" s="651"/>
      <c r="X52" s="651"/>
      <c r="Y52" s="651"/>
      <c r="Z52" s="651"/>
      <c r="AA52" s="651"/>
      <c r="AB52" s="651"/>
      <c r="AC52" s="651"/>
      <c r="AD52" s="9"/>
    </row>
    <row r="53" spans="2:30" x14ac:dyDescent="0.25">
      <c r="B53" s="13" t="s">
        <v>102</v>
      </c>
      <c r="C53" s="13"/>
      <c r="D53" s="13"/>
      <c r="E53" s="13"/>
      <c r="F53" s="13"/>
      <c r="G53" s="155">
        <f>K26</f>
        <v>93.760100000000008</v>
      </c>
      <c r="H53" s="57" t="s">
        <v>103</v>
      </c>
      <c r="I53" s="57"/>
      <c r="J53" s="156">
        <v>197823.77</v>
      </c>
      <c r="K53" s="156"/>
      <c r="L53" s="156"/>
      <c r="N53" s="3"/>
      <c r="O53" s="1"/>
      <c r="V53" s="657" t="s">
        <v>102</v>
      </c>
      <c r="W53" s="657"/>
      <c r="X53" s="157">
        <f>AB26</f>
        <v>0</v>
      </c>
      <c r="Y53" s="658" t="s">
        <v>103</v>
      </c>
      <c r="Z53" s="658"/>
      <c r="AA53" s="659">
        <f>+J53</f>
        <v>197823.77</v>
      </c>
      <c r="AB53" s="659"/>
      <c r="AC53" s="659"/>
      <c r="AD53" s="9"/>
    </row>
    <row r="54" spans="2:30" x14ac:dyDescent="0.25">
      <c r="B54" s="13" t="s">
        <v>104</v>
      </c>
      <c r="C54" s="13"/>
      <c r="D54" s="13"/>
      <c r="E54" s="13"/>
      <c r="F54" s="13"/>
      <c r="G54" s="13"/>
      <c r="H54" s="13"/>
      <c r="I54" s="13"/>
      <c r="J54" s="13"/>
      <c r="K54" s="158">
        <f>ROUND(G53/J53,6)</f>
        <v>4.7399999999999997E-4</v>
      </c>
      <c r="L54" s="158"/>
      <c r="N54" s="101"/>
      <c r="O54" s="1"/>
      <c r="V54" s="657" t="s">
        <v>104</v>
      </c>
      <c r="W54" s="657"/>
      <c r="X54" s="657"/>
      <c r="Y54" s="657"/>
      <c r="Z54" s="657"/>
      <c r="AA54" s="657"/>
      <c r="AB54" s="660">
        <f>ROUND(X53/AA53,6)</f>
        <v>0</v>
      </c>
      <c r="AC54" s="660"/>
      <c r="AD54" s="9"/>
    </row>
    <row r="55" spans="2:30" ht="24" customHeight="1" x14ac:dyDescent="0.25">
      <c r="B55" s="13" t="s">
        <v>105</v>
      </c>
      <c r="C55" s="13"/>
      <c r="D55" s="13"/>
      <c r="E55" s="13"/>
      <c r="F55" s="13"/>
      <c r="G55" s="13"/>
      <c r="H55" s="13"/>
      <c r="I55" s="13"/>
      <c r="J55" s="13"/>
      <c r="K55" s="13"/>
      <c r="L55" s="13"/>
      <c r="O55" s="1"/>
      <c r="V55" s="651" t="s">
        <v>105</v>
      </c>
      <c r="W55" s="651"/>
      <c r="X55" s="651"/>
      <c r="Y55" s="651"/>
      <c r="Z55" s="651"/>
      <c r="AA55" s="651"/>
      <c r="AB55" s="651"/>
      <c r="AC55" s="651"/>
      <c r="AD55" s="9"/>
    </row>
    <row r="56" spans="2:30" x14ac:dyDescent="0.25">
      <c r="B56" s="13" t="s">
        <v>106</v>
      </c>
      <c r="C56" s="13"/>
      <c r="D56" s="13"/>
      <c r="E56" s="13"/>
      <c r="F56" s="13"/>
      <c r="G56" s="159">
        <f>G26</f>
        <v>92.74</v>
      </c>
      <c r="H56" s="57" t="s">
        <v>107</v>
      </c>
      <c r="I56" s="57"/>
      <c r="J56" s="156">
        <f>+G40</f>
        <v>180284.81</v>
      </c>
      <c r="K56" s="156"/>
      <c r="L56" s="156"/>
      <c r="O56" s="1"/>
      <c r="V56" s="657" t="s">
        <v>106</v>
      </c>
      <c r="W56" s="657"/>
      <c r="X56" s="160">
        <f>X26</f>
        <v>0</v>
      </c>
      <c r="Y56" s="658" t="s">
        <v>107</v>
      </c>
      <c r="Z56" s="658"/>
      <c r="AA56" s="659">
        <f>+J56</f>
        <v>180284.81</v>
      </c>
      <c r="AB56" s="659"/>
      <c r="AC56" s="659"/>
      <c r="AD56" s="9"/>
    </row>
    <row r="57" spans="2:30" x14ac:dyDescent="0.25">
      <c r="B57" s="13" t="s">
        <v>108</v>
      </c>
      <c r="C57" s="13"/>
      <c r="D57" s="13"/>
      <c r="E57" s="13"/>
      <c r="F57" s="13"/>
      <c r="G57" s="13"/>
      <c r="H57" s="13"/>
      <c r="I57" s="13"/>
      <c r="J57" s="13"/>
      <c r="K57" s="158">
        <f>ROUND(G56/J56,6)</f>
        <v>5.1400000000000003E-4</v>
      </c>
      <c r="L57" s="158"/>
      <c r="O57" s="1"/>
      <c r="V57" s="657" t="s">
        <v>108</v>
      </c>
      <c r="W57" s="657"/>
      <c r="X57" s="657"/>
      <c r="Y57" s="657"/>
      <c r="Z57" s="657"/>
      <c r="AA57" s="657"/>
      <c r="AB57" s="660">
        <f>ROUND(X56/AA56,6)</f>
        <v>0</v>
      </c>
      <c r="AC57" s="660"/>
      <c r="AD57" s="9"/>
    </row>
    <row r="58" spans="2:30" ht="20.25" customHeight="1" x14ac:dyDescent="0.25">
      <c r="B58" s="161" t="s">
        <v>109</v>
      </c>
      <c r="C58" s="161"/>
      <c r="D58" s="161"/>
      <c r="E58" s="161"/>
      <c r="F58" s="161"/>
      <c r="G58" s="161"/>
      <c r="H58" s="161"/>
      <c r="I58" s="161"/>
      <c r="J58" s="161"/>
      <c r="K58" s="161"/>
      <c r="L58" s="161"/>
      <c r="N58" s="18"/>
      <c r="O58" s="18"/>
      <c r="V58" s="629" t="s">
        <v>110</v>
      </c>
      <c r="W58" s="629"/>
      <c r="X58" s="629"/>
      <c r="Y58" s="661">
        <f>X65+X64+X62+X61+X60</f>
        <v>4123852</v>
      </c>
      <c r="Z58" s="661"/>
      <c r="AA58" s="162" t="s">
        <v>111</v>
      </c>
      <c r="AB58" s="163">
        <f>AB54</f>
        <v>0</v>
      </c>
      <c r="AC58" s="56">
        <f>ROUND(Y58*AB58,0)</f>
        <v>0</v>
      </c>
      <c r="AD58" s="9"/>
    </row>
    <row r="59" spans="2:30" x14ac:dyDescent="0.25">
      <c r="B59" s="62" t="s">
        <v>110</v>
      </c>
      <c r="C59" s="62"/>
      <c r="D59" s="62"/>
      <c r="E59" s="62"/>
      <c r="F59" s="62"/>
      <c r="G59" s="62"/>
      <c r="H59" s="164" t="s">
        <v>22</v>
      </c>
      <c r="I59" s="129">
        <v>4123852</v>
      </c>
      <c r="J59" s="165" t="s">
        <v>111</v>
      </c>
      <c r="K59" s="166">
        <f>K54</f>
        <v>4.7399999999999997E-4</v>
      </c>
      <c r="L59" s="50">
        <f>ROUND(I59*K59,0)</f>
        <v>1955</v>
      </c>
      <c r="O59" s="1"/>
      <c r="P59" s="165"/>
      <c r="Q59" s="165"/>
      <c r="V59" s="662" t="s">
        <v>112</v>
      </c>
      <c r="W59" s="662"/>
      <c r="X59" s="662"/>
      <c r="Y59" s="662"/>
      <c r="Z59" s="662"/>
      <c r="AA59" s="662"/>
      <c r="AB59" s="662"/>
      <c r="AC59" s="662"/>
      <c r="AD59" s="9"/>
    </row>
    <row r="60" spans="2:30" x14ac:dyDescent="0.25">
      <c r="B60" s="62" t="s">
        <v>112</v>
      </c>
      <c r="C60" s="62"/>
      <c r="D60" s="62"/>
      <c r="E60" s="62"/>
      <c r="F60" s="62"/>
      <c r="G60" s="62"/>
      <c r="H60" s="62"/>
      <c r="I60" s="62"/>
      <c r="J60" s="62"/>
      <c r="K60" s="62"/>
      <c r="L60" s="62"/>
      <c r="O60" s="1"/>
      <c r="P60" s="165"/>
      <c r="Q60" s="165"/>
      <c r="V60" s="663" t="s">
        <v>113</v>
      </c>
      <c r="W60" s="663"/>
      <c r="X60" s="664">
        <f>+G61</f>
        <v>0</v>
      </c>
      <c r="Y60" s="664"/>
      <c r="Z60" s="664"/>
      <c r="AA60" s="664"/>
      <c r="AB60" s="664"/>
      <c r="AC60" s="664"/>
      <c r="AD60" s="9"/>
    </row>
    <row r="61" spans="2:30" ht="15" customHeight="1" x14ac:dyDescent="0.25">
      <c r="B61" s="167" t="s">
        <v>113</v>
      </c>
      <c r="C61" s="62"/>
      <c r="D61" s="62"/>
      <c r="E61" s="62"/>
      <c r="F61" s="62"/>
      <c r="G61" s="168">
        <v>0</v>
      </c>
      <c r="H61" s="168"/>
      <c r="I61" s="168"/>
      <c r="J61" s="168"/>
      <c r="K61" s="168"/>
      <c r="L61" s="168"/>
      <c r="O61" s="1"/>
      <c r="P61" s="165"/>
      <c r="Q61" s="165"/>
      <c r="V61" s="663" t="s">
        <v>114</v>
      </c>
      <c r="W61" s="663"/>
      <c r="X61" s="664">
        <f>+G62</f>
        <v>0</v>
      </c>
      <c r="Y61" s="664"/>
      <c r="Z61" s="664"/>
      <c r="AA61" s="664"/>
      <c r="AB61" s="664"/>
      <c r="AC61" s="664"/>
      <c r="AD61" s="9"/>
    </row>
    <row r="62" spans="2:30" ht="13.5" customHeight="1" x14ac:dyDescent="0.25">
      <c r="B62" s="167" t="s">
        <v>114</v>
      </c>
      <c r="C62" s="62"/>
      <c r="D62" s="62"/>
      <c r="E62" s="62"/>
      <c r="F62" s="62"/>
      <c r="G62" s="168">
        <v>0</v>
      </c>
      <c r="H62" s="168"/>
      <c r="I62" s="168"/>
      <c r="J62" s="168"/>
      <c r="K62" s="168"/>
      <c r="L62" s="168"/>
      <c r="N62" s="165"/>
      <c r="O62" s="165"/>
      <c r="P62" s="165"/>
      <c r="Q62" s="165"/>
      <c r="V62" s="663" t="s">
        <v>115</v>
      </c>
      <c r="W62" s="663"/>
      <c r="X62" s="664">
        <v>0</v>
      </c>
      <c r="Y62" s="664"/>
      <c r="Z62" s="664"/>
      <c r="AA62" s="664"/>
      <c r="AB62" s="664"/>
      <c r="AC62" s="664"/>
      <c r="AD62" s="9"/>
    </row>
    <row r="63" spans="2:30" ht="13.5" hidden="1" customHeight="1" x14ac:dyDescent="0.25">
      <c r="B63" s="62" t="s">
        <v>115</v>
      </c>
      <c r="C63" s="62"/>
      <c r="D63" s="62"/>
      <c r="E63" s="62"/>
      <c r="F63" s="62"/>
      <c r="G63" s="168">
        <v>0</v>
      </c>
      <c r="H63" s="168"/>
      <c r="I63" s="168"/>
      <c r="J63" s="168"/>
      <c r="K63" s="168"/>
      <c r="L63" s="168"/>
      <c r="O63" s="1"/>
      <c r="P63" s="165"/>
      <c r="Q63" s="165"/>
      <c r="V63" s="662" t="s">
        <v>116</v>
      </c>
      <c r="W63" s="662"/>
      <c r="X63" s="662"/>
      <c r="Y63" s="662"/>
      <c r="Z63" s="662"/>
      <c r="AA63" s="662"/>
      <c r="AB63" s="662"/>
      <c r="AC63" s="662"/>
      <c r="AD63" s="117"/>
    </row>
    <row r="64" spans="2:30" ht="13.5" customHeight="1" x14ac:dyDescent="0.25">
      <c r="B64" s="62" t="s">
        <v>116</v>
      </c>
      <c r="C64" s="62"/>
      <c r="D64" s="62"/>
      <c r="E64" s="62"/>
      <c r="F64" s="62"/>
      <c r="G64" s="62"/>
      <c r="H64" s="62"/>
      <c r="I64" s="62"/>
      <c r="J64" s="62"/>
      <c r="K64" s="62"/>
      <c r="L64" s="62"/>
      <c r="M64" s="116"/>
      <c r="N64" s="18"/>
      <c r="O64" s="1"/>
      <c r="V64" s="663" t="s">
        <v>117</v>
      </c>
      <c r="W64" s="663"/>
      <c r="X64" s="664">
        <f>+G65</f>
        <v>4123852</v>
      </c>
      <c r="Y64" s="664"/>
      <c r="Z64" s="664"/>
      <c r="AA64" s="664"/>
      <c r="AB64" s="664"/>
      <c r="AC64" s="664"/>
      <c r="AD64" s="9"/>
    </row>
    <row r="65" spans="1:30" ht="12.75" customHeight="1" x14ac:dyDescent="0.25">
      <c r="B65" s="167" t="s">
        <v>117</v>
      </c>
      <c r="C65" s="62"/>
      <c r="D65" s="62"/>
      <c r="E65" s="62"/>
      <c r="F65" s="62"/>
      <c r="G65" s="168">
        <f>+I59</f>
        <v>4123852</v>
      </c>
      <c r="H65" s="168"/>
      <c r="I65" s="168"/>
      <c r="J65" s="168"/>
      <c r="K65" s="168"/>
      <c r="L65" s="168"/>
      <c r="O65" s="1"/>
      <c r="V65" s="663" t="s">
        <v>118</v>
      </c>
      <c r="W65" s="663"/>
      <c r="X65" s="664">
        <f>+G66</f>
        <v>0</v>
      </c>
      <c r="Y65" s="664"/>
      <c r="Z65" s="664"/>
      <c r="AA65" s="664"/>
      <c r="AB65" s="664"/>
      <c r="AC65" s="664"/>
      <c r="AD65" s="20"/>
    </row>
    <row r="66" spans="1:30" ht="15" customHeight="1" x14ac:dyDescent="0.25">
      <c r="B66" s="167" t="s">
        <v>118</v>
      </c>
      <c r="C66" s="62"/>
      <c r="D66" s="62"/>
      <c r="E66" s="62"/>
      <c r="F66" s="62"/>
      <c r="G66" s="168">
        <v>0</v>
      </c>
      <c r="H66" s="168"/>
      <c r="I66" s="168"/>
      <c r="J66" s="168"/>
      <c r="K66" s="168"/>
      <c r="L66" s="168"/>
      <c r="M66" s="18"/>
      <c r="N66" s="3"/>
      <c r="O66" s="169"/>
      <c r="P66" s="169"/>
      <c r="Q66" s="169"/>
      <c r="V66" s="651" t="s">
        <v>119</v>
      </c>
      <c r="W66" s="651"/>
      <c r="X66" s="651"/>
      <c r="Y66" s="661">
        <f>+I67</f>
        <v>96774526</v>
      </c>
      <c r="Z66" s="661"/>
      <c r="AA66" s="162" t="s">
        <v>111</v>
      </c>
      <c r="AB66" s="163">
        <f>AB54</f>
        <v>0</v>
      </c>
      <c r="AC66" s="56">
        <f>ROUND(Y66*AB66,0)</f>
        <v>0</v>
      </c>
      <c r="AD66" s="9"/>
    </row>
    <row r="67" spans="1:30" ht="20.25" customHeight="1" x14ac:dyDescent="0.25">
      <c r="B67" s="13" t="s">
        <v>119</v>
      </c>
      <c r="C67" s="13"/>
      <c r="D67" s="13"/>
      <c r="E67" s="13"/>
      <c r="F67" s="13"/>
      <c r="H67" s="164" t="s">
        <v>25</v>
      </c>
      <c r="I67" s="129">
        <v>96774526</v>
      </c>
      <c r="J67" s="165" t="s">
        <v>111</v>
      </c>
      <c r="K67" s="166">
        <f>K54</f>
        <v>4.7399999999999997E-4</v>
      </c>
      <c r="L67" s="50">
        <f>ROUND(I67*K67,0)</f>
        <v>45871</v>
      </c>
      <c r="O67" s="1"/>
      <c r="V67" s="651" t="s">
        <v>120</v>
      </c>
      <c r="W67" s="651"/>
      <c r="X67" s="651"/>
      <c r="Y67" s="651"/>
      <c r="Z67" s="651"/>
      <c r="AA67" s="651"/>
      <c r="AB67" s="651"/>
      <c r="AC67" s="651"/>
      <c r="AD67" s="9"/>
    </row>
    <row r="68" spans="1:30" ht="20.25" customHeight="1" x14ac:dyDescent="0.25">
      <c r="B68" s="13" t="s">
        <v>120</v>
      </c>
      <c r="C68" s="13"/>
      <c r="D68" s="13"/>
      <c r="E68" s="13"/>
      <c r="F68" s="13"/>
      <c r="H68" s="13"/>
      <c r="I68" s="13"/>
      <c r="J68" s="82"/>
      <c r="K68" s="13"/>
      <c r="L68" s="13"/>
      <c r="O68" s="1"/>
      <c r="V68" s="667" t="s">
        <v>121</v>
      </c>
      <c r="W68" s="667"/>
      <c r="X68" s="667"/>
      <c r="Y68" s="661">
        <f>+I69</f>
        <v>0</v>
      </c>
      <c r="Z68" s="661"/>
      <c r="AA68" s="162" t="s">
        <v>111</v>
      </c>
      <c r="AB68" s="163">
        <f>AB57</f>
        <v>0</v>
      </c>
      <c r="AC68" s="56">
        <f>ROUND(Y68*AB68,0)</f>
        <v>0</v>
      </c>
      <c r="AD68" s="9"/>
    </row>
    <row r="69" spans="1:30" ht="15" customHeight="1" x14ac:dyDescent="0.25">
      <c r="B69" s="170" t="s">
        <v>121</v>
      </c>
      <c r="C69" s="13"/>
      <c r="D69" s="13"/>
      <c r="E69" s="13"/>
      <c r="F69" s="13"/>
      <c r="H69" s="164" t="s">
        <v>23</v>
      </c>
      <c r="I69" s="129">
        <v>0</v>
      </c>
      <c r="J69" s="165" t="s">
        <v>111</v>
      </c>
      <c r="K69" s="166">
        <f>K57</f>
        <v>5.1400000000000003E-4</v>
      </c>
      <c r="L69" s="50">
        <f>ROUND(I69*K69,0)</f>
        <v>0</v>
      </c>
      <c r="O69" s="1"/>
      <c r="V69" s="651" t="s">
        <v>122</v>
      </c>
      <c r="W69" s="651"/>
      <c r="X69" s="651"/>
      <c r="Y69" s="668">
        <f>+I70</f>
        <v>-3460775</v>
      </c>
      <c r="Z69" s="668"/>
      <c r="AA69" s="162" t="s">
        <v>111</v>
      </c>
      <c r="AB69" s="163">
        <f>AB54</f>
        <v>0</v>
      </c>
      <c r="AC69" s="56">
        <f>ROUND(Y69*AB69,0)</f>
        <v>0</v>
      </c>
      <c r="AD69" s="9"/>
    </row>
    <row r="70" spans="1:30" ht="20.25" customHeight="1" x14ac:dyDescent="0.25">
      <c r="B70" s="13" t="s">
        <v>122</v>
      </c>
      <c r="C70" s="13"/>
      <c r="D70" s="13"/>
      <c r="E70" s="13"/>
      <c r="F70" s="13"/>
      <c r="H70" s="164" t="s">
        <v>22</v>
      </c>
      <c r="I70" s="129">
        <v>-3460775</v>
      </c>
      <c r="J70" s="165" t="s">
        <v>111</v>
      </c>
      <c r="K70" s="166">
        <f>K54</f>
        <v>4.7399999999999997E-4</v>
      </c>
      <c r="L70" s="50">
        <f>ROUND(I70*K70,0)</f>
        <v>-1640</v>
      </c>
      <c r="O70" s="1"/>
      <c r="V70" s="651" t="s">
        <v>123</v>
      </c>
      <c r="W70" s="651"/>
      <c r="X70" s="651"/>
      <c r="Y70" s="665">
        <f>+I71</f>
        <v>1874788</v>
      </c>
      <c r="Z70" s="665"/>
      <c r="AA70" s="162" t="s">
        <v>111</v>
      </c>
      <c r="AB70" s="163">
        <f>AB54</f>
        <v>0</v>
      </c>
      <c r="AC70" s="56">
        <f>ROUND(Y70*AB70,0)</f>
        <v>0</v>
      </c>
      <c r="AD70" s="9"/>
    </row>
    <row r="71" spans="1:30" ht="20.25" customHeight="1" x14ac:dyDescent="0.25">
      <c r="B71" s="13" t="s">
        <v>123</v>
      </c>
      <c r="C71" s="13"/>
      <c r="D71" s="13"/>
      <c r="E71" s="13"/>
      <c r="F71" s="13"/>
      <c r="H71" s="164" t="s">
        <v>22</v>
      </c>
      <c r="I71" s="129">
        <v>1874788</v>
      </c>
      <c r="J71" s="165" t="s">
        <v>111</v>
      </c>
      <c r="K71" s="166">
        <f>K54</f>
        <v>4.7399999999999997E-4</v>
      </c>
      <c r="L71" s="50">
        <f>ROUND(I71*K71,0)</f>
        <v>889</v>
      </c>
      <c r="O71" s="1"/>
      <c r="V71" s="651" t="s">
        <v>124</v>
      </c>
      <c r="W71" s="651"/>
      <c r="X71" s="651"/>
      <c r="Y71" s="665">
        <f>+I72</f>
        <v>14223298</v>
      </c>
      <c r="Z71" s="665"/>
      <c r="AA71" s="162" t="s">
        <v>111</v>
      </c>
      <c r="AB71" s="163">
        <f>AB57</f>
        <v>0</v>
      </c>
      <c r="AC71" s="56">
        <f>ROUND(Y71*AB71,0)</f>
        <v>0</v>
      </c>
      <c r="AD71" s="9"/>
    </row>
    <row r="72" spans="1:30" ht="21" customHeight="1" x14ac:dyDescent="0.25">
      <c r="B72" s="13" t="s">
        <v>124</v>
      </c>
      <c r="C72" s="13"/>
      <c r="D72" s="13"/>
      <c r="E72" s="13"/>
      <c r="F72" s="13"/>
      <c r="H72" s="164" t="s">
        <v>23</v>
      </c>
      <c r="I72" s="171">
        <v>14223298</v>
      </c>
      <c r="J72" s="165" t="s">
        <v>111</v>
      </c>
      <c r="K72" s="166">
        <f>K57</f>
        <v>5.1400000000000003E-4</v>
      </c>
      <c r="L72" s="50">
        <f>ROUND(I72*K72,0)</f>
        <v>7311</v>
      </c>
      <c r="O72" s="1"/>
      <c r="V72" s="623" t="s">
        <v>125</v>
      </c>
      <c r="W72" s="623"/>
      <c r="X72" s="623"/>
      <c r="Y72" s="623"/>
      <c r="Z72" s="623"/>
      <c r="AA72" s="623"/>
      <c r="AB72" s="623"/>
      <c r="AC72" s="60"/>
      <c r="AD72" s="9"/>
    </row>
    <row r="73" spans="1:30" ht="17.25" customHeight="1" x14ac:dyDescent="0.25">
      <c r="B73" s="13" t="s">
        <v>125</v>
      </c>
      <c r="C73" s="13"/>
      <c r="D73" s="13"/>
      <c r="E73" s="13"/>
      <c r="F73" s="13"/>
      <c r="H73" s="13"/>
      <c r="I73" s="13"/>
      <c r="J73" s="82"/>
      <c r="K73" s="13"/>
      <c r="L73" s="59"/>
      <c r="O73" s="1"/>
      <c r="V73" s="651" t="s">
        <v>126</v>
      </c>
      <c r="W73" s="651"/>
      <c r="X73" s="651"/>
      <c r="Y73" s="651"/>
      <c r="Z73" s="651"/>
      <c r="AA73" s="651"/>
      <c r="AB73" s="651"/>
      <c r="AC73" s="651"/>
      <c r="AD73" s="9"/>
    </row>
    <row r="74" spans="1:30" ht="31.5" x14ac:dyDescent="0.25">
      <c r="B74" s="13" t="s">
        <v>126</v>
      </c>
      <c r="C74" s="13"/>
      <c r="D74" s="27" t="s">
        <v>13</v>
      </c>
      <c r="E74" s="27" t="s">
        <v>14</v>
      </c>
      <c r="F74" s="27"/>
      <c r="H74" s="164" t="s">
        <v>26</v>
      </c>
      <c r="I74" s="172"/>
      <c r="J74" s="164"/>
      <c r="K74" s="172"/>
      <c r="L74" s="112"/>
      <c r="O74" s="1"/>
      <c r="V74" s="666" t="s">
        <v>127</v>
      </c>
      <c r="W74" s="666"/>
      <c r="X74" s="173" t="s">
        <v>128</v>
      </c>
      <c r="Y74" s="174"/>
      <c r="Z74" s="175">
        <f>+I75</f>
        <v>0</v>
      </c>
      <c r="AA74" s="176" t="s">
        <v>129</v>
      </c>
      <c r="AB74" s="177">
        <f>+K75</f>
        <v>361</v>
      </c>
      <c r="AC74" s="56">
        <f>ROUND(AB74*Z74,0)</f>
        <v>0</v>
      </c>
      <c r="AD74" s="9"/>
    </row>
    <row r="75" spans="1:30" ht="19.5" customHeight="1" x14ac:dyDescent="0.25">
      <c r="A75" s="1" t="s">
        <v>130</v>
      </c>
      <c r="B75" s="178" t="s">
        <v>127</v>
      </c>
      <c r="C75" s="179" t="s">
        <v>128</v>
      </c>
      <c r="D75" s="178">
        <v>0</v>
      </c>
      <c r="E75" s="178">
        <v>0</v>
      </c>
      <c r="F75" s="178">
        <v>0</v>
      </c>
      <c r="G75" s="180">
        <f>IF(E75=0,D75,E75)</f>
        <v>0</v>
      </c>
      <c r="H75" s="181"/>
      <c r="I75" s="182">
        <f>AVERAGE(G75,D75)</f>
        <v>0</v>
      </c>
      <c r="J75" s="183" t="s">
        <v>129</v>
      </c>
      <c r="K75" s="184">
        <v>361</v>
      </c>
      <c r="L75" s="50">
        <f>ROUND(K75*I75,0)</f>
        <v>0</v>
      </c>
      <c r="N75" s="1">
        <v>7802</v>
      </c>
      <c r="O75" s="1">
        <v>0</v>
      </c>
      <c r="V75" s="666" t="s">
        <v>127</v>
      </c>
      <c r="W75" s="666"/>
      <c r="X75" s="173" t="s">
        <v>131</v>
      </c>
      <c r="Y75" s="185"/>
      <c r="Z75" s="186">
        <f>+I76</f>
        <v>0</v>
      </c>
      <c r="AA75" s="176" t="s">
        <v>129</v>
      </c>
      <c r="AB75" s="187">
        <f>+K76</f>
        <v>1358</v>
      </c>
      <c r="AC75" s="56">
        <f>ROUND(AB75*Z75,0)</f>
        <v>0</v>
      </c>
      <c r="AD75" s="9"/>
    </row>
    <row r="76" spans="1:30" ht="19.5" customHeight="1" x14ac:dyDescent="0.25">
      <c r="A76" s="1" t="s">
        <v>132</v>
      </c>
      <c r="B76" s="178" t="s">
        <v>127</v>
      </c>
      <c r="C76" s="179" t="s">
        <v>131</v>
      </c>
      <c r="D76" s="178">
        <v>0</v>
      </c>
      <c r="E76" s="178">
        <v>0</v>
      </c>
      <c r="F76" s="178">
        <v>0</v>
      </c>
      <c r="G76" s="180">
        <f>IF(E76=0,D76,E76)</f>
        <v>0</v>
      </c>
      <c r="H76" s="181"/>
      <c r="I76" s="182">
        <f>AVERAGE(G76,D76)</f>
        <v>0</v>
      </c>
      <c r="J76" s="183" t="s">
        <v>129</v>
      </c>
      <c r="K76" s="188">
        <v>1358</v>
      </c>
      <c r="L76" s="50">
        <f>ROUND(K76*I76,0)</f>
        <v>0</v>
      </c>
      <c r="N76" s="1">
        <v>7802</v>
      </c>
      <c r="O76" s="1">
        <v>110</v>
      </c>
      <c r="V76" s="651" t="s">
        <v>133</v>
      </c>
      <c r="W76" s="651"/>
      <c r="X76" s="651"/>
      <c r="Y76" s="661">
        <f>+I77</f>
        <v>33305823</v>
      </c>
      <c r="Z76" s="661"/>
      <c r="AA76" s="176" t="s">
        <v>129</v>
      </c>
      <c r="AB76" s="163">
        <f>AB54</f>
        <v>0</v>
      </c>
      <c r="AC76" s="56">
        <f>ROUND(Y76*AB76,0)</f>
        <v>0</v>
      </c>
      <c r="AD76" s="9"/>
    </row>
    <row r="77" spans="1:30" ht="26.25" customHeight="1" x14ac:dyDescent="0.25">
      <c r="B77" s="13" t="s">
        <v>133</v>
      </c>
      <c r="C77" s="13"/>
      <c r="D77" s="13"/>
      <c r="E77" s="13"/>
      <c r="F77" s="13"/>
      <c r="H77" s="164" t="s">
        <v>134</v>
      </c>
      <c r="I77" s="189">
        <v>33305823</v>
      </c>
      <c r="J77" s="165" t="s">
        <v>111</v>
      </c>
      <c r="K77" s="166">
        <f>K54</f>
        <v>4.7399999999999997E-4</v>
      </c>
      <c r="L77" s="50">
        <f>ROUND(I77*K77,0)</f>
        <v>15787</v>
      </c>
      <c r="O77" s="1"/>
      <c r="V77" s="651" t="str">
        <f>+B78</f>
        <v>15.  Additional Allocation (WFTE share)</v>
      </c>
      <c r="W77" s="651"/>
      <c r="X77" s="651"/>
      <c r="Y77" s="661">
        <f>+I78</f>
        <v>680688</v>
      </c>
      <c r="Z77" s="661"/>
      <c r="AA77" s="176" t="s">
        <v>129</v>
      </c>
      <c r="AB77" s="163">
        <f>AB54</f>
        <v>0</v>
      </c>
      <c r="AC77" s="56">
        <f>ROUND(Y77*AB77,0)</f>
        <v>0</v>
      </c>
      <c r="AD77" s="9"/>
    </row>
    <row r="78" spans="1:30" ht="26.25" customHeight="1" x14ac:dyDescent="0.25">
      <c r="B78" s="669" t="s">
        <v>135</v>
      </c>
      <c r="C78" s="669"/>
      <c r="D78" s="669"/>
      <c r="E78" s="13"/>
      <c r="F78" s="13"/>
      <c r="H78" s="164" t="s">
        <v>136</v>
      </c>
      <c r="I78" s="190">
        <v>680688</v>
      </c>
      <c r="J78" s="165" t="s">
        <v>111</v>
      </c>
      <c r="K78" s="166">
        <f>K54</f>
        <v>4.7399999999999997E-4</v>
      </c>
      <c r="L78" s="50">
        <f>ROUND(I78*K78,0)</f>
        <v>323</v>
      </c>
      <c r="O78" s="1"/>
      <c r="V78" s="651" t="str">
        <f t="shared" ref="V78:V79" si="11">+B79</f>
        <v>16.  Florida Teachers Lead Program Stipend</v>
      </c>
      <c r="W78" s="651"/>
      <c r="X78" s="651"/>
      <c r="Y78" s="191"/>
      <c r="Z78" s="191"/>
      <c r="AA78" s="191"/>
      <c r="AB78" s="191"/>
      <c r="AC78" s="134"/>
      <c r="AD78" s="9"/>
    </row>
    <row r="79" spans="1:30" ht="21" customHeight="1" x14ac:dyDescent="0.25">
      <c r="B79" s="669" t="s">
        <v>137</v>
      </c>
      <c r="C79" s="669"/>
      <c r="D79" s="669"/>
      <c r="E79" s="13"/>
      <c r="F79" s="13"/>
      <c r="H79" s="164"/>
      <c r="I79" s="172"/>
      <c r="J79" s="172"/>
      <c r="K79" s="172"/>
      <c r="L79" s="129"/>
      <c r="N79" s="192"/>
      <c r="O79" s="1"/>
      <c r="Q79" s="164"/>
      <c r="V79" s="651" t="str">
        <f t="shared" si="11"/>
        <v>17.  Food Service Allocation</v>
      </c>
      <c r="W79" s="651"/>
      <c r="X79" s="651"/>
      <c r="Y79" s="191"/>
      <c r="Z79" s="191"/>
      <c r="AA79" s="191"/>
      <c r="AB79" s="191"/>
      <c r="AC79" s="193"/>
      <c r="AD79" s="9"/>
    </row>
    <row r="80" spans="1:30" ht="21" customHeight="1" x14ac:dyDescent="0.25">
      <c r="B80" s="669" t="s">
        <v>138</v>
      </c>
      <c r="C80" s="669"/>
      <c r="D80" s="669"/>
      <c r="E80" s="13"/>
      <c r="F80" s="13"/>
      <c r="H80" s="194" t="s">
        <v>139</v>
      </c>
      <c r="I80" s="195"/>
      <c r="J80" s="195"/>
      <c r="K80" s="195"/>
      <c r="L80" s="196"/>
      <c r="N80" s="197"/>
      <c r="O80" s="1"/>
      <c r="Q80" s="164"/>
      <c r="V80" s="191"/>
      <c r="W80" s="191"/>
      <c r="X80" s="191"/>
      <c r="Y80" s="191"/>
      <c r="Z80" s="191"/>
      <c r="AA80" s="191"/>
      <c r="AB80" s="191"/>
      <c r="AC80" s="193"/>
      <c r="AD80" s="9"/>
    </row>
    <row r="81" spans="1:30" ht="21" customHeight="1" thickBot="1" x14ac:dyDescent="0.3">
      <c r="B81" s="13"/>
      <c r="C81" s="13"/>
      <c r="D81" s="13"/>
      <c r="E81" s="13"/>
      <c r="F81" s="13"/>
      <c r="G81" s="13"/>
      <c r="H81" s="13"/>
      <c r="I81" s="13"/>
      <c r="J81" s="13"/>
      <c r="K81" s="13"/>
      <c r="L81" s="196"/>
      <c r="M81" s="198"/>
      <c r="N81" s="197"/>
      <c r="O81" s="1"/>
      <c r="Q81" s="164"/>
      <c r="V81" s="191" t="s">
        <v>140</v>
      </c>
      <c r="W81" s="191"/>
      <c r="X81" s="191"/>
      <c r="Y81" s="191"/>
      <c r="Z81" s="191"/>
      <c r="AA81" s="191"/>
      <c r="AB81" s="191"/>
      <c r="AC81" s="199">
        <f>SUM(AC44:AC80)</f>
        <v>0</v>
      </c>
      <c r="AD81" s="200"/>
    </row>
    <row r="82" spans="1:30" ht="22.5" customHeight="1" thickTop="1" thickBot="1" x14ac:dyDescent="0.3">
      <c r="B82" s="13" t="s">
        <v>141</v>
      </c>
      <c r="C82" s="13"/>
      <c r="D82" s="13"/>
      <c r="E82" s="13"/>
      <c r="F82" s="13"/>
      <c r="G82" s="13"/>
      <c r="H82" s="13"/>
      <c r="I82" s="13"/>
      <c r="J82" s="13"/>
      <c r="K82" s="13"/>
      <c r="L82" s="201">
        <f>SUM(L44:L81)</f>
        <v>576101</v>
      </c>
      <c r="M82" s="202"/>
      <c r="N82" s="203"/>
      <c r="O82" s="1"/>
      <c r="Q82" s="164"/>
      <c r="V82" s="191"/>
      <c r="W82" s="191"/>
      <c r="X82" s="191"/>
      <c r="Y82" s="191"/>
      <c r="Z82" s="191"/>
      <c r="AA82" s="191"/>
      <c r="AB82" s="191"/>
      <c r="AC82" s="204"/>
      <c r="AD82" s="200"/>
    </row>
    <row r="83" spans="1:30" ht="27.75" customHeight="1" thickTop="1" x14ac:dyDescent="0.25">
      <c r="B83" s="13" t="s">
        <v>142</v>
      </c>
      <c r="C83" s="13"/>
      <c r="D83" s="13"/>
      <c r="E83" s="13"/>
      <c r="F83" s="13"/>
      <c r="G83" s="13"/>
      <c r="H83" s="13"/>
      <c r="I83" s="13"/>
      <c r="J83" s="13"/>
      <c r="K83" s="82" t="s">
        <v>143</v>
      </c>
      <c r="L83" s="205" t="s">
        <v>144</v>
      </c>
      <c r="M83" s="202"/>
      <c r="N83" s="203"/>
      <c r="O83" s="1"/>
      <c r="Q83" s="164"/>
      <c r="V83" s="9" t="s">
        <v>145</v>
      </c>
      <c r="W83" s="9"/>
      <c r="X83" s="9"/>
      <c r="Y83" s="9"/>
      <c r="Z83" s="9"/>
      <c r="AA83" s="9"/>
      <c r="AB83" s="9"/>
      <c r="AC83" s="9"/>
      <c r="AD83" s="206"/>
    </row>
    <row r="84" spans="1:30" ht="18.75" customHeight="1" thickBot="1" x14ac:dyDescent="0.3">
      <c r="B84" s="13" t="s">
        <v>146</v>
      </c>
      <c r="C84" s="13"/>
      <c r="D84" s="13"/>
      <c r="E84" s="13"/>
      <c r="F84" s="13"/>
      <c r="G84" s="13"/>
      <c r="H84" s="13"/>
      <c r="I84" s="13"/>
      <c r="J84" s="13"/>
      <c r="K84" s="207" t="str">
        <f>IF(G26=0,"",IF((G11+G13+SUM(G15:G21))/G26&gt;0.75,1,""))</f>
        <v/>
      </c>
      <c r="L84" s="201">
        <f>'3398'!AC81</f>
        <v>0</v>
      </c>
      <c r="M84" s="202"/>
      <c r="N84" s="203"/>
      <c r="O84" s="1"/>
      <c r="Q84" s="164"/>
      <c r="V84" s="208" t="s">
        <v>147</v>
      </c>
      <c r="W84" s="208"/>
      <c r="X84" s="208"/>
      <c r="Y84" s="208"/>
      <c r="Z84" s="208"/>
      <c r="AA84" s="208"/>
      <c r="AB84" s="208"/>
      <c r="AC84" s="208"/>
      <c r="AD84" s="9"/>
    </row>
    <row r="85" spans="1:30" ht="18.75" customHeight="1" thickTop="1" x14ac:dyDescent="0.25">
      <c r="B85" s="13"/>
      <c r="C85" s="13"/>
      <c r="D85" s="13"/>
      <c r="E85" s="13"/>
      <c r="F85" s="13"/>
      <c r="G85" s="13"/>
      <c r="H85" s="13"/>
      <c r="I85" s="13"/>
      <c r="J85" s="13"/>
      <c r="M85" s="202"/>
      <c r="N85" s="203"/>
      <c r="O85" s="1"/>
      <c r="Q85" s="164"/>
      <c r="V85" s="208" t="s">
        <v>148</v>
      </c>
      <c r="W85" s="208"/>
      <c r="X85" s="208"/>
      <c r="Y85" s="208"/>
      <c r="Z85" s="208"/>
      <c r="AA85" s="208"/>
      <c r="AB85" s="208"/>
      <c r="AC85" s="208"/>
      <c r="AD85" s="206"/>
    </row>
    <row r="86" spans="1:30" ht="18.75" customHeight="1" x14ac:dyDescent="0.25">
      <c r="B86" s="2" t="s">
        <v>149</v>
      </c>
      <c r="C86" s="13"/>
      <c r="D86" s="13"/>
      <c r="E86" s="13"/>
      <c r="F86" s="13"/>
      <c r="G86" s="13"/>
      <c r="H86" s="13"/>
      <c r="I86" s="13"/>
      <c r="J86" s="209" t="s">
        <v>150</v>
      </c>
      <c r="K86" s="210">
        <f>IF(K84=1,L84,L82)</f>
        <v>576101</v>
      </c>
      <c r="L86" s="211">
        <f>IF(G26=0,0,IF(G26&gt;250,-(((250/G26)*K86)*IF(M86="H",0.02,0.05)),IF(M86="H",-0.02*K86,-0.05*K86)))</f>
        <v>-28805.050000000003</v>
      </c>
      <c r="M86" s="212" t="str">
        <f>IF(B123="2801","H",IF(B123="2911","H",IF(B123="3382","H"," ")))</f>
        <v xml:space="preserve"> </v>
      </c>
      <c r="N86" s="203"/>
      <c r="O86" s="1"/>
      <c r="Q86" s="164"/>
      <c r="V86" s="208" t="s">
        <v>151</v>
      </c>
      <c r="W86" s="208"/>
      <c r="X86" s="208"/>
      <c r="Y86" s="208"/>
      <c r="Z86" s="208"/>
      <c r="AA86" s="208"/>
      <c r="AB86" s="208"/>
      <c r="AC86" s="208"/>
      <c r="AD86" s="206"/>
    </row>
    <row r="87" spans="1:30" ht="18.75" customHeight="1" x14ac:dyDescent="0.25">
      <c r="B87" s="2" t="s">
        <v>152</v>
      </c>
      <c r="C87" s="13"/>
      <c r="D87" s="13"/>
      <c r="E87" s="13"/>
      <c r="F87" s="13"/>
      <c r="G87" s="13"/>
      <c r="H87" s="13"/>
      <c r="I87" s="13"/>
      <c r="J87" s="13"/>
      <c r="K87" s="213"/>
      <c r="L87" s="205">
        <f>L82+L86</f>
        <v>547295.94999999995</v>
      </c>
      <c r="M87" s="202"/>
      <c r="N87" s="203"/>
      <c r="O87" s="1"/>
      <c r="Q87" s="164"/>
      <c r="V87" s="198"/>
      <c r="W87" s="198"/>
      <c r="X87" s="198"/>
      <c r="Y87" s="198"/>
      <c r="Z87" s="198"/>
      <c r="AA87" s="198"/>
      <c r="AB87" s="198"/>
      <c r="AC87" s="198"/>
      <c r="AD87" s="214"/>
    </row>
    <row r="88" spans="1:30" x14ac:dyDescent="0.25">
      <c r="V88" s="198"/>
      <c r="W88" s="198"/>
      <c r="X88" s="198"/>
      <c r="Y88" s="198"/>
      <c r="Z88" s="198"/>
      <c r="AA88" s="198"/>
      <c r="AB88" s="198"/>
      <c r="AC88" s="198"/>
      <c r="AD88" s="215"/>
    </row>
    <row r="89" spans="1:30" ht="18.75" customHeight="1" x14ac:dyDescent="0.25">
      <c r="A89" s="1" t="s">
        <v>153</v>
      </c>
      <c r="B89" s="13" t="s">
        <v>154</v>
      </c>
      <c r="C89" s="13"/>
      <c r="D89" s="13">
        <v>278121</v>
      </c>
      <c r="E89" s="13">
        <v>40225</v>
      </c>
      <c r="F89" s="13">
        <v>439021</v>
      </c>
      <c r="G89" s="13"/>
      <c r="H89" s="13"/>
      <c r="I89" s="13"/>
      <c r="J89" s="13"/>
      <c r="K89" s="213"/>
      <c r="L89" s="84">
        <f>-F89-54137</f>
        <v>-493158</v>
      </c>
      <c r="M89" s="202"/>
      <c r="N89" s="203"/>
      <c r="O89" s="1"/>
      <c r="Q89" s="164"/>
      <c r="V89" s="198">
        <v>2801</v>
      </c>
      <c r="W89" s="198"/>
      <c r="X89" s="198"/>
      <c r="Y89" s="198"/>
      <c r="Z89" s="198"/>
      <c r="AA89" s="198"/>
      <c r="AB89" s="198"/>
      <c r="AC89" s="198"/>
      <c r="AD89" s="214"/>
    </row>
    <row r="90" spans="1:30" ht="18.75" customHeight="1" x14ac:dyDescent="0.25">
      <c r="B90" s="13" t="s">
        <v>155</v>
      </c>
      <c r="C90" s="13"/>
      <c r="D90" s="13"/>
      <c r="E90" s="13"/>
      <c r="F90" s="13"/>
      <c r="G90" s="13"/>
      <c r="H90" s="13"/>
      <c r="I90" s="13"/>
      <c r="J90" s="13"/>
      <c r="K90" s="213"/>
      <c r="L90" s="205">
        <f>L87+L89</f>
        <v>54137.949999999953</v>
      </c>
      <c r="M90" s="202"/>
      <c r="N90" s="203"/>
      <c r="O90" s="1"/>
      <c r="Q90" s="164"/>
      <c r="V90" s="198">
        <v>2911</v>
      </c>
      <c r="W90" s="216"/>
      <c r="X90" s="216"/>
      <c r="Y90" s="216"/>
      <c r="Z90" s="216"/>
      <c r="AA90" s="216"/>
      <c r="AB90" s="216"/>
      <c r="AC90" s="216"/>
      <c r="AD90" s="214"/>
    </row>
    <row r="91" spans="1:30" ht="18.75" customHeight="1" x14ac:dyDescent="0.25">
      <c r="B91" s="13" t="s">
        <v>156</v>
      </c>
      <c r="C91" s="13"/>
      <c r="D91" s="13"/>
      <c r="E91" s="13"/>
      <c r="F91" s="13"/>
      <c r="G91" s="13"/>
      <c r="H91" s="13"/>
      <c r="I91" s="13"/>
      <c r="J91" s="13"/>
      <c r="K91" s="213"/>
      <c r="L91" s="205">
        <v>1</v>
      </c>
      <c r="M91" s="202"/>
      <c r="N91" s="203"/>
      <c r="O91" s="1"/>
      <c r="Q91" s="164"/>
      <c r="V91" s="198">
        <v>3382</v>
      </c>
      <c r="W91" s="216"/>
      <c r="X91" s="216"/>
      <c r="Y91" s="216"/>
      <c r="Z91" s="216"/>
      <c r="AA91" s="216"/>
      <c r="AB91" s="216"/>
      <c r="AC91" s="216"/>
      <c r="AD91" s="214"/>
    </row>
    <row r="92" spans="1:30" ht="18.75" customHeight="1" thickBot="1" x14ac:dyDescent="0.3">
      <c r="B92" s="13" t="s">
        <v>157</v>
      </c>
      <c r="C92" s="13"/>
      <c r="D92" s="13"/>
      <c r="E92" s="13"/>
      <c r="F92" s="13"/>
      <c r="G92" s="13"/>
      <c r="H92" s="13"/>
      <c r="I92" s="13"/>
      <c r="J92" s="13"/>
      <c r="K92" s="213"/>
      <c r="L92" s="217">
        <f>L90/L91</f>
        <v>54137.949999999953</v>
      </c>
      <c r="M92" s="202"/>
      <c r="N92" s="203"/>
      <c r="O92" s="1"/>
      <c r="Q92" s="164"/>
      <c r="V92" s="218"/>
      <c r="W92" s="218"/>
      <c r="X92" s="218"/>
      <c r="Y92" s="218"/>
      <c r="Z92" s="218"/>
      <c r="AA92" s="218"/>
      <c r="AB92" s="218"/>
      <c r="AC92" s="218"/>
      <c r="AD92" s="219"/>
    </row>
    <row r="93" spans="1:30" ht="18.75" customHeight="1" thickTop="1" x14ac:dyDescent="0.25">
      <c r="N93" s="219"/>
      <c r="O93" s="220"/>
      <c r="P93" s="219"/>
      <c r="Q93" s="219"/>
      <c r="V93" s="218"/>
      <c r="W93" s="218"/>
      <c r="X93" s="218"/>
      <c r="Y93" s="218"/>
      <c r="Z93" s="218"/>
      <c r="AA93" s="218"/>
      <c r="AB93" s="218"/>
      <c r="AC93" s="218"/>
      <c r="AD93" s="214"/>
    </row>
    <row r="94" spans="1:30" ht="18.75" customHeight="1" thickBot="1" x14ac:dyDescent="0.3">
      <c r="B94" s="221" t="s">
        <v>158</v>
      </c>
      <c r="C94" s="13"/>
      <c r="D94" s="13"/>
      <c r="E94" s="13"/>
      <c r="G94" s="13"/>
      <c r="H94" s="13"/>
      <c r="I94" s="13"/>
      <c r="J94" s="13"/>
      <c r="L94" s="222">
        <f>IF(M86="H",(K86*0.02)+L86,(K86*0.05)+L86)</f>
        <v>0</v>
      </c>
      <c r="M94" s="202"/>
      <c r="V94" s="223"/>
      <c r="W94" s="223"/>
      <c r="X94" s="223"/>
      <c r="Y94" s="223"/>
      <c r="Z94" s="223"/>
      <c r="AA94" s="223"/>
      <c r="AB94" s="223"/>
      <c r="AC94" s="223"/>
      <c r="AD94" s="214"/>
    </row>
    <row r="95" spans="1:30" ht="21.75" customHeight="1" thickTop="1" x14ac:dyDescent="0.25">
      <c r="B95" s="224" t="s">
        <v>159</v>
      </c>
      <c r="C95" s="224"/>
      <c r="D95" s="224"/>
      <c r="E95" s="224"/>
      <c r="F95" s="224"/>
      <c r="G95" s="224"/>
      <c r="H95" s="224"/>
      <c r="I95" s="224"/>
      <c r="J95" s="224"/>
      <c r="K95" s="224"/>
      <c r="L95" s="224"/>
      <c r="M95" s="219"/>
      <c r="V95" s="223"/>
      <c r="W95" s="223"/>
      <c r="X95" s="223"/>
      <c r="Y95" s="223"/>
      <c r="Z95" s="223"/>
      <c r="AA95" s="223"/>
      <c r="AB95" s="223"/>
      <c r="AC95" s="223"/>
      <c r="AD95" s="214"/>
    </row>
    <row r="96" spans="1:30" x14ac:dyDescent="0.25">
      <c r="B96" s="225"/>
      <c r="V96" s="223"/>
      <c r="W96" s="223"/>
      <c r="X96" s="223"/>
      <c r="Y96" s="223"/>
      <c r="Z96" s="223"/>
      <c r="AA96" s="223"/>
      <c r="AB96" s="223"/>
      <c r="AC96" s="223"/>
      <c r="AD96" s="219"/>
    </row>
    <row r="97" spans="2:30" x14ac:dyDescent="0.25">
      <c r="B97" s="225"/>
      <c r="V97" s="223"/>
      <c r="W97" s="223"/>
      <c r="X97" s="223"/>
      <c r="Y97" s="223"/>
      <c r="Z97" s="223"/>
      <c r="AA97" s="223"/>
      <c r="AB97" s="223"/>
      <c r="AC97" s="223"/>
      <c r="AD97" s="219"/>
    </row>
    <row r="98" spans="2:30" hidden="1" x14ac:dyDescent="0.25">
      <c r="B98" s="226" t="s">
        <v>160</v>
      </c>
      <c r="C98" s="227"/>
      <c r="V98" s="228"/>
      <c r="W98" s="228"/>
      <c r="X98" s="228"/>
      <c r="Y98" s="228"/>
      <c r="Z98" s="228"/>
      <c r="AA98" s="228"/>
      <c r="AB98" s="228"/>
      <c r="AC98" s="228"/>
    </row>
    <row r="99" spans="2:30" hidden="1" x14ac:dyDescent="0.25">
      <c r="B99" s="229"/>
      <c r="C99" s="227"/>
      <c r="V99" s="225"/>
      <c r="W99" s="13"/>
      <c r="X99" s="13"/>
      <c r="Y99" s="13"/>
      <c r="Z99" s="13"/>
      <c r="AA99" s="13"/>
      <c r="AB99" s="13"/>
      <c r="AC99" s="13"/>
    </row>
    <row r="100" spans="2:30" hidden="1" x14ac:dyDescent="0.25">
      <c r="B100" s="230" t="s">
        <v>161</v>
      </c>
      <c r="C100" s="226" t="s">
        <v>162</v>
      </c>
      <c r="V100" s="225"/>
    </row>
    <row r="101" spans="2:30" hidden="1" x14ac:dyDescent="0.25">
      <c r="B101" s="230" t="s">
        <v>163</v>
      </c>
      <c r="C101" s="226" t="s">
        <v>164</v>
      </c>
      <c r="V101" s="225"/>
    </row>
    <row r="102" spans="2:30" hidden="1" x14ac:dyDescent="0.25">
      <c r="B102" s="230" t="s">
        <v>165</v>
      </c>
      <c r="C102" s="226" t="s">
        <v>166</v>
      </c>
      <c r="V102" s="225"/>
      <c r="W102" s="231"/>
      <c r="X102" s="231"/>
      <c r="Y102" s="231"/>
      <c r="Z102" s="231"/>
      <c r="AA102" s="231"/>
      <c r="AB102" s="231"/>
      <c r="AC102" s="231"/>
      <c r="AD102" s="231"/>
    </row>
    <row r="103" spans="2:30" hidden="1" x14ac:dyDescent="0.25">
      <c r="B103" s="230" t="s">
        <v>167</v>
      </c>
      <c r="C103" s="226" t="s">
        <v>168</v>
      </c>
      <c r="V103" s="225"/>
    </row>
    <row r="104" spans="2:30" hidden="1" x14ac:dyDescent="0.25">
      <c r="B104" s="232"/>
      <c r="C104" s="226" t="s">
        <v>169</v>
      </c>
      <c r="V104" s="225"/>
    </row>
    <row r="105" spans="2:30" hidden="1" x14ac:dyDescent="0.25">
      <c r="B105" s="230" t="s">
        <v>170</v>
      </c>
      <c r="C105" s="226" t="s">
        <v>171</v>
      </c>
      <c r="V105" s="225"/>
    </row>
    <row r="106" spans="2:30" hidden="1" x14ac:dyDescent="0.25">
      <c r="B106" s="230" t="s">
        <v>172</v>
      </c>
      <c r="C106" s="226" t="s">
        <v>173</v>
      </c>
      <c r="V106" s="225"/>
    </row>
    <row r="107" spans="2:30" hidden="1" x14ac:dyDescent="0.25">
      <c r="B107" s="230" t="s">
        <v>289</v>
      </c>
      <c r="C107" s="226" t="s">
        <v>175</v>
      </c>
      <c r="V107" s="225"/>
    </row>
    <row r="108" spans="2:30" hidden="1" x14ac:dyDescent="0.25">
      <c r="B108" s="230" t="s">
        <v>176</v>
      </c>
      <c r="C108" s="226" t="s">
        <v>177</v>
      </c>
      <c r="V108" s="225"/>
    </row>
    <row r="109" spans="2:30" hidden="1" x14ac:dyDescent="0.25">
      <c r="B109" s="230" t="s">
        <v>178</v>
      </c>
      <c r="C109" s="226" t="s">
        <v>179</v>
      </c>
      <c r="V109" s="225"/>
    </row>
    <row r="110" spans="2:30" hidden="1" x14ac:dyDescent="0.25">
      <c r="B110" s="232"/>
      <c r="C110" s="226"/>
      <c r="V110" s="225"/>
    </row>
    <row r="111" spans="2:30" hidden="1" x14ac:dyDescent="0.25">
      <c r="B111" s="230" t="s">
        <v>180</v>
      </c>
      <c r="C111" s="226" t="s">
        <v>181</v>
      </c>
      <c r="V111" s="225"/>
    </row>
    <row r="112" spans="2:30" hidden="1" x14ac:dyDescent="0.25">
      <c r="B112" s="230" t="s">
        <v>180</v>
      </c>
      <c r="C112" s="226" t="s">
        <v>182</v>
      </c>
    </row>
    <row r="113" spans="2:3" hidden="1" x14ac:dyDescent="0.25">
      <c r="B113" s="230" t="s">
        <v>183</v>
      </c>
      <c r="C113" s="226" t="s">
        <v>184</v>
      </c>
    </row>
    <row r="114" spans="2:3" hidden="1" x14ac:dyDescent="0.25">
      <c r="B114" s="230" t="s">
        <v>185</v>
      </c>
      <c r="C114" s="226" t="s">
        <v>186</v>
      </c>
    </row>
    <row r="115" spans="2:3" hidden="1" x14ac:dyDescent="0.25">
      <c r="B115" s="230" t="s">
        <v>183</v>
      </c>
      <c r="C115" s="226" t="s">
        <v>187</v>
      </c>
    </row>
    <row r="116" spans="2:3" hidden="1" x14ac:dyDescent="0.25">
      <c r="B116" s="230" t="s">
        <v>188</v>
      </c>
      <c r="C116" s="226" t="s">
        <v>189</v>
      </c>
    </row>
    <row r="117" spans="2:3" hidden="1" x14ac:dyDescent="0.25">
      <c r="B117" s="230" t="s">
        <v>190</v>
      </c>
      <c r="C117" s="226" t="s">
        <v>191</v>
      </c>
    </row>
    <row r="118" spans="2:3" hidden="1" x14ac:dyDescent="0.25">
      <c r="B118" s="232" t="s">
        <v>192</v>
      </c>
      <c r="C118" s="226" t="s">
        <v>193</v>
      </c>
    </row>
    <row r="119" spans="2:3" hidden="1" x14ac:dyDescent="0.25">
      <c r="B119" s="232"/>
      <c r="C119" s="226"/>
    </row>
    <row r="120" spans="2:3" hidden="1" x14ac:dyDescent="0.25">
      <c r="B120" s="230" t="s">
        <v>161</v>
      </c>
      <c r="C120" s="226" t="s">
        <v>194</v>
      </c>
    </row>
    <row r="121" spans="2:3" hidden="1" x14ac:dyDescent="0.25">
      <c r="B121" s="230" t="s">
        <v>195</v>
      </c>
      <c r="C121" s="226" t="s">
        <v>196</v>
      </c>
    </row>
    <row r="122" spans="2:3" hidden="1" x14ac:dyDescent="0.25">
      <c r="B122" s="230" t="s">
        <v>197</v>
      </c>
      <c r="C122" s="226" t="s">
        <v>198</v>
      </c>
    </row>
    <row r="123" spans="2:3" hidden="1" x14ac:dyDescent="0.25">
      <c r="B123" s="230" t="s">
        <v>290</v>
      </c>
      <c r="C123" s="226" t="s">
        <v>200</v>
      </c>
    </row>
    <row r="124" spans="2:3" hidden="1" x14ac:dyDescent="0.25">
      <c r="B124" s="230" t="s">
        <v>291</v>
      </c>
      <c r="C124" s="226" t="s">
        <v>202</v>
      </c>
    </row>
    <row r="125" spans="2:3" hidden="1" x14ac:dyDescent="0.25">
      <c r="B125" s="230" t="s">
        <v>203</v>
      </c>
      <c r="C125" s="226" t="s">
        <v>204</v>
      </c>
    </row>
    <row r="126" spans="2:3" hidden="1" x14ac:dyDescent="0.25">
      <c r="B126" s="230" t="s">
        <v>203</v>
      </c>
      <c r="C126" s="226" t="s">
        <v>205</v>
      </c>
    </row>
    <row r="127" spans="2:3" hidden="1" x14ac:dyDescent="0.25">
      <c r="B127" s="230" t="s">
        <v>203</v>
      </c>
      <c r="C127" s="226" t="s">
        <v>206</v>
      </c>
    </row>
    <row r="128" spans="2:3" hidden="1" x14ac:dyDescent="0.25">
      <c r="B128" s="230" t="s">
        <v>203</v>
      </c>
      <c r="C128" s="226" t="s">
        <v>207</v>
      </c>
    </row>
    <row r="129" spans="2:3" hidden="1" x14ac:dyDescent="0.25">
      <c r="B129" s="230" t="s">
        <v>167</v>
      </c>
      <c r="C129" s="226" t="s">
        <v>208</v>
      </c>
    </row>
    <row r="130" spans="2:3" hidden="1" x14ac:dyDescent="0.25">
      <c r="B130" s="230" t="s">
        <v>209</v>
      </c>
      <c r="C130" s="226" t="s">
        <v>210</v>
      </c>
    </row>
    <row r="131" spans="2:3" hidden="1" x14ac:dyDescent="0.25">
      <c r="B131" s="230" t="s">
        <v>203</v>
      </c>
      <c r="C131" s="226" t="s">
        <v>211</v>
      </c>
    </row>
    <row r="132" spans="2:3" hidden="1" x14ac:dyDescent="0.25">
      <c r="B132" s="226"/>
      <c r="C132" s="226"/>
    </row>
    <row r="133" spans="2:3" hidden="1" x14ac:dyDescent="0.25">
      <c r="B133" s="226"/>
      <c r="C133" s="226"/>
    </row>
    <row r="134" spans="2:3" hidden="1" x14ac:dyDescent="0.25">
      <c r="B134" s="232"/>
      <c r="C134" s="232"/>
    </row>
    <row r="135" spans="2:3" hidden="1" x14ac:dyDescent="0.25">
      <c r="B135" s="232">
        <f>NvsElapsedTime</f>
        <v>1.15740695036948E-5</v>
      </c>
      <c r="C135" s="232"/>
    </row>
    <row r="136" spans="2:3" hidden="1" x14ac:dyDescent="0.25">
      <c r="B136" s="233">
        <f>NvsEndTime</f>
        <v>41754.487974536998</v>
      </c>
      <c r="C136" s="233" t="s">
        <v>212</v>
      </c>
    </row>
    <row r="137" spans="2:3" x14ac:dyDescent="0.25">
      <c r="B137" s="226"/>
      <c r="C137" s="234"/>
    </row>
    <row r="138" spans="2:3" x14ac:dyDescent="0.25">
      <c r="B138" s="226"/>
      <c r="C138" s="226"/>
    </row>
    <row r="139" spans="2:3" x14ac:dyDescent="0.25">
      <c r="B139" s="226"/>
      <c r="C139" s="226"/>
    </row>
    <row r="140" spans="2:3" x14ac:dyDescent="0.25">
      <c r="B140" s="226"/>
      <c r="C140" s="226"/>
    </row>
    <row r="141" spans="2:3" x14ac:dyDescent="0.25">
      <c r="B141" s="226"/>
      <c r="C141" s="226"/>
    </row>
    <row r="142" spans="2:3" x14ac:dyDescent="0.25">
      <c r="B142" s="226"/>
      <c r="C142" s="226"/>
    </row>
    <row r="143" spans="2:3" x14ac:dyDescent="0.25">
      <c r="B143" s="226"/>
      <c r="C143" s="226"/>
    </row>
    <row r="144" spans="2:3" x14ac:dyDescent="0.25">
      <c r="B144" s="226"/>
      <c r="C144" s="226"/>
    </row>
    <row r="145" spans="2:3" x14ac:dyDescent="0.25">
      <c r="B145" s="226"/>
      <c r="C145" s="226"/>
    </row>
    <row r="146" spans="2:3" x14ac:dyDescent="0.25">
      <c r="B146" s="226"/>
      <c r="C146" s="226"/>
    </row>
    <row r="147" spans="2:3" x14ac:dyDescent="0.25">
      <c r="B147" s="226"/>
      <c r="C147" s="226"/>
    </row>
    <row r="148" spans="2:3" x14ac:dyDescent="0.25">
      <c r="B148" s="226"/>
      <c r="C148" s="226"/>
    </row>
    <row r="149" spans="2:3" x14ac:dyDescent="0.25">
      <c r="B149" s="226"/>
      <c r="C149" s="226"/>
    </row>
    <row r="150" spans="2:3" x14ac:dyDescent="0.25">
      <c r="B150" s="226"/>
      <c r="C150" s="226"/>
    </row>
    <row r="151" spans="2:3" x14ac:dyDescent="0.25">
      <c r="B151" s="226"/>
      <c r="C151" s="226"/>
    </row>
  </sheetData>
  <mergeCells count="151">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9:W9"/>
    <mergeCell ref="X9:Y9"/>
    <mergeCell ref="Z9:AA9"/>
    <mergeCell ref="V10:W10"/>
    <mergeCell ref="X10:Y10"/>
    <mergeCell ref="Z10:AA10"/>
    <mergeCell ref="V7:W7"/>
    <mergeCell ref="X7:Y7"/>
    <mergeCell ref="Z7:AA7"/>
    <mergeCell ref="AB7:AC7"/>
    <mergeCell ref="V8:W8"/>
    <mergeCell ref="X8:Y8"/>
    <mergeCell ref="Z8:AA8"/>
    <mergeCell ref="W2:AC2"/>
    <mergeCell ref="V3:AC3"/>
    <mergeCell ref="V4:AC4"/>
    <mergeCell ref="V5:W5"/>
    <mergeCell ref="X5:Y5"/>
    <mergeCell ref="V6:AC6"/>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dimension ref="A1:AD151"/>
  <sheetViews>
    <sheetView topLeftCell="B80" zoomScale="70" zoomScaleNormal="70" workbookViewId="0">
      <selection activeCell="B2" sqref="B2"/>
    </sheetView>
  </sheetViews>
  <sheetFormatPr defaultColWidth="8.85546875" defaultRowHeight="15.75" x14ac:dyDescent="0.25"/>
  <cols>
    <col min="1" max="1" width="11.28515625" style="1" hidden="1" customWidth="1"/>
    <col min="2" max="2" width="10.28515625" style="2" customWidth="1"/>
    <col min="3" max="3" width="29" style="1" customWidth="1"/>
    <col min="4" max="5" width="12.28515625" style="1" customWidth="1"/>
    <col min="6" max="6" width="12.28515625" style="1" hidden="1" customWidth="1"/>
    <col min="7" max="7" width="15.28515625" style="1" customWidth="1"/>
    <col min="8" max="8" width="6.7109375" style="1" customWidth="1"/>
    <col min="9" max="9" width="12.5703125" style="1" customWidth="1"/>
    <col min="10" max="10" width="12.85546875" style="1" customWidth="1"/>
    <col min="11" max="11" width="13" style="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28515625" style="1" customWidth="1"/>
    <col min="18" max="18" width="8.85546875" style="1"/>
    <col min="19" max="21" width="0" style="1" hidden="1" customWidth="1"/>
    <col min="22" max="23" width="8.85546875" style="1"/>
    <col min="24" max="24" width="12.7109375" style="1" customWidth="1"/>
    <col min="25" max="27" width="8.85546875" style="1"/>
    <col min="28" max="28" width="13.140625" style="1" bestFit="1" customWidth="1"/>
    <col min="29" max="16384" width="8.85546875" style="1"/>
  </cols>
  <sheetData>
    <row r="1" spans="1:30" ht="15.6"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7"/>
      <c r="N2" s="3"/>
      <c r="O2" s="1"/>
      <c r="V2" s="8">
        <f>'3400'!B2</f>
        <v>50</v>
      </c>
      <c r="W2" s="606" t="s">
        <v>4</v>
      </c>
      <c r="X2" s="607"/>
      <c r="Y2" s="608"/>
      <c r="Z2" s="608"/>
      <c r="AA2" s="608"/>
      <c r="AB2" s="608"/>
      <c r="AC2" s="608"/>
      <c r="AD2" s="9"/>
    </row>
    <row r="3" spans="1:30" ht="20.25" x14ac:dyDescent="0.3">
      <c r="B3" s="10" t="str">
        <f>"Revenue Estimate Worksheet for "&amp;B124</f>
        <v>Revenue Estimate Worksheet for Believers</v>
      </c>
      <c r="C3" s="11"/>
      <c r="D3" s="11"/>
      <c r="E3" s="11"/>
      <c r="F3" s="11"/>
      <c r="G3" s="11"/>
      <c r="H3" s="11"/>
      <c r="I3" s="11"/>
      <c r="J3" s="11"/>
      <c r="K3" s="11"/>
      <c r="L3" s="11"/>
      <c r="M3" s="10"/>
      <c r="N3" s="10"/>
      <c r="O3" s="10"/>
      <c r="P3" s="10"/>
      <c r="Q3" s="10"/>
      <c r="V3" s="609" t="s">
        <v>5</v>
      </c>
      <c r="W3" s="609"/>
      <c r="X3" s="609"/>
      <c r="Y3" s="609"/>
      <c r="Z3" s="609"/>
      <c r="AA3" s="609"/>
      <c r="AB3" s="609"/>
      <c r="AC3" s="609"/>
      <c r="AD3" s="12"/>
    </row>
    <row r="4" spans="1:30" ht="18.75" x14ac:dyDescent="0.3">
      <c r="B4" s="2" t="s">
        <v>6</v>
      </c>
      <c r="C4" s="13"/>
      <c r="D4" s="13"/>
      <c r="E4" s="13"/>
      <c r="F4" s="13"/>
      <c r="G4" s="13"/>
      <c r="H4" s="13"/>
      <c r="I4" s="13"/>
      <c r="J4" s="13"/>
      <c r="K4" s="13"/>
      <c r="L4" s="13"/>
      <c r="M4" s="14"/>
      <c r="N4" s="14"/>
      <c r="O4" s="14"/>
      <c r="P4" s="14"/>
      <c r="Q4" s="14"/>
      <c r="V4" s="610" t="str">
        <f>+Based_on_the_Second_Calculation_of_the_FEFP_2010_11</f>
        <v>Based on the Fourth Calculation of the FEFP 2013-14</v>
      </c>
      <c r="W4" s="610"/>
      <c r="X4" s="610"/>
      <c r="Y4" s="610"/>
      <c r="Z4" s="610"/>
      <c r="AA4" s="610"/>
      <c r="AB4" s="610"/>
      <c r="AC4" s="610"/>
      <c r="AD4" s="15"/>
    </row>
    <row r="5" spans="1:30" ht="18.75" customHeight="1" x14ac:dyDescent="0.25">
      <c r="B5" s="16" t="s">
        <v>7</v>
      </c>
      <c r="C5" s="16"/>
      <c r="D5" s="16"/>
      <c r="E5" s="16"/>
      <c r="F5" s="16"/>
      <c r="G5" s="17" t="s">
        <v>8</v>
      </c>
      <c r="H5" s="17"/>
      <c r="I5" s="17"/>
      <c r="J5" s="17"/>
      <c r="K5" s="17"/>
      <c r="L5" s="17"/>
      <c r="M5" s="18"/>
      <c r="N5" s="18"/>
      <c r="O5" s="18"/>
      <c r="P5" s="18"/>
      <c r="Q5" s="18"/>
      <c r="V5" s="611" t="s">
        <v>7</v>
      </c>
      <c r="W5" s="611"/>
      <c r="X5" s="612" t="s">
        <v>8</v>
      </c>
      <c r="Y5" s="612"/>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613" t="s">
        <v>9</v>
      </c>
      <c r="W6" s="613"/>
      <c r="X6" s="613"/>
      <c r="Y6" s="613"/>
      <c r="Z6" s="613"/>
      <c r="AA6" s="613"/>
      <c r="AB6" s="613"/>
      <c r="AC6" s="613"/>
      <c r="AD6" s="22"/>
    </row>
    <row r="7" spans="1:30" ht="18" customHeight="1" x14ac:dyDescent="0.25">
      <c r="B7" s="23" t="s">
        <v>10</v>
      </c>
      <c r="C7" s="23"/>
      <c r="D7" s="23"/>
      <c r="E7" s="23"/>
      <c r="F7" s="23"/>
      <c r="G7" s="24">
        <v>3752.3</v>
      </c>
      <c r="H7" s="24"/>
      <c r="I7" s="23" t="s">
        <v>11</v>
      </c>
      <c r="J7" s="23"/>
      <c r="K7" s="25">
        <v>1.0326</v>
      </c>
      <c r="L7" s="25"/>
      <c r="O7" s="1"/>
      <c r="V7" s="620" t="s">
        <v>10</v>
      </c>
      <c r="W7" s="620"/>
      <c r="X7" s="621">
        <f>'3400'!G7</f>
        <v>3752.3</v>
      </c>
      <c r="Y7" s="621"/>
      <c r="Z7" s="622" t="s">
        <v>11</v>
      </c>
      <c r="AA7" s="622"/>
      <c r="AB7" s="602">
        <f>+K7</f>
        <v>1.0326</v>
      </c>
      <c r="AC7" s="602"/>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603" t="s">
        <v>12</v>
      </c>
      <c r="W8" s="603"/>
      <c r="X8" s="604" t="s">
        <v>15</v>
      </c>
      <c r="Y8" s="604"/>
      <c r="Z8" s="605" t="s">
        <v>16</v>
      </c>
      <c r="AA8" s="605"/>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614" t="s">
        <v>22</v>
      </c>
      <c r="W9" s="614"/>
      <c r="X9" s="615" t="s">
        <v>23</v>
      </c>
      <c r="Y9" s="615"/>
      <c r="Z9" s="616" t="s">
        <v>24</v>
      </c>
      <c r="AA9" s="616"/>
      <c r="AB9" s="43" t="s">
        <v>25</v>
      </c>
      <c r="AC9" s="44" t="s">
        <v>26</v>
      </c>
      <c r="AD9" s="9"/>
    </row>
    <row r="10" spans="1:30" x14ac:dyDescent="0.25">
      <c r="A10" s="1" t="s">
        <v>27</v>
      </c>
      <c r="B10" s="45" t="s">
        <v>28</v>
      </c>
      <c r="C10" s="45"/>
      <c r="D10" s="45">
        <v>0</v>
      </c>
      <c r="E10" s="45">
        <v>0</v>
      </c>
      <c r="F10" s="45">
        <v>0</v>
      </c>
      <c r="G10" s="46">
        <f>D10+E10</f>
        <v>0</v>
      </c>
      <c r="H10" s="47"/>
      <c r="I10" s="48">
        <v>1.125</v>
      </c>
      <c r="J10" s="48"/>
      <c r="K10" s="49">
        <f>ROUND(G10*I10,4)</f>
        <v>0</v>
      </c>
      <c r="L10" s="50">
        <f>ROUND(ROUND(K10*$G$7,4)*($K$7),0)</f>
        <v>0</v>
      </c>
      <c r="N10" s="51">
        <v>5101</v>
      </c>
      <c r="O10" s="52">
        <v>101</v>
      </c>
      <c r="P10" s="53"/>
      <c r="Q10" s="54"/>
      <c r="V10" s="617" t="s">
        <v>28</v>
      </c>
      <c r="W10" s="617"/>
      <c r="X10" s="618">
        <f>IF('3400'!K$84=1,'3400'!G10,0)</f>
        <v>0</v>
      </c>
      <c r="Y10" s="618"/>
      <c r="Z10" s="619">
        <v>1</v>
      </c>
      <c r="AA10" s="619"/>
      <c r="AB10" s="55">
        <f t="shared" ref="AB10:AB25" si="0">ROUND(X10*Z10,4)</f>
        <v>0</v>
      </c>
      <c r="AC10" s="56">
        <f t="shared" ref="AC10:AC25" si="1">ROUND(ROUND(AB10*$X$7,4)*($AB$7),0)</f>
        <v>0</v>
      </c>
      <c r="AD10" s="9">
        <v>1</v>
      </c>
    </row>
    <row r="11" spans="1:30" x14ac:dyDescent="0.25">
      <c r="A11" s="1" t="s">
        <v>29</v>
      </c>
      <c r="B11" s="13" t="s">
        <v>30</v>
      </c>
      <c r="C11" s="13"/>
      <c r="D11" s="13">
        <v>0</v>
      </c>
      <c r="E11" s="13">
        <v>0</v>
      </c>
      <c r="F11" s="13">
        <v>0</v>
      </c>
      <c r="G11" s="46">
        <f t="shared" ref="G11:G25" si="2">D11+E11</f>
        <v>0</v>
      </c>
      <c r="H11" s="47"/>
      <c r="I11" s="57">
        <f>I10</f>
        <v>1.125</v>
      </c>
      <c r="J11" s="57"/>
      <c r="K11" s="49">
        <f t="shared" ref="K11:K25" si="3">ROUND(G11*I11,4)</f>
        <v>0</v>
      </c>
      <c r="L11" s="50">
        <f t="shared" ref="L11:L25" si="4">ROUND(ROUND(K11*$G$7,4)*($K$7),0)</f>
        <v>0</v>
      </c>
      <c r="M11" s="1" t="str">
        <f>IF(ROUND(G11,2)=ROUND(SUM(G28:G30),2)," ","CHECK 2. PK-3 Lines Below")</f>
        <v xml:space="preserve"> </v>
      </c>
      <c r="N11" s="51">
        <v>5101</v>
      </c>
      <c r="O11" s="58" t="s">
        <v>31</v>
      </c>
      <c r="P11" s="53"/>
      <c r="Q11" s="54"/>
      <c r="V11" s="623" t="s">
        <v>30</v>
      </c>
      <c r="W11" s="623"/>
      <c r="X11" s="618">
        <f>IF('3400'!K$84=1,'3400'!G11,0)</f>
        <v>0</v>
      </c>
      <c r="Y11" s="618"/>
      <c r="Z11" s="624">
        <v>1</v>
      </c>
      <c r="AA11" s="624"/>
      <c r="AB11" s="55">
        <f t="shared" si="0"/>
        <v>0</v>
      </c>
      <c r="AC11" s="56">
        <f t="shared" si="1"/>
        <v>0</v>
      </c>
      <c r="AD11" s="9"/>
    </row>
    <row r="12" spans="1:30" x14ac:dyDescent="0.25">
      <c r="A12" s="1" t="s">
        <v>32</v>
      </c>
      <c r="B12" s="13" t="s">
        <v>33</v>
      </c>
      <c r="C12" s="13"/>
      <c r="D12" s="13">
        <v>0</v>
      </c>
      <c r="E12" s="13">
        <v>0</v>
      </c>
      <c r="F12" s="13">
        <v>0</v>
      </c>
      <c r="G12" s="46">
        <f t="shared" si="2"/>
        <v>0</v>
      </c>
      <c r="H12" s="47"/>
      <c r="I12" s="57">
        <v>1</v>
      </c>
      <c r="J12" s="57"/>
      <c r="K12" s="49">
        <f t="shared" si="3"/>
        <v>0</v>
      </c>
      <c r="L12" s="50">
        <f t="shared" si="4"/>
        <v>0</v>
      </c>
      <c r="N12" s="51">
        <v>5102</v>
      </c>
      <c r="O12" s="52">
        <v>102</v>
      </c>
      <c r="P12" s="53"/>
      <c r="Q12" s="54"/>
      <c r="V12" s="623" t="s">
        <v>33</v>
      </c>
      <c r="W12" s="623"/>
      <c r="X12" s="618">
        <f>IF('3400'!K$84=1,'3400'!G12,0)</f>
        <v>0</v>
      </c>
      <c r="Y12" s="618"/>
      <c r="Z12" s="624">
        <v>1</v>
      </c>
      <c r="AA12" s="624"/>
      <c r="AB12" s="55">
        <f t="shared" si="0"/>
        <v>0</v>
      </c>
      <c r="AC12" s="56">
        <f t="shared" si="1"/>
        <v>0</v>
      </c>
      <c r="AD12" s="9"/>
    </row>
    <row r="13" spans="1:30" x14ac:dyDescent="0.25">
      <c r="A13" s="1" t="s">
        <v>34</v>
      </c>
      <c r="B13" s="13" t="s">
        <v>35</v>
      </c>
      <c r="C13" s="13"/>
      <c r="D13" s="13">
        <v>0</v>
      </c>
      <c r="E13" s="13">
        <v>0</v>
      </c>
      <c r="F13" s="13">
        <v>0</v>
      </c>
      <c r="G13" s="46">
        <f t="shared" si="2"/>
        <v>0</v>
      </c>
      <c r="H13" s="47"/>
      <c r="I13" s="57">
        <f>I12</f>
        <v>1</v>
      </c>
      <c r="J13" s="57"/>
      <c r="K13" s="49">
        <f t="shared" si="3"/>
        <v>0</v>
      </c>
      <c r="L13" s="50">
        <f t="shared" si="4"/>
        <v>0</v>
      </c>
      <c r="M13" s="1" t="str">
        <f>IF(ROUND(G13,2)=ROUND(SUM(G31:G33),2)," ","CHECK 2. PK-3 Lines Below")</f>
        <v xml:space="preserve"> </v>
      </c>
      <c r="N13" s="51">
        <v>5102</v>
      </c>
      <c r="O13" s="58" t="s">
        <v>36</v>
      </c>
      <c r="P13" s="53"/>
      <c r="Q13" s="54"/>
      <c r="V13" s="623" t="s">
        <v>35</v>
      </c>
      <c r="W13" s="623"/>
      <c r="X13" s="618">
        <f>IF('3400'!K$84=1,'3400'!G13,0)</f>
        <v>0</v>
      </c>
      <c r="Y13" s="618"/>
      <c r="Z13" s="624">
        <v>1</v>
      </c>
      <c r="AA13" s="624"/>
      <c r="AB13" s="55">
        <f t="shared" si="0"/>
        <v>0</v>
      </c>
      <c r="AC13" s="56">
        <f t="shared" si="1"/>
        <v>0</v>
      </c>
      <c r="AD13" s="9"/>
    </row>
    <row r="14" spans="1:30" x14ac:dyDescent="0.25">
      <c r="A14" s="1" t="s">
        <v>37</v>
      </c>
      <c r="B14" s="13" t="s">
        <v>38</v>
      </c>
      <c r="C14" s="13"/>
      <c r="D14" s="13">
        <v>0</v>
      </c>
      <c r="E14" s="13">
        <v>0</v>
      </c>
      <c r="F14" s="13">
        <v>0</v>
      </c>
      <c r="G14" s="46">
        <f t="shared" si="2"/>
        <v>0</v>
      </c>
      <c r="H14" s="47"/>
      <c r="I14" s="57">
        <v>1.0109999999999999</v>
      </c>
      <c r="J14" s="57"/>
      <c r="K14" s="49">
        <f t="shared" si="3"/>
        <v>0</v>
      </c>
      <c r="L14" s="50">
        <f t="shared" si="4"/>
        <v>0</v>
      </c>
      <c r="N14" s="51">
        <v>5103</v>
      </c>
      <c r="O14" s="52">
        <v>103</v>
      </c>
      <c r="P14" s="53"/>
      <c r="Q14" s="54"/>
      <c r="V14" s="623" t="s">
        <v>38</v>
      </c>
      <c r="W14" s="623"/>
      <c r="X14" s="618">
        <f>IF('3400'!K$84=1,'3400'!G14,0)</f>
        <v>0</v>
      </c>
      <c r="Y14" s="618"/>
      <c r="Z14" s="624">
        <v>1</v>
      </c>
      <c r="AA14" s="624"/>
      <c r="AB14" s="55">
        <f t="shared" si="0"/>
        <v>0</v>
      </c>
      <c r="AC14" s="56">
        <f t="shared" si="1"/>
        <v>0</v>
      </c>
      <c r="AD14" s="9"/>
    </row>
    <row r="15" spans="1:30" x14ac:dyDescent="0.25">
      <c r="A15" s="1" t="s">
        <v>39</v>
      </c>
      <c r="B15" s="13" t="s">
        <v>40</v>
      </c>
      <c r="C15" s="13"/>
      <c r="D15" s="13">
        <v>66.290000000000006</v>
      </c>
      <c r="E15" s="13">
        <v>67.459999999999994</v>
      </c>
      <c r="F15" s="13">
        <v>75.02</v>
      </c>
      <c r="G15" s="46">
        <f t="shared" si="2"/>
        <v>133.75</v>
      </c>
      <c r="H15" s="47"/>
      <c r="I15" s="57">
        <f>I14</f>
        <v>1.0109999999999999</v>
      </c>
      <c r="J15" s="57"/>
      <c r="K15" s="49">
        <f t="shared" si="3"/>
        <v>135.22130000000001</v>
      </c>
      <c r="L15" s="59">
        <f t="shared" si="4"/>
        <v>523932</v>
      </c>
      <c r="M15" s="1" t="str">
        <f>IF(ROUND(G15,2)=ROUND(SUM(G34:G36),2)," ","CHECK 2. PK-3 Lines Below")</f>
        <v xml:space="preserve"> </v>
      </c>
      <c r="N15" s="51">
        <v>5103</v>
      </c>
      <c r="O15" s="58" t="s">
        <v>41</v>
      </c>
      <c r="P15" s="53"/>
      <c r="Q15" s="54"/>
      <c r="V15" s="623" t="s">
        <v>40</v>
      </c>
      <c r="W15" s="623"/>
      <c r="X15" s="618">
        <f>IF('3400'!K$84=1,'3400'!G15,0)</f>
        <v>133.75</v>
      </c>
      <c r="Y15" s="618"/>
      <c r="Z15" s="624">
        <v>1</v>
      </c>
      <c r="AA15" s="624"/>
      <c r="AB15" s="55">
        <f t="shared" si="0"/>
        <v>133.75</v>
      </c>
      <c r="AC15" s="60">
        <f t="shared" si="1"/>
        <v>518231</v>
      </c>
      <c r="AD15" s="9"/>
    </row>
    <row r="16" spans="1:30" x14ac:dyDescent="0.25">
      <c r="A16" s="1" t="s">
        <v>42</v>
      </c>
      <c r="B16" s="13" t="s">
        <v>43</v>
      </c>
      <c r="C16" s="13"/>
      <c r="D16" s="13">
        <v>0</v>
      </c>
      <c r="E16" s="13">
        <v>0</v>
      </c>
      <c r="F16" s="13">
        <v>0</v>
      </c>
      <c r="G16" s="46">
        <f t="shared" si="2"/>
        <v>0</v>
      </c>
      <c r="H16" s="47"/>
      <c r="I16" s="57">
        <v>3.5579999999999998</v>
      </c>
      <c r="J16" s="57"/>
      <c r="K16" s="49">
        <f t="shared" si="3"/>
        <v>0</v>
      </c>
      <c r="L16" s="50">
        <f t="shared" si="4"/>
        <v>0</v>
      </c>
      <c r="N16" s="51">
        <v>5101</v>
      </c>
      <c r="O16" s="53">
        <v>254</v>
      </c>
      <c r="P16" s="53"/>
      <c r="Q16" s="54"/>
      <c r="V16" s="623" t="s">
        <v>43</v>
      </c>
      <c r="W16" s="623"/>
      <c r="X16" s="618">
        <f>IF('3400'!K$84=1,'3400'!G16,0)</f>
        <v>0</v>
      </c>
      <c r="Y16" s="618"/>
      <c r="Z16" s="624">
        <v>1</v>
      </c>
      <c r="AA16" s="624"/>
      <c r="AB16" s="55">
        <f t="shared" si="0"/>
        <v>0</v>
      </c>
      <c r="AC16" s="56">
        <f t="shared" si="1"/>
        <v>0</v>
      </c>
      <c r="AD16" s="9"/>
    </row>
    <row r="17" spans="1:30" x14ac:dyDescent="0.25">
      <c r="A17" s="1" t="s">
        <v>44</v>
      </c>
      <c r="B17" s="13" t="s">
        <v>45</v>
      </c>
      <c r="C17" s="13"/>
      <c r="D17" s="13">
        <v>0</v>
      </c>
      <c r="E17" s="13">
        <v>0</v>
      </c>
      <c r="F17" s="13">
        <v>0</v>
      </c>
      <c r="G17" s="46">
        <f t="shared" si="2"/>
        <v>0</v>
      </c>
      <c r="H17" s="47"/>
      <c r="I17" s="57">
        <f>I16</f>
        <v>3.5579999999999998</v>
      </c>
      <c r="J17" s="57"/>
      <c r="K17" s="49">
        <f t="shared" si="3"/>
        <v>0</v>
      </c>
      <c r="L17" s="50">
        <f t="shared" si="4"/>
        <v>0</v>
      </c>
      <c r="N17" s="51">
        <v>5102</v>
      </c>
      <c r="O17" s="54">
        <v>254</v>
      </c>
      <c r="P17" s="53"/>
      <c r="Q17" s="54"/>
      <c r="V17" s="623" t="s">
        <v>45</v>
      </c>
      <c r="W17" s="623"/>
      <c r="X17" s="618">
        <f>IF('3400'!K$84=1,'3400'!G17,0)</f>
        <v>0</v>
      </c>
      <c r="Y17" s="618"/>
      <c r="Z17" s="624">
        <v>1</v>
      </c>
      <c r="AA17" s="624"/>
      <c r="AB17" s="55">
        <f t="shared" si="0"/>
        <v>0</v>
      </c>
      <c r="AC17" s="56">
        <f t="shared" si="1"/>
        <v>0</v>
      </c>
      <c r="AD17" s="9"/>
    </row>
    <row r="18" spans="1:30" x14ac:dyDescent="0.25">
      <c r="A18" s="1" t="s">
        <v>46</v>
      </c>
      <c r="B18" s="13" t="s">
        <v>47</v>
      </c>
      <c r="C18" s="13"/>
      <c r="D18" s="13">
        <v>0</v>
      </c>
      <c r="E18" s="13">
        <v>0</v>
      </c>
      <c r="F18" s="13">
        <v>0</v>
      </c>
      <c r="G18" s="46">
        <f t="shared" si="2"/>
        <v>0</v>
      </c>
      <c r="H18" s="47"/>
      <c r="I18" s="57">
        <f>I17</f>
        <v>3.5579999999999998</v>
      </c>
      <c r="J18" s="57"/>
      <c r="K18" s="49">
        <f t="shared" si="3"/>
        <v>0</v>
      </c>
      <c r="L18" s="50">
        <f t="shared" si="4"/>
        <v>0</v>
      </c>
      <c r="N18" s="51">
        <v>5103</v>
      </c>
      <c r="O18" s="54">
        <v>254</v>
      </c>
      <c r="P18" s="53"/>
      <c r="Q18" s="54"/>
      <c r="V18" s="623" t="s">
        <v>47</v>
      </c>
      <c r="W18" s="623"/>
      <c r="X18" s="618">
        <f>IF('3400'!K$84=1,'3400'!G18,0)</f>
        <v>0</v>
      </c>
      <c r="Y18" s="618"/>
      <c r="Z18" s="624">
        <v>1</v>
      </c>
      <c r="AA18" s="624"/>
      <c r="AB18" s="55">
        <f t="shared" si="0"/>
        <v>0</v>
      </c>
      <c r="AC18" s="56">
        <f t="shared" si="1"/>
        <v>0</v>
      </c>
      <c r="AD18" s="9"/>
    </row>
    <row r="19" spans="1:30" ht="15" customHeight="1" x14ac:dyDescent="0.25">
      <c r="A19" s="1" t="s">
        <v>48</v>
      </c>
      <c r="B19" s="13" t="s">
        <v>49</v>
      </c>
      <c r="C19" s="13"/>
      <c r="D19" s="13">
        <v>0</v>
      </c>
      <c r="E19" s="13">
        <v>0</v>
      </c>
      <c r="F19" s="13">
        <v>0</v>
      </c>
      <c r="G19" s="46">
        <f t="shared" si="2"/>
        <v>0</v>
      </c>
      <c r="H19" s="47"/>
      <c r="I19" s="57">
        <v>5.0890000000000004</v>
      </c>
      <c r="J19" s="57"/>
      <c r="K19" s="49">
        <f t="shared" si="3"/>
        <v>0</v>
      </c>
      <c r="L19" s="50">
        <f t="shared" si="4"/>
        <v>0</v>
      </c>
      <c r="N19" s="51">
        <v>5101</v>
      </c>
      <c r="O19" s="53">
        <v>255</v>
      </c>
      <c r="P19" s="53"/>
      <c r="Q19" s="54"/>
      <c r="V19" s="623" t="s">
        <v>49</v>
      </c>
      <c r="W19" s="623"/>
      <c r="X19" s="618">
        <f>IF('3400'!K$84=1,'3400'!G19,0)</f>
        <v>0</v>
      </c>
      <c r="Y19" s="618"/>
      <c r="Z19" s="624">
        <v>1</v>
      </c>
      <c r="AA19" s="624"/>
      <c r="AB19" s="55">
        <f t="shared" si="0"/>
        <v>0</v>
      </c>
      <c r="AC19" s="56">
        <f t="shared" si="1"/>
        <v>0</v>
      </c>
      <c r="AD19" s="9"/>
    </row>
    <row r="20" spans="1:30" ht="15" customHeight="1" x14ac:dyDescent="0.25">
      <c r="A20" s="1" t="s">
        <v>50</v>
      </c>
      <c r="B20" s="13" t="s">
        <v>51</v>
      </c>
      <c r="C20" s="13"/>
      <c r="D20" s="13">
        <v>0</v>
      </c>
      <c r="E20" s="13">
        <v>0</v>
      </c>
      <c r="F20" s="13">
        <v>0</v>
      </c>
      <c r="G20" s="46">
        <f t="shared" si="2"/>
        <v>0</v>
      </c>
      <c r="H20" s="47"/>
      <c r="I20" s="57">
        <f>I19</f>
        <v>5.0890000000000004</v>
      </c>
      <c r="J20" s="57"/>
      <c r="K20" s="49">
        <f t="shared" si="3"/>
        <v>0</v>
      </c>
      <c r="L20" s="50">
        <f t="shared" si="4"/>
        <v>0</v>
      </c>
      <c r="N20" s="51">
        <v>5102</v>
      </c>
      <c r="O20" s="54">
        <v>255</v>
      </c>
      <c r="P20" s="53"/>
      <c r="Q20" s="54"/>
      <c r="V20" s="623" t="s">
        <v>51</v>
      </c>
      <c r="W20" s="623"/>
      <c r="X20" s="618">
        <f>IF('3400'!K$84=1,'3400'!G20,0)</f>
        <v>0</v>
      </c>
      <c r="Y20" s="618"/>
      <c r="Z20" s="624">
        <v>1</v>
      </c>
      <c r="AA20" s="624"/>
      <c r="AB20" s="55">
        <f t="shared" si="0"/>
        <v>0</v>
      </c>
      <c r="AC20" s="56">
        <f t="shared" si="1"/>
        <v>0</v>
      </c>
      <c r="AD20" s="9"/>
    </row>
    <row r="21" spans="1:30" ht="15" customHeight="1" x14ac:dyDescent="0.25">
      <c r="A21" s="1" t="s">
        <v>52</v>
      </c>
      <c r="B21" s="13" t="s">
        <v>53</v>
      </c>
      <c r="C21" s="13"/>
      <c r="D21" s="13">
        <v>0</v>
      </c>
      <c r="E21" s="13">
        <v>0</v>
      </c>
      <c r="F21" s="13">
        <v>0</v>
      </c>
      <c r="G21" s="46">
        <f t="shared" si="2"/>
        <v>0</v>
      </c>
      <c r="H21" s="47"/>
      <c r="I21" s="57">
        <f>I20</f>
        <v>5.0890000000000004</v>
      </c>
      <c r="J21" s="57"/>
      <c r="K21" s="49">
        <f t="shared" si="3"/>
        <v>0</v>
      </c>
      <c r="L21" s="50">
        <f t="shared" si="4"/>
        <v>0</v>
      </c>
      <c r="N21" s="51">
        <v>5103</v>
      </c>
      <c r="O21" s="54">
        <v>255</v>
      </c>
      <c r="P21" s="53"/>
      <c r="Q21" s="54"/>
      <c r="V21" s="623" t="s">
        <v>53</v>
      </c>
      <c r="W21" s="623"/>
      <c r="X21" s="618">
        <f>IF('3400'!K$84=1,'3400'!G21,0)</f>
        <v>0</v>
      </c>
      <c r="Y21" s="618"/>
      <c r="Z21" s="624">
        <v>1</v>
      </c>
      <c r="AA21" s="624"/>
      <c r="AB21" s="55">
        <f t="shared" si="0"/>
        <v>0</v>
      </c>
      <c r="AC21" s="56">
        <f t="shared" si="1"/>
        <v>0</v>
      </c>
      <c r="AD21" s="9"/>
    </row>
    <row r="22" spans="1:30" x14ac:dyDescent="0.25">
      <c r="A22" s="1" t="s">
        <v>54</v>
      </c>
      <c r="B22" s="13" t="s">
        <v>55</v>
      </c>
      <c r="C22" s="13"/>
      <c r="D22" s="13">
        <v>0</v>
      </c>
      <c r="E22" s="13">
        <v>0</v>
      </c>
      <c r="F22" s="13">
        <v>0</v>
      </c>
      <c r="G22" s="46">
        <f t="shared" si="2"/>
        <v>0</v>
      </c>
      <c r="H22" s="47"/>
      <c r="I22" s="57">
        <v>1.145</v>
      </c>
      <c r="J22" s="57"/>
      <c r="K22" s="49">
        <f t="shared" si="3"/>
        <v>0</v>
      </c>
      <c r="L22" s="50">
        <f t="shared" si="4"/>
        <v>0</v>
      </c>
      <c r="N22" s="51">
        <v>5101</v>
      </c>
      <c r="O22" s="52">
        <v>130</v>
      </c>
      <c r="P22" s="53"/>
      <c r="Q22" s="54"/>
      <c r="V22" s="623" t="s">
        <v>55</v>
      </c>
      <c r="W22" s="623"/>
      <c r="X22" s="618">
        <f>IF('3400'!K$84=1,'3400'!G22,0)</f>
        <v>0</v>
      </c>
      <c r="Y22" s="618"/>
      <c r="Z22" s="624">
        <v>1</v>
      </c>
      <c r="AA22" s="624"/>
      <c r="AB22" s="55">
        <f t="shared" si="0"/>
        <v>0</v>
      </c>
      <c r="AC22" s="56">
        <f t="shared" si="1"/>
        <v>0</v>
      </c>
      <c r="AD22" s="9"/>
    </row>
    <row r="23" spans="1:30" x14ac:dyDescent="0.25">
      <c r="A23" s="1" t="s">
        <v>56</v>
      </c>
      <c r="B23" s="13" t="s">
        <v>57</v>
      </c>
      <c r="C23" s="13"/>
      <c r="D23" s="13">
        <v>0</v>
      </c>
      <c r="E23" s="13">
        <v>0</v>
      </c>
      <c r="F23" s="13">
        <v>0</v>
      </c>
      <c r="G23" s="46">
        <f t="shared" si="2"/>
        <v>0</v>
      </c>
      <c r="H23" s="47"/>
      <c r="I23" s="57">
        <f>I22</f>
        <v>1.145</v>
      </c>
      <c r="J23" s="57"/>
      <c r="K23" s="49">
        <f t="shared" si="3"/>
        <v>0</v>
      </c>
      <c r="L23" s="50">
        <f t="shared" si="4"/>
        <v>0</v>
      </c>
      <c r="N23" s="51">
        <v>5102</v>
      </c>
      <c r="O23" s="52">
        <v>130</v>
      </c>
      <c r="P23" s="53"/>
      <c r="Q23" s="54"/>
      <c r="V23" s="623" t="s">
        <v>57</v>
      </c>
      <c r="W23" s="623"/>
      <c r="X23" s="618">
        <f>IF('3400'!K$84=1,'3400'!G23,0)</f>
        <v>0</v>
      </c>
      <c r="Y23" s="618"/>
      <c r="Z23" s="624">
        <v>1</v>
      </c>
      <c r="AA23" s="624"/>
      <c r="AB23" s="55">
        <f t="shared" si="0"/>
        <v>0</v>
      </c>
      <c r="AC23" s="56">
        <f t="shared" si="1"/>
        <v>0</v>
      </c>
      <c r="AD23" s="9"/>
    </row>
    <row r="24" spans="1:30" x14ac:dyDescent="0.25">
      <c r="A24" s="1" t="s">
        <v>58</v>
      </c>
      <c r="B24" s="13" t="s">
        <v>59</v>
      </c>
      <c r="C24" s="13"/>
      <c r="D24" s="13">
        <v>0</v>
      </c>
      <c r="E24" s="13">
        <v>0</v>
      </c>
      <c r="F24" s="13">
        <v>0</v>
      </c>
      <c r="G24" s="46">
        <f t="shared" si="2"/>
        <v>0</v>
      </c>
      <c r="H24" s="47"/>
      <c r="I24" s="57">
        <f>I23</f>
        <v>1.145</v>
      </c>
      <c r="J24" s="57"/>
      <c r="K24" s="49">
        <f t="shared" si="3"/>
        <v>0</v>
      </c>
      <c r="L24" s="50">
        <f t="shared" si="4"/>
        <v>0</v>
      </c>
      <c r="N24" s="51">
        <v>5103</v>
      </c>
      <c r="O24" s="52">
        <v>130</v>
      </c>
      <c r="P24" s="53"/>
      <c r="Q24" s="54"/>
      <c r="V24" s="623" t="s">
        <v>59</v>
      </c>
      <c r="W24" s="623"/>
      <c r="X24" s="618">
        <f>IF('3400'!K$84=1,'3400'!G24,0)</f>
        <v>0</v>
      </c>
      <c r="Y24" s="618"/>
      <c r="Z24" s="624">
        <v>1</v>
      </c>
      <c r="AA24" s="624"/>
      <c r="AB24" s="55">
        <f t="shared" si="0"/>
        <v>0</v>
      </c>
      <c r="AC24" s="56">
        <f t="shared" si="1"/>
        <v>0</v>
      </c>
      <c r="AD24" s="9"/>
    </row>
    <row r="25" spans="1:30" ht="16.5" thickBot="1" x14ac:dyDescent="0.3">
      <c r="A25" s="1" t="s">
        <v>60</v>
      </c>
      <c r="B25" s="13" t="s">
        <v>61</v>
      </c>
      <c r="C25" s="13"/>
      <c r="D25" s="13">
        <v>0</v>
      </c>
      <c r="E25" s="13">
        <v>0</v>
      </c>
      <c r="F25" s="13">
        <v>0</v>
      </c>
      <c r="G25" s="46">
        <f t="shared" si="2"/>
        <v>0</v>
      </c>
      <c r="H25" s="47"/>
      <c r="I25" s="57">
        <v>1.0109999999999999</v>
      </c>
      <c r="J25" s="57"/>
      <c r="K25" s="49">
        <f t="shared" si="3"/>
        <v>0</v>
      </c>
      <c r="L25" s="50">
        <f t="shared" si="4"/>
        <v>0</v>
      </c>
      <c r="N25" s="51">
        <v>5310</v>
      </c>
      <c r="O25" s="52">
        <v>300</v>
      </c>
      <c r="P25" s="53"/>
      <c r="Q25" s="54"/>
      <c r="V25" s="623" t="s">
        <v>61</v>
      </c>
      <c r="W25" s="623"/>
      <c r="X25" s="618">
        <f>IF('3400'!K$84=1,'3400'!G25,0)</f>
        <v>0</v>
      </c>
      <c r="Y25" s="618"/>
      <c r="Z25" s="624">
        <v>1</v>
      </c>
      <c r="AA25" s="624"/>
      <c r="AB25" s="55">
        <f t="shared" si="0"/>
        <v>0</v>
      </c>
      <c r="AC25" s="56">
        <f t="shared" si="1"/>
        <v>0</v>
      </c>
      <c r="AD25" s="9"/>
    </row>
    <row r="26" spans="1:30" ht="20.25" customHeight="1" thickBot="1" x14ac:dyDescent="0.3">
      <c r="B26" s="62" t="s">
        <v>62</v>
      </c>
      <c r="C26" s="62"/>
      <c r="D26" s="63">
        <f t="shared" ref="D26:E26" si="5">SUM(D10:D25)</f>
        <v>66.290000000000006</v>
      </c>
      <c r="E26" s="63">
        <f t="shared" si="5"/>
        <v>67.459999999999994</v>
      </c>
      <c r="F26" s="63"/>
      <c r="G26" s="63">
        <f>SUM(G10:G25)</f>
        <v>133.75</v>
      </c>
      <c r="H26" s="64"/>
      <c r="I26" s="64"/>
      <c r="J26" s="65"/>
      <c r="K26" s="66">
        <f>SUM(K10:K25)</f>
        <v>135.22130000000001</v>
      </c>
      <c r="L26" s="67">
        <f>SUM(L10:L25)</f>
        <v>523932</v>
      </c>
      <c r="N26" s="54"/>
      <c r="O26" s="68"/>
      <c r="P26" s="54"/>
      <c r="Q26" s="54"/>
      <c r="V26" s="625" t="s">
        <v>62</v>
      </c>
      <c r="W26" s="625"/>
      <c r="X26" s="626">
        <f>SUM(X10:X25)</f>
        <v>133.75</v>
      </c>
      <c r="Y26" s="626"/>
      <c r="Z26" s="627"/>
      <c r="AA26" s="628"/>
      <c r="AB26" s="69">
        <f>SUM(AB10:AB25)</f>
        <v>133.75</v>
      </c>
      <c r="AC26" s="70">
        <f>SUM(AC10:AC25)</f>
        <v>518231</v>
      </c>
      <c r="AD26" s="9"/>
    </row>
    <row r="27" spans="1:30" ht="51.75" customHeight="1" x14ac:dyDescent="0.25">
      <c r="B27" s="62" t="s">
        <v>63</v>
      </c>
      <c r="C27" s="62"/>
      <c r="D27" s="71" t="s">
        <v>13</v>
      </c>
      <c r="E27" s="71" t="s">
        <v>14</v>
      </c>
      <c r="F27" s="27"/>
      <c r="G27" s="72" t="s">
        <v>64</v>
      </c>
      <c r="H27" s="73"/>
      <c r="I27" s="74" t="s">
        <v>65</v>
      </c>
      <c r="J27" s="74" t="s">
        <v>66</v>
      </c>
      <c r="K27" s="75" t="s">
        <v>67</v>
      </c>
      <c r="N27" s="54"/>
      <c r="O27" s="68"/>
      <c r="P27" s="54"/>
      <c r="Q27" s="54"/>
      <c r="V27" s="629" t="s">
        <v>63</v>
      </c>
      <c r="W27" s="629"/>
      <c r="X27" s="630" t="s">
        <v>64</v>
      </c>
      <c r="Y27" s="630"/>
      <c r="Z27" s="76" t="s">
        <v>65</v>
      </c>
      <c r="AA27" s="77" t="s">
        <v>66</v>
      </c>
      <c r="AB27" s="78" t="s">
        <v>67</v>
      </c>
      <c r="AC27" s="9"/>
      <c r="AD27" s="9"/>
    </row>
    <row r="28" spans="1:30" ht="15.75" customHeight="1" x14ac:dyDescent="0.25">
      <c r="A28" s="1" t="s">
        <v>68</v>
      </c>
      <c r="B28" s="631" t="s">
        <v>69</v>
      </c>
      <c r="C28" s="632"/>
      <c r="D28" s="13">
        <v>0</v>
      </c>
      <c r="E28" s="13">
        <v>0</v>
      </c>
      <c r="F28" s="79">
        <v>0</v>
      </c>
      <c r="G28" s="46">
        <f t="shared" ref="G28:G36" si="6">D28+E28</f>
        <v>0</v>
      </c>
      <c r="H28" s="80"/>
      <c r="I28" s="81" t="s">
        <v>70</v>
      </c>
      <c r="J28" s="82">
        <v>251</v>
      </c>
      <c r="K28" s="83">
        <v>1047</v>
      </c>
      <c r="L28" s="84">
        <f>ROUND(G28*K28,0)</f>
        <v>0</v>
      </c>
      <c r="N28" s="85">
        <v>5101</v>
      </c>
      <c r="O28" s="54">
        <v>251</v>
      </c>
      <c r="P28" s="86"/>
      <c r="Q28" s="87"/>
      <c r="V28" s="637" t="s">
        <v>69</v>
      </c>
      <c r="W28" s="637"/>
      <c r="X28" s="638"/>
      <c r="Y28" s="638"/>
      <c r="Z28" s="88" t="s">
        <v>70</v>
      </c>
      <c r="AA28" s="89">
        <v>251</v>
      </c>
      <c r="AB28" s="90">
        <f>+K28</f>
        <v>1047</v>
      </c>
      <c r="AC28" s="91">
        <f t="shared" ref="AC28:AC36" si="7">ROUND(X28*AB28,0)</f>
        <v>0</v>
      </c>
      <c r="AD28" s="9"/>
    </row>
    <row r="29" spans="1:30" x14ac:dyDescent="0.25">
      <c r="A29" s="1" t="s">
        <v>71</v>
      </c>
      <c r="B29" s="633"/>
      <c r="C29" s="634"/>
      <c r="D29" s="13">
        <v>0</v>
      </c>
      <c r="E29" s="13">
        <v>0</v>
      </c>
      <c r="F29" s="92">
        <v>0</v>
      </c>
      <c r="G29" s="46">
        <f t="shared" si="6"/>
        <v>0</v>
      </c>
      <c r="H29" s="80"/>
      <c r="I29" s="82" t="s">
        <v>70</v>
      </c>
      <c r="J29" s="82">
        <v>252</v>
      </c>
      <c r="K29" s="83">
        <v>3380</v>
      </c>
      <c r="L29" s="84">
        <f t="shared" ref="L29:L36" si="8">ROUND(G29*K29,0)</f>
        <v>0</v>
      </c>
      <c r="N29" s="85">
        <v>5101</v>
      </c>
      <c r="O29" s="54">
        <v>252</v>
      </c>
      <c r="P29" s="86"/>
      <c r="Q29" s="87"/>
      <c r="V29" s="637"/>
      <c r="W29" s="637"/>
      <c r="X29" s="638"/>
      <c r="Y29" s="638"/>
      <c r="Z29" s="89" t="s">
        <v>70</v>
      </c>
      <c r="AA29" s="89">
        <v>252</v>
      </c>
      <c r="AB29" s="90">
        <f t="shared" ref="AB29:AB36" si="9">+K29</f>
        <v>3380</v>
      </c>
      <c r="AC29" s="91">
        <f t="shared" si="7"/>
        <v>0</v>
      </c>
      <c r="AD29" s="9"/>
    </row>
    <row r="30" spans="1:30" x14ac:dyDescent="0.25">
      <c r="A30" s="1" t="s">
        <v>72</v>
      </c>
      <c r="B30" s="633"/>
      <c r="C30" s="634"/>
      <c r="D30" s="13">
        <v>0</v>
      </c>
      <c r="E30" s="13">
        <v>0</v>
      </c>
      <c r="F30" s="92">
        <v>0</v>
      </c>
      <c r="G30" s="46">
        <f t="shared" si="6"/>
        <v>0</v>
      </c>
      <c r="H30" s="80"/>
      <c r="I30" s="82" t="s">
        <v>70</v>
      </c>
      <c r="J30" s="82">
        <v>253</v>
      </c>
      <c r="K30" s="83">
        <v>6896</v>
      </c>
      <c r="L30" s="84">
        <f t="shared" si="8"/>
        <v>0</v>
      </c>
      <c r="N30" s="85">
        <v>5101</v>
      </c>
      <c r="O30" s="54">
        <v>253</v>
      </c>
      <c r="P30" s="86"/>
      <c r="Q30" s="68"/>
      <c r="V30" s="637"/>
      <c r="W30" s="637"/>
      <c r="X30" s="638"/>
      <c r="Y30" s="638"/>
      <c r="Z30" s="89" t="s">
        <v>70</v>
      </c>
      <c r="AA30" s="89">
        <v>253</v>
      </c>
      <c r="AB30" s="90">
        <f t="shared" si="9"/>
        <v>6896</v>
      </c>
      <c r="AC30" s="91">
        <f t="shared" si="7"/>
        <v>0</v>
      </c>
      <c r="AD30" s="9"/>
    </row>
    <row r="31" spans="1:30" x14ac:dyDescent="0.25">
      <c r="A31" s="1" t="s">
        <v>73</v>
      </c>
      <c r="B31" s="633"/>
      <c r="C31" s="634"/>
      <c r="D31" s="13">
        <v>0</v>
      </c>
      <c r="E31" s="13">
        <v>0</v>
      </c>
      <c r="F31" s="92">
        <v>0</v>
      </c>
      <c r="G31" s="46">
        <f t="shared" si="6"/>
        <v>0</v>
      </c>
      <c r="H31" s="80"/>
      <c r="I31" s="93" t="s">
        <v>74</v>
      </c>
      <c r="J31" s="82">
        <v>251</v>
      </c>
      <c r="K31" s="83">
        <v>1173</v>
      </c>
      <c r="L31" s="84">
        <f t="shared" si="8"/>
        <v>0</v>
      </c>
      <c r="N31" s="85">
        <v>5102</v>
      </c>
      <c r="O31" s="54">
        <v>251</v>
      </c>
      <c r="P31" s="86"/>
      <c r="Q31" s="68"/>
      <c r="V31" s="637"/>
      <c r="W31" s="637"/>
      <c r="X31" s="638"/>
      <c r="Y31" s="638"/>
      <c r="Z31" s="94" t="s">
        <v>74</v>
      </c>
      <c r="AA31" s="89">
        <v>251</v>
      </c>
      <c r="AB31" s="90">
        <f t="shared" si="9"/>
        <v>1173</v>
      </c>
      <c r="AC31" s="91">
        <f t="shared" si="7"/>
        <v>0</v>
      </c>
      <c r="AD31" s="9"/>
    </row>
    <row r="32" spans="1:30" x14ac:dyDescent="0.25">
      <c r="A32" s="1" t="s">
        <v>75</v>
      </c>
      <c r="B32" s="633"/>
      <c r="C32" s="634"/>
      <c r="D32" s="13">
        <v>0</v>
      </c>
      <c r="E32" s="13">
        <v>0</v>
      </c>
      <c r="F32" s="92">
        <v>0</v>
      </c>
      <c r="G32" s="46">
        <f t="shared" si="6"/>
        <v>0</v>
      </c>
      <c r="H32" s="80"/>
      <c r="I32" s="93" t="s">
        <v>74</v>
      </c>
      <c r="J32" s="82">
        <v>252</v>
      </c>
      <c r="K32" s="83">
        <v>3506</v>
      </c>
      <c r="L32" s="84">
        <f t="shared" si="8"/>
        <v>0</v>
      </c>
      <c r="N32" s="85">
        <v>5102</v>
      </c>
      <c r="O32" s="54">
        <v>252</v>
      </c>
      <c r="P32" s="86"/>
      <c r="Q32" s="54"/>
      <c r="V32" s="637"/>
      <c r="W32" s="637"/>
      <c r="X32" s="638"/>
      <c r="Y32" s="638"/>
      <c r="Z32" s="94" t="s">
        <v>74</v>
      </c>
      <c r="AA32" s="89">
        <v>252</v>
      </c>
      <c r="AB32" s="90">
        <f t="shared" si="9"/>
        <v>3506</v>
      </c>
      <c r="AC32" s="91">
        <f t="shared" si="7"/>
        <v>0</v>
      </c>
      <c r="AD32" s="9"/>
    </row>
    <row r="33" spans="1:30" x14ac:dyDescent="0.25">
      <c r="A33" s="1" t="s">
        <v>76</v>
      </c>
      <c r="B33" s="633"/>
      <c r="C33" s="634"/>
      <c r="D33" s="13">
        <v>0</v>
      </c>
      <c r="E33" s="13">
        <v>0</v>
      </c>
      <c r="F33" s="92">
        <v>0</v>
      </c>
      <c r="G33" s="46">
        <f t="shared" si="6"/>
        <v>0</v>
      </c>
      <c r="H33" s="80"/>
      <c r="I33" s="93" t="s">
        <v>74</v>
      </c>
      <c r="J33" s="82">
        <v>253</v>
      </c>
      <c r="K33" s="83">
        <v>7023</v>
      </c>
      <c r="L33" s="84">
        <f t="shared" si="8"/>
        <v>0</v>
      </c>
      <c r="N33" s="85">
        <v>5102</v>
      </c>
      <c r="O33" s="54">
        <v>253</v>
      </c>
      <c r="P33" s="86"/>
      <c r="Q33" s="87"/>
      <c r="V33" s="637"/>
      <c r="W33" s="637"/>
      <c r="X33" s="638"/>
      <c r="Y33" s="638"/>
      <c r="Z33" s="94" t="s">
        <v>74</v>
      </c>
      <c r="AA33" s="89">
        <v>253</v>
      </c>
      <c r="AB33" s="90">
        <f t="shared" si="9"/>
        <v>7023</v>
      </c>
      <c r="AC33" s="91">
        <f t="shared" si="7"/>
        <v>0</v>
      </c>
      <c r="AD33" s="9"/>
    </row>
    <row r="34" spans="1:30" x14ac:dyDescent="0.25">
      <c r="A34" s="1" t="s">
        <v>77</v>
      </c>
      <c r="B34" s="633"/>
      <c r="C34" s="634"/>
      <c r="D34" s="13">
        <v>10.57</v>
      </c>
      <c r="E34" s="13">
        <v>9.39</v>
      </c>
      <c r="F34" s="92">
        <v>11.5</v>
      </c>
      <c r="G34" s="46">
        <f t="shared" si="6"/>
        <v>19.96</v>
      </c>
      <c r="H34" s="80"/>
      <c r="I34" s="93" t="s">
        <v>78</v>
      </c>
      <c r="J34" s="82">
        <v>251</v>
      </c>
      <c r="K34" s="83">
        <v>835</v>
      </c>
      <c r="L34" s="84">
        <f t="shared" si="8"/>
        <v>16667</v>
      </c>
      <c r="N34" s="85">
        <v>5103</v>
      </c>
      <c r="O34" s="54">
        <v>251</v>
      </c>
      <c r="P34" s="86"/>
      <c r="Q34" s="87"/>
      <c r="V34" s="637"/>
      <c r="W34" s="637"/>
      <c r="X34" s="638"/>
      <c r="Y34" s="638"/>
      <c r="Z34" s="94" t="s">
        <v>78</v>
      </c>
      <c r="AA34" s="89">
        <v>251</v>
      </c>
      <c r="AB34" s="90">
        <f t="shared" si="9"/>
        <v>835</v>
      </c>
      <c r="AC34" s="91">
        <f t="shared" si="7"/>
        <v>0</v>
      </c>
      <c r="AD34" s="9"/>
    </row>
    <row r="35" spans="1:30" x14ac:dyDescent="0.25">
      <c r="A35" s="1" t="s">
        <v>79</v>
      </c>
      <c r="B35" s="633"/>
      <c r="C35" s="634"/>
      <c r="D35" s="13">
        <v>31.73</v>
      </c>
      <c r="E35" s="13">
        <v>28.68</v>
      </c>
      <c r="F35" s="92">
        <v>36</v>
      </c>
      <c r="G35" s="46">
        <f t="shared" si="6"/>
        <v>60.41</v>
      </c>
      <c r="H35" s="80"/>
      <c r="I35" s="93" t="s">
        <v>78</v>
      </c>
      <c r="J35" s="82">
        <v>252</v>
      </c>
      <c r="K35" s="83">
        <v>3168</v>
      </c>
      <c r="L35" s="84">
        <f t="shared" si="8"/>
        <v>191379</v>
      </c>
      <c r="N35" s="85">
        <v>5103</v>
      </c>
      <c r="O35" s="54">
        <v>252</v>
      </c>
      <c r="P35" s="86"/>
      <c r="Q35" s="95"/>
      <c r="V35" s="637"/>
      <c r="W35" s="637"/>
      <c r="X35" s="638"/>
      <c r="Y35" s="638"/>
      <c r="Z35" s="94" t="s">
        <v>78</v>
      </c>
      <c r="AA35" s="89">
        <v>252</v>
      </c>
      <c r="AB35" s="90">
        <f t="shared" si="9"/>
        <v>3168</v>
      </c>
      <c r="AC35" s="91">
        <f t="shared" si="7"/>
        <v>0</v>
      </c>
      <c r="AD35" s="9"/>
    </row>
    <row r="36" spans="1:30" ht="16.5" thickBot="1" x14ac:dyDescent="0.3">
      <c r="A36" s="1" t="s">
        <v>80</v>
      </c>
      <c r="B36" s="635"/>
      <c r="C36" s="636"/>
      <c r="D36" s="13">
        <v>23.99</v>
      </c>
      <c r="E36" s="13">
        <v>29.39</v>
      </c>
      <c r="F36" s="92">
        <v>22.5</v>
      </c>
      <c r="G36" s="46">
        <f t="shared" si="6"/>
        <v>53.379999999999995</v>
      </c>
      <c r="H36" s="80"/>
      <c r="I36" s="93" t="s">
        <v>78</v>
      </c>
      <c r="J36" s="82">
        <v>253</v>
      </c>
      <c r="K36" s="83">
        <v>6685</v>
      </c>
      <c r="L36" s="96">
        <f t="shared" si="8"/>
        <v>356845</v>
      </c>
      <c r="N36" s="85">
        <v>5103</v>
      </c>
      <c r="O36" s="54">
        <v>253</v>
      </c>
      <c r="P36" s="86"/>
      <c r="Q36" s="97"/>
      <c r="V36" s="637"/>
      <c r="W36" s="637"/>
      <c r="X36" s="645"/>
      <c r="Y36" s="645"/>
      <c r="Z36" s="94" t="s">
        <v>78</v>
      </c>
      <c r="AA36" s="89">
        <v>253</v>
      </c>
      <c r="AB36" s="90">
        <f t="shared" si="9"/>
        <v>6685</v>
      </c>
      <c r="AC36" s="98">
        <f t="shared" si="7"/>
        <v>0</v>
      </c>
      <c r="AD36" s="9"/>
    </row>
    <row r="37" spans="1:30" ht="18.75" customHeight="1" x14ac:dyDescent="0.25">
      <c r="B37" s="13" t="s">
        <v>81</v>
      </c>
      <c r="C37" s="13"/>
      <c r="D37" s="63">
        <f t="shared" ref="D37:E37" si="10">SUM(D28:D36)</f>
        <v>66.289999999999992</v>
      </c>
      <c r="E37" s="63">
        <f t="shared" si="10"/>
        <v>67.460000000000008</v>
      </c>
      <c r="F37" s="63"/>
      <c r="G37" s="63">
        <f>SUM(G28:G36)</f>
        <v>133.75</v>
      </c>
      <c r="H37" s="64"/>
      <c r="I37" s="13" t="s">
        <v>82</v>
      </c>
      <c r="J37" s="13"/>
      <c r="K37" s="13"/>
      <c r="L37" s="50">
        <f>SUM(L28:L36)</f>
        <v>564891</v>
      </c>
      <c r="N37" s="54"/>
      <c r="O37" s="68"/>
      <c r="P37" s="54"/>
      <c r="Q37" s="54"/>
      <c r="V37" s="646" t="s">
        <v>81</v>
      </c>
      <c r="W37" s="646"/>
      <c r="X37" s="626">
        <f>SUM(X28:X36)</f>
        <v>0</v>
      </c>
      <c r="Y37" s="626"/>
      <c r="Z37" s="646" t="s">
        <v>82</v>
      </c>
      <c r="AA37" s="646"/>
      <c r="AB37" s="646"/>
      <c r="AC37" s="56">
        <f>SUM(AC28:AC36)</f>
        <v>0</v>
      </c>
      <c r="AD37" s="9"/>
    </row>
    <row r="38" spans="1:30" ht="30.75" customHeight="1" x14ac:dyDescent="0.25">
      <c r="B38" s="99" t="s">
        <v>83</v>
      </c>
      <c r="C38" s="99"/>
      <c r="D38" s="99"/>
      <c r="E38" s="99"/>
      <c r="F38" s="99"/>
      <c r="G38" s="99"/>
      <c r="H38" s="100"/>
      <c r="I38" s="99"/>
      <c r="J38" s="99"/>
      <c r="K38" s="99"/>
      <c r="L38" s="99"/>
      <c r="M38" s="101"/>
      <c r="N38" s="54"/>
      <c r="O38" s="68"/>
      <c r="P38" s="54"/>
      <c r="Q38" s="54"/>
      <c r="V38" s="639" t="s">
        <v>83</v>
      </c>
      <c r="W38" s="639"/>
      <c r="X38" s="639"/>
      <c r="Y38" s="639"/>
      <c r="Z38" s="639"/>
      <c r="AA38" s="639"/>
      <c r="AB38" s="639"/>
      <c r="AC38" s="639"/>
      <c r="AD38" s="102"/>
    </row>
    <row r="39" spans="1:30" ht="15.75" customHeight="1" x14ac:dyDescent="0.25">
      <c r="B39" s="103" t="s">
        <v>84</v>
      </c>
      <c r="C39" s="103"/>
      <c r="D39" s="103"/>
      <c r="E39" s="103"/>
      <c r="F39" s="103"/>
      <c r="G39" s="104">
        <v>34389540</v>
      </c>
      <c r="H39" s="104"/>
      <c r="I39" s="13" t="s">
        <v>85</v>
      </c>
      <c r="J39" s="13"/>
      <c r="K39" s="13"/>
      <c r="L39" s="13"/>
      <c r="O39" s="1"/>
      <c r="V39" s="640" t="s">
        <v>84</v>
      </c>
      <c r="W39" s="640"/>
      <c r="X39" s="641">
        <f>+G39</f>
        <v>34389540</v>
      </c>
      <c r="Y39" s="641"/>
      <c r="Z39" s="642" t="s">
        <v>85</v>
      </c>
      <c r="AA39" s="642"/>
      <c r="AB39" s="642"/>
      <c r="AC39" s="642"/>
      <c r="AD39" s="9"/>
    </row>
    <row r="40" spans="1:30" ht="15.75" customHeight="1" x14ac:dyDescent="0.25">
      <c r="B40" s="105" t="s">
        <v>86</v>
      </c>
      <c r="C40" s="105"/>
      <c r="D40" s="105"/>
      <c r="E40" s="105"/>
      <c r="F40" s="105"/>
      <c r="G40" s="106">
        <v>180284.81</v>
      </c>
      <c r="H40" s="106"/>
      <c r="I40" s="106"/>
      <c r="J40" s="106"/>
      <c r="K40" s="50">
        <f>ROUND(G39/G40,0)</f>
        <v>191</v>
      </c>
      <c r="L40" s="50">
        <f>ROUND(K40*$G$26,0)</f>
        <v>25546</v>
      </c>
      <c r="N40" s="107"/>
      <c r="O40" s="107"/>
      <c r="P40" s="107"/>
      <c r="Q40" s="107"/>
      <c r="V40" s="643" t="s">
        <v>86</v>
      </c>
      <c r="W40" s="643"/>
      <c r="X40" s="644">
        <f>+G40</f>
        <v>180284.81</v>
      </c>
      <c r="Y40" s="644"/>
      <c r="Z40" s="644"/>
      <c r="AA40" s="644"/>
      <c r="AB40" s="56">
        <f>ROUND(X39/X40,0)</f>
        <v>191</v>
      </c>
      <c r="AC40" s="56">
        <f>ROUND(AB40*$X$26,0)</f>
        <v>25546</v>
      </c>
      <c r="AD40" s="9"/>
    </row>
    <row r="41" spans="1:30" ht="15.75" customHeight="1" x14ac:dyDescent="0.25">
      <c r="B41" s="108" t="s">
        <v>87</v>
      </c>
      <c r="C41" s="108"/>
      <c r="D41" s="108"/>
      <c r="E41" s="108"/>
      <c r="F41" s="108"/>
      <c r="G41" s="108"/>
      <c r="H41" s="108"/>
      <c r="I41" s="108"/>
      <c r="J41" s="108"/>
      <c r="K41" s="108"/>
      <c r="L41" s="108"/>
      <c r="N41" s="101"/>
      <c r="O41" s="109"/>
      <c r="P41" s="101"/>
      <c r="Q41" s="101"/>
      <c r="V41" s="652" t="s">
        <v>87</v>
      </c>
      <c r="W41" s="652"/>
      <c r="X41" s="652"/>
      <c r="Y41" s="652"/>
      <c r="Z41" s="652"/>
      <c r="AA41" s="652"/>
      <c r="AB41" s="652"/>
      <c r="AC41" s="652"/>
      <c r="AD41" s="9"/>
    </row>
    <row r="42" spans="1:30" ht="28.5" customHeight="1" x14ac:dyDescent="0.25">
      <c r="B42" s="99" t="s">
        <v>88</v>
      </c>
      <c r="C42" s="99"/>
      <c r="D42" s="99"/>
      <c r="E42" s="99"/>
      <c r="F42" s="99"/>
      <c r="G42" s="99"/>
      <c r="H42" s="99"/>
      <c r="I42" s="99"/>
      <c r="J42" s="99"/>
      <c r="K42" s="99"/>
      <c r="L42" s="99"/>
      <c r="M42" s="107"/>
      <c r="O42" s="1"/>
      <c r="V42" s="639" t="s">
        <v>88</v>
      </c>
      <c r="W42" s="639"/>
      <c r="X42" s="639"/>
      <c r="Y42" s="639"/>
      <c r="Z42" s="639"/>
      <c r="AA42" s="639"/>
      <c r="AB42" s="639"/>
      <c r="AC42" s="639"/>
      <c r="AD42" s="110"/>
    </row>
    <row r="43" spans="1:30" x14ac:dyDescent="0.25">
      <c r="B43" s="111" t="s">
        <v>89</v>
      </c>
      <c r="C43" s="111"/>
      <c r="D43" s="111"/>
      <c r="E43" s="111"/>
      <c r="F43" s="111"/>
      <c r="G43" s="111"/>
      <c r="H43" s="111"/>
      <c r="I43" s="111"/>
      <c r="J43" s="111"/>
      <c r="K43" s="111"/>
      <c r="L43" s="111"/>
      <c r="M43" s="112"/>
      <c r="N43" s="101"/>
      <c r="O43" s="101"/>
      <c r="P43" s="101"/>
      <c r="Q43" s="101"/>
      <c r="V43" s="653" t="s">
        <v>89</v>
      </c>
      <c r="W43" s="653"/>
      <c r="X43" s="653"/>
      <c r="Y43" s="653"/>
      <c r="Z43" s="653"/>
      <c r="AA43" s="653"/>
      <c r="AB43" s="653"/>
      <c r="AC43" s="653"/>
      <c r="AD43" s="113"/>
    </row>
    <row r="44" spans="1:30" ht="24" customHeight="1" x14ac:dyDescent="0.25">
      <c r="B44" s="62" t="s">
        <v>90</v>
      </c>
      <c r="C44" s="62"/>
      <c r="D44" s="62"/>
      <c r="E44" s="62"/>
      <c r="F44" s="62"/>
      <c r="G44" s="62"/>
      <c r="H44" s="62"/>
      <c r="I44" s="62"/>
      <c r="J44" s="62"/>
      <c r="K44" s="62"/>
      <c r="L44" s="114">
        <f>SUM(L26,L37,L40)</f>
        <v>1114369</v>
      </c>
      <c r="O44" s="1"/>
      <c r="V44" s="654" t="s">
        <v>90</v>
      </c>
      <c r="W44" s="654"/>
      <c r="X44" s="654"/>
      <c r="Y44" s="654"/>
      <c r="Z44" s="654"/>
      <c r="AA44" s="654"/>
      <c r="AB44" s="654"/>
      <c r="AC44" s="115">
        <f>SUM(AC26,AC37,AC40)</f>
        <v>543777</v>
      </c>
      <c r="AD44" s="9"/>
    </row>
    <row r="45" spans="1:30" ht="30.75" customHeight="1" x14ac:dyDescent="0.25">
      <c r="B45" s="99" t="s">
        <v>91</v>
      </c>
      <c r="C45" s="99"/>
      <c r="D45" s="99"/>
      <c r="E45" s="99"/>
      <c r="F45" s="99"/>
      <c r="G45" s="99"/>
      <c r="H45" s="99"/>
      <c r="I45" s="99"/>
      <c r="J45" s="99"/>
      <c r="K45" s="99"/>
      <c r="L45" s="99"/>
      <c r="M45" s="116"/>
      <c r="O45" s="1"/>
      <c r="V45" s="639" t="s">
        <v>91</v>
      </c>
      <c r="W45" s="639"/>
      <c r="X45" s="639"/>
      <c r="Y45" s="639"/>
      <c r="Z45" s="639"/>
      <c r="AA45" s="639"/>
      <c r="AB45" s="639"/>
      <c r="AC45" s="639"/>
      <c r="AD45" s="117"/>
    </row>
    <row r="46" spans="1:30" ht="18.75" customHeight="1" x14ac:dyDescent="0.25">
      <c r="B46" s="1"/>
      <c r="C46" s="118" t="s">
        <v>92</v>
      </c>
      <c r="D46" s="118"/>
      <c r="E46" s="118"/>
      <c r="F46" s="118"/>
      <c r="G46" s="118" t="s">
        <v>93</v>
      </c>
      <c r="H46" s="119"/>
      <c r="I46" s="120" t="s">
        <v>94</v>
      </c>
      <c r="J46" s="121"/>
      <c r="K46" s="121"/>
      <c r="L46" s="121"/>
      <c r="M46" s="122"/>
      <c r="O46" s="1"/>
      <c r="V46" s="9"/>
      <c r="W46" s="123" t="s">
        <v>92</v>
      </c>
      <c r="X46" s="655" t="s">
        <v>95</v>
      </c>
      <c r="Y46" s="655"/>
      <c r="Z46" s="656" t="s">
        <v>94</v>
      </c>
      <c r="AA46" s="656"/>
      <c r="AB46" s="656"/>
      <c r="AC46" s="656"/>
      <c r="AD46" s="124"/>
    </row>
    <row r="47" spans="1:30" ht="18.75" customHeight="1" x14ac:dyDescent="0.25">
      <c r="B47" s="107" t="s">
        <v>96</v>
      </c>
      <c r="C47" s="125">
        <f>K10+K11+K16+K19+K22</f>
        <v>0</v>
      </c>
      <c r="D47" s="125"/>
      <c r="E47" s="125"/>
      <c r="F47" s="125"/>
      <c r="G47" s="126">
        <f>K7</f>
        <v>1.0326</v>
      </c>
      <c r="H47" s="126"/>
      <c r="I47" s="127">
        <v>1316.85</v>
      </c>
      <c r="J47" s="128" t="s">
        <v>97</v>
      </c>
      <c r="K47" s="129">
        <f>ROUND(C47*G47*I47,0)</f>
        <v>0</v>
      </c>
      <c r="L47" s="130"/>
      <c r="O47" s="1"/>
      <c r="V47" s="110" t="s">
        <v>96</v>
      </c>
      <c r="W47" s="131">
        <f>AB10+AB11+AB16+AB19+AB22</f>
        <v>0</v>
      </c>
      <c r="X47" s="647">
        <f>AB7</f>
        <v>1.0326</v>
      </c>
      <c r="Y47" s="647"/>
      <c r="Z47" s="132">
        <f>+I47</f>
        <v>1316.85</v>
      </c>
      <c r="AA47" s="133" t="s">
        <v>97</v>
      </c>
      <c r="AB47" s="134">
        <f>ROUND(W47*X47*Z47,0)</f>
        <v>0</v>
      </c>
      <c r="AC47" s="135"/>
      <c r="AD47" s="9"/>
    </row>
    <row r="48" spans="1:30" ht="18" customHeight="1" x14ac:dyDescent="0.25">
      <c r="B48" s="136" t="s">
        <v>74</v>
      </c>
      <c r="C48" s="125">
        <f>K12+K13+K17+K20+K23</f>
        <v>0</v>
      </c>
      <c r="D48" s="125"/>
      <c r="E48" s="125"/>
      <c r="F48" s="125"/>
      <c r="G48" s="126">
        <f>K7</f>
        <v>1.0326</v>
      </c>
      <c r="H48" s="126"/>
      <c r="I48" s="127">
        <v>898.23</v>
      </c>
      <c r="J48" s="128" t="s">
        <v>97</v>
      </c>
      <c r="K48" s="129">
        <f>ROUND(C48*G48*I48,0)</f>
        <v>0</v>
      </c>
      <c r="L48" s="62"/>
      <c r="O48" s="1"/>
      <c r="V48" s="137" t="s">
        <v>74</v>
      </c>
      <c r="W48" s="131">
        <f>AB12+AB13+AB17+AB20+AB23</f>
        <v>0</v>
      </c>
      <c r="X48" s="647">
        <f>AB7</f>
        <v>1.0326</v>
      </c>
      <c r="Y48" s="647"/>
      <c r="Z48" s="132">
        <f>+I48</f>
        <v>898.23</v>
      </c>
      <c r="AA48" s="133" t="s">
        <v>97</v>
      </c>
      <c r="AB48" s="134">
        <f>ROUND(W48*X48*Z48,0)</f>
        <v>0</v>
      </c>
      <c r="AC48" s="138"/>
      <c r="AD48" s="9"/>
    </row>
    <row r="49" spans="2:30" ht="19.5" customHeight="1" thickBot="1" x14ac:dyDescent="0.3">
      <c r="B49" s="139" t="s">
        <v>78</v>
      </c>
      <c r="C49" s="140">
        <f>K14+K15+K18+K21+K24+K25</f>
        <v>135.22130000000001</v>
      </c>
      <c r="D49" s="125"/>
      <c r="E49" s="125"/>
      <c r="F49" s="125"/>
      <c r="G49" s="126">
        <f>K7</f>
        <v>1.0326</v>
      </c>
      <c r="H49" s="126"/>
      <c r="I49" s="127">
        <v>900.39</v>
      </c>
      <c r="J49" s="128" t="s">
        <v>97</v>
      </c>
      <c r="K49" s="129">
        <f>ROUND(C49*G49*I49,0)</f>
        <v>125721</v>
      </c>
      <c r="L49" s="62"/>
      <c r="M49" s="112"/>
      <c r="N49" s="141"/>
      <c r="O49" s="142"/>
      <c r="P49" s="101"/>
      <c r="Q49" s="143"/>
      <c r="V49" s="144" t="s">
        <v>78</v>
      </c>
      <c r="W49" s="145">
        <f>AB14+AB15+AB18+AB21+AB24+AB25</f>
        <v>133.75</v>
      </c>
      <c r="X49" s="647">
        <f>AB7</f>
        <v>1.0326</v>
      </c>
      <c r="Y49" s="647"/>
      <c r="Z49" s="132">
        <f>+I49</f>
        <v>900.39</v>
      </c>
      <c r="AA49" s="133" t="s">
        <v>97</v>
      </c>
      <c r="AB49" s="134">
        <f>ROUND(W49*X49*Z49,0)</f>
        <v>124353</v>
      </c>
      <c r="AC49" s="138"/>
      <c r="AD49" s="113"/>
    </row>
    <row r="50" spans="2:30" ht="24" customHeight="1" thickBot="1" x14ac:dyDescent="0.3">
      <c r="B50" s="146" t="s">
        <v>98</v>
      </c>
      <c r="C50" s="147">
        <f>SUM(C47:C49)</f>
        <v>135.22130000000001</v>
      </c>
      <c r="D50" s="148"/>
      <c r="E50" s="149"/>
      <c r="F50" s="149"/>
      <c r="G50" s="150" t="s">
        <v>99</v>
      </c>
      <c r="H50" s="150"/>
      <c r="I50" s="150"/>
      <c r="J50" s="150"/>
      <c r="K50" s="150"/>
      <c r="L50" s="50">
        <f>IF(B2=75,0,K49+K48+K47)</f>
        <v>125721</v>
      </c>
      <c r="N50" s="3"/>
      <c r="O50" s="1"/>
      <c r="V50" s="151" t="s">
        <v>98</v>
      </c>
      <c r="W50" s="152">
        <f>SUM(W47:W49)</f>
        <v>133.75</v>
      </c>
      <c r="X50" s="648" t="s">
        <v>99</v>
      </c>
      <c r="Y50" s="649"/>
      <c r="Z50" s="649"/>
      <c r="AA50" s="649"/>
      <c r="AB50" s="649"/>
      <c r="AC50" s="56">
        <f>IF(V2=75,0,AB49+AB48+AB47)</f>
        <v>124353</v>
      </c>
      <c r="AD50" s="9"/>
    </row>
    <row r="51" spans="2:30" ht="19.5" customHeight="1" x14ac:dyDescent="0.25">
      <c r="B51" s="153" t="s">
        <v>100</v>
      </c>
      <c r="C51" s="153"/>
      <c r="D51" s="153"/>
      <c r="E51" s="153"/>
      <c r="F51" s="153"/>
      <c r="G51" s="153"/>
      <c r="H51" s="153"/>
      <c r="I51" s="153"/>
      <c r="J51" s="153"/>
      <c r="K51" s="153"/>
      <c r="L51" s="153"/>
      <c r="M51" s="141"/>
      <c r="N51" s="101"/>
      <c r="O51" s="1"/>
      <c r="V51" s="650" t="s">
        <v>100</v>
      </c>
      <c r="W51" s="650"/>
      <c r="X51" s="650"/>
      <c r="Y51" s="650"/>
      <c r="Z51" s="650"/>
      <c r="AA51" s="650"/>
      <c r="AB51" s="650"/>
      <c r="AC51" s="650"/>
      <c r="AD51" s="154"/>
    </row>
    <row r="52" spans="2:30" ht="27.75" customHeight="1" x14ac:dyDescent="0.25">
      <c r="B52" s="13" t="s">
        <v>101</v>
      </c>
      <c r="C52" s="13"/>
      <c r="D52" s="13"/>
      <c r="E52" s="13"/>
      <c r="F52" s="13"/>
      <c r="G52" s="13"/>
      <c r="H52" s="13"/>
      <c r="I52" s="13"/>
      <c r="J52" s="13"/>
      <c r="K52" s="13"/>
      <c r="L52" s="13"/>
      <c r="O52" s="1"/>
      <c r="V52" s="651" t="s">
        <v>101</v>
      </c>
      <c r="W52" s="651"/>
      <c r="X52" s="651"/>
      <c r="Y52" s="651"/>
      <c r="Z52" s="651"/>
      <c r="AA52" s="651"/>
      <c r="AB52" s="651"/>
      <c r="AC52" s="651"/>
      <c r="AD52" s="9"/>
    </row>
    <row r="53" spans="2:30" x14ac:dyDescent="0.25">
      <c r="B53" s="13" t="s">
        <v>102</v>
      </c>
      <c r="C53" s="13"/>
      <c r="D53" s="13"/>
      <c r="E53" s="13"/>
      <c r="F53" s="13"/>
      <c r="G53" s="155">
        <f>K26</f>
        <v>135.22130000000001</v>
      </c>
      <c r="H53" s="57" t="s">
        <v>103</v>
      </c>
      <c r="I53" s="57"/>
      <c r="J53" s="156">
        <v>197823.77</v>
      </c>
      <c r="K53" s="156"/>
      <c r="L53" s="156"/>
      <c r="N53" s="3"/>
      <c r="O53" s="1"/>
      <c r="V53" s="657" t="s">
        <v>102</v>
      </c>
      <c r="W53" s="657"/>
      <c r="X53" s="157">
        <f>AB26</f>
        <v>133.75</v>
      </c>
      <c r="Y53" s="658" t="s">
        <v>103</v>
      </c>
      <c r="Z53" s="658"/>
      <c r="AA53" s="659">
        <f>+J53</f>
        <v>197823.77</v>
      </c>
      <c r="AB53" s="659"/>
      <c r="AC53" s="659"/>
      <c r="AD53" s="9"/>
    </row>
    <row r="54" spans="2:30" x14ac:dyDescent="0.25">
      <c r="B54" s="13" t="s">
        <v>104</v>
      </c>
      <c r="C54" s="13"/>
      <c r="D54" s="13"/>
      <c r="E54" s="13"/>
      <c r="F54" s="13"/>
      <c r="G54" s="13"/>
      <c r="H54" s="13"/>
      <c r="I54" s="13"/>
      <c r="J54" s="13"/>
      <c r="K54" s="158">
        <f>ROUND(G53/J53,6)</f>
        <v>6.8400000000000004E-4</v>
      </c>
      <c r="L54" s="158"/>
      <c r="N54" s="101"/>
      <c r="O54" s="1"/>
      <c r="V54" s="657" t="s">
        <v>104</v>
      </c>
      <c r="W54" s="657"/>
      <c r="X54" s="657"/>
      <c r="Y54" s="657"/>
      <c r="Z54" s="657"/>
      <c r="AA54" s="657"/>
      <c r="AB54" s="660">
        <f>ROUND(X53/AA53,6)</f>
        <v>6.7599999999999995E-4</v>
      </c>
      <c r="AC54" s="660"/>
      <c r="AD54" s="9"/>
    </row>
    <row r="55" spans="2:30" ht="24" customHeight="1" x14ac:dyDescent="0.25">
      <c r="B55" s="13" t="s">
        <v>105</v>
      </c>
      <c r="C55" s="13"/>
      <c r="D55" s="13"/>
      <c r="E55" s="13"/>
      <c r="F55" s="13"/>
      <c r="G55" s="13"/>
      <c r="H55" s="13"/>
      <c r="I55" s="13"/>
      <c r="J55" s="13"/>
      <c r="K55" s="13"/>
      <c r="L55" s="13"/>
      <c r="O55" s="1"/>
      <c r="V55" s="651" t="s">
        <v>105</v>
      </c>
      <c r="W55" s="651"/>
      <c r="X55" s="651"/>
      <c r="Y55" s="651"/>
      <c r="Z55" s="651"/>
      <c r="AA55" s="651"/>
      <c r="AB55" s="651"/>
      <c r="AC55" s="651"/>
      <c r="AD55" s="9"/>
    </row>
    <row r="56" spans="2:30" x14ac:dyDescent="0.25">
      <c r="B56" s="13" t="s">
        <v>106</v>
      </c>
      <c r="C56" s="13"/>
      <c r="D56" s="13"/>
      <c r="E56" s="13"/>
      <c r="F56" s="13"/>
      <c r="G56" s="159">
        <f>G26</f>
        <v>133.75</v>
      </c>
      <c r="H56" s="57" t="s">
        <v>107</v>
      </c>
      <c r="I56" s="57"/>
      <c r="J56" s="156">
        <f>+G40</f>
        <v>180284.81</v>
      </c>
      <c r="K56" s="156"/>
      <c r="L56" s="156"/>
      <c r="O56" s="1"/>
      <c r="V56" s="657" t="s">
        <v>106</v>
      </c>
      <c r="W56" s="657"/>
      <c r="X56" s="160">
        <f>X26</f>
        <v>133.75</v>
      </c>
      <c r="Y56" s="658" t="s">
        <v>107</v>
      </c>
      <c r="Z56" s="658"/>
      <c r="AA56" s="659">
        <f>+J56</f>
        <v>180284.81</v>
      </c>
      <c r="AB56" s="659"/>
      <c r="AC56" s="659"/>
      <c r="AD56" s="9"/>
    </row>
    <row r="57" spans="2:30" x14ac:dyDescent="0.25">
      <c r="B57" s="13" t="s">
        <v>108</v>
      </c>
      <c r="C57" s="13"/>
      <c r="D57" s="13"/>
      <c r="E57" s="13"/>
      <c r="F57" s="13"/>
      <c r="G57" s="13"/>
      <c r="H57" s="13"/>
      <c r="I57" s="13"/>
      <c r="J57" s="13"/>
      <c r="K57" s="158">
        <f>ROUND(G56/J56,6)</f>
        <v>7.4200000000000004E-4</v>
      </c>
      <c r="L57" s="158"/>
      <c r="O57" s="1"/>
      <c r="V57" s="657" t="s">
        <v>108</v>
      </c>
      <c r="W57" s="657"/>
      <c r="X57" s="657"/>
      <c r="Y57" s="657"/>
      <c r="Z57" s="657"/>
      <c r="AA57" s="657"/>
      <c r="AB57" s="660">
        <f>ROUND(X56/AA56,6)</f>
        <v>7.4200000000000004E-4</v>
      </c>
      <c r="AC57" s="660"/>
      <c r="AD57" s="9"/>
    </row>
    <row r="58" spans="2:30" ht="20.25" customHeight="1" x14ac:dyDescent="0.25">
      <c r="B58" s="161" t="s">
        <v>109</v>
      </c>
      <c r="C58" s="161"/>
      <c r="D58" s="161"/>
      <c r="E58" s="161"/>
      <c r="F58" s="161"/>
      <c r="G58" s="161"/>
      <c r="H58" s="161"/>
      <c r="I58" s="161"/>
      <c r="J58" s="161"/>
      <c r="K58" s="161"/>
      <c r="L58" s="161"/>
      <c r="N58" s="18"/>
      <c r="O58" s="18"/>
      <c r="V58" s="629" t="s">
        <v>110</v>
      </c>
      <c r="W58" s="629"/>
      <c r="X58" s="629"/>
      <c r="Y58" s="661">
        <f>X65+X64+X62+X61+X60</f>
        <v>4123852</v>
      </c>
      <c r="Z58" s="661"/>
      <c r="AA58" s="162" t="s">
        <v>111</v>
      </c>
      <c r="AB58" s="163">
        <f>AB54</f>
        <v>6.7599999999999995E-4</v>
      </c>
      <c r="AC58" s="56">
        <f>ROUND(Y58*AB58,0)</f>
        <v>2788</v>
      </c>
      <c r="AD58" s="9"/>
    </row>
    <row r="59" spans="2:30" x14ac:dyDescent="0.25">
      <c r="B59" s="62" t="s">
        <v>110</v>
      </c>
      <c r="C59" s="62"/>
      <c r="D59" s="62"/>
      <c r="E59" s="62"/>
      <c r="F59" s="62"/>
      <c r="G59" s="62"/>
      <c r="H59" s="164" t="s">
        <v>22</v>
      </c>
      <c r="I59" s="129">
        <v>4123852</v>
      </c>
      <c r="J59" s="165" t="s">
        <v>111</v>
      </c>
      <c r="K59" s="166">
        <f>K54</f>
        <v>6.8400000000000004E-4</v>
      </c>
      <c r="L59" s="50">
        <f>ROUND(I59*K59,0)</f>
        <v>2821</v>
      </c>
      <c r="O59" s="1"/>
      <c r="P59" s="165"/>
      <c r="Q59" s="165"/>
      <c r="V59" s="662" t="s">
        <v>112</v>
      </c>
      <c r="W59" s="662"/>
      <c r="X59" s="662"/>
      <c r="Y59" s="662"/>
      <c r="Z59" s="662"/>
      <c r="AA59" s="662"/>
      <c r="AB59" s="662"/>
      <c r="AC59" s="662"/>
      <c r="AD59" s="9"/>
    </row>
    <row r="60" spans="2:30" x14ac:dyDescent="0.25">
      <c r="B60" s="62" t="s">
        <v>112</v>
      </c>
      <c r="C60" s="62"/>
      <c r="D60" s="62"/>
      <c r="E60" s="62"/>
      <c r="F60" s="62"/>
      <c r="G60" s="62"/>
      <c r="H60" s="62"/>
      <c r="I60" s="62"/>
      <c r="J60" s="62"/>
      <c r="K60" s="62"/>
      <c r="L60" s="62"/>
      <c r="O60" s="1"/>
      <c r="P60" s="165"/>
      <c r="Q60" s="165"/>
      <c r="V60" s="663" t="s">
        <v>113</v>
      </c>
      <c r="W60" s="663"/>
      <c r="X60" s="664">
        <f>+G61</f>
        <v>0</v>
      </c>
      <c r="Y60" s="664"/>
      <c r="Z60" s="664"/>
      <c r="AA60" s="664"/>
      <c r="AB60" s="664"/>
      <c r="AC60" s="664"/>
      <c r="AD60" s="9"/>
    </row>
    <row r="61" spans="2:30" ht="15" customHeight="1" x14ac:dyDescent="0.25">
      <c r="B61" s="167" t="s">
        <v>113</v>
      </c>
      <c r="C61" s="62"/>
      <c r="D61" s="62"/>
      <c r="E61" s="62"/>
      <c r="F61" s="62"/>
      <c r="G61" s="168">
        <v>0</v>
      </c>
      <c r="H61" s="168"/>
      <c r="I61" s="168"/>
      <c r="J61" s="168"/>
      <c r="K61" s="168"/>
      <c r="L61" s="168"/>
      <c r="O61" s="1"/>
      <c r="P61" s="165"/>
      <c r="Q61" s="165"/>
      <c r="V61" s="663" t="s">
        <v>114</v>
      </c>
      <c r="W61" s="663"/>
      <c r="X61" s="664">
        <f>+G62</f>
        <v>0</v>
      </c>
      <c r="Y61" s="664"/>
      <c r="Z61" s="664"/>
      <c r="AA61" s="664"/>
      <c r="AB61" s="664"/>
      <c r="AC61" s="664"/>
      <c r="AD61" s="9"/>
    </row>
    <row r="62" spans="2:30" ht="13.5" customHeight="1" x14ac:dyDescent="0.25">
      <c r="B62" s="167" t="s">
        <v>114</v>
      </c>
      <c r="C62" s="62"/>
      <c r="D62" s="62"/>
      <c r="E62" s="62"/>
      <c r="F62" s="62"/>
      <c r="G62" s="168">
        <v>0</v>
      </c>
      <c r="H62" s="168"/>
      <c r="I62" s="168"/>
      <c r="J62" s="168"/>
      <c r="K62" s="168"/>
      <c r="L62" s="168"/>
      <c r="N62" s="165"/>
      <c r="O62" s="165"/>
      <c r="P62" s="165"/>
      <c r="Q62" s="165"/>
      <c r="V62" s="663" t="s">
        <v>115</v>
      </c>
      <c r="W62" s="663"/>
      <c r="X62" s="664">
        <v>0</v>
      </c>
      <c r="Y62" s="664"/>
      <c r="Z62" s="664"/>
      <c r="AA62" s="664"/>
      <c r="AB62" s="664"/>
      <c r="AC62" s="664"/>
      <c r="AD62" s="9"/>
    </row>
    <row r="63" spans="2:30" ht="13.5" hidden="1" customHeight="1" x14ac:dyDescent="0.25">
      <c r="B63" s="62" t="s">
        <v>115</v>
      </c>
      <c r="C63" s="62"/>
      <c r="D63" s="62"/>
      <c r="E63" s="62"/>
      <c r="F63" s="62"/>
      <c r="G63" s="168">
        <v>0</v>
      </c>
      <c r="H63" s="168"/>
      <c r="I63" s="168"/>
      <c r="J63" s="168"/>
      <c r="K63" s="168"/>
      <c r="L63" s="168"/>
      <c r="O63" s="1"/>
      <c r="P63" s="165"/>
      <c r="Q63" s="165"/>
      <c r="V63" s="662" t="s">
        <v>116</v>
      </c>
      <c r="W63" s="662"/>
      <c r="X63" s="662"/>
      <c r="Y63" s="662"/>
      <c r="Z63" s="662"/>
      <c r="AA63" s="662"/>
      <c r="AB63" s="662"/>
      <c r="AC63" s="662"/>
      <c r="AD63" s="117"/>
    </row>
    <row r="64" spans="2:30" ht="13.5" customHeight="1" x14ac:dyDescent="0.25">
      <c r="B64" s="62" t="s">
        <v>116</v>
      </c>
      <c r="C64" s="62"/>
      <c r="D64" s="62"/>
      <c r="E64" s="62"/>
      <c r="F64" s="62"/>
      <c r="G64" s="62"/>
      <c r="H64" s="62"/>
      <c r="I64" s="62"/>
      <c r="J64" s="62"/>
      <c r="K64" s="62"/>
      <c r="L64" s="62"/>
      <c r="M64" s="116"/>
      <c r="N64" s="18"/>
      <c r="O64" s="1"/>
      <c r="V64" s="663" t="s">
        <v>117</v>
      </c>
      <c r="W64" s="663"/>
      <c r="X64" s="664">
        <f>+G65</f>
        <v>4123852</v>
      </c>
      <c r="Y64" s="664"/>
      <c r="Z64" s="664"/>
      <c r="AA64" s="664"/>
      <c r="AB64" s="664"/>
      <c r="AC64" s="664"/>
      <c r="AD64" s="9"/>
    </row>
    <row r="65" spans="1:30" ht="12.75" customHeight="1" x14ac:dyDescent="0.25">
      <c r="B65" s="167" t="s">
        <v>117</v>
      </c>
      <c r="C65" s="62"/>
      <c r="D65" s="62"/>
      <c r="E65" s="62"/>
      <c r="F65" s="62"/>
      <c r="G65" s="168">
        <f>+I59</f>
        <v>4123852</v>
      </c>
      <c r="H65" s="168"/>
      <c r="I65" s="168"/>
      <c r="J65" s="168"/>
      <c r="K65" s="168"/>
      <c r="L65" s="168"/>
      <c r="O65" s="1"/>
      <c r="V65" s="663" t="s">
        <v>118</v>
      </c>
      <c r="W65" s="663"/>
      <c r="X65" s="664">
        <f>+G66</f>
        <v>0</v>
      </c>
      <c r="Y65" s="664"/>
      <c r="Z65" s="664"/>
      <c r="AA65" s="664"/>
      <c r="AB65" s="664"/>
      <c r="AC65" s="664"/>
      <c r="AD65" s="20"/>
    </row>
    <row r="66" spans="1:30" ht="15" customHeight="1" x14ac:dyDescent="0.25">
      <c r="B66" s="167" t="s">
        <v>118</v>
      </c>
      <c r="C66" s="62"/>
      <c r="D66" s="62"/>
      <c r="E66" s="62"/>
      <c r="F66" s="62"/>
      <c r="G66" s="168">
        <v>0</v>
      </c>
      <c r="H66" s="168"/>
      <c r="I66" s="168"/>
      <c r="J66" s="168"/>
      <c r="K66" s="168"/>
      <c r="L66" s="168"/>
      <c r="M66" s="18"/>
      <c r="N66" s="3"/>
      <c r="O66" s="169"/>
      <c r="P66" s="169"/>
      <c r="Q66" s="169"/>
      <c r="V66" s="651" t="s">
        <v>119</v>
      </c>
      <c r="W66" s="651"/>
      <c r="X66" s="651"/>
      <c r="Y66" s="661">
        <f>+I67</f>
        <v>96774526</v>
      </c>
      <c r="Z66" s="661"/>
      <c r="AA66" s="162" t="s">
        <v>111</v>
      </c>
      <c r="AB66" s="163">
        <f>AB54</f>
        <v>6.7599999999999995E-4</v>
      </c>
      <c r="AC66" s="56">
        <f>ROUND(Y66*AB66,0)</f>
        <v>65420</v>
      </c>
      <c r="AD66" s="9"/>
    </row>
    <row r="67" spans="1:30" ht="20.25" customHeight="1" x14ac:dyDescent="0.25">
      <c r="B67" s="13" t="s">
        <v>119</v>
      </c>
      <c r="C67" s="13"/>
      <c r="D67" s="13"/>
      <c r="E67" s="13"/>
      <c r="F67" s="13"/>
      <c r="H67" s="164" t="s">
        <v>25</v>
      </c>
      <c r="I67" s="129">
        <v>96774526</v>
      </c>
      <c r="J67" s="165" t="s">
        <v>111</v>
      </c>
      <c r="K67" s="166">
        <f>K54</f>
        <v>6.8400000000000004E-4</v>
      </c>
      <c r="L67" s="50">
        <f>ROUND(I67*K67,0)</f>
        <v>66194</v>
      </c>
      <c r="O67" s="1"/>
      <c r="V67" s="651" t="s">
        <v>120</v>
      </c>
      <c r="W67" s="651"/>
      <c r="X67" s="651"/>
      <c r="Y67" s="651"/>
      <c r="Z67" s="651"/>
      <c r="AA67" s="651"/>
      <c r="AB67" s="651"/>
      <c r="AC67" s="651"/>
      <c r="AD67" s="9"/>
    </row>
    <row r="68" spans="1:30" ht="20.25" customHeight="1" x14ac:dyDescent="0.25">
      <c r="B68" s="13" t="s">
        <v>120</v>
      </c>
      <c r="C68" s="13"/>
      <c r="D68" s="13"/>
      <c r="E68" s="13"/>
      <c r="F68" s="13"/>
      <c r="H68" s="13"/>
      <c r="I68" s="13"/>
      <c r="J68" s="82"/>
      <c r="K68" s="13"/>
      <c r="L68" s="13"/>
      <c r="O68" s="1"/>
      <c r="V68" s="667" t="s">
        <v>121</v>
      </c>
      <c r="W68" s="667"/>
      <c r="X68" s="667"/>
      <c r="Y68" s="661">
        <f>+I69</f>
        <v>0</v>
      </c>
      <c r="Z68" s="661"/>
      <c r="AA68" s="162" t="s">
        <v>111</v>
      </c>
      <c r="AB68" s="163">
        <f>AB57</f>
        <v>7.4200000000000004E-4</v>
      </c>
      <c r="AC68" s="56">
        <f>ROUND(Y68*AB68,0)</f>
        <v>0</v>
      </c>
      <c r="AD68" s="9"/>
    </row>
    <row r="69" spans="1:30" ht="15" customHeight="1" x14ac:dyDescent="0.25">
      <c r="B69" s="170" t="s">
        <v>121</v>
      </c>
      <c r="C69" s="13"/>
      <c r="D69" s="13"/>
      <c r="E69" s="13"/>
      <c r="F69" s="13"/>
      <c r="H69" s="164" t="s">
        <v>23</v>
      </c>
      <c r="I69" s="129">
        <v>0</v>
      </c>
      <c r="J69" s="165" t="s">
        <v>111</v>
      </c>
      <c r="K69" s="166">
        <f>K57</f>
        <v>7.4200000000000004E-4</v>
      </c>
      <c r="L69" s="50">
        <f>ROUND(I69*K69,0)</f>
        <v>0</v>
      </c>
      <c r="O69" s="1"/>
      <c r="V69" s="651" t="s">
        <v>122</v>
      </c>
      <c r="W69" s="651"/>
      <c r="X69" s="651"/>
      <c r="Y69" s="668">
        <f>+I70</f>
        <v>-3460775</v>
      </c>
      <c r="Z69" s="668"/>
      <c r="AA69" s="162" t="s">
        <v>111</v>
      </c>
      <c r="AB69" s="163">
        <f>AB54</f>
        <v>6.7599999999999995E-4</v>
      </c>
      <c r="AC69" s="56">
        <f>ROUND(Y69*AB69,0)</f>
        <v>-2339</v>
      </c>
      <c r="AD69" s="9"/>
    </row>
    <row r="70" spans="1:30" ht="20.25" customHeight="1" x14ac:dyDescent="0.25">
      <c r="B70" s="13" t="s">
        <v>122</v>
      </c>
      <c r="C70" s="13"/>
      <c r="D70" s="13"/>
      <c r="E70" s="13"/>
      <c r="F70" s="13"/>
      <c r="H70" s="164" t="s">
        <v>22</v>
      </c>
      <c r="I70" s="129">
        <v>-3460775</v>
      </c>
      <c r="J70" s="165" t="s">
        <v>111</v>
      </c>
      <c r="K70" s="166">
        <f>K54</f>
        <v>6.8400000000000004E-4</v>
      </c>
      <c r="L70" s="50">
        <f>ROUND(I70*K70,0)</f>
        <v>-2367</v>
      </c>
      <c r="O70" s="1"/>
      <c r="V70" s="651" t="s">
        <v>123</v>
      </c>
      <c r="W70" s="651"/>
      <c r="X70" s="651"/>
      <c r="Y70" s="665">
        <f>+I71</f>
        <v>1874788</v>
      </c>
      <c r="Z70" s="665"/>
      <c r="AA70" s="162" t="s">
        <v>111</v>
      </c>
      <c r="AB70" s="163">
        <f>AB54</f>
        <v>6.7599999999999995E-4</v>
      </c>
      <c r="AC70" s="56">
        <f>ROUND(Y70*AB70,0)</f>
        <v>1267</v>
      </c>
      <c r="AD70" s="9"/>
    </row>
    <row r="71" spans="1:30" ht="20.25" customHeight="1" x14ac:dyDescent="0.25">
      <c r="B71" s="13" t="s">
        <v>123</v>
      </c>
      <c r="C71" s="13"/>
      <c r="D71" s="13"/>
      <c r="E71" s="13"/>
      <c r="F71" s="13"/>
      <c r="H71" s="164" t="s">
        <v>22</v>
      </c>
      <c r="I71" s="129">
        <v>1874788</v>
      </c>
      <c r="J71" s="165" t="s">
        <v>111</v>
      </c>
      <c r="K71" s="166">
        <f>K54</f>
        <v>6.8400000000000004E-4</v>
      </c>
      <c r="L71" s="50">
        <f>ROUND(I71*K71,0)</f>
        <v>1282</v>
      </c>
      <c r="O71" s="1"/>
      <c r="V71" s="651" t="s">
        <v>124</v>
      </c>
      <c r="W71" s="651"/>
      <c r="X71" s="651"/>
      <c r="Y71" s="665">
        <f>+I72</f>
        <v>14223298</v>
      </c>
      <c r="Z71" s="665"/>
      <c r="AA71" s="162" t="s">
        <v>111</v>
      </c>
      <c r="AB71" s="163">
        <f>AB57</f>
        <v>7.4200000000000004E-4</v>
      </c>
      <c r="AC71" s="56">
        <f>ROUND(Y71*AB71,0)</f>
        <v>10554</v>
      </c>
      <c r="AD71" s="9"/>
    </row>
    <row r="72" spans="1:30" ht="21" customHeight="1" x14ac:dyDescent="0.25">
      <c r="B72" s="13" t="s">
        <v>124</v>
      </c>
      <c r="C72" s="13"/>
      <c r="D72" s="13"/>
      <c r="E72" s="13"/>
      <c r="F72" s="13"/>
      <c r="H72" s="164" t="s">
        <v>23</v>
      </c>
      <c r="I72" s="171">
        <v>14223298</v>
      </c>
      <c r="J72" s="165" t="s">
        <v>111</v>
      </c>
      <c r="K72" s="166">
        <f>K57</f>
        <v>7.4200000000000004E-4</v>
      </c>
      <c r="L72" s="50">
        <f>ROUND(I72*K72,0)</f>
        <v>10554</v>
      </c>
      <c r="O72" s="1"/>
      <c r="V72" s="623" t="s">
        <v>125</v>
      </c>
      <c r="W72" s="623"/>
      <c r="X72" s="623"/>
      <c r="Y72" s="623"/>
      <c r="Z72" s="623"/>
      <c r="AA72" s="623"/>
      <c r="AB72" s="623"/>
      <c r="AC72" s="60"/>
      <c r="AD72" s="9"/>
    </row>
    <row r="73" spans="1:30" ht="17.25" customHeight="1" x14ac:dyDescent="0.25">
      <c r="B73" s="13" t="s">
        <v>125</v>
      </c>
      <c r="C73" s="13"/>
      <c r="D73" s="13"/>
      <c r="E73" s="13"/>
      <c r="F73" s="13"/>
      <c r="H73" s="13"/>
      <c r="I73" s="13"/>
      <c r="J73" s="82"/>
      <c r="K73" s="13"/>
      <c r="L73" s="59"/>
      <c r="O73" s="1"/>
      <c r="V73" s="651" t="s">
        <v>126</v>
      </c>
      <c r="W73" s="651"/>
      <c r="X73" s="651"/>
      <c r="Y73" s="651"/>
      <c r="Z73" s="651"/>
      <c r="AA73" s="651"/>
      <c r="AB73" s="651"/>
      <c r="AC73" s="651"/>
      <c r="AD73" s="9"/>
    </row>
    <row r="74" spans="1:30" ht="31.5" x14ac:dyDescent="0.25">
      <c r="B74" s="13" t="s">
        <v>126</v>
      </c>
      <c r="C74" s="13"/>
      <c r="D74" s="27" t="s">
        <v>13</v>
      </c>
      <c r="E74" s="27" t="s">
        <v>14</v>
      </c>
      <c r="F74" s="27"/>
      <c r="H74" s="164" t="s">
        <v>26</v>
      </c>
      <c r="I74" s="172"/>
      <c r="J74" s="164"/>
      <c r="K74" s="172"/>
      <c r="L74" s="112"/>
      <c r="O74" s="1"/>
      <c r="V74" s="666" t="s">
        <v>127</v>
      </c>
      <c r="W74" s="666"/>
      <c r="X74" s="173" t="s">
        <v>128</v>
      </c>
      <c r="Y74" s="174"/>
      <c r="Z74" s="175">
        <f>+I75</f>
        <v>109</v>
      </c>
      <c r="AA74" s="176" t="s">
        <v>129</v>
      </c>
      <c r="AB74" s="177">
        <f>+K75</f>
        <v>361</v>
      </c>
      <c r="AC74" s="56">
        <f>ROUND(AB74*Z74,0)</f>
        <v>39349</v>
      </c>
      <c r="AD74" s="9"/>
    </row>
    <row r="75" spans="1:30" ht="19.5" customHeight="1" x14ac:dyDescent="0.25">
      <c r="A75" s="1" t="s">
        <v>130</v>
      </c>
      <c r="B75" s="178" t="s">
        <v>127</v>
      </c>
      <c r="C75" s="179" t="s">
        <v>128</v>
      </c>
      <c r="D75" s="178">
        <v>121</v>
      </c>
      <c r="E75" s="178">
        <v>97</v>
      </c>
      <c r="F75" s="178">
        <v>0</v>
      </c>
      <c r="G75" s="180">
        <f>IF(E75=0,D75,E75)</f>
        <v>97</v>
      </c>
      <c r="H75" s="181"/>
      <c r="I75" s="182">
        <f>AVERAGE(G75,D75)</f>
        <v>109</v>
      </c>
      <c r="J75" s="183" t="s">
        <v>129</v>
      </c>
      <c r="K75" s="184">
        <v>361</v>
      </c>
      <c r="L75" s="50">
        <f>ROUND(K75*I75,0)</f>
        <v>39349</v>
      </c>
      <c r="N75" s="1">
        <v>7802</v>
      </c>
      <c r="O75" s="1">
        <v>0</v>
      </c>
      <c r="V75" s="666" t="s">
        <v>127</v>
      </c>
      <c r="W75" s="666"/>
      <c r="X75" s="173" t="s">
        <v>131</v>
      </c>
      <c r="Y75" s="185"/>
      <c r="Z75" s="186"/>
      <c r="AA75" s="176" t="s">
        <v>129</v>
      </c>
      <c r="AB75" s="187">
        <f>+K76</f>
        <v>1358</v>
      </c>
      <c r="AC75" s="56">
        <f>ROUND(AB75*Z75,0)</f>
        <v>0</v>
      </c>
      <c r="AD75" s="9"/>
    </row>
    <row r="76" spans="1:30" ht="19.5" customHeight="1" x14ac:dyDescent="0.25">
      <c r="A76" s="1" t="s">
        <v>132</v>
      </c>
      <c r="B76" s="178" t="s">
        <v>127</v>
      </c>
      <c r="C76" s="179" t="s">
        <v>131</v>
      </c>
      <c r="D76" s="178">
        <v>0</v>
      </c>
      <c r="E76" s="178">
        <v>0</v>
      </c>
      <c r="F76" s="178">
        <v>0</v>
      </c>
      <c r="G76" s="180">
        <f>IF(E76=0,D76,E76)</f>
        <v>0</v>
      </c>
      <c r="H76" s="181"/>
      <c r="I76" s="182">
        <f>AVERAGE(G76,D76)</f>
        <v>0</v>
      </c>
      <c r="J76" s="183" t="s">
        <v>129</v>
      </c>
      <c r="K76" s="188">
        <v>1358</v>
      </c>
      <c r="L76" s="50">
        <f>ROUND(K76*I76,0)</f>
        <v>0</v>
      </c>
      <c r="N76" s="1">
        <v>7802</v>
      </c>
      <c r="O76" s="1">
        <v>110</v>
      </c>
      <c r="V76" s="651" t="s">
        <v>133</v>
      </c>
      <c r="W76" s="651"/>
      <c r="X76" s="651"/>
      <c r="Y76" s="661">
        <f>+I77</f>
        <v>33305823</v>
      </c>
      <c r="Z76" s="661"/>
      <c r="AA76" s="176" t="s">
        <v>129</v>
      </c>
      <c r="AB76" s="163">
        <f>AB54</f>
        <v>6.7599999999999995E-4</v>
      </c>
      <c r="AC76" s="56">
        <f>ROUND(Y76*AB76,0)</f>
        <v>22515</v>
      </c>
      <c r="AD76" s="9"/>
    </row>
    <row r="77" spans="1:30" ht="26.25" customHeight="1" x14ac:dyDescent="0.25">
      <c r="B77" s="13" t="s">
        <v>133</v>
      </c>
      <c r="C77" s="13"/>
      <c r="D77" s="13"/>
      <c r="E77" s="13"/>
      <c r="F77" s="13"/>
      <c r="H77" s="164" t="s">
        <v>134</v>
      </c>
      <c r="I77" s="189">
        <v>33305823</v>
      </c>
      <c r="J77" s="165" t="s">
        <v>111</v>
      </c>
      <c r="K77" s="166">
        <f>K54</f>
        <v>6.8400000000000004E-4</v>
      </c>
      <c r="L77" s="50">
        <f>ROUND(I77*K77,0)</f>
        <v>22781</v>
      </c>
      <c r="O77" s="1"/>
      <c r="V77" s="651" t="str">
        <f>+B78</f>
        <v>15.  Additional Allocation (WFTE share)</v>
      </c>
      <c r="W77" s="651"/>
      <c r="X77" s="651"/>
      <c r="Y77" s="661">
        <f>+I78</f>
        <v>680688</v>
      </c>
      <c r="Z77" s="661"/>
      <c r="AA77" s="176" t="s">
        <v>129</v>
      </c>
      <c r="AB77" s="163">
        <f>AB54</f>
        <v>6.7599999999999995E-4</v>
      </c>
      <c r="AC77" s="56">
        <f>ROUND(Y77*AB77,0)</f>
        <v>460</v>
      </c>
      <c r="AD77" s="9"/>
    </row>
    <row r="78" spans="1:30" ht="26.25" customHeight="1" x14ac:dyDescent="0.25">
      <c r="B78" s="669" t="s">
        <v>135</v>
      </c>
      <c r="C78" s="669"/>
      <c r="D78" s="669"/>
      <c r="E78" s="13"/>
      <c r="F78" s="13"/>
      <c r="H78" s="164" t="s">
        <v>136</v>
      </c>
      <c r="I78" s="190">
        <v>680688</v>
      </c>
      <c r="J78" s="165" t="s">
        <v>111</v>
      </c>
      <c r="K78" s="166">
        <f>K54</f>
        <v>6.8400000000000004E-4</v>
      </c>
      <c r="L78" s="50">
        <f>ROUND(I78*K78,0)</f>
        <v>466</v>
      </c>
      <c r="O78" s="1"/>
      <c r="V78" s="651" t="str">
        <f t="shared" ref="V78:V79" si="11">+B79</f>
        <v>16.  Florida Teachers Lead Program Stipend</v>
      </c>
      <c r="W78" s="651"/>
      <c r="X78" s="651"/>
      <c r="Y78" s="191"/>
      <c r="Z78" s="191"/>
      <c r="AA78" s="191"/>
      <c r="AB78" s="191"/>
      <c r="AC78" s="134"/>
      <c r="AD78" s="9"/>
    </row>
    <row r="79" spans="1:30" ht="21" customHeight="1" x14ac:dyDescent="0.25">
      <c r="B79" s="669" t="s">
        <v>137</v>
      </c>
      <c r="C79" s="669"/>
      <c r="D79" s="669"/>
      <c r="E79" s="13"/>
      <c r="F79" s="13"/>
      <c r="H79" s="164"/>
      <c r="I79" s="172"/>
      <c r="J79" s="172"/>
      <c r="K79" s="172"/>
      <c r="L79" s="129"/>
      <c r="N79" s="192"/>
      <c r="O79" s="1"/>
      <c r="Q79" s="164"/>
      <c r="V79" s="651" t="str">
        <f t="shared" si="11"/>
        <v>17.  Food Service Allocation</v>
      </c>
      <c r="W79" s="651"/>
      <c r="X79" s="651"/>
      <c r="Y79" s="191"/>
      <c r="Z79" s="191"/>
      <c r="AA79" s="191"/>
      <c r="AB79" s="191"/>
      <c r="AC79" s="193"/>
      <c r="AD79" s="9"/>
    </row>
    <row r="80" spans="1:30" ht="21" customHeight="1" x14ac:dyDescent="0.25">
      <c r="B80" s="669" t="s">
        <v>138</v>
      </c>
      <c r="C80" s="669"/>
      <c r="D80" s="669"/>
      <c r="E80" s="13"/>
      <c r="F80" s="13"/>
      <c r="H80" s="194" t="s">
        <v>139</v>
      </c>
      <c r="I80" s="195"/>
      <c r="J80" s="195"/>
      <c r="K80" s="195"/>
      <c r="L80" s="196"/>
      <c r="N80" s="197"/>
      <c r="O80" s="1"/>
      <c r="Q80" s="164"/>
      <c r="V80" s="191"/>
      <c r="W80" s="191"/>
      <c r="X80" s="191"/>
      <c r="Y80" s="191"/>
      <c r="Z80" s="191"/>
      <c r="AA80" s="191"/>
      <c r="AB80" s="191"/>
      <c r="AC80" s="193"/>
      <c r="AD80" s="9"/>
    </row>
    <row r="81" spans="1:30" ht="21" customHeight="1" thickBot="1" x14ac:dyDescent="0.3">
      <c r="B81" s="13"/>
      <c r="C81" s="13"/>
      <c r="D81" s="13"/>
      <c r="E81" s="13"/>
      <c r="F81" s="13"/>
      <c r="G81" s="13"/>
      <c r="H81" s="13"/>
      <c r="I81" s="13"/>
      <c r="J81" s="13"/>
      <c r="K81" s="13"/>
      <c r="L81" s="196"/>
      <c r="M81" s="198"/>
      <c r="N81" s="197"/>
      <c r="O81" s="1"/>
      <c r="Q81" s="164"/>
      <c r="V81" s="191" t="s">
        <v>140</v>
      </c>
      <c r="W81" s="191"/>
      <c r="X81" s="191"/>
      <c r="Y81" s="191"/>
      <c r="Z81" s="191"/>
      <c r="AA81" s="191"/>
      <c r="AB81" s="191"/>
      <c r="AC81" s="199">
        <f>SUM(AC44:AC80)</f>
        <v>808144</v>
      </c>
      <c r="AD81" s="200"/>
    </row>
    <row r="82" spans="1:30" ht="22.5" customHeight="1" thickTop="1" thickBot="1" x14ac:dyDescent="0.3">
      <c r="B82" s="13" t="s">
        <v>141</v>
      </c>
      <c r="C82" s="13"/>
      <c r="D82" s="13"/>
      <c r="E82" s="13"/>
      <c r="F82" s="13"/>
      <c r="G82" s="13"/>
      <c r="H82" s="13"/>
      <c r="I82" s="13"/>
      <c r="J82" s="13"/>
      <c r="K82" s="13"/>
      <c r="L82" s="201">
        <f>SUM(L44:L81)</f>
        <v>1381170</v>
      </c>
      <c r="M82" s="202"/>
      <c r="N82" s="203"/>
      <c r="O82" s="1"/>
      <c r="Q82" s="164"/>
      <c r="V82" s="191"/>
      <c r="W82" s="191"/>
      <c r="X82" s="191"/>
      <c r="Y82" s="191"/>
      <c r="Z82" s="191"/>
      <c r="AA82" s="191"/>
      <c r="AB82" s="191"/>
      <c r="AC82" s="204"/>
      <c r="AD82" s="200"/>
    </row>
    <row r="83" spans="1:30" ht="27.75" customHeight="1" thickTop="1" x14ac:dyDescent="0.25">
      <c r="B83" s="13" t="s">
        <v>142</v>
      </c>
      <c r="C83" s="13"/>
      <c r="D83" s="13"/>
      <c r="E83" s="13"/>
      <c r="F83" s="13"/>
      <c r="G83" s="13"/>
      <c r="H83" s="13"/>
      <c r="I83" s="13"/>
      <c r="J83" s="13"/>
      <c r="K83" s="82" t="s">
        <v>143</v>
      </c>
      <c r="L83" s="205" t="s">
        <v>144</v>
      </c>
      <c r="M83" s="202"/>
      <c r="N83" s="203"/>
      <c r="O83" s="1"/>
      <c r="Q83" s="164"/>
      <c r="V83" s="9" t="s">
        <v>145</v>
      </c>
      <c r="W83" s="9"/>
      <c r="X83" s="9"/>
      <c r="Y83" s="9"/>
      <c r="Z83" s="9"/>
      <c r="AA83" s="9"/>
      <c r="AB83" s="9"/>
      <c r="AC83" s="9"/>
      <c r="AD83" s="206"/>
    </row>
    <row r="84" spans="1:30" ht="18.75" customHeight="1" thickBot="1" x14ac:dyDescent="0.3">
      <c r="B84" s="13" t="s">
        <v>146</v>
      </c>
      <c r="C84" s="13"/>
      <c r="D84" s="13"/>
      <c r="E84" s="13"/>
      <c r="F84" s="13"/>
      <c r="G84" s="13"/>
      <c r="H84" s="13"/>
      <c r="I84" s="13"/>
      <c r="J84" s="13"/>
      <c r="K84" s="207">
        <f>IF(G26=0,"",IF((G11+G13+SUM(G15:G21))/G26&gt;0.75,1,""))</f>
        <v>1</v>
      </c>
      <c r="L84" s="201">
        <f>'3400'!AC81</f>
        <v>808144</v>
      </c>
      <c r="M84" s="202"/>
      <c r="N84" s="203"/>
      <c r="O84" s="1"/>
      <c r="Q84" s="164"/>
      <c r="V84" s="208" t="s">
        <v>147</v>
      </c>
      <c r="W84" s="208"/>
      <c r="X84" s="208"/>
      <c r="Y84" s="208"/>
      <c r="Z84" s="208"/>
      <c r="AA84" s="208"/>
      <c r="AB84" s="208"/>
      <c r="AC84" s="208"/>
      <c r="AD84" s="9"/>
    </row>
    <row r="85" spans="1:30" ht="18.75" customHeight="1" thickTop="1" x14ac:dyDescent="0.25">
      <c r="B85" s="13"/>
      <c r="C85" s="13"/>
      <c r="D85" s="13"/>
      <c r="E85" s="13"/>
      <c r="F85" s="13"/>
      <c r="G85" s="13"/>
      <c r="H85" s="13"/>
      <c r="I85" s="13"/>
      <c r="J85" s="13"/>
      <c r="M85" s="202"/>
      <c r="N85" s="203"/>
      <c r="O85" s="1"/>
      <c r="Q85" s="164"/>
      <c r="V85" s="208" t="s">
        <v>148</v>
      </c>
      <c r="W85" s="208"/>
      <c r="X85" s="208"/>
      <c r="Y85" s="208"/>
      <c r="Z85" s="208"/>
      <c r="AA85" s="208"/>
      <c r="AB85" s="208"/>
      <c r="AC85" s="208"/>
      <c r="AD85" s="206"/>
    </row>
    <row r="86" spans="1:30" ht="18.75" customHeight="1" x14ac:dyDescent="0.25">
      <c r="B86" s="2" t="s">
        <v>149</v>
      </c>
      <c r="C86" s="13"/>
      <c r="D86" s="13"/>
      <c r="E86" s="13"/>
      <c r="F86" s="13"/>
      <c r="G86" s="13"/>
      <c r="H86" s="13"/>
      <c r="I86" s="13"/>
      <c r="J86" s="209" t="s">
        <v>150</v>
      </c>
      <c r="K86" s="210">
        <f>IF(K84=1,L84,L82)</f>
        <v>808144</v>
      </c>
      <c r="L86" s="211">
        <f>IF(G26=0,0,IF(G26&gt;250,-(((250/G26)*K86)*IF(M86="H",0.02,0.05)),IF(M86="H",-0.02*K86,-0.05*K86)))</f>
        <v>-40407.200000000004</v>
      </c>
      <c r="M86" s="212" t="str">
        <f>IF(B123="2801","H",IF(B123="2911","H",IF(B123="3382","H"," ")))</f>
        <v xml:space="preserve"> </v>
      </c>
      <c r="N86" s="203"/>
      <c r="O86" s="1"/>
      <c r="Q86" s="164"/>
      <c r="V86" s="208" t="s">
        <v>151</v>
      </c>
      <c r="W86" s="208"/>
      <c r="X86" s="208"/>
      <c r="Y86" s="208"/>
      <c r="Z86" s="208"/>
      <c r="AA86" s="208"/>
      <c r="AB86" s="208"/>
      <c r="AC86" s="208"/>
      <c r="AD86" s="206"/>
    </row>
    <row r="87" spans="1:30" ht="18.75" customHeight="1" x14ac:dyDescent="0.25">
      <c r="B87" s="2" t="s">
        <v>152</v>
      </c>
      <c r="C87" s="13"/>
      <c r="D87" s="13"/>
      <c r="E87" s="13"/>
      <c r="F87" s="13"/>
      <c r="G87" s="13"/>
      <c r="H87" s="13"/>
      <c r="I87" s="13"/>
      <c r="J87" s="13"/>
      <c r="K87" s="213"/>
      <c r="L87" s="205">
        <f>L82+L86</f>
        <v>1340762.8</v>
      </c>
      <c r="M87" s="202"/>
      <c r="N87" s="203"/>
      <c r="O87" s="1"/>
      <c r="Q87" s="164"/>
      <c r="V87" s="198"/>
      <c r="W87" s="198"/>
      <c r="X87" s="198"/>
      <c r="Y87" s="198"/>
      <c r="Z87" s="198"/>
      <c r="AA87" s="198"/>
      <c r="AB87" s="198"/>
      <c r="AC87" s="198"/>
      <c r="AD87" s="214"/>
    </row>
    <row r="88" spans="1:30" x14ac:dyDescent="0.25">
      <c r="V88" s="198"/>
      <c r="W88" s="198"/>
      <c r="X88" s="198"/>
      <c r="Y88" s="198"/>
      <c r="Z88" s="198"/>
      <c r="AA88" s="198"/>
      <c r="AB88" s="198"/>
      <c r="AC88" s="198"/>
      <c r="AD88" s="215"/>
    </row>
    <row r="89" spans="1:30" ht="18.75" customHeight="1" x14ac:dyDescent="0.25">
      <c r="A89" s="1" t="s">
        <v>153</v>
      </c>
      <c r="B89" s="13" t="s">
        <v>154</v>
      </c>
      <c r="C89" s="13"/>
      <c r="D89" s="13">
        <v>675499</v>
      </c>
      <c r="E89" s="13">
        <v>101848</v>
      </c>
      <c r="F89" s="13">
        <v>1082549</v>
      </c>
      <c r="G89" s="13"/>
      <c r="H89" s="13"/>
      <c r="I89" s="13"/>
      <c r="J89" s="13"/>
      <c r="K89" s="213"/>
      <c r="L89" s="84">
        <v>-1201307</v>
      </c>
      <c r="M89" s="202"/>
      <c r="N89" s="203"/>
      <c r="O89" s="1"/>
      <c r="Q89" s="164"/>
      <c r="V89" s="198">
        <v>2801</v>
      </c>
      <c r="W89" s="198"/>
      <c r="X89" s="198"/>
      <c r="Y89" s="198"/>
      <c r="Z89" s="198"/>
      <c r="AA89" s="198"/>
      <c r="AB89" s="198"/>
      <c r="AC89" s="198"/>
      <c r="AD89" s="214"/>
    </row>
    <row r="90" spans="1:30" ht="18.75" customHeight="1" x14ac:dyDescent="0.25">
      <c r="B90" s="13" t="s">
        <v>155</v>
      </c>
      <c r="C90" s="13"/>
      <c r="D90" s="13"/>
      <c r="E90" s="13"/>
      <c r="F90" s="13"/>
      <c r="G90" s="13"/>
      <c r="H90" s="13"/>
      <c r="I90" s="13"/>
      <c r="J90" s="13"/>
      <c r="K90" s="213"/>
      <c r="L90" s="205">
        <f>L87+L89</f>
        <v>139455.80000000005</v>
      </c>
      <c r="M90" s="202"/>
      <c r="N90" s="203"/>
      <c r="O90" s="1"/>
      <c r="Q90" s="164"/>
      <c r="V90" s="198">
        <v>2911</v>
      </c>
      <c r="W90" s="216"/>
      <c r="X90" s="216"/>
      <c r="Y90" s="216"/>
      <c r="Z90" s="216"/>
      <c r="AA90" s="216"/>
      <c r="AB90" s="216"/>
      <c r="AC90" s="216"/>
      <c r="AD90" s="214"/>
    </row>
    <row r="91" spans="1:30" ht="18.75" customHeight="1" x14ac:dyDescent="0.25">
      <c r="B91" s="13" t="s">
        <v>156</v>
      </c>
      <c r="C91" s="13"/>
      <c r="D91" s="13"/>
      <c r="E91" s="13"/>
      <c r="F91" s="13"/>
      <c r="G91" s="13"/>
      <c r="H91" s="13"/>
      <c r="I91" s="13"/>
      <c r="J91" s="13"/>
      <c r="K91" s="213"/>
      <c r="L91" s="205">
        <v>1</v>
      </c>
      <c r="M91" s="202"/>
      <c r="N91" s="203"/>
      <c r="O91" s="1"/>
      <c r="Q91" s="164"/>
      <c r="V91" s="198">
        <v>3382</v>
      </c>
      <c r="W91" s="216"/>
      <c r="X91" s="216"/>
      <c r="Y91" s="216"/>
      <c r="Z91" s="216"/>
      <c r="AA91" s="216"/>
      <c r="AB91" s="216"/>
      <c r="AC91" s="216"/>
      <c r="AD91" s="214"/>
    </row>
    <row r="92" spans="1:30" ht="18.75" customHeight="1" thickBot="1" x14ac:dyDescent="0.3">
      <c r="B92" s="13" t="s">
        <v>157</v>
      </c>
      <c r="C92" s="13"/>
      <c r="D92" s="13"/>
      <c r="E92" s="13"/>
      <c r="F92" s="13"/>
      <c r="G92" s="13"/>
      <c r="H92" s="13"/>
      <c r="I92" s="13"/>
      <c r="J92" s="13"/>
      <c r="K92" s="213"/>
      <c r="L92" s="217">
        <f>L90/L91</f>
        <v>139455.80000000005</v>
      </c>
      <c r="M92" s="202"/>
      <c r="N92" s="203"/>
      <c r="O92" s="1"/>
      <c r="Q92" s="164"/>
      <c r="V92" s="218"/>
      <c r="W92" s="218"/>
      <c r="X92" s="218"/>
      <c r="Y92" s="218"/>
      <c r="Z92" s="218"/>
      <c r="AA92" s="218"/>
      <c r="AB92" s="218"/>
      <c r="AC92" s="218"/>
      <c r="AD92" s="219"/>
    </row>
    <row r="93" spans="1:30" ht="18.75" customHeight="1" thickTop="1" x14ac:dyDescent="0.25">
      <c r="N93" s="219"/>
      <c r="O93" s="220"/>
      <c r="P93" s="219"/>
      <c r="Q93" s="219"/>
      <c r="V93" s="218"/>
      <c r="W93" s="218"/>
      <c r="X93" s="218"/>
      <c r="Y93" s="218"/>
      <c r="Z93" s="218"/>
      <c r="AA93" s="218"/>
      <c r="AB93" s="218"/>
      <c r="AC93" s="218"/>
      <c r="AD93" s="214"/>
    </row>
    <row r="94" spans="1:30" ht="18.75" customHeight="1" thickBot="1" x14ac:dyDescent="0.3">
      <c r="B94" s="221" t="s">
        <v>158</v>
      </c>
      <c r="C94" s="13"/>
      <c r="D94" s="13"/>
      <c r="E94" s="13"/>
      <c r="G94" s="13"/>
      <c r="H94" s="13"/>
      <c r="I94" s="13"/>
      <c r="J94" s="13"/>
      <c r="L94" s="222">
        <f>IF(M86="H",(K86*0.02)+L86,(K86*0.05)+L86)</f>
        <v>0</v>
      </c>
      <c r="M94" s="202"/>
      <c r="V94" s="223"/>
      <c r="W94" s="223"/>
      <c r="X94" s="223"/>
      <c r="Y94" s="223"/>
      <c r="Z94" s="223"/>
      <c r="AA94" s="223"/>
      <c r="AB94" s="223"/>
      <c r="AC94" s="223"/>
      <c r="AD94" s="214"/>
    </row>
    <row r="95" spans="1:30" ht="21.75" customHeight="1" thickTop="1" x14ac:dyDescent="0.25">
      <c r="B95" s="224" t="s">
        <v>159</v>
      </c>
      <c r="C95" s="224"/>
      <c r="D95" s="224"/>
      <c r="E95" s="224"/>
      <c r="F95" s="224"/>
      <c r="G95" s="224"/>
      <c r="H95" s="224"/>
      <c r="I95" s="224"/>
      <c r="J95" s="224"/>
      <c r="K95" s="224"/>
      <c r="L95" s="224"/>
      <c r="M95" s="219"/>
      <c r="V95" s="223"/>
      <c r="W95" s="223"/>
      <c r="X95" s="223"/>
      <c r="Y95" s="223"/>
      <c r="Z95" s="223"/>
      <c r="AA95" s="223"/>
      <c r="AB95" s="223"/>
      <c r="AC95" s="223"/>
      <c r="AD95" s="214"/>
    </row>
    <row r="96" spans="1:30" x14ac:dyDescent="0.25">
      <c r="B96" s="225"/>
      <c r="V96" s="223"/>
      <c r="W96" s="223"/>
      <c r="X96" s="223"/>
      <c r="Y96" s="223"/>
      <c r="Z96" s="223"/>
      <c r="AA96" s="223"/>
      <c r="AB96" s="223"/>
      <c r="AC96" s="223"/>
      <c r="AD96" s="219"/>
    </row>
    <row r="97" spans="2:30" x14ac:dyDescent="0.25">
      <c r="B97" s="225"/>
      <c r="V97" s="223"/>
      <c r="W97" s="223"/>
      <c r="X97" s="223"/>
      <c r="Y97" s="223"/>
      <c r="Z97" s="223"/>
      <c r="AA97" s="223"/>
      <c r="AB97" s="223"/>
      <c r="AC97" s="223"/>
      <c r="AD97" s="219"/>
    </row>
    <row r="98" spans="2:30" hidden="1" x14ac:dyDescent="0.25">
      <c r="B98" s="226" t="s">
        <v>160</v>
      </c>
      <c r="C98" s="227"/>
      <c r="V98" s="228"/>
      <c r="W98" s="228"/>
      <c r="X98" s="228"/>
      <c r="Y98" s="228"/>
      <c r="Z98" s="228"/>
      <c r="AA98" s="228"/>
      <c r="AB98" s="228"/>
      <c r="AC98" s="228"/>
    </row>
    <row r="99" spans="2:30" hidden="1" x14ac:dyDescent="0.25">
      <c r="B99" s="229"/>
      <c r="C99" s="227"/>
      <c r="V99" s="225"/>
      <c r="W99" s="13"/>
      <c r="X99" s="13"/>
      <c r="Y99" s="13"/>
      <c r="Z99" s="13"/>
      <c r="AA99" s="13"/>
      <c r="AB99" s="13"/>
      <c r="AC99" s="13"/>
    </row>
    <row r="100" spans="2:30" hidden="1" x14ac:dyDescent="0.25">
      <c r="B100" s="230" t="s">
        <v>161</v>
      </c>
      <c r="C100" s="226" t="s">
        <v>162</v>
      </c>
      <c r="V100" s="225"/>
    </row>
    <row r="101" spans="2:30" hidden="1" x14ac:dyDescent="0.25">
      <c r="B101" s="230" t="s">
        <v>163</v>
      </c>
      <c r="C101" s="226" t="s">
        <v>164</v>
      </c>
      <c r="V101" s="225"/>
    </row>
    <row r="102" spans="2:30" hidden="1" x14ac:dyDescent="0.25">
      <c r="B102" s="230" t="s">
        <v>165</v>
      </c>
      <c r="C102" s="226" t="s">
        <v>166</v>
      </c>
      <c r="V102" s="225"/>
      <c r="W102" s="231"/>
      <c r="X102" s="231"/>
      <c r="Y102" s="231"/>
      <c r="Z102" s="231"/>
      <c r="AA102" s="231"/>
      <c r="AB102" s="231"/>
      <c r="AC102" s="231"/>
      <c r="AD102" s="231"/>
    </row>
    <row r="103" spans="2:30" hidden="1" x14ac:dyDescent="0.25">
      <c r="B103" s="230" t="s">
        <v>167</v>
      </c>
      <c r="C103" s="226" t="s">
        <v>168</v>
      </c>
      <c r="V103" s="225"/>
    </row>
    <row r="104" spans="2:30" hidden="1" x14ac:dyDescent="0.25">
      <c r="B104" s="232"/>
      <c r="C104" s="226" t="s">
        <v>169</v>
      </c>
      <c r="V104" s="225"/>
    </row>
    <row r="105" spans="2:30" hidden="1" x14ac:dyDescent="0.25">
      <c r="B105" s="230" t="s">
        <v>170</v>
      </c>
      <c r="C105" s="226" t="s">
        <v>171</v>
      </c>
      <c r="V105" s="225"/>
    </row>
    <row r="106" spans="2:30" hidden="1" x14ac:dyDescent="0.25">
      <c r="B106" s="230" t="s">
        <v>172</v>
      </c>
      <c r="C106" s="226" t="s">
        <v>173</v>
      </c>
      <c r="V106" s="225"/>
    </row>
    <row r="107" spans="2:30" hidden="1" x14ac:dyDescent="0.25">
      <c r="B107" s="230" t="s">
        <v>292</v>
      </c>
      <c r="C107" s="226" t="s">
        <v>175</v>
      </c>
      <c r="V107" s="225"/>
    </row>
    <row r="108" spans="2:30" hidden="1" x14ac:dyDescent="0.25">
      <c r="B108" s="230" t="s">
        <v>176</v>
      </c>
      <c r="C108" s="226" t="s">
        <v>177</v>
      </c>
      <c r="V108" s="225"/>
    </row>
    <row r="109" spans="2:30" hidden="1" x14ac:dyDescent="0.25">
      <c r="B109" s="230" t="s">
        <v>178</v>
      </c>
      <c r="C109" s="226" t="s">
        <v>179</v>
      </c>
      <c r="V109" s="225"/>
    </row>
    <row r="110" spans="2:30" hidden="1" x14ac:dyDescent="0.25">
      <c r="B110" s="232"/>
      <c r="C110" s="226"/>
      <c r="V110" s="225"/>
    </row>
    <row r="111" spans="2:30" hidden="1" x14ac:dyDescent="0.25">
      <c r="B111" s="230" t="s">
        <v>180</v>
      </c>
      <c r="C111" s="226" t="s">
        <v>181</v>
      </c>
      <c r="V111" s="225"/>
    </row>
    <row r="112" spans="2:30" hidden="1" x14ac:dyDescent="0.25">
      <c r="B112" s="230" t="s">
        <v>180</v>
      </c>
      <c r="C112" s="226" t="s">
        <v>182</v>
      </c>
    </row>
    <row r="113" spans="2:3" hidden="1" x14ac:dyDescent="0.25">
      <c r="B113" s="230" t="s">
        <v>183</v>
      </c>
      <c r="C113" s="226" t="s">
        <v>184</v>
      </c>
    </row>
    <row r="114" spans="2:3" hidden="1" x14ac:dyDescent="0.25">
      <c r="B114" s="230" t="s">
        <v>185</v>
      </c>
      <c r="C114" s="226" t="s">
        <v>186</v>
      </c>
    </row>
    <row r="115" spans="2:3" hidden="1" x14ac:dyDescent="0.25">
      <c r="B115" s="230" t="s">
        <v>183</v>
      </c>
      <c r="C115" s="226" t="s">
        <v>187</v>
      </c>
    </row>
    <row r="116" spans="2:3" hidden="1" x14ac:dyDescent="0.25">
      <c r="B116" s="230" t="s">
        <v>188</v>
      </c>
      <c r="C116" s="226" t="s">
        <v>189</v>
      </c>
    </row>
    <row r="117" spans="2:3" hidden="1" x14ac:dyDescent="0.25">
      <c r="B117" s="230" t="s">
        <v>190</v>
      </c>
      <c r="C117" s="226" t="s">
        <v>191</v>
      </c>
    </row>
    <row r="118" spans="2:3" hidden="1" x14ac:dyDescent="0.25">
      <c r="B118" s="232" t="s">
        <v>192</v>
      </c>
      <c r="C118" s="226" t="s">
        <v>193</v>
      </c>
    </row>
    <row r="119" spans="2:3" hidden="1" x14ac:dyDescent="0.25">
      <c r="B119" s="232"/>
      <c r="C119" s="226"/>
    </row>
    <row r="120" spans="2:3" hidden="1" x14ac:dyDescent="0.25">
      <c r="B120" s="230" t="s">
        <v>161</v>
      </c>
      <c r="C120" s="226" t="s">
        <v>194</v>
      </c>
    </row>
    <row r="121" spans="2:3" hidden="1" x14ac:dyDescent="0.25">
      <c r="B121" s="230" t="s">
        <v>195</v>
      </c>
      <c r="C121" s="226" t="s">
        <v>196</v>
      </c>
    </row>
    <row r="122" spans="2:3" hidden="1" x14ac:dyDescent="0.25">
      <c r="B122" s="230" t="s">
        <v>197</v>
      </c>
      <c r="C122" s="226" t="s">
        <v>198</v>
      </c>
    </row>
    <row r="123" spans="2:3" hidden="1" x14ac:dyDescent="0.25">
      <c r="B123" s="230" t="s">
        <v>293</v>
      </c>
      <c r="C123" s="226" t="s">
        <v>200</v>
      </c>
    </row>
    <row r="124" spans="2:3" hidden="1" x14ac:dyDescent="0.25">
      <c r="B124" s="230" t="s">
        <v>294</v>
      </c>
      <c r="C124" s="226" t="s">
        <v>202</v>
      </c>
    </row>
    <row r="125" spans="2:3" hidden="1" x14ac:dyDescent="0.25">
      <c r="B125" s="230" t="s">
        <v>203</v>
      </c>
      <c r="C125" s="226" t="s">
        <v>204</v>
      </c>
    </row>
    <row r="126" spans="2:3" hidden="1" x14ac:dyDescent="0.25">
      <c r="B126" s="230" t="s">
        <v>203</v>
      </c>
      <c r="C126" s="226" t="s">
        <v>205</v>
      </c>
    </row>
    <row r="127" spans="2:3" hidden="1" x14ac:dyDescent="0.25">
      <c r="B127" s="230" t="s">
        <v>203</v>
      </c>
      <c r="C127" s="226" t="s">
        <v>206</v>
      </c>
    </row>
    <row r="128" spans="2:3" hidden="1" x14ac:dyDescent="0.25">
      <c r="B128" s="230" t="s">
        <v>203</v>
      </c>
      <c r="C128" s="226" t="s">
        <v>207</v>
      </c>
    </row>
    <row r="129" spans="2:3" hidden="1" x14ac:dyDescent="0.25">
      <c r="B129" s="230" t="s">
        <v>167</v>
      </c>
      <c r="C129" s="226" t="s">
        <v>208</v>
      </c>
    </row>
    <row r="130" spans="2:3" hidden="1" x14ac:dyDescent="0.25">
      <c r="B130" s="230" t="s">
        <v>209</v>
      </c>
      <c r="C130" s="226" t="s">
        <v>210</v>
      </c>
    </row>
    <row r="131" spans="2:3" hidden="1" x14ac:dyDescent="0.25">
      <c r="B131" s="230" t="s">
        <v>203</v>
      </c>
      <c r="C131" s="226" t="s">
        <v>211</v>
      </c>
    </row>
    <row r="132" spans="2:3" hidden="1" x14ac:dyDescent="0.25">
      <c r="B132" s="226"/>
      <c r="C132" s="226"/>
    </row>
    <row r="133" spans="2:3" hidden="1" x14ac:dyDescent="0.25">
      <c r="B133" s="226"/>
      <c r="C133" s="226"/>
    </row>
    <row r="134" spans="2:3" hidden="1" x14ac:dyDescent="0.25">
      <c r="B134" s="232"/>
      <c r="C134" s="232"/>
    </row>
    <row r="135" spans="2:3" hidden="1" x14ac:dyDescent="0.25">
      <c r="B135" s="232">
        <f>NvsElapsedTime</f>
        <v>1.15740767796524E-5</v>
      </c>
      <c r="C135" s="232"/>
    </row>
    <row r="136" spans="2:3" hidden="1" x14ac:dyDescent="0.25">
      <c r="B136" s="233">
        <f>NvsEndTime</f>
        <v>41754.487986111097</v>
      </c>
      <c r="C136" s="233" t="s">
        <v>212</v>
      </c>
    </row>
    <row r="137" spans="2:3" x14ac:dyDescent="0.25">
      <c r="B137" s="226"/>
      <c r="C137" s="234"/>
    </row>
    <row r="138" spans="2:3" x14ac:dyDescent="0.25">
      <c r="B138" s="226"/>
      <c r="C138" s="226"/>
    </row>
    <row r="139" spans="2:3" x14ac:dyDescent="0.25">
      <c r="B139" s="226"/>
      <c r="C139" s="226"/>
    </row>
    <row r="140" spans="2:3" x14ac:dyDescent="0.25">
      <c r="B140" s="226"/>
      <c r="C140" s="226"/>
    </row>
    <row r="141" spans="2:3" x14ac:dyDescent="0.25">
      <c r="B141" s="226"/>
      <c r="C141" s="226"/>
    </row>
    <row r="142" spans="2:3" x14ac:dyDescent="0.25">
      <c r="B142" s="226"/>
      <c r="C142" s="226"/>
    </row>
    <row r="143" spans="2:3" x14ac:dyDescent="0.25">
      <c r="B143" s="226"/>
      <c r="C143" s="226"/>
    </row>
    <row r="144" spans="2:3" x14ac:dyDescent="0.25">
      <c r="B144" s="226"/>
      <c r="C144" s="226"/>
    </row>
    <row r="145" spans="2:3" x14ac:dyDescent="0.25">
      <c r="B145" s="226"/>
      <c r="C145" s="226"/>
    </row>
    <row r="146" spans="2:3" x14ac:dyDescent="0.25">
      <c r="B146" s="226"/>
      <c r="C146" s="226"/>
    </row>
    <row r="147" spans="2:3" x14ac:dyDescent="0.25">
      <c r="B147" s="226"/>
      <c r="C147" s="226"/>
    </row>
    <row r="148" spans="2:3" x14ac:dyDescent="0.25">
      <c r="B148" s="226"/>
      <c r="C148" s="226"/>
    </row>
    <row r="149" spans="2:3" x14ac:dyDescent="0.25">
      <c r="B149" s="226"/>
      <c r="C149" s="226"/>
    </row>
    <row r="150" spans="2:3" x14ac:dyDescent="0.25">
      <c r="B150" s="226"/>
      <c r="C150" s="226"/>
    </row>
    <row r="151" spans="2:3" x14ac:dyDescent="0.25">
      <c r="B151" s="226"/>
      <c r="C151" s="226"/>
    </row>
  </sheetData>
  <mergeCells count="151">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9:W9"/>
    <mergeCell ref="X9:Y9"/>
    <mergeCell ref="Z9:AA9"/>
    <mergeCell ref="V10:W10"/>
    <mergeCell ref="X10:Y10"/>
    <mergeCell ref="Z10:AA10"/>
    <mergeCell ref="V7:W7"/>
    <mergeCell ref="X7:Y7"/>
    <mergeCell ref="Z7:AA7"/>
    <mergeCell ref="AB7:AC7"/>
    <mergeCell ref="V8:W8"/>
    <mergeCell ref="X8:Y8"/>
    <mergeCell ref="Z8:AA8"/>
    <mergeCell ref="W2:AC2"/>
    <mergeCell ref="V3:AC3"/>
    <mergeCell ref="V4:AC4"/>
    <mergeCell ref="V5:W5"/>
    <mergeCell ref="X5:Y5"/>
    <mergeCell ref="V6:AC6"/>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51"/>
  <sheetViews>
    <sheetView topLeftCell="B2" zoomScale="70" zoomScaleNormal="70" workbookViewId="0">
      <selection activeCell="I27" sqref="I27"/>
    </sheetView>
  </sheetViews>
  <sheetFormatPr defaultColWidth="8.85546875" defaultRowHeight="15.75" x14ac:dyDescent="0.25"/>
  <cols>
    <col min="1" max="1" width="11.28515625" style="1" hidden="1" customWidth="1"/>
    <col min="2" max="2" width="10.28515625" style="2" customWidth="1"/>
    <col min="3" max="3" width="29" style="1" customWidth="1"/>
    <col min="4" max="5" width="12.28515625" style="1" customWidth="1"/>
    <col min="6" max="6" width="12.28515625" style="1" hidden="1" customWidth="1"/>
    <col min="7" max="7" width="15.28515625" style="1" customWidth="1"/>
    <col min="8" max="8" width="6.7109375" style="1" customWidth="1"/>
    <col min="9" max="9" width="12.5703125" style="1" customWidth="1"/>
    <col min="10" max="10" width="12.85546875" style="1" customWidth="1"/>
    <col min="11" max="11" width="15.5703125" style="1" bestFit="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28515625" style="1" customWidth="1"/>
    <col min="18" max="18" width="8.85546875" style="1"/>
    <col min="19" max="21" width="0" style="1" hidden="1" customWidth="1"/>
    <col min="22" max="23" width="8.85546875" style="1"/>
    <col min="24" max="24" width="12.7109375" style="1" customWidth="1"/>
    <col min="25" max="27" width="8.85546875" style="1"/>
    <col min="28" max="28" width="13.140625" style="1" bestFit="1" customWidth="1"/>
    <col min="29" max="16384" width="8.85546875" style="1"/>
  </cols>
  <sheetData>
    <row r="1" spans="1:30" ht="15.6"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7"/>
      <c r="N2" s="3"/>
      <c r="O2" s="1"/>
      <c r="V2" s="8">
        <f>'0054 June Final'!B2</f>
        <v>50</v>
      </c>
      <c r="W2" s="606" t="s">
        <v>4</v>
      </c>
      <c r="X2" s="607"/>
      <c r="Y2" s="608"/>
      <c r="Z2" s="608"/>
      <c r="AA2" s="608"/>
      <c r="AB2" s="608"/>
      <c r="AC2" s="608"/>
      <c r="AD2" s="9"/>
    </row>
    <row r="3" spans="1:30" ht="20.25" x14ac:dyDescent="0.3">
      <c r="B3" s="10" t="str">
        <f>"Revenue Estimate Worksheet for "&amp;B124</f>
        <v>Revenue Estimate Worksheet for Boca Raton Charter School</v>
      </c>
      <c r="C3" s="11"/>
      <c r="D3" s="11"/>
      <c r="E3" s="11"/>
      <c r="F3" s="11"/>
      <c r="G3" s="11"/>
      <c r="H3" s="11"/>
      <c r="I3" s="11"/>
      <c r="J3" s="11"/>
      <c r="K3" s="11"/>
      <c r="L3" s="11"/>
      <c r="M3" s="10"/>
      <c r="N3" s="10"/>
      <c r="O3" s="10"/>
      <c r="P3" s="10"/>
      <c r="Q3" s="10"/>
      <c r="V3" s="609" t="s">
        <v>5</v>
      </c>
      <c r="W3" s="609"/>
      <c r="X3" s="609"/>
      <c r="Y3" s="609"/>
      <c r="Z3" s="609"/>
      <c r="AA3" s="609"/>
      <c r="AB3" s="609"/>
      <c r="AC3" s="609"/>
      <c r="AD3" s="12"/>
    </row>
    <row r="4" spans="1:30" ht="18.75" x14ac:dyDescent="0.3">
      <c r="B4" s="2" t="s">
        <v>6</v>
      </c>
      <c r="C4" s="13"/>
      <c r="D4" s="13"/>
      <c r="E4" s="13"/>
      <c r="F4" s="13"/>
      <c r="G4" s="13"/>
      <c r="H4" s="13"/>
      <c r="I4" s="13"/>
      <c r="J4" s="13"/>
      <c r="K4" s="13"/>
      <c r="L4" s="13"/>
      <c r="M4" s="14"/>
      <c r="N4" s="14"/>
      <c r="O4" s="14"/>
      <c r="P4" s="14"/>
      <c r="Q4" s="14"/>
      <c r="V4" s="610" t="str">
        <f>+Based_on_the_Second_Calculation_of_the_FEFP_2010_11</f>
        <v>Based on the Fourth Calculation of the FEFP 2013-14</v>
      </c>
      <c r="W4" s="610"/>
      <c r="X4" s="610"/>
      <c r="Y4" s="610"/>
      <c r="Z4" s="610"/>
      <c r="AA4" s="610"/>
      <c r="AB4" s="610"/>
      <c r="AC4" s="610"/>
      <c r="AD4" s="15"/>
    </row>
    <row r="5" spans="1:30" ht="18.75" customHeight="1" x14ac:dyDescent="0.25">
      <c r="B5" s="16" t="s">
        <v>7</v>
      </c>
      <c r="C5" s="16"/>
      <c r="D5" s="16"/>
      <c r="E5" s="16"/>
      <c r="F5" s="16"/>
      <c r="G5" s="17" t="s">
        <v>8</v>
      </c>
      <c r="H5" s="17"/>
      <c r="I5" s="17"/>
      <c r="J5" s="17"/>
      <c r="K5" s="17"/>
      <c r="L5" s="17"/>
      <c r="M5" s="18"/>
      <c r="N5" s="18"/>
      <c r="O5" s="18"/>
      <c r="P5" s="18"/>
      <c r="Q5" s="18"/>
      <c r="V5" s="611" t="s">
        <v>7</v>
      </c>
      <c r="W5" s="611"/>
      <c r="X5" s="612" t="s">
        <v>8</v>
      </c>
      <c r="Y5" s="612"/>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613" t="s">
        <v>9</v>
      </c>
      <c r="W6" s="613"/>
      <c r="X6" s="613"/>
      <c r="Y6" s="613"/>
      <c r="Z6" s="613"/>
      <c r="AA6" s="613"/>
      <c r="AB6" s="613"/>
      <c r="AC6" s="613"/>
      <c r="AD6" s="22"/>
    </row>
    <row r="7" spans="1:30" ht="18" customHeight="1" x14ac:dyDescent="0.25">
      <c r="B7" s="23" t="s">
        <v>10</v>
      </c>
      <c r="C7" s="23"/>
      <c r="D7" s="23"/>
      <c r="E7" s="23"/>
      <c r="F7" s="23"/>
      <c r="G7" s="24">
        <v>3752.3</v>
      </c>
      <c r="H7" s="24"/>
      <c r="I7" s="23" t="s">
        <v>11</v>
      </c>
      <c r="J7" s="23"/>
      <c r="K7" s="25">
        <v>1.0326</v>
      </c>
      <c r="L7" s="25"/>
      <c r="O7" s="1"/>
      <c r="V7" s="620" t="s">
        <v>10</v>
      </c>
      <c r="W7" s="620"/>
      <c r="X7" s="621">
        <f>'0054 June Final'!G7</f>
        <v>3752.3</v>
      </c>
      <c r="Y7" s="621"/>
      <c r="Z7" s="622" t="s">
        <v>11</v>
      </c>
      <c r="AA7" s="622"/>
      <c r="AB7" s="602">
        <f>+K7</f>
        <v>1.0326</v>
      </c>
      <c r="AC7" s="602"/>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603" t="s">
        <v>12</v>
      </c>
      <c r="W8" s="603"/>
      <c r="X8" s="604" t="s">
        <v>15</v>
      </c>
      <c r="Y8" s="604"/>
      <c r="Z8" s="605" t="s">
        <v>16</v>
      </c>
      <c r="AA8" s="605"/>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614" t="s">
        <v>22</v>
      </c>
      <c r="W9" s="614"/>
      <c r="X9" s="615" t="s">
        <v>23</v>
      </c>
      <c r="Y9" s="615"/>
      <c r="Z9" s="616" t="s">
        <v>24</v>
      </c>
      <c r="AA9" s="616"/>
      <c r="AB9" s="43" t="s">
        <v>25</v>
      </c>
      <c r="AC9" s="44" t="s">
        <v>26</v>
      </c>
      <c r="AD9" s="9"/>
    </row>
    <row r="10" spans="1:30" x14ac:dyDescent="0.25">
      <c r="A10" s="1" t="s">
        <v>27</v>
      </c>
      <c r="B10" s="45" t="s">
        <v>28</v>
      </c>
      <c r="C10" s="45"/>
      <c r="D10" s="45">
        <v>32.200000000000003</v>
      </c>
      <c r="E10" s="45">
        <v>31.75</v>
      </c>
      <c r="F10" s="45">
        <v>33.549999999999997</v>
      </c>
      <c r="G10" s="46">
        <f t="shared" ref="G10:G25" si="0">D10+E10</f>
        <v>63.95</v>
      </c>
      <c r="H10" s="47"/>
      <c r="I10" s="48">
        <v>1.125</v>
      </c>
      <c r="J10" s="48"/>
      <c r="K10" s="49">
        <f t="shared" ref="K10:K25" si="1">ROUND(G10*I10,4)</f>
        <v>71.943799999999996</v>
      </c>
      <c r="L10" s="50">
        <f t="shared" ref="L10:L25" si="2">ROUND(ROUND(K10*$G$7,4)*($K$7),0)</f>
        <v>278755</v>
      </c>
      <c r="N10" s="51">
        <v>5101</v>
      </c>
      <c r="O10" s="52">
        <v>101</v>
      </c>
      <c r="P10" s="53"/>
      <c r="Q10" s="54"/>
      <c r="V10" s="617" t="s">
        <v>28</v>
      </c>
      <c r="W10" s="617"/>
      <c r="X10" s="618">
        <f>IF('0054 June Final'!K$84=1,'0054 June Final'!G10,0)</f>
        <v>0</v>
      </c>
      <c r="Y10" s="618"/>
      <c r="Z10" s="619">
        <v>1</v>
      </c>
      <c r="AA10" s="619"/>
      <c r="AB10" s="55">
        <f t="shared" ref="AB10:AB25" si="3">ROUND(X10*Z10,4)</f>
        <v>0</v>
      </c>
      <c r="AC10" s="56">
        <f t="shared" ref="AC10:AC25" si="4">ROUND(ROUND(AB10*$X$7,4)*($AB$7),0)</f>
        <v>0</v>
      </c>
      <c r="AD10" s="9">
        <v>1</v>
      </c>
    </row>
    <row r="11" spans="1:30" x14ac:dyDescent="0.25">
      <c r="A11" s="1" t="s">
        <v>29</v>
      </c>
      <c r="B11" s="13" t="s">
        <v>30</v>
      </c>
      <c r="C11" s="13"/>
      <c r="D11" s="13">
        <v>2</v>
      </c>
      <c r="E11" s="13">
        <v>2</v>
      </c>
      <c r="F11" s="13">
        <v>2.16</v>
      </c>
      <c r="G11" s="46">
        <f t="shared" si="0"/>
        <v>4</v>
      </c>
      <c r="H11" s="47"/>
      <c r="I11" s="57">
        <f>I10</f>
        <v>1.125</v>
      </c>
      <c r="J11" s="57"/>
      <c r="K11" s="49">
        <f t="shared" si="1"/>
        <v>4.5</v>
      </c>
      <c r="L11" s="50">
        <f t="shared" si="2"/>
        <v>17436</v>
      </c>
      <c r="M11" s="1" t="str">
        <f>IF(ROUND(G11,2)=ROUND(SUM(G28:G30),2)," ","CHECK 2. PK-3 Lines Below")</f>
        <v xml:space="preserve"> </v>
      </c>
      <c r="N11" s="51">
        <v>5101</v>
      </c>
      <c r="O11" s="58" t="s">
        <v>31</v>
      </c>
      <c r="P11" s="53"/>
      <c r="Q11" s="54"/>
      <c r="V11" s="623" t="s">
        <v>30</v>
      </c>
      <c r="W11" s="623"/>
      <c r="X11" s="618">
        <f>IF('0054 June Final'!K$84=1,'0054 June Final'!G11,0)</f>
        <v>0</v>
      </c>
      <c r="Y11" s="618"/>
      <c r="Z11" s="624">
        <v>1</v>
      </c>
      <c r="AA11" s="624"/>
      <c r="AB11" s="55">
        <f t="shared" si="3"/>
        <v>0</v>
      </c>
      <c r="AC11" s="56">
        <f t="shared" si="4"/>
        <v>0</v>
      </c>
      <c r="AD11" s="9"/>
    </row>
    <row r="12" spans="1:30" x14ac:dyDescent="0.25">
      <c r="A12" s="1" t="s">
        <v>32</v>
      </c>
      <c r="B12" s="13" t="s">
        <v>33</v>
      </c>
      <c r="C12" s="13"/>
      <c r="D12" s="13">
        <v>14.08</v>
      </c>
      <c r="E12" s="13">
        <v>13.59</v>
      </c>
      <c r="F12" s="13">
        <v>14.65</v>
      </c>
      <c r="G12" s="46">
        <f t="shared" si="0"/>
        <v>27.67</v>
      </c>
      <c r="H12" s="47"/>
      <c r="I12" s="57">
        <v>1</v>
      </c>
      <c r="J12" s="57"/>
      <c r="K12" s="49">
        <f t="shared" si="1"/>
        <v>27.67</v>
      </c>
      <c r="L12" s="50">
        <f t="shared" si="2"/>
        <v>107211</v>
      </c>
      <c r="N12" s="51">
        <v>5102</v>
      </c>
      <c r="O12" s="52">
        <v>102</v>
      </c>
      <c r="P12" s="53"/>
      <c r="Q12" s="54"/>
      <c r="V12" s="623" t="s">
        <v>33</v>
      </c>
      <c r="W12" s="623"/>
      <c r="X12" s="618">
        <f>IF('0054 June Final'!K$84=1,'0054 June Final'!G12,0)</f>
        <v>0</v>
      </c>
      <c r="Y12" s="618"/>
      <c r="Z12" s="624">
        <v>1</v>
      </c>
      <c r="AA12" s="624"/>
      <c r="AB12" s="55">
        <f t="shared" si="3"/>
        <v>0</v>
      </c>
      <c r="AC12" s="56">
        <f t="shared" si="4"/>
        <v>0</v>
      </c>
      <c r="AD12" s="9"/>
    </row>
    <row r="13" spans="1:30" x14ac:dyDescent="0.25">
      <c r="A13" s="1" t="s">
        <v>34</v>
      </c>
      <c r="B13" s="13" t="s">
        <v>35</v>
      </c>
      <c r="C13" s="13"/>
      <c r="D13" s="13">
        <v>2</v>
      </c>
      <c r="E13" s="13">
        <v>2</v>
      </c>
      <c r="F13" s="13">
        <v>2.15</v>
      </c>
      <c r="G13" s="46">
        <f t="shared" si="0"/>
        <v>4</v>
      </c>
      <c r="H13" s="47"/>
      <c r="I13" s="57">
        <f>I12</f>
        <v>1</v>
      </c>
      <c r="J13" s="57"/>
      <c r="K13" s="49">
        <f t="shared" si="1"/>
        <v>4</v>
      </c>
      <c r="L13" s="50">
        <f t="shared" si="2"/>
        <v>15498</v>
      </c>
      <c r="M13" s="1" t="str">
        <f>IF(ROUND(G13,2)=ROUND(SUM(G31:G33),2)," ","CHECK 2. PK-3 Lines Below")</f>
        <v xml:space="preserve"> </v>
      </c>
      <c r="N13" s="51">
        <v>5102</v>
      </c>
      <c r="O13" s="58" t="s">
        <v>36</v>
      </c>
      <c r="P13" s="53"/>
      <c r="Q13" s="54"/>
      <c r="V13" s="623" t="s">
        <v>35</v>
      </c>
      <c r="W13" s="623"/>
      <c r="X13" s="618">
        <f>IF('0054 June Final'!K$84=1,'0054 June Final'!G13,0)</f>
        <v>0</v>
      </c>
      <c r="Y13" s="618"/>
      <c r="Z13" s="624">
        <v>1</v>
      </c>
      <c r="AA13" s="624"/>
      <c r="AB13" s="55">
        <f t="shared" si="3"/>
        <v>0</v>
      </c>
      <c r="AC13" s="56">
        <f t="shared" si="4"/>
        <v>0</v>
      </c>
      <c r="AD13" s="9"/>
    </row>
    <row r="14" spans="1:30" x14ac:dyDescent="0.25">
      <c r="A14" s="1" t="s">
        <v>37</v>
      </c>
      <c r="B14" s="13" t="s">
        <v>38</v>
      </c>
      <c r="C14" s="13"/>
      <c r="D14" s="13">
        <v>0</v>
      </c>
      <c r="E14" s="13">
        <v>0</v>
      </c>
      <c r="F14" s="13">
        <v>0</v>
      </c>
      <c r="G14" s="46">
        <f t="shared" si="0"/>
        <v>0</v>
      </c>
      <c r="H14" s="47"/>
      <c r="I14" s="57">
        <v>1.0109999999999999</v>
      </c>
      <c r="J14" s="57"/>
      <c r="K14" s="49">
        <f t="shared" si="1"/>
        <v>0</v>
      </c>
      <c r="L14" s="50">
        <f t="shared" si="2"/>
        <v>0</v>
      </c>
      <c r="N14" s="51">
        <v>5103</v>
      </c>
      <c r="O14" s="52">
        <v>103</v>
      </c>
      <c r="P14" s="53"/>
      <c r="Q14" s="54"/>
      <c r="V14" s="623" t="s">
        <v>38</v>
      </c>
      <c r="W14" s="623"/>
      <c r="X14" s="618">
        <f>IF('0054 June Final'!K$84=1,'0054 June Final'!G14,0)</f>
        <v>0</v>
      </c>
      <c r="Y14" s="618"/>
      <c r="Z14" s="624">
        <v>1</v>
      </c>
      <c r="AA14" s="624"/>
      <c r="AB14" s="55">
        <f t="shared" si="3"/>
        <v>0</v>
      </c>
      <c r="AC14" s="56">
        <f t="shared" si="4"/>
        <v>0</v>
      </c>
      <c r="AD14" s="9"/>
    </row>
    <row r="15" spans="1:30" x14ac:dyDescent="0.25">
      <c r="A15" s="1" t="s">
        <v>39</v>
      </c>
      <c r="B15" s="13" t="s">
        <v>40</v>
      </c>
      <c r="C15" s="13"/>
      <c r="D15" s="13">
        <v>0</v>
      </c>
      <c r="E15" s="13">
        <v>0</v>
      </c>
      <c r="F15" s="13">
        <v>0</v>
      </c>
      <c r="G15" s="46">
        <f t="shared" si="0"/>
        <v>0</v>
      </c>
      <c r="H15" s="47"/>
      <c r="I15" s="57">
        <f>I14</f>
        <v>1.0109999999999999</v>
      </c>
      <c r="J15" s="57"/>
      <c r="K15" s="49">
        <f t="shared" si="1"/>
        <v>0</v>
      </c>
      <c r="L15" s="59">
        <f t="shared" si="2"/>
        <v>0</v>
      </c>
      <c r="M15" s="1" t="str">
        <f>IF(ROUND(G15,2)=ROUND(SUM(G34:G36),2)," ","CHECK 2. PK-3 Lines Below")</f>
        <v xml:space="preserve"> </v>
      </c>
      <c r="N15" s="51">
        <v>5103</v>
      </c>
      <c r="O15" s="58" t="s">
        <v>41</v>
      </c>
      <c r="P15" s="53"/>
      <c r="Q15" s="54"/>
      <c r="V15" s="623" t="s">
        <v>40</v>
      </c>
      <c r="W15" s="623"/>
      <c r="X15" s="618">
        <f>IF('0054 June Final'!K$84=1,'0054 June Final'!G15,0)</f>
        <v>0</v>
      </c>
      <c r="Y15" s="618"/>
      <c r="Z15" s="624">
        <v>1</v>
      </c>
      <c r="AA15" s="624"/>
      <c r="AB15" s="55">
        <f t="shared" si="3"/>
        <v>0</v>
      </c>
      <c r="AC15" s="60">
        <f t="shared" si="4"/>
        <v>0</v>
      </c>
      <c r="AD15" s="9"/>
    </row>
    <row r="16" spans="1:30" x14ac:dyDescent="0.25">
      <c r="A16" s="1" t="s">
        <v>42</v>
      </c>
      <c r="B16" s="13" t="s">
        <v>43</v>
      </c>
      <c r="C16" s="13"/>
      <c r="D16" s="13">
        <v>0</v>
      </c>
      <c r="E16" s="13">
        <v>0</v>
      </c>
      <c r="F16" s="13">
        <v>0</v>
      </c>
      <c r="G16" s="46">
        <f t="shared" si="0"/>
        <v>0</v>
      </c>
      <c r="H16" s="47"/>
      <c r="I16" s="57">
        <v>3.5579999999999998</v>
      </c>
      <c r="J16" s="57"/>
      <c r="K16" s="49">
        <f t="shared" si="1"/>
        <v>0</v>
      </c>
      <c r="L16" s="50">
        <f t="shared" si="2"/>
        <v>0</v>
      </c>
      <c r="N16" s="51">
        <v>5101</v>
      </c>
      <c r="O16" s="53">
        <v>254</v>
      </c>
      <c r="P16" s="53"/>
      <c r="Q16" s="54"/>
      <c r="V16" s="623" t="s">
        <v>43</v>
      </c>
      <c r="W16" s="623"/>
      <c r="X16" s="618">
        <f>IF('0054 June Final'!K$84=1,'0054 June Final'!G16,0)</f>
        <v>0</v>
      </c>
      <c r="Y16" s="618"/>
      <c r="Z16" s="624">
        <v>1</v>
      </c>
      <c r="AA16" s="624"/>
      <c r="AB16" s="55">
        <f t="shared" si="3"/>
        <v>0</v>
      </c>
      <c r="AC16" s="56">
        <f t="shared" si="4"/>
        <v>0</v>
      </c>
      <c r="AD16" s="9"/>
    </row>
    <row r="17" spans="1:30" x14ac:dyDescent="0.25">
      <c r="A17" s="1" t="s">
        <v>44</v>
      </c>
      <c r="B17" s="13" t="s">
        <v>45</v>
      </c>
      <c r="C17" s="13"/>
      <c r="D17" s="13">
        <v>0</v>
      </c>
      <c r="E17" s="13">
        <v>0</v>
      </c>
      <c r="F17" s="13">
        <v>0</v>
      </c>
      <c r="G17" s="46">
        <f t="shared" si="0"/>
        <v>0</v>
      </c>
      <c r="H17" s="47"/>
      <c r="I17" s="57">
        <f>I16</f>
        <v>3.5579999999999998</v>
      </c>
      <c r="J17" s="57"/>
      <c r="K17" s="49">
        <f t="shared" si="1"/>
        <v>0</v>
      </c>
      <c r="L17" s="50">
        <f t="shared" si="2"/>
        <v>0</v>
      </c>
      <c r="N17" s="51">
        <v>5102</v>
      </c>
      <c r="O17" s="54">
        <v>254</v>
      </c>
      <c r="P17" s="53"/>
      <c r="Q17" s="54"/>
      <c r="V17" s="623" t="s">
        <v>45</v>
      </c>
      <c r="W17" s="623"/>
      <c r="X17" s="618">
        <f>IF('0054 June Final'!K$84=1,'0054 June Final'!G17,0)</f>
        <v>0</v>
      </c>
      <c r="Y17" s="618"/>
      <c r="Z17" s="624">
        <v>1</v>
      </c>
      <c r="AA17" s="624"/>
      <c r="AB17" s="55">
        <f t="shared" si="3"/>
        <v>0</v>
      </c>
      <c r="AC17" s="56">
        <f t="shared" si="4"/>
        <v>0</v>
      </c>
      <c r="AD17" s="9"/>
    </row>
    <row r="18" spans="1:30" x14ac:dyDescent="0.25">
      <c r="A18" s="1" t="s">
        <v>46</v>
      </c>
      <c r="B18" s="13" t="s">
        <v>47</v>
      </c>
      <c r="C18" s="13"/>
      <c r="D18" s="13">
        <v>0</v>
      </c>
      <c r="E18" s="13">
        <v>0</v>
      </c>
      <c r="F18" s="13">
        <v>0</v>
      </c>
      <c r="G18" s="46">
        <f t="shared" si="0"/>
        <v>0</v>
      </c>
      <c r="H18" s="47"/>
      <c r="I18" s="57">
        <f>I17</f>
        <v>3.5579999999999998</v>
      </c>
      <c r="J18" s="57"/>
      <c r="K18" s="49">
        <f t="shared" si="1"/>
        <v>0</v>
      </c>
      <c r="L18" s="50">
        <f t="shared" si="2"/>
        <v>0</v>
      </c>
      <c r="N18" s="51">
        <v>5103</v>
      </c>
      <c r="O18" s="54">
        <v>254</v>
      </c>
      <c r="P18" s="53"/>
      <c r="Q18" s="54"/>
      <c r="V18" s="623" t="s">
        <v>47</v>
      </c>
      <c r="W18" s="623"/>
      <c r="X18" s="618">
        <f>IF('0054 June Final'!K$84=1,'0054 June Final'!G18,0)</f>
        <v>0</v>
      </c>
      <c r="Y18" s="618"/>
      <c r="Z18" s="624">
        <v>1</v>
      </c>
      <c r="AA18" s="624"/>
      <c r="AB18" s="55">
        <f t="shared" si="3"/>
        <v>0</v>
      </c>
      <c r="AC18" s="56">
        <f t="shared" si="4"/>
        <v>0</v>
      </c>
      <c r="AD18" s="9"/>
    </row>
    <row r="19" spans="1:30" ht="15" customHeight="1" x14ac:dyDescent="0.25">
      <c r="A19" s="1" t="s">
        <v>48</v>
      </c>
      <c r="B19" s="13" t="s">
        <v>49</v>
      </c>
      <c r="C19" s="13"/>
      <c r="D19" s="13">
        <v>0</v>
      </c>
      <c r="E19" s="13">
        <v>0</v>
      </c>
      <c r="F19" s="13">
        <v>0</v>
      </c>
      <c r="G19" s="46">
        <f t="shared" si="0"/>
        <v>0</v>
      </c>
      <c r="H19" s="47"/>
      <c r="I19" s="57">
        <v>5.0890000000000004</v>
      </c>
      <c r="J19" s="57"/>
      <c r="K19" s="49">
        <f t="shared" si="1"/>
        <v>0</v>
      </c>
      <c r="L19" s="50">
        <f t="shared" si="2"/>
        <v>0</v>
      </c>
      <c r="N19" s="51">
        <v>5101</v>
      </c>
      <c r="O19" s="53">
        <v>255</v>
      </c>
      <c r="P19" s="53"/>
      <c r="Q19" s="54"/>
      <c r="V19" s="623" t="s">
        <v>49</v>
      </c>
      <c r="W19" s="623"/>
      <c r="X19" s="618">
        <f>IF('0054 June Final'!K$84=1,'0054 June Final'!G19,0)</f>
        <v>0</v>
      </c>
      <c r="Y19" s="618"/>
      <c r="Z19" s="624">
        <v>1</v>
      </c>
      <c r="AA19" s="624"/>
      <c r="AB19" s="55">
        <f t="shared" si="3"/>
        <v>0</v>
      </c>
      <c r="AC19" s="56">
        <f t="shared" si="4"/>
        <v>0</v>
      </c>
      <c r="AD19" s="9"/>
    </row>
    <row r="20" spans="1:30" ht="15" customHeight="1" x14ac:dyDescent="0.25">
      <c r="A20" s="1" t="s">
        <v>50</v>
      </c>
      <c r="B20" s="13" t="s">
        <v>51</v>
      </c>
      <c r="C20" s="13"/>
      <c r="D20" s="13">
        <v>0</v>
      </c>
      <c r="E20" s="13">
        <v>0</v>
      </c>
      <c r="F20" s="13">
        <v>0</v>
      </c>
      <c r="G20" s="46">
        <f t="shared" si="0"/>
        <v>0</v>
      </c>
      <c r="H20" s="47"/>
      <c r="I20" s="57">
        <f>I19</f>
        <v>5.0890000000000004</v>
      </c>
      <c r="J20" s="57"/>
      <c r="K20" s="49">
        <f t="shared" si="1"/>
        <v>0</v>
      </c>
      <c r="L20" s="50">
        <f t="shared" si="2"/>
        <v>0</v>
      </c>
      <c r="N20" s="51">
        <v>5102</v>
      </c>
      <c r="O20" s="54">
        <v>255</v>
      </c>
      <c r="P20" s="53"/>
      <c r="Q20" s="54"/>
      <c r="V20" s="623" t="s">
        <v>51</v>
      </c>
      <c r="W20" s="623"/>
      <c r="X20" s="618">
        <f>IF('0054 June Final'!K$84=1,'0054 June Final'!G20,0)</f>
        <v>0</v>
      </c>
      <c r="Y20" s="618"/>
      <c r="Z20" s="624">
        <v>1</v>
      </c>
      <c r="AA20" s="624"/>
      <c r="AB20" s="55">
        <f t="shared" si="3"/>
        <v>0</v>
      </c>
      <c r="AC20" s="56">
        <f t="shared" si="4"/>
        <v>0</v>
      </c>
      <c r="AD20" s="9"/>
    </row>
    <row r="21" spans="1:30" ht="15" customHeight="1" x14ac:dyDescent="0.25">
      <c r="A21" s="1" t="s">
        <v>52</v>
      </c>
      <c r="B21" s="13" t="s">
        <v>53</v>
      </c>
      <c r="C21" s="13"/>
      <c r="D21" s="13">
        <v>0</v>
      </c>
      <c r="E21" s="13">
        <v>0</v>
      </c>
      <c r="F21" s="13">
        <v>0</v>
      </c>
      <c r="G21" s="46">
        <f t="shared" si="0"/>
        <v>0</v>
      </c>
      <c r="H21" s="47"/>
      <c r="I21" s="57">
        <f>I20</f>
        <v>5.0890000000000004</v>
      </c>
      <c r="J21" s="57"/>
      <c r="K21" s="49">
        <f t="shared" si="1"/>
        <v>0</v>
      </c>
      <c r="L21" s="50">
        <f t="shared" si="2"/>
        <v>0</v>
      </c>
      <c r="N21" s="51">
        <v>5103</v>
      </c>
      <c r="O21" s="54">
        <v>255</v>
      </c>
      <c r="P21" s="53"/>
      <c r="Q21" s="54"/>
      <c r="V21" s="623" t="s">
        <v>53</v>
      </c>
      <c r="W21" s="623"/>
      <c r="X21" s="618">
        <f>IF('0054 June Final'!K$84=1,'0054 June Final'!G21,0)</f>
        <v>0</v>
      </c>
      <c r="Y21" s="618"/>
      <c r="Z21" s="624">
        <v>1</v>
      </c>
      <c r="AA21" s="624"/>
      <c r="AB21" s="55">
        <f t="shared" si="3"/>
        <v>0</v>
      </c>
      <c r="AC21" s="56">
        <f t="shared" si="4"/>
        <v>0</v>
      </c>
      <c r="AD21" s="9"/>
    </row>
    <row r="22" spans="1:30" x14ac:dyDescent="0.25">
      <c r="A22" s="1" t="s">
        <v>54</v>
      </c>
      <c r="B22" s="13" t="s">
        <v>55</v>
      </c>
      <c r="C22" s="13"/>
      <c r="D22" s="13">
        <f>0.41*3</f>
        <v>1.23</v>
      </c>
      <c r="E22" s="13">
        <f>0.41*3</f>
        <v>1.23</v>
      </c>
      <c r="F22" s="13">
        <v>1.72</v>
      </c>
      <c r="G22" s="46">
        <f t="shared" si="0"/>
        <v>2.46</v>
      </c>
      <c r="H22" s="47"/>
      <c r="I22" s="57">
        <v>1.145</v>
      </c>
      <c r="J22" s="57"/>
      <c r="K22" s="49">
        <f t="shared" si="1"/>
        <v>2.8167</v>
      </c>
      <c r="L22" s="50">
        <f t="shared" si="2"/>
        <v>10914</v>
      </c>
      <c r="N22" s="51">
        <v>5101</v>
      </c>
      <c r="O22" s="52">
        <v>130</v>
      </c>
      <c r="P22" s="53"/>
      <c r="Q22" s="54"/>
      <c r="V22" s="623" t="s">
        <v>55</v>
      </c>
      <c r="W22" s="623"/>
      <c r="X22" s="618">
        <f>IF('0054 June Final'!K$84=1,'0054 June Final'!G22,0)</f>
        <v>0</v>
      </c>
      <c r="Y22" s="618"/>
      <c r="Z22" s="624">
        <v>1</v>
      </c>
      <c r="AA22" s="624"/>
      <c r="AB22" s="55">
        <f t="shared" si="3"/>
        <v>0</v>
      </c>
      <c r="AC22" s="56">
        <f t="shared" si="4"/>
        <v>0</v>
      </c>
      <c r="AD22" s="9"/>
    </row>
    <row r="23" spans="1:30" x14ac:dyDescent="0.25">
      <c r="A23" s="1" t="s">
        <v>56</v>
      </c>
      <c r="B23" s="13" t="s">
        <v>57</v>
      </c>
      <c r="C23" s="13"/>
      <c r="D23" s="13">
        <v>0.41</v>
      </c>
      <c r="E23" s="13">
        <v>0.42</v>
      </c>
      <c r="F23" s="13">
        <v>0</v>
      </c>
      <c r="G23" s="46">
        <f t="shared" si="0"/>
        <v>0.83</v>
      </c>
      <c r="H23" s="47"/>
      <c r="I23" s="57">
        <f>I22</f>
        <v>1.145</v>
      </c>
      <c r="J23" s="57"/>
      <c r="K23" s="49">
        <f t="shared" si="1"/>
        <v>0.95040000000000002</v>
      </c>
      <c r="L23" s="50">
        <f t="shared" si="2"/>
        <v>3682</v>
      </c>
      <c r="N23" s="51">
        <v>5102</v>
      </c>
      <c r="O23" s="52">
        <v>130</v>
      </c>
      <c r="P23" s="53"/>
      <c r="Q23" s="54"/>
      <c r="V23" s="623" t="s">
        <v>57</v>
      </c>
      <c r="W23" s="623"/>
      <c r="X23" s="618">
        <f>IF('0054 June Final'!K$84=1,'0054 June Final'!G23,0)</f>
        <v>0</v>
      </c>
      <c r="Y23" s="618"/>
      <c r="Z23" s="624">
        <v>1</v>
      </c>
      <c r="AA23" s="624"/>
      <c r="AB23" s="55">
        <f t="shared" si="3"/>
        <v>0</v>
      </c>
      <c r="AC23" s="56">
        <f t="shared" si="4"/>
        <v>0</v>
      </c>
      <c r="AD23" s="9"/>
    </row>
    <row r="24" spans="1:30" x14ac:dyDescent="0.25">
      <c r="A24" s="1" t="s">
        <v>58</v>
      </c>
      <c r="B24" s="13" t="s">
        <v>59</v>
      </c>
      <c r="C24" s="13"/>
      <c r="D24" s="13">
        <v>0</v>
      </c>
      <c r="E24" s="13">
        <v>0</v>
      </c>
      <c r="F24" s="13">
        <v>0</v>
      </c>
      <c r="G24" s="46">
        <f t="shared" si="0"/>
        <v>0</v>
      </c>
      <c r="H24" s="47"/>
      <c r="I24" s="57">
        <f>I23</f>
        <v>1.145</v>
      </c>
      <c r="J24" s="57"/>
      <c r="K24" s="49">
        <f t="shared" si="1"/>
        <v>0</v>
      </c>
      <c r="L24" s="50">
        <f t="shared" si="2"/>
        <v>0</v>
      </c>
      <c r="N24" s="51">
        <v>5103</v>
      </c>
      <c r="O24" s="52">
        <v>130</v>
      </c>
      <c r="P24" s="53"/>
      <c r="Q24" s="54"/>
      <c r="V24" s="623" t="s">
        <v>59</v>
      </c>
      <c r="W24" s="623"/>
      <c r="X24" s="618">
        <f>IF('0054 June Final'!K$84=1,'0054 June Final'!G24,0)</f>
        <v>0</v>
      </c>
      <c r="Y24" s="618"/>
      <c r="Z24" s="624">
        <v>1</v>
      </c>
      <c r="AA24" s="624"/>
      <c r="AB24" s="55">
        <f t="shared" si="3"/>
        <v>0</v>
      </c>
      <c r="AC24" s="56">
        <f t="shared" si="4"/>
        <v>0</v>
      </c>
      <c r="AD24" s="9"/>
    </row>
    <row r="25" spans="1:30" ht="16.5" thickBot="1" x14ac:dyDescent="0.3">
      <c r="A25" s="1" t="s">
        <v>60</v>
      </c>
      <c r="B25" s="13" t="s">
        <v>61</v>
      </c>
      <c r="C25" s="13"/>
      <c r="D25" s="13">
        <v>0</v>
      </c>
      <c r="E25" s="13">
        <v>0</v>
      </c>
      <c r="F25" s="13">
        <v>0</v>
      </c>
      <c r="G25" s="46">
        <f t="shared" si="0"/>
        <v>0</v>
      </c>
      <c r="H25" s="47"/>
      <c r="I25" s="57">
        <v>1.0109999999999999</v>
      </c>
      <c r="J25" s="57"/>
      <c r="K25" s="49">
        <f t="shared" si="1"/>
        <v>0</v>
      </c>
      <c r="L25" s="50">
        <f t="shared" si="2"/>
        <v>0</v>
      </c>
      <c r="N25" s="51">
        <v>5310</v>
      </c>
      <c r="O25" s="52">
        <v>300</v>
      </c>
      <c r="P25" s="53"/>
      <c r="Q25" s="54"/>
      <c r="V25" s="623" t="s">
        <v>61</v>
      </c>
      <c r="W25" s="623"/>
      <c r="X25" s="618">
        <f>IF('0054 June Final'!K$84=1,'0054 June Final'!G25,0)</f>
        <v>0</v>
      </c>
      <c r="Y25" s="618"/>
      <c r="Z25" s="624">
        <v>1</v>
      </c>
      <c r="AA25" s="624"/>
      <c r="AB25" s="55">
        <f t="shared" si="3"/>
        <v>0</v>
      </c>
      <c r="AC25" s="56">
        <f t="shared" si="4"/>
        <v>0</v>
      </c>
      <c r="AD25" s="9"/>
    </row>
    <row r="26" spans="1:30" ht="20.25" customHeight="1" thickBot="1" x14ac:dyDescent="0.3">
      <c r="B26" s="62" t="s">
        <v>62</v>
      </c>
      <c r="C26" s="62"/>
      <c r="D26" s="63">
        <f>SUM(D10:D25)</f>
        <v>51.919999999999995</v>
      </c>
      <c r="E26" s="63">
        <f>SUM(E10:E25)</f>
        <v>50.99</v>
      </c>
      <c r="F26" s="63"/>
      <c r="G26" s="63">
        <f>SUM(G10:G25)</f>
        <v>102.91</v>
      </c>
      <c r="H26" s="64"/>
      <c r="I26" s="64"/>
      <c r="J26" s="65"/>
      <c r="K26" s="66">
        <f>SUM(K10:K25)</f>
        <v>111.8809</v>
      </c>
      <c r="L26" s="67">
        <f>SUM(L10:L25)</f>
        <v>433496</v>
      </c>
      <c r="N26" s="54"/>
      <c r="O26" s="68"/>
      <c r="P26" s="54"/>
      <c r="Q26" s="54"/>
      <c r="V26" s="625" t="s">
        <v>62</v>
      </c>
      <c r="W26" s="625"/>
      <c r="X26" s="626">
        <f>SUM(X10:X25)</f>
        <v>0</v>
      </c>
      <c r="Y26" s="626"/>
      <c r="Z26" s="627"/>
      <c r="AA26" s="628"/>
      <c r="AB26" s="69">
        <f>SUM(AB10:AB25)</f>
        <v>0</v>
      </c>
      <c r="AC26" s="70">
        <f>SUM(AC10:AC25)</f>
        <v>0</v>
      </c>
      <c r="AD26" s="9"/>
    </row>
    <row r="27" spans="1:30" ht="51.75" customHeight="1" x14ac:dyDescent="0.25">
      <c r="B27" s="62" t="s">
        <v>63</v>
      </c>
      <c r="C27" s="62"/>
      <c r="D27" s="71" t="s">
        <v>13</v>
      </c>
      <c r="E27" s="71" t="s">
        <v>14</v>
      </c>
      <c r="F27" s="27"/>
      <c r="G27" s="72" t="s">
        <v>64</v>
      </c>
      <c r="H27" s="73"/>
      <c r="I27" s="74" t="s">
        <v>65</v>
      </c>
      <c r="J27" s="74" t="s">
        <v>66</v>
      </c>
      <c r="K27" s="75" t="s">
        <v>67</v>
      </c>
      <c r="N27" s="54"/>
      <c r="O27" s="68"/>
      <c r="P27" s="54"/>
      <c r="Q27" s="54"/>
      <c r="V27" s="629" t="s">
        <v>63</v>
      </c>
      <c r="W27" s="629"/>
      <c r="X27" s="630" t="s">
        <v>64</v>
      </c>
      <c r="Y27" s="630"/>
      <c r="Z27" s="76" t="s">
        <v>65</v>
      </c>
      <c r="AA27" s="77" t="s">
        <v>66</v>
      </c>
      <c r="AB27" s="78" t="s">
        <v>67</v>
      </c>
      <c r="AC27" s="9"/>
      <c r="AD27" s="9"/>
    </row>
    <row r="28" spans="1:30" ht="15.75" customHeight="1" x14ac:dyDescent="0.25">
      <c r="A28" s="1" t="s">
        <v>68</v>
      </c>
      <c r="B28" s="631" t="s">
        <v>69</v>
      </c>
      <c r="C28" s="632"/>
      <c r="D28" s="13">
        <v>2</v>
      </c>
      <c r="E28" s="13">
        <v>2</v>
      </c>
      <c r="F28" s="79">
        <v>3.5</v>
      </c>
      <c r="G28" s="46">
        <f t="shared" ref="G28:G36" si="5">D28+E28</f>
        <v>4</v>
      </c>
      <c r="H28" s="80"/>
      <c r="I28" s="81" t="s">
        <v>70</v>
      </c>
      <c r="J28" s="82">
        <v>251</v>
      </c>
      <c r="K28" s="83">
        <v>1047</v>
      </c>
      <c r="L28" s="84">
        <f t="shared" ref="L28:L36" si="6">ROUND(G28*K28,0)</f>
        <v>4188</v>
      </c>
      <c r="N28" s="337">
        <v>5101</v>
      </c>
      <c r="O28" s="54">
        <v>251</v>
      </c>
      <c r="P28" s="86"/>
      <c r="Q28" s="87"/>
      <c r="V28" s="637" t="s">
        <v>69</v>
      </c>
      <c r="W28" s="637"/>
      <c r="X28" s="638"/>
      <c r="Y28" s="638"/>
      <c r="Z28" s="88" t="s">
        <v>70</v>
      </c>
      <c r="AA28" s="330">
        <v>251</v>
      </c>
      <c r="AB28" s="90">
        <f t="shared" ref="AB28:AB36" si="7">+K28</f>
        <v>1047</v>
      </c>
      <c r="AC28" s="91">
        <f t="shared" ref="AC28:AC36" si="8">ROUND(X28*AB28,0)</f>
        <v>0</v>
      </c>
      <c r="AD28" s="9"/>
    </row>
    <row r="29" spans="1:30" x14ac:dyDescent="0.25">
      <c r="A29" s="1" t="s">
        <v>71</v>
      </c>
      <c r="B29" s="633"/>
      <c r="C29" s="634"/>
      <c r="D29" s="13">
        <v>0</v>
      </c>
      <c r="E29" s="13">
        <v>0</v>
      </c>
      <c r="F29" s="92">
        <v>0</v>
      </c>
      <c r="G29" s="46">
        <f t="shared" si="5"/>
        <v>0</v>
      </c>
      <c r="H29" s="80"/>
      <c r="I29" s="82" t="s">
        <v>70</v>
      </c>
      <c r="J29" s="82">
        <v>252</v>
      </c>
      <c r="K29" s="83">
        <v>3380</v>
      </c>
      <c r="L29" s="84">
        <f t="shared" si="6"/>
        <v>0</v>
      </c>
      <c r="N29" s="337">
        <v>5101</v>
      </c>
      <c r="O29" s="54">
        <v>252</v>
      </c>
      <c r="P29" s="86"/>
      <c r="Q29" s="87"/>
      <c r="V29" s="637"/>
      <c r="W29" s="637"/>
      <c r="X29" s="638"/>
      <c r="Y29" s="638"/>
      <c r="Z29" s="330" t="s">
        <v>70</v>
      </c>
      <c r="AA29" s="330">
        <v>252</v>
      </c>
      <c r="AB29" s="90">
        <f t="shared" si="7"/>
        <v>3380</v>
      </c>
      <c r="AC29" s="91">
        <f t="shared" si="8"/>
        <v>0</v>
      </c>
      <c r="AD29" s="9"/>
    </row>
    <row r="30" spans="1:30" x14ac:dyDescent="0.25">
      <c r="A30" s="1" t="s">
        <v>72</v>
      </c>
      <c r="B30" s="633"/>
      <c r="C30" s="634"/>
      <c r="D30" s="13">
        <v>0</v>
      </c>
      <c r="E30" s="13">
        <v>0</v>
      </c>
      <c r="F30" s="92">
        <v>0</v>
      </c>
      <c r="G30" s="46">
        <f t="shared" si="5"/>
        <v>0</v>
      </c>
      <c r="H30" s="80"/>
      <c r="I30" s="82" t="s">
        <v>70</v>
      </c>
      <c r="J30" s="82">
        <v>253</v>
      </c>
      <c r="K30" s="83">
        <v>6896</v>
      </c>
      <c r="L30" s="84">
        <f t="shared" si="6"/>
        <v>0</v>
      </c>
      <c r="N30" s="337">
        <v>5101</v>
      </c>
      <c r="O30" s="54">
        <v>253</v>
      </c>
      <c r="P30" s="86"/>
      <c r="Q30" s="68"/>
      <c r="V30" s="637"/>
      <c r="W30" s="637"/>
      <c r="X30" s="638"/>
      <c r="Y30" s="638"/>
      <c r="Z30" s="330" t="s">
        <v>70</v>
      </c>
      <c r="AA30" s="330">
        <v>253</v>
      </c>
      <c r="AB30" s="90">
        <f t="shared" si="7"/>
        <v>6896</v>
      </c>
      <c r="AC30" s="91">
        <f t="shared" si="8"/>
        <v>0</v>
      </c>
      <c r="AD30" s="9"/>
    </row>
    <row r="31" spans="1:30" x14ac:dyDescent="0.25">
      <c r="A31" s="1" t="s">
        <v>73</v>
      </c>
      <c r="B31" s="633"/>
      <c r="C31" s="634"/>
      <c r="D31" s="13">
        <v>2</v>
      </c>
      <c r="E31" s="13">
        <v>2</v>
      </c>
      <c r="F31" s="92">
        <v>1.5</v>
      </c>
      <c r="G31" s="46">
        <f t="shared" si="5"/>
        <v>4</v>
      </c>
      <c r="H31" s="80"/>
      <c r="I31" s="93" t="s">
        <v>74</v>
      </c>
      <c r="J31" s="82">
        <v>251</v>
      </c>
      <c r="K31" s="83">
        <v>1173</v>
      </c>
      <c r="L31" s="84">
        <f t="shared" si="6"/>
        <v>4692</v>
      </c>
      <c r="N31" s="337">
        <v>5102</v>
      </c>
      <c r="O31" s="54">
        <v>251</v>
      </c>
      <c r="P31" s="86"/>
      <c r="Q31" s="68"/>
      <c r="V31" s="637"/>
      <c r="W31" s="637"/>
      <c r="X31" s="638"/>
      <c r="Y31" s="638"/>
      <c r="Z31" s="94" t="s">
        <v>74</v>
      </c>
      <c r="AA31" s="330">
        <v>251</v>
      </c>
      <c r="AB31" s="90">
        <f t="shared" si="7"/>
        <v>1173</v>
      </c>
      <c r="AC31" s="91">
        <f t="shared" si="8"/>
        <v>0</v>
      </c>
      <c r="AD31" s="9"/>
    </row>
    <row r="32" spans="1:30" x14ac:dyDescent="0.25">
      <c r="A32" s="1" t="s">
        <v>75</v>
      </c>
      <c r="B32" s="633"/>
      <c r="C32" s="634"/>
      <c r="D32" s="13">
        <v>0</v>
      </c>
      <c r="E32" s="13">
        <v>0</v>
      </c>
      <c r="F32" s="92">
        <v>0</v>
      </c>
      <c r="G32" s="46">
        <f t="shared" si="5"/>
        <v>0</v>
      </c>
      <c r="H32" s="80"/>
      <c r="I32" s="93" t="s">
        <v>74</v>
      </c>
      <c r="J32" s="82">
        <v>252</v>
      </c>
      <c r="K32" s="83">
        <v>3506</v>
      </c>
      <c r="L32" s="84">
        <f t="shared" si="6"/>
        <v>0</v>
      </c>
      <c r="N32" s="337">
        <v>5102</v>
      </c>
      <c r="O32" s="54">
        <v>252</v>
      </c>
      <c r="P32" s="86"/>
      <c r="Q32" s="54"/>
      <c r="V32" s="637"/>
      <c r="W32" s="637"/>
      <c r="X32" s="638"/>
      <c r="Y32" s="638"/>
      <c r="Z32" s="94" t="s">
        <v>74</v>
      </c>
      <c r="AA32" s="330">
        <v>252</v>
      </c>
      <c r="AB32" s="90">
        <f t="shared" si="7"/>
        <v>3506</v>
      </c>
      <c r="AC32" s="91">
        <f t="shared" si="8"/>
        <v>0</v>
      </c>
      <c r="AD32" s="9"/>
    </row>
    <row r="33" spans="1:30" x14ac:dyDescent="0.25">
      <c r="A33" s="1" t="s">
        <v>76</v>
      </c>
      <c r="B33" s="633"/>
      <c r="C33" s="634"/>
      <c r="D33" s="13">
        <v>0</v>
      </c>
      <c r="E33" s="13">
        <v>0</v>
      </c>
      <c r="F33" s="92">
        <v>0</v>
      </c>
      <c r="G33" s="46">
        <f t="shared" si="5"/>
        <v>0</v>
      </c>
      <c r="H33" s="80"/>
      <c r="I33" s="93" t="s">
        <v>74</v>
      </c>
      <c r="J33" s="82">
        <v>253</v>
      </c>
      <c r="K33" s="83">
        <v>7023</v>
      </c>
      <c r="L33" s="84">
        <f t="shared" si="6"/>
        <v>0</v>
      </c>
      <c r="N33" s="337">
        <v>5102</v>
      </c>
      <c r="O33" s="54">
        <v>253</v>
      </c>
      <c r="P33" s="86"/>
      <c r="Q33" s="87"/>
      <c r="V33" s="637"/>
      <c r="W33" s="637"/>
      <c r="X33" s="638"/>
      <c r="Y33" s="638"/>
      <c r="Z33" s="94" t="s">
        <v>74</v>
      </c>
      <c r="AA33" s="330">
        <v>253</v>
      </c>
      <c r="AB33" s="90">
        <f t="shared" si="7"/>
        <v>7023</v>
      </c>
      <c r="AC33" s="91">
        <f t="shared" si="8"/>
        <v>0</v>
      </c>
      <c r="AD33" s="9"/>
    </row>
    <row r="34" spans="1:30" x14ac:dyDescent="0.25">
      <c r="A34" s="1" t="s">
        <v>77</v>
      </c>
      <c r="B34" s="633"/>
      <c r="C34" s="634"/>
      <c r="D34" s="13">
        <v>0</v>
      </c>
      <c r="E34" s="13">
        <v>0</v>
      </c>
      <c r="F34" s="92">
        <v>0</v>
      </c>
      <c r="G34" s="46">
        <f t="shared" si="5"/>
        <v>0</v>
      </c>
      <c r="H34" s="80"/>
      <c r="I34" s="93" t="s">
        <v>78</v>
      </c>
      <c r="J34" s="82">
        <v>251</v>
      </c>
      <c r="K34" s="83">
        <v>835</v>
      </c>
      <c r="L34" s="84">
        <f t="shared" si="6"/>
        <v>0</v>
      </c>
      <c r="N34" s="337">
        <v>5103</v>
      </c>
      <c r="O34" s="54">
        <v>251</v>
      </c>
      <c r="P34" s="86"/>
      <c r="Q34" s="87"/>
      <c r="V34" s="637"/>
      <c r="W34" s="637"/>
      <c r="X34" s="638"/>
      <c r="Y34" s="638"/>
      <c r="Z34" s="94" t="s">
        <v>78</v>
      </c>
      <c r="AA34" s="330">
        <v>251</v>
      </c>
      <c r="AB34" s="90">
        <f t="shared" si="7"/>
        <v>835</v>
      </c>
      <c r="AC34" s="91">
        <f t="shared" si="8"/>
        <v>0</v>
      </c>
      <c r="AD34" s="9"/>
    </row>
    <row r="35" spans="1:30" x14ac:dyDescent="0.25">
      <c r="A35" s="1" t="s">
        <v>79</v>
      </c>
      <c r="B35" s="633"/>
      <c r="C35" s="634"/>
      <c r="D35" s="13">
        <v>0</v>
      </c>
      <c r="E35" s="13">
        <v>0</v>
      </c>
      <c r="F35" s="92">
        <v>0</v>
      </c>
      <c r="G35" s="46">
        <f t="shared" si="5"/>
        <v>0</v>
      </c>
      <c r="H35" s="80"/>
      <c r="I35" s="93" t="s">
        <v>78</v>
      </c>
      <c r="J35" s="82">
        <v>252</v>
      </c>
      <c r="K35" s="83">
        <v>3168</v>
      </c>
      <c r="L35" s="84">
        <f t="shared" si="6"/>
        <v>0</v>
      </c>
      <c r="N35" s="337">
        <v>5103</v>
      </c>
      <c r="O35" s="54">
        <v>252</v>
      </c>
      <c r="P35" s="86"/>
      <c r="Q35" s="95"/>
      <c r="V35" s="637"/>
      <c r="W35" s="637"/>
      <c r="X35" s="638"/>
      <c r="Y35" s="638"/>
      <c r="Z35" s="94" t="s">
        <v>78</v>
      </c>
      <c r="AA35" s="330">
        <v>252</v>
      </c>
      <c r="AB35" s="90">
        <f t="shared" si="7"/>
        <v>3168</v>
      </c>
      <c r="AC35" s="91">
        <f t="shared" si="8"/>
        <v>0</v>
      </c>
      <c r="AD35" s="9"/>
    </row>
    <row r="36" spans="1:30" ht="16.5" thickBot="1" x14ac:dyDescent="0.3">
      <c r="A36" s="1" t="s">
        <v>80</v>
      </c>
      <c r="B36" s="635"/>
      <c r="C36" s="636"/>
      <c r="D36" s="13">
        <v>0</v>
      </c>
      <c r="E36" s="13">
        <v>0</v>
      </c>
      <c r="F36" s="92">
        <v>0</v>
      </c>
      <c r="G36" s="46">
        <f t="shared" si="5"/>
        <v>0</v>
      </c>
      <c r="H36" s="80"/>
      <c r="I36" s="93" t="s">
        <v>78</v>
      </c>
      <c r="J36" s="82">
        <v>253</v>
      </c>
      <c r="K36" s="83">
        <v>6685</v>
      </c>
      <c r="L36" s="96">
        <f t="shared" si="6"/>
        <v>0</v>
      </c>
      <c r="N36" s="337">
        <v>5103</v>
      </c>
      <c r="O36" s="54">
        <v>253</v>
      </c>
      <c r="P36" s="86"/>
      <c r="Q36" s="97"/>
      <c r="V36" s="637"/>
      <c r="W36" s="637"/>
      <c r="X36" s="645"/>
      <c r="Y36" s="645"/>
      <c r="Z36" s="94" t="s">
        <v>78</v>
      </c>
      <c r="AA36" s="330">
        <v>253</v>
      </c>
      <c r="AB36" s="90">
        <f t="shared" si="7"/>
        <v>6685</v>
      </c>
      <c r="AC36" s="98">
        <f t="shared" si="8"/>
        <v>0</v>
      </c>
      <c r="AD36" s="9"/>
    </row>
    <row r="37" spans="1:30" ht="18.75" customHeight="1" x14ac:dyDescent="0.25">
      <c r="B37" s="13" t="s">
        <v>81</v>
      </c>
      <c r="C37" s="13"/>
      <c r="D37" s="63">
        <f>SUM(D28:D36)</f>
        <v>4</v>
      </c>
      <c r="E37" s="63">
        <f>SUM(E28:E36)</f>
        <v>4</v>
      </c>
      <c r="F37" s="63"/>
      <c r="G37" s="63">
        <f>SUM(G28:G36)</f>
        <v>8</v>
      </c>
      <c r="H37" s="64"/>
      <c r="I37" s="13" t="s">
        <v>82</v>
      </c>
      <c r="J37" s="13"/>
      <c r="K37" s="13"/>
      <c r="L37" s="50">
        <f>SUM(L28:L36)</f>
        <v>8880</v>
      </c>
      <c r="N37" s="54"/>
      <c r="O37" s="68"/>
      <c r="P37" s="54"/>
      <c r="Q37" s="54"/>
      <c r="V37" s="646" t="s">
        <v>81</v>
      </c>
      <c r="W37" s="646"/>
      <c r="X37" s="626">
        <f>SUM(X28:X36)</f>
        <v>0</v>
      </c>
      <c r="Y37" s="626"/>
      <c r="Z37" s="646" t="s">
        <v>82</v>
      </c>
      <c r="AA37" s="646"/>
      <c r="AB37" s="646"/>
      <c r="AC37" s="56">
        <f>SUM(AC28:AC36)</f>
        <v>0</v>
      </c>
      <c r="AD37" s="9"/>
    </row>
    <row r="38" spans="1:30" ht="30.75" customHeight="1" x14ac:dyDescent="0.25">
      <c r="B38" s="99" t="s">
        <v>83</v>
      </c>
      <c r="C38" s="99"/>
      <c r="D38" s="99"/>
      <c r="E38" s="99"/>
      <c r="F38" s="99"/>
      <c r="G38" s="99"/>
      <c r="H38" s="100"/>
      <c r="I38" s="99"/>
      <c r="J38" s="99"/>
      <c r="K38" s="99"/>
      <c r="L38" s="99"/>
      <c r="M38" s="101"/>
      <c r="N38" s="54"/>
      <c r="O38" s="68"/>
      <c r="P38" s="54"/>
      <c r="Q38" s="54"/>
      <c r="V38" s="639" t="s">
        <v>83</v>
      </c>
      <c r="W38" s="639"/>
      <c r="X38" s="639"/>
      <c r="Y38" s="639"/>
      <c r="Z38" s="639"/>
      <c r="AA38" s="639"/>
      <c r="AB38" s="639"/>
      <c r="AC38" s="639"/>
      <c r="AD38" s="102"/>
    </row>
    <row r="39" spans="1:30" ht="15.75" customHeight="1" x14ac:dyDescent="0.25">
      <c r="B39" s="103" t="s">
        <v>84</v>
      </c>
      <c r="C39" s="103"/>
      <c r="D39" s="103"/>
      <c r="E39" s="103"/>
      <c r="F39" s="103"/>
      <c r="G39" s="104">
        <v>34389540</v>
      </c>
      <c r="H39" s="104"/>
      <c r="I39" s="13" t="s">
        <v>85</v>
      </c>
      <c r="J39" s="13"/>
      <c r="K39" s="13"/>
      <c r="L39" s="13"/>
      <c r="O39" s="1"/>
      <c r="V39" s="640" t="s">
        <v>84</v>
      </c>
      <c r="W39" s="640"/>
      <c r="X39" s="641">
        <f>+G39</f>
        <v>34389540</v>
      </c>
      <c r="Y39" s="641"/>
      <c r="Z39" s="642" t="s">
        <v>85</v>
      </c>
      <c r="AA39" s="642"/>
      <c r="AB39" s="642"/>
      <c r="AC39" s="642"/>
      <c r="AD39" s="9"/>
    </row>
    <row r="40" spans="1:30" ht="15.75" customHeight="1" x14ac:dyDescent="0.25">
      <c r="B40" s="105" t="s">
        <v>86</v>
      </c>
      <c r="C40" s="105"/>
      <c r="D40" s="105"/>
      <c r="E40" s="105"/>
      <c r="F40" s="105"/>
      <c r="G40" s="106">
        <v>180284.81</v>
      </c>
      <c r="H40" s="106"/>
      <c r="I40" s="106"/>
      <c r="J40" s="106"/>
      <c r="K40" s="50">
        <f>ROUND(G39/G40,0)</f>
        <v>191</v>
      </c>
      <c r="L40" s="50">
        <f>ROUND(K40*$G$26,0)</f>
        <v>19656</v>
      </c>
      <c r="N40" s="107"/>
      <c r="O40" s="107"/>
      <c r="P40" s="107"/>
      <c r="Q40" s="107"/>
      <c r="V40" s="643" t="s">
        <v>86</v>
      </c>
      <c r="W40" s="643"/>
      <c r="X40" s="644">
        <f>+G40</f>
        <v>180284.81</v>
      </c>
      <c r="Y40" s="644"/>
      <c r="Z40" s="644"/>
      <c r="AA40" s="644"/>
      <c r="AB40" s="56">
        <f>ROUND(X39/X40,0)</f>
        <v>191</v>
      </c>
      <c r="AC40" s="56">
        <f>ROUND(AB40*$X$26,0)</f>
        <v>0</v>
      </c>
      <c r="AD40" s="9"/>
    </row>
    <row r="41" spans="1:30" ht="15.75" customHeight="1" x14ac:dyDescent="0.25">
      <c r="B41" s="108" t="s">
        <v>87</v>
      </c>
      <c r="C41" s="108"/>
      <c r="D41" s="108"/>
      <c r="E41" s="108"/>
      <c r="F41" s="108"/>
      <c r="G41" s="108"/>
      <c r="H41" s="108"/>
      <c r="I41" s="108"/>
      <c r="J41" s="108"/>
      <c r="K41" s="108"/>
      <c r="L41" s="108"/>
      <c r="N41" s="101"/>
      <c r="O41" s="109"/>
      <c r="P41" s="101"/>
      <c r="Q41" s="101"/>
      <c r="V41" s="652" t="s">
        <v>87</v>
      </c>
      <c r="W41" s="652"/>
      <c r="X41" s="652"/>
      <c r="Y41" s="652"/>
      <c r="Z41" s="652"/>
      <c r="AA41" s="652"/>
      <c r="AB41" s="652"/>
      <c r="AC41" s="652"/>
      <c r="AD41" s="9"/>
    </row>
    <row r="42" spans="1:30" ht="28.5" customHeight="1" x14ac:dyDescent="0.25">
      <c r="B42" s="99" t="s">
        <v>88</v>
      </c>
      <c r="C42" s="99"/>
      <c r="D42" s="99"/>
      <c r="E42" s="99"/>
      <c r="F42" s="99"/>
      <c r="G42" s="99"/>
      <c r="H42" s="99"/>
      <c r="I42" s="99"/>
      <c r="J42" s="99"/>
      <c r="K42" s="99"/>
      <c r="L42" s="99"/>
      <c r="M42" s="107"/>
      <c r="O42" s="1"/>
      <c r="V42" s="639" t="s">
        <v>88</v>
      </c>
      <c r="W42" s="639"/>
      <c r="X42" s="639"/>
      <c r="Y42" s="639"/>
      <c r="Z42" s="639"/>
      <c r="AA42" s="639"/>
      <c r="AB42" s="639"/>
      <c r="AC42" s="639"/>
      <c r="AD42" s="334"/>
    </row>
    <row r="43" spans="1:30" x14ac:dyDescent="0.25">
      <c r="B43" s="111" t="s">
        <v>89</v>
      </c>
      <c r="C43" s="111"/>
      <c r="D43" s="111"/>
      <c r="E43" s="111"/>
      <c r="F43" s="111"/>
      <c r="G43" s="111"/>
      <c r="H43" s="111"/>
      <c r="I43" s="111"/>
      <c r="J43" s="111"/>
      <c r="K43" s="111"/>
      <c r="L43" s="111"/>
      <c r="M43" s="112"/>
      <c r="N43" s="101"/>
      <c r="O43" s="101"/>
      <c r="P43" s="101"/>
      <c r="Q43" s="101"/>
      <c r="V43" s="653" t="s">
        <v>89</v>
      </c>
      <c r="W43" s="653"/>
      <c r="X43" s="653"/>
      <c r="Y43" s="653"/>
      <c r="Z43" s="653"/>
      <c r="AA43" s="653"/>
      <c r="AB43" s="653"/>
      <c r="AC43" s="653"/>
      <c r="AD43" s="113"/>
    </row>
    <row r="44" spans="1:30" ht="24" customHeight="1" x14ac:dyDescent="0.25">
      <c r="B44" s="62" t="s">
        <v>90</v>
      </c>
      <c r="C44" s="62"/>
      <c r="D44" s="62"/>
      <c r="E44" s="62"/>
      <c r="F44" s="62"/>
      <c r="G44" s="62"/>
      <c r="H44" s="62"/>
      <c r="I44" s="62"/>
      <c r="J44" s="62"/>
      <c r="K44" s="62"/>
      <c r="L44" s="114">
        <f>SUM(L26,L37,L40)</f>
        <v>462032</v>
      </c>
      <c r="O44" s="1"/>
      <c r="V44" s="654" t="s">
        <v>90</v>
      </c>
      <c r="W44" s="654"/>
      <c r="X44" s="654"/>
      <c r="Y44" s="654"/>
      <c r="Z44" s="654"/>
      <c r="AA44" s="654"/>
      <c r="AB44" s="654"/>
      <c r="AC44" s="115">
        <f>SUM(AC26,AC37,AC40)</f>
        <v>0</v>
      </c>
      <c r="AD44" s="9"/>
    </row>
    <row r="45" spans="1:30" ht="30.75" customHeight="1" x14ac:dyDescent="0.25">
      <c r="B45" s="99" t="s">
        <v>91</v>
      </c>
      <c r="C45" s="99"/>
      <c r="D45" s="99"/>
      <c r="E45" s="99"/>
      <c r="F45" s="99"/>
      <c r="G45" s="99"/>
      <c r="H45" s="99"/>
      <c r="I45" s="99"/>
      <c r="J45" s="99"/>
      <c r="K45" s="99"/>
      <c r="L45" s="99"/>
      <c r="M45" s="116"/>
      <c r="O45" s="1"/>
      <c r="V45" s="639" t="s">
        <v>91</v>
      </c>
      <c r="W45" s="639"/>
      <c r="X45" s="639"/>
      <c r="Y45" s="639"/>
      <c r="Z45" s="639"/>
      <c r="AA45" s="639"/>
      <c r="AB45" s="639"/>
      <c r="AC45" s="639"/>
      <c r="AD45" s="333"/>
    </row>
    <row r="46" spans="1:30" ht="18.75" customHeight="1" x14ac:dyDescent="0.25">
      <c r="B46" s="1"/>
      <c r="C46" s="118" t="s">
        <v>92</v>
      </c>
      <c r="D46" s="118"/>
      <c r="E46" s="118"/>
      <c r="F46" s="118"/>
      <c r="G46" s="118" t="s">
        <v>93</v>
      </c>
      <c r="H46" s="119"/>
      <c r="I46" s="120" t="s">
        <v>94</v>
      </c>
      <c r="J46" s="121"/>
      <c r="K46" s="121"/>
      <c r="L46" s="121"/>
      <c r="M46" s="122"/>
      <c r="O46" s="1"/>
      <c r="V46" s="9"/>
      <c r="W46" s="336" t="s">
        <v>92</v>
      </c>
      <c r="X46" s="655" t="s">
        <v>95</v>
      </c>
      <c r="Y46" s="655"/>
      <c r="Z46" s="656" t="s">
        <v>94</v>
      </c>
      <c r="AA46" s="656"/>
      <c r="AB46" s="656"/>
      <c r="AC46" s="656"/>
      <c r="AD46" s="124"/>
    </row>
    <row r="47" spans="1:30" ht="18.75" customHeight="1" x14ac:dyDescent="0.25">
      <c r="B47" s="107" t="s">
        <v>96</v>
      </c>
      <c r="C47" s="125">
        <f>K10+K11+K16+K19+K22</f>
        <v>79.260499999999993</v>
      </c>
      <c r="D47" s="125"/>
      <c r="E47" s="125"/>
      <c r="F47" s="125"/>
      <c r="G47" s="126">
        <f>K7</f>
        <v>1.0326</v>
      </c>
      <c r="H47" s="126"/>
      <c r="I47" s="127">
        <v>1316.85</v>
      </c>
      <c r="J47" s="128" t="s">
        <v>97</v>
      </c>
      <c r="K47" s="129">
        <f>ROUND(C47*G47*I47,0)</f>
        <v>107777</v>
      </c>
      <c r="L47" s="130"/>
      <c r="O47" s="1"/>
      <c r="V47" s="334" t="s">
        <v>96</v>
      </c>
      <c r="W47" s="131">
        <f>AB10+AB11+AB16+AB19+AB22</f>
        <v>0</v>
      </c>
      <c r="X47" s="647">
        <f>AB7</f>
        <v>1.0326</v>
      </c>
      <c r="Y47" s="647"/>
      <c r="Z47" s="132">
        <f>+I47</f>
        <v>1316.85</v>
      </c>
      <c r="AA47" s="133" t="s">
        <v>97</v>
      </c>
      <c r="AB47" s="134">
        <f>ROUND(W47*X47*Z47,0)</f>
        <v>0</v>
      </c>
      <c r="AC47" s="135"/>
      <c r="AD47" s="9"/>
    </row>
    <row r="48" spans="1:30" ht="18" customHeight="1" x14ac:dyDescent="0.25">
      <c r="B48" s="136" t="s">
        <v>74</v>
      </c>
      <c r="C48" s="125">
        <f>K12+K13+K17+K20+K23</f>
        <v>32.620400000000004</v>
      </c>
      <c r="D48" s="125"/>
      <c r="E48" s="125"/>
      <c r="F48" s="125"/>
      <c r="G48" s="126">
        <f>K7</f>
        <v>1.0326</v>
      </c>
      <c r="H48" s="126"/>
      <c r="I48" s="127">
        <v>898.23</v>
      </c>
      <c r="J48" s="128" t="s">
        <v>97</v>
      </c>
      <c r="K48" s="129">
        <f>ROUND(C48*G48*I48,0)</f>
        <v>30256</v>
      </c>
      <c r="L48" s="62"/>
      <c r="O48" s="1"/>
      <c r="V48" s="137" t="s">
        <v>74</v>
      </c>
      <c r="W48" s="131">
        <f>AB12+AB13+AB17+AB20+AB23</f>
        <v>0</v>
      </c>
      <c r="X48" s="647">
        <f>AB7</f>
        <v>1.0326</v>
      </c>
      <c r="Y48" s="647"/>
      <c r="Z48" s="132">
        <f>+I48</f>
        <v>898.23</v>
      </c>
      <c r="AA48" s="133" t="s">
        <v>97</v>
      </c>
      <c r="AB48" s="134">
        <f>ROUND(W48*X48*Z48,0)</f>
        <v>0</v>
      </c>
      <c r="AC48" s="138"/>
      <c r="AD48" s="9"/>
    </row>
    <row r="49" spans="2:30" ht="19.5" customHeight="1" thickBot="1" x14ac:dyDescent="0.3">
      <c r="B49" s="139" t="s">
        <v>78</v>
      </c>
      <c r="C49" s="140">
        <f>K14+K15+K18+K21+K24+K25</f>
        <v>0</v>
      </c>
      <c r="D49" s="125"/>
      <c r="E49" s="125"/>
      <c r="F49" s="125"/>
      <c r="G49" s="126">
        <f>K7</f>
        <v>1.0326</v>
      </c>
      <c r="H49" s="126"/>
      <c r="I49" s="127">
        <v>900.39</v>
      </c>
      <c r="J49" s="128" t="s">
        <v>97</v>
      </c>
      <c r="K49" s="129">
        <f>ROUND(C49*G49*I49,0)</f>
        <v>0</v>
      </c>
      <c r="L49" s="62"/>
      <c r="M49" s="112"/>
      <c r="N49" s="141"/>
      <c r="O49" s="142"/>
      <c r="P49" s="101"/>
      <c r="Q49" s="143"/>
      <c r="V49" s="144" t="s">
        <v>78</v>
      </c>
      <c r="W49" s="145">
        <f>AB14+AB15+AB18+AB21+AB24+AB25</f>
        <v>0</v>
      </c>
      <c r="X49" s="647">
        <f>AB7</f>
        <v>1.0326</v>
      </c>
      <c r="Y49" s="647"/>
      <c r="Z49" s="132">
        <f>+I49</f>
        <v>900.39</v>
      </c>
      <c r="AA49" s="133" t="s">
        <v>97</v>
      </c>
      <c r="AB49" s="134">
        <f>ROUND(W49*X49*Z49,0)</f>
        <v>0</v>
      </c>
      <c r="AC49" s="138"/>
      <c r="AD49" s="113"/>
    </row>
    <row r="50" spans="2:30" ht="24" customHeight="1" thickBot="1" x14ac:dyDescent="0.3">
      <c r="B50" s="146" t="s">
        <v>98</v>
      </c>
      <c r="C50" s="147">
        <f>SUM(C47:C49)</f>
        <v>111.8809</v>
      </c>
      <c r="D50" s="148"/>
      <c r="E50" s="149"/>
      <c r="F50" s="149"/>
      <c r="G50" s="150" t="s">
        <v>99</v>
      </c>
      <c r="H50" s="150"/>
      <c r="I50" s="150"/>
      <c r="J50" s="150"/>
      <c r="K50" s="150"/>
      <c r="L50" s="50">
        <f>IF(B2=75,0,K49+K48+K47)</f>
        <v>138033</v>
      </c>
      <c r="N50" s="3"/>
      <c r="O50" s="1"/>
      <c r="V50" s="335" t="s">
        <v>98</v>
      </c>
      <c r="W50" s="152">
        <f>SUM(W47:W49)</f>
        <v>0</v>
      </c>
      <c r="X50" s="648" t="s">
        <v>99</v>
      </c>
      <c r="Y50" s="649"/>
      <c r="Z50" s="649"/>
      <c r="AA50" s="649"/>
      <c r="AB50" s="649"/>
      <c r="AC50" s="56">
        <f>IF(V2=75,0,AB49+AB48+AB47)</f>
        <v>0</v>
      </c>
      <c r="AD50" s="9"/>
    </row>
    <row r="51" spans="2:30" ht="19.5" customHeight="1" x14ac:dyDescent="0.25">
      <c r="B51" s="153" t="s">
        <v>100</v>
      </c>
      <c r="C51" s="153"/>
      <c r="D51" s="153"/>
      <c r="E51" s="153"/>
      <c r="F51" s="153"/>
      <c r="G51" s="153"/>
      <c r="H51" s="153"/>
      <c r="I51" s="153"/>
      <c r="J51" s="153"/>
      <c r="K51" s="153"/>
      <c r="L51" s="153"/>
      <c r="M51" s="141"/>
      <c r="N51" s="101"/>
      <c r="O51" s="1"/>
      <c r="V51" s="650" t="s">
        <v>100</v>
      </c>
      <c r="W51" s="650"/>
      <c r="X51" s="650"/>
      <c r="Y51" s="650"/>
      <c r="Z51" s="650"/>
      <c r="AA51" s="650"/>
      <c r="AB51" s="650"/>
      <c r="AC51" s="650"/>
      <c r="AD51" s="154"/>
    </row>
    <row r="52" spans="2:30" ht="27.75" customHeight="1" x14ac:dyDescent="0.25">
      <c r="B52" s="13" t="s">
        <v>101</v>
      </c>
      <c r="C52" s="13"/>
      <c r="D52" s="13"/>
      <c r="E52" s="13"/>
      <c r="F52" s="13"/>
      <c r="G52" s="13"/>
      <c r="H52" s="13"/>
      <c r="I52" s="13"/>
      <c r="J52" s="13"/>
      <c r="K52" s="13"/>
      <c r="L52" s="13"/>
      <c r="O52" s="1"/>
      <c r="V52" s="651" t="s">
        <v>101</v>
      </c>
      <c r="W52" s="651"/>
      <c r="X52" s="651"/>
      <c r="Y52" s="651"/>
      <c r="Z52" s="651"/>
      <c r="AA52" s="651"/>
      <c r="AB52" s="651"/>
      <c r="AC52" s="651"/>
      <c r="AD52" s="9"/>
    </row>
    <row r="53" spans="2:30" x14ac:dyDescent="0.25">
      <c r="B53" s="13" t="s">
        <v>102</v>
      </c>
      <c r="C53" s="13"/>
      <c r="D53" s="13"/>
      <c r="E53" s="13"/>
      <c r="F53" s="13"/>
      <c r="G53" s="155">
        <f>K26</f>
        <v>111.8809</v>
      </c>
      <c r="H53" s="57" t="s">
        <v>103</v>
      </c>
      <c r="I53" s="57"/>
      <c r="J53" s="156">
        <v>197823.77</v>
      </c>
      <c r="K53" s="156"/>
      <c r="L53" s="156"/>
      <c r="N53" s="3"/>
      <c r="O53" s="1"/>
      <c r="V53" s="657" t="s">
        <v>102</v>
      </c>
      <c r="W53" s="657"/>
      <c r="X53" s="157">
        <f>AB26</f>
        <v>0</v>
      </c>
      <c r="Y53" s="658" t="s">
        <v>103</v>
      </c>
      <c r="Z53" s="658"/>
      <c r="AA53" s="659">
        <f>+J53</f>
        <v>197823.77</v>
      </c>
      <c r="AB53" s="659"/>
      <c r="AC53" s="659"/>
      <c r="AD53" s="9"/>
    </row>
    <row r="54" spans="2:30" x14ac:dyDescent="0.25">
      <c r="B54" s="13" t="s">
        <v>104</v>
      </c>
      <c r="C54" s="13"/>
      <c r="D54" s="13"/>
      <c r="E54" s="13"/>
      <c r="F54" s="13"/>
      <c r="G54" s="13"/>
      <c r="H54" s="13"/>
      <c r="I54" s="13"/>
      <c r="J54" s="13"/>
      <c r="K54" s="158">
        <f>ROUND(G53/J53,6)</f>
        <v>5.6599999999999999E-4</v>
      </c>
      <c r="L54" s="158"/>
      <c r="N54" s="101"/>
      <c r="O54" s="1"/>
      <c r="V54" s="657" t="s">
        <v>104</v>
      </c>
      <c r="W54" s="657"/>
      <c r="X54" s="657"/>
      <c r="Y54" s="657"/>
      <c r="Z54" s="657"/>
      <c r="AA54" s="657"/>
      <c r="AB54" s="660">
        <f>ROUND(X53/AA53,6)</f>
        <v>0</v>
      </c>
      <c r="AC54" s="660"/>
      <c r="AD54" s="9"/>
    </row>
    <row r="55" spans="2:30" ht="24" customHeight="1" x14ac:dyDescent="0.25">
      <c r="B55" s="13" t="s">
        <v>105</v>
      </c>
      <c r="C55" s="13"/>
      <c r="D55" s="13"/>
      <c r="E55" s="13"/>
      <c r="F55" s="13"/>
      <c r="G55" s="13"/>
      <c r="H55" s="13"/>
      <c r="I55" s="13"/>
      <c r="J55" s="13"/>
      <c r="K55" s="13"/>
      <c r="L55" s="13"/>
      <c r="O55" s="1"/>
      <c r="V55" s="651" t="s">
        <v>105</v>
      </c>
      <c r="W55" s="651"/>
      <c r="X55" s="651"/>
      <c r="Y55" s="651"/>
      <c r="Z55" s="651"/>
      <c r="AA55" s="651"/>
      <c r="AB55" s="651"/>
      <c r="AC55" s="651"/>
      <c r="AD55" s="9"/>
    </row>
    <row r="56" spans="2:30" x14ac:dyDescent="0.25">
      <c r="B56" s="13" t="s">
        <v>106</v>
      </c>
      <c r="C56" s="13"/>
      <c r="D56" s="13"/>
      <c r="E56" s="13"/>
      <c r="F56" s="13"/>
      <c r="G56" s="159">
        <f>G26</f>
        <v>102.91</v>
      </c>
      <c r="H56" s="57" t="s">
        <v>107</v>
      </c>
      <c r="I56" s="57"/>
      <c r="J56" s="156">
        <f>+G40</f>
        <v>180284.81</v>
      </c>
      <c r="K56" s="156"/>
      <c r="L56" s="156"/>
      <c r="O56" s="1"/>
      <c r="V56" s="657" t="s">
        <v>106</v>
      </c>
      <c r="W56" s="657"/>
      <c r="X56" s="160">
        <f>X26</f>
        <v>0</v>
      </c>
      <c r="Y56" s="658" t="s">
        <v>107</v>
      </c>
      <c r="Z56" s="658"/>
      <c r="AA56" s="659">
        <f>+J56</f>
        <v>180284.81</v>
      </c>
      <c r="AB56" s="659"/>
      <c r="AC56" s="659"/>
      <c r="AD56" s="9"/>
    </row>
    <row r="57" spans="2:30" x14ac:dyDescent="0.25">
      <c r="B57" s="13" t="s">
        <v>108</v>
      </c>
      <c r="C57" s="13"/>
      <c r="D57" s="13"/>
      <c r="E57" s="13"/>
      <c r="F57" s="13"/>
      <c r="G57" s="13"/>
      <c r="H57" s="13"/>
      <c r="I57" s="13"/>
      <c r="J57" s="13"/>
      <c r="K57" s="158">
        <f>ROUND(G56/J56,6)</f>
        <v>5.71E-4</v>
      </c>
      <c r="L57" s="158"/>
      <c r="O57" s="1"/>
      <c r="V57" s="657" t="s">
        <v>108</v>
      </c>
      <c r="W57" s="657"/>
      <c r="X57" s="657"/>
      <c r="Y57" s="657"/>
      <c r="Z57" s="657"/>
      <c r="AA57" s="657"/>
      <c r="AB57" s="660">
        <f>ROUND(X56/AA56,6)</f>
        <v>0</v>
      </c>
      <c r="AC57" s="660"/>
      <c r="AD57" s="9"/>
    </row>
    <row r="58" spans="2:30" ht="20.25" customHeight="1" x14ac:dyDescent="0.25">
      <c r="B58" s="161" t="s">
        <v>109</v>
      </c>
      <c r="C58" s="161"/>
      <c r="D58" s="161"/>
      <c r="E58" s="161"/>
      <c r="F58" s="161"/>
      <c r="G58" s="161"/>
      <c r="H58" s="161"/>
      <c r="I58" s="161"/>
      <c r="J58" s="161"/>
      <c r="K58" s="161"/>
      <c r="L58" s="161"/>
      <c r="N58" s="18"/>
      <c r="O58" s="18"/>
      <c r="V58" s="629" t="s">
        <v>110</v>
      </c>
      <c r="W58" s="629"/>
      <c r="X58" s="629"/>
      <c r="Y58" s="661">
        <f>X65+X64+X62+X61+X60</f>
        <v>4123852</v>
      </c>
      <c r="Z58" s="661"/>
      <c r="AA58" s="332" t="s">
        <v>111</v>
      </c>
      <c r="AB58" s="163">
        <f>AB54</f>
        <v>0</v>
      </c>
      <c r="AC58" s="56">
        <f>ROUND(Y58*AB58,0)</f>
        <v>0</v>
      </c>
      <c r="AD58" s="9"/>
    </row>
    <row r="59" spans="2:30" x14ac:dyDescent="0.25">
      <c r="B59" s="62" t="s">
        <v>110</v>
      </c>
      <c r="C59" s="62"/>
      <c r="D59" s="62"/>
      <c r="E59" s="62"/>
      <c r="F59" s="62"/>
      <c r="G59" s="62"/>
      <c r="H59" s="164" t="s">
        <v>22</v>
      </c>
      <c r="I59" s="129">
        <v>4123852</v>
      </c>
      <c r="J59" s="165" t="s">
        <v>111</v>
      </c>
      <c r="K59" s="166">
        <f>K54</f>
        <v>5.6599999999999999E-4</v>
      </c>
      <c r="L59" s="50">
        <f>ROUND(I59*K59,0)</f>
        <v>2334</v>
      </c>
      <c r="O59" s="1"/>
      <c r="P59" s="165"/>
      <c r="Q59" s="165"/>
      <c r="V59" s="662" t="s">
        <v>112</v>
      </c>
      <c r="W59" s="662"/>
      <c r="X59" s="662"/>
      <c r="Y59" s="662"/>
      <c r="Z59" s="662"/>
      <c r="AA59" s="662"/>
      <c r="AB59" s="662"/>
      <c r="AC59" s="662"/>
      <c r="AD59" s="9"/>
    </row>
    <row r="60" spans="2:30" x14ac:dyDescent="0.25">
      <c r="B60" s="62" t="s">
        <v>112</v>
      </c>
      <c r="C60" s="62"/>
      <c r="D60" s="62"/>
      <c r="E60" s="62"/>
      <c r="F60" s="62"/>
      <c r="G60" s="62"/>
      <c r="H60" s="62"/>
      <c r="I60" s="62"/>
      <c r="J60" s="62"/>
      <c r="K60" s="62"/>
      <c r="L60" s="62"/>
      <c r="O60" s="1"/>
      <c r="P60" s="165"/>
      <c r="Q60" s="165"/>
      <c r="V60" s="663" t="s">
        <v>113</v>
      </c>
      <c r="W60" s="663"/>
      <c r="X60" s="664">
        <f>+G61</f>
        <v>0</v>
      </c>
      <c r="Y60" s="664"/>
      <c r="Z60" s="664"/>
      <c r="AA60" s="664"/>
      <c r="AB60" s="664"/>
      <c r="AC60" s="664"/>
      <c r="AD60" s="9"/>
    </row>
    <row r="61" spans="2:30" ht="15" customHeight="1" x14ac:dyDescent="0.25">
      <c r="B61" s="167" t="s">
        <v>113</v>
      </c>
      <c r="C61" s="62"/>
      <c r="D61" s="62"/>
      <c r="E61" s="62"/>
      <c r="F61" s="62"/>
      <c r="G61" s="168">
        <v>0</v>
      </c>
      <c r="H61" s="168"/>
      <c r="I61" s="168"/>
      <c r="J61" s="168"/>
      <c r="K61" s="168"/>
      <c r="L61" s="168"/>
      <c r="O61" s="1"/>
      <c r="P61" s="165"/>
      <c r="Q61" s="165"/>
      <c r="V61" s="663" t="s">
        <v>114</v>
      </c>
      <c r="W61" s="663"/>
      <c r="X61" s="664">
        <f>+G62</f>
        <v>0</v>
      </c>
      <c r="Y61" s="664"/>
      <c r="Z61" s="664"/>
      <c r="AA61" s="664"/>
      <c r="AB61" s="664"/>
      <c r="AC61" s="664"/>
      <c r="AD61" s="9"/>
    </row>
    <row r="62" spans="2:30" ht="13.5" customHeight="1" x14ac:dyDescent="0.25">
      <c r="B62" s="167" t="s">
        <v>114</v>
      </c>
      <c r="C62" s="62"/>
      <c r="D62" s="62"/>
      <c r="E62" s="62"/>
      <c r="F62" s="62"/>
      <c r="G62" s="168">
        <v>0</v>
      </c>
      <c r="H62" s="168"/>
      <c r="I62" s="168"/>
      <c r="J62" s="168"/>
      <c r="K62" s="168"/>
      <c r="L62" s="168"/>
      <c r="N62" s="165"/>
      <c r="O62" s="165"/>
      <c r="P62" s="165"/>
      <c r="Q62" s="165"/>
      <c r="V62" s="663" t="s">
        <v>115</v>
      </c>
      <c r="W62" s="663"/>
      <c r="X62" s="664">
        <v>0</v>
      </c>
      <c r="Y62" s="664"/>
      <c r="Z62" s="664"/>
      <c r="AA62" s="664"/>
      <c r="AB62" s="664"/>
      <c r="AC62" s="664"/>
      <c r="AD62" s="9"/>
    </row>
    <row r="63" spans="2:30" ht="13.5" hidden="1" customHeight="1" x14ac:dyDescent="0.25">
      <c r="B63" s="62" t="s">
        <v>115</v>
      </c>
      <c r="C63" s="62"/>
      <c r="D63" s="62"/>
      <c r="E63" s="62"/>
      <c r="F63" s="62"/>
      <c r="G63" s="168">
        <v>0</v>
      </c>
      <c r="H63" s="168"/>
      <c r="I63" s="168"/>
      <c r="J63" s="168"/>
      <c r="K63" s="168"/>
      <c r="L63" s="168"/>
      <c r="O63" s="1"/>
      <c r="P63" s="165"/>
      <c r="Q63" s="165"/>
      <c r="V63" s="662" t="s">
        <v>116</v>
      </c>
      <c r="W63" s="662"/>
      <c r="X63" s="662"/>
      <c r="Y63" s="662"/>
      <c r="Z63" s="662"/>
      <c r="AA63" s="662"/>
      <c r="AB63" s="662"/>
      <c r="AC63" s="662"/>
      <c r="AD63" s="333"/>
    </row>
    <row r="64" spans="2:30" ht="13.5" customHeight="1" x14ac:dyDescent="0.25">
      <c r="B64" s="62" t="s">
        <v>116</v>
      </c>
      <c r="C64" s="62"/>
      <c r="D64" s="62"/>
      <c r="E64" s="62"/>
      <c r="F64" s="62"/>
      <c r="G64" s="62"/>
      <c r="H64" s="62"/>
      <c r="I64" s="62"/>
      <c r="J64" s="62"/>
      <c r="K64" s="62"/>
      <c r="L64" s="62"/>
      <c r="M64" s="116"/>
      <c r="N64" s="18"/>
      <c r="O64" s="1"/>
      <c r="V64" s="663" t="s">
        <v>117</v>
      </c>
      <c r="W64" s="663"/>
      <c r="X64" s="664">
        <f>+G65</f>
        <v>4123852</v>
      </c>
      <c r="Y64" s="664"/>
      <c r="Z64" s="664"/>
      <c r="AA64" s="664"/>
      <c r="AB64" s="664"/>
      <c r="AC64" s="664"/>
      <c r="AD64" s="9"/>
    </row>
    <row r="65" spans="1:30" ht="12.75" customHeight="1" x14ac:dyDescent="0.25">
      <c r="B65" s="167" t="s">
        <v>117</v>
      </c>
      <c r="C65" s="62"/>
      <c r="D65" s="62"/>
      <c r="E65" s="62"/>
      <c r="F65" s="62"/>
      <c r="G65" s="168">
        <f>+I59</f>
        <v>4123852</v>
      </c>
      <c r="H65" s="168"/>
      <c r="I65" s="168"/>
      <c r="J65" s="168"/>
      <c r="K65" s="168"/>
      <c r="L65" s="168"/>
      <c r="O65" s="1"/>
      <c r="V65" s="663" t="s">
        <v>118</v>
      </c>
      <c r="W65" s="663"/>
      <c r="X65" s="664">
        <f>+G66</f>
        <v>0</v>
      </c>
      <c r="Y65" s="664"/>
      <c r="Z65" s="664"/>
      <c r="AA65" s="664"/>
      <c r="AB65" s="664"/>
      <c r="AC65" s="664"/>
      <c r="AD65" s="20"/>
    </row>
    <row r="66" spans="1:30" ht="15" customHeight="1" x14ac:dyDescent="0.25">
      <c r="B66" s="167" t="s">
        <v>118</v>
      </c>
      <c r="C66" s="62"/>
      <c r="D66" s="62"/>
      <c r="E66" s="62"/>
      <c r="F66" s="62"/>
      <c r="G66" s="168">
        <v>0</v>
      </c>
      <c r="H66" s="168"/>
      <c r="I66" s="168"/>
      <c r="J66" s="168"/>
      <c r="K66" s="168"/>
      <c r="L66" s="168"/>
      <c r="M66" s="18"/>
      <c r="N66" s="3"/>
      <c r="O66" s="169"/>
      <c r="P66" s="169"/>
      <c r="Q66" s="169"/>
      <c r="V66" s="651" t="s">
        <v>119</v>
      </c>
      <c r="W66" s="651"/>
      <c r="X66" s="651"/>
      <c r="Y66" s="661">
        <f>+I67</f>
        <v>96774526</v>
      </c>
      <c r="Z66" s="661"/>
      <c r="AA66" s="332" t="s">
        <v>111</v>
      </c>
      <c r="AB66" s="163">
        <f>AB54</f>
        <v>0</v>
      </c>
      <c r="AC66" s="56">
        <f>ROUND(Y66*AB66,0)</f>
        <v>0</v>
      </c>
      <c r="AD66" s="9"/>
    </row>
    <row r="67" spans="1:30" ht="20.25" customHeight="1" x14ac:dyDescent="0.25">
      <c r="B67" s="13" t="s">
        <v>119</v>
      </c>
      <c r="C67" s="13"/>
      <c r="D67" s="13"/>
      <c r="E67" s="13"/>
      <c r="F67" s="13"/>
      <c r="H67" s="164" t="s">
        <v>25</v>
      </c>
      <c r="I67" s="129">
        <v>96774526</v>
      </c>
      <c r="J67" s="165" t="s">
        <v>111</v>
      </c>
      <c r="K67" s="166">
        <f>K54</f>
        <v>5.6599999999999999E-4</v>
      </c>
      <c r="L67" s="50">
        <f>ROUND(I67*K67,0)</f>
        <v>54774</v>
      </c>
      <c r="O67" s="1"/>
      <c r="V67" s="651" t="s">
        <v>120</v>
      </c>
      <c r="W67" s="651"/>
      <c r="X67" s="651"/>
      <c r="Y67" s="651"/>
      <c r="Z67" s="651"/>
      <c r="AA67" s="651"/>
      <c r="AB67" s="651"/>
      <c r="AC67" s="651"/>
      <c r="AD67" s="9"/>
    </row>
    <row r="68" spans="1:30" ht="20.25" customHeight="1" x14ac:dyDescent="0.25">
      <c r="B68" s="13" t="s">
        <v>120</v>
      </c>
      <c r="C68" s="13"/>
      <c r="D68" s="13"/>
      <c r="E68" s="13"/>
      <c r="F68" s="13"/>
      <c r="H68" s="13"/>
      <c r="I68" s="13"/>
      <c r="J68" s="82"/>
      <c r="K68" s="13"/>
      <c r="L68" s="13"/>
      <c r="O68" s="1"/>
      <c r="V68" s="667" t="s">
        <v>121</v>
      </c>
      <c r="W68" s="667"/>
      <c r="X68" s="667"/>
      <c r="Y68" s="661">
        <f>+I69</f>
        <v>0</v>
      </c>
      <c r="Z68" s="661"/>
      <c r="AA68" s="332" t="s">
        <v>111</v>
      </c>
      <c r="AB68" s="163">
        <f>AB57</f>
        <v>0</v>
      </c>
      <c r="AC68" s="56">
        <f>ROUND(Y68*AB68,0)</f>
        <v>0</v>
      </c>
      <c r="AD68" s="9"/>
    </row>
    <row r="69" spans="1:30" ht="15" customHeight="1" x14ac:dyDescent="0.25">
      <c r="B69" s="170" t="s">
        <v>121</v>
      </c>
      <c r="C69" s="13"/>
      <c r="D69" s="13"/>
      <c r="E69" s="13"/>
      <c r="F69" s="13"/>
      <c r="H69" s="164" t="s">
        <v>23</v>
      </c>
      <c r="I69" s="129">
        <v>0</v>
      </c>
      <c r="J69" s="165" t="s">
        <v>111</v>
      </c>
      <c r="K69" s="166">
        <f>K57</f>
        <v>5.71E-4</v>
      </c>
      <c r="L69" s="50">
        <f>ROUND(I69*K69,0)</f>
        <v>0</v>
      </c>
      <c r="O69" s="1"/>
      <c r="V69" s="651" t="s">
        <v>122</v>
      </c>
      <c r="W69" s="651"/>
      <c r="X69" s="651"/>
      <c r="Y69" s="668">
        <f>+I70</f>
        <v>-3460775</v>
      </c>
      <c r="Z69" s="668"/>
      <c r="AA69" s="332" t="s">
        <v>111</v>
      </c>
      <c r="AB69" s="163">
        <f>AB54</f>
        <v>0</v>
      </c>
      <c r="AC69" s="56">
        <f>ROUND(Y69*AB69,0)</f>
        <v>0</v>
      </c>
      <c r="AD69" s="9"/>
    </row>
    <row r="70" spans="1:30" ht="20.25" customHeight="1" x14ac:dyDescent="0.25">
      <c r="B70" s="13" t="s">
        <v>122</v>
      </c>
      <c r="C70" s="13"/>
      <c r="D70" s="13"/>
      <c r="E70" s="13"/>
      <c r="F70" s="13"/>
      <c r="H70" s="164" t="s">
        <v>22</v>
      </c>
      <c r="I70" s="129">
        <v>-3460775</v>
      </c>
      <c r="J70" s="165" t="s">
        <v>111</v>
      </c>
      <c r="K70" s="166">
        <f>K54</f>
        <v>5.6599999999999999E-4</v>
      </c>
      <c r="L70" s="50">
        <f>ROUND(I70*K70,0)</f>
        <v>-1959</v>
      </c>
      <c r="O70" s="1"/>
      <c r="V70" s="651" t="s">
        <v>123</v>
      </c>
      <c r="W70" s="651"/>
      <c r="X70" s="651"/>
      <c r="Y70" s="665">
        <f>+I71</f>
        <v>1874788</v>
      </c>
      <c r="Z70" s="665"/>
      <c r="AA70" s="332" t="s">
        <v>111</v>
      </c>
      <c r="AB70" s="163">
        <f>AB54</f>
        <v>0</v>
      </c>
      <c r="AC70" s="56">
        <f>ROUND(Y70*AB70,0)</f>
        <v>0</v>
      </c>
      <c r="AD70" s="9"/>
    </row>
    <row r="71" spans="1:30" ht="20.25" customHeight="1" x14ac:dyDescent="0.25">
      <c r="B71" s="13" t="s">
        <v>123</v>
      </c>
      <c r="C71" s="13"/>
      <c r="D71" s="13"/>
      <c r="E71" s="13"/>
      <c r="F71" s="13"/>
      <c r="H71" s="164" t="s">
        <v>22</v>
      </c>
      <c r="I71" s="129">
        <v>1874788</v>
      </c>
      <c r="J71" s="165" t="s">
        <v>111</v>
      </c>
      <c r="K71" s="166">
        <f>K54</f>
        <v>5.6599999999999999E-4</v>
      </c>
      <c r="L71" s="50">
        <f>ROUND(I71*K71,0)</f>
        <v>1061</v>
      </c>
      <c r="O71" s="1"/>
      <c r="V71" s="651" t="s">
        <v>124</v>
      </c>
      <c r="W71" s="651"/>
      <c r="X71" s="651"/>
      <c r="Y71" s="665">
        <f>+I72</f>
        <v>14223298</v>
      </c>
      <c r="Z71" s="665"/>
      <c r="AA71" s="332" t="s">
        <v>111</v>
      </c>
      <c r="AB71" s="163">
        <f>AB57</f>
        <v>0</v>
      </c>
      <c r="AC71" s="56">
        <f>ROUND(Y71*AB71,0)</f>
        <v>0</v>
      </c>
      <c r="AD71" s="9"/>
    </row>
    <row r="72" spans="1:30" ht="21" customHeight="1" x14ac:dyDescent="0.25">
      <c r="B72" s="13" t="s">
        <v>124</v>
      </c>
      <c r="C72" s="13"/>
      <c r="D72" s="13"/>
      <c r="E72" s="13"/>
      <c r="F72" s="13"/>
      <c r="H72" s="164" t="s">
        <v>23</v>
      </c>
      <c r="I72" s="171">
        <v>14223298</v>
      </c>
      <c r="J72" s="165" t="s">
        <v>111</v>
      </c>
      <c r="K72" s="166">
        <f>K57</f>
        <v>5.71E-4</v>
      </c>
      <c r="L72" s="50">
        <f>ROUND(I72*K72,0)</f>
        <v>8122</v>
      </c>
      <c r="O72" s="1"/>
      <c r="V72" s="623" t="s">
        <v>125</v>
      </c>
      <c r="W72" s="623"/>
      <c r="X72" s="623"/>
      <c r="Y72" s="623"/>
      <c r="Z72" s="623"/>
      <c r="AA72" s="623"/>
      <c r="AB72" s="623"/>
      <c r="AC72" s="60"/>
      <c r="AD72" s="9"/>
    </row>
    <row r="73" spans="1:30" ht="17.25" customHeight="1" x14ac:dyDescent="0.25">
      <c r="B73" s="13" t="s">
        <v>125</v>
      </c>
      <c r="C73" s="13"/>
      <c r="D73" s="13"/>
      <c r="E73" s="13"/>
      <c r="F73" s="13"/>
      <c r="H73" s="13"/>
      <c r="I73" s="13"/>
      <c r="J73" s="82"/>
      <c r="K73" s="13"/>
      <c r="L73" s="59"/>
      <c r="O73" s="1"/>
      <c r="V73" s="651" t="s">
        <v>126</v>
      </c>
      <c r="W73" s="651"/>
      <c r="X73" s="651"/>
      <c r="Y73" s="651"/>
      <c r="Z73" s="651"/>
      <c r="AA73" s="651"/>
      <c r="AB73" s="651"/>
      <c r="AC73" s="651"/>
      <c r="AD73" s="9"/>
    </row>
    <row r="74" spans="1:30" ht="31.5" x14ac:dyDescent="0.25">
      <c r="B74" s="13" t="s">
        <v>126</v>
      </c>
      <c r="C74" s="13"/>
      <c r="D74" s="27" t="s">
        <v>13</v>
      </c>
      <c r="E74" s="27" t="s">
        <v>14</v>
      </c>
      <c r="F74" s="27"/>
      <c r="H74" s="164" t="s">
        <v>26</v>
      </c>
      <c r="I74" s="172"/>
      <c r="J74" s="164"/>
      <c r="K74" s="172"/>
      <c r="L74" s="112"/>
      <c r="O74" s="1"/>
      <c r="V74" s="666" t="s">
        <v>127</v>
      </c>
      <c r="W74" s="666"/>
      <c r="X74" s="173" t="s">
        <v>128</v>
      </c>
      <c r="Y74" s="174"/>
      <c r="Z74" s="175">
        <f>+I75</f>
        <v>0</v>
      </c>
      <c r="AA74" s="331" t="s">
        <v>129</v>
      </c>
      <c r="AB74" s="177">
        <f>+K75</f>
        <v>361</v>
      </c>
      <c r="AC74" s="56">
        <f>ROUND(AB74*Z74,0)</f>
        <v>0</v>
      </c>
      <c r="AD74" s="9"/>
    </row>
    <row r="75" spans="1:30" ht="19.5" customHeight="1" x14ac:dyDescent="0.25">
      <c r="A75" s="1" t="s">
        <v>130</v>
      </c>
      <c r="B75" s="178" t="s">
        <v>127</v>
      </c>
      <c r="C75" s="179" t="s">
        <v>128</v>
      </c>
      <c r="D75" s="178">
        <v>0</v>
      </c>
      <c r="E75" s="178">
        <v>0</v>
      </c>
      <c r="F75" s="178">
        <v>0</v>
      </c>
      <c r="G75" s="180">
        <f>IF(E75=0,D75,E75)</f>
        <v>0</v>
      </c>
      <c r="H75" s="181"/>
      <c r="I75" s="182">
        <f>AVERAGE(G75,D75)</f>
        <v>0</v>
      </c>
      <c r="J75" s="183" t="s">
        <v>129</v>
      </c>
      <c r="K75" s="184">
        <v>361</v>
      </c>
      <c r="L75" s="50">
        <f>ROUND(K75*I75,0)</f>
        <v>0</v>
      </c>
      <c r="N75" s="1">
        <v>7802</v>
      </c>
      <c r="O75" s="1">
        <v>0</v>
      </c>
      <c r="V75" s="666" t="s">
        <v>127</v>
      </c>
      <c r="W75" s="666"/>
      <c r="X75" s="173" t="s">
        <v>131</v>
      </c>
      <c r="Y75" s="185"/>
      <c r="Z75" s="186">
        <f>+I76</f>
        <v>0</v>
      </c>
      <c r="AA75" s="331" t="s">
        <v>129</v>
      </c>
      <c r="AB75" s="187">
        <f>+K76</f>
        <v>1358</v>
      </c>
      <c r="AC75" s="56">
        <f>ROUND(AB75*Z75,0)</f>
        <v>0</v>
      </c>
      <c r="AD75" s="9"/>
    </row>
    <row r="76" spans="1:30" ht="19.5" customHeight="1" x14ac:dyDescent="0.25">
      <c r="A76" s="1" t="s">
        <v>132</v>
      </c>
      <c r="B76" s="178" t="s">
        <v>127</v>
      </c>
      <c r="C76" s="179" t="s">
        <v>131</v>
      </c>
      <c r="D76" s="178">
        <v>0</v>
      </c>
      <c r="E76" s="178">
        <v>0</v>
      </c>
      <c r="F76" s="178">
        <v>0</v>
      </c>
      <c r="G76" s="180">
        <f>IF(E76=0,D76,E76)</f>
        <v>0</v>
      </c>
      <c r="H76" s="181"/>
      <c r="I76" s="182">
        <f>AVERAGE(G76,D76)</f>
        <v>0</v>
      </c>
      <c r="J76" s="183" t="s">
        <v>129</v>
      </c>
      <c r="K76" s="188">
        <v>1358</v>
      </c>
      <c r="L76" s="50">
        <f>ROUND(K76*I76,0)</f>
        <v>0</v>
      </c>
      <c r="N76" s="1">
        <v>7802</v>
      </c>
      <c r="O76" s="1">
        <v>110</v>
      </c>
      <c r="V76" s="651" t="s">
        <v>133</v>
      </c>
      <c r="W76" s="651"/>
      <c r="X76" s="651"/>
      <c r="Y76" s="661">
        <f>+I77</f>
        <v>33305823</v>
      </c>
      <c r="Z76" s="661"/>
      <c r="AA76" s="331" t="s">
        <v>129</v>
      </c>
      <c r="AB76" s="163">
        <f>AB54</f>
        <v>0</v>
      </c>
      <c r="AC76" s="56">
        <f>ROUND(Y76*AB76,0)</f>
        <v>0</v>
      </c>
      <c r="AD76" s="9"/>
    </row>
    <row r="77" spans="1:30" ht="26.25" customHeight="1" x14ac:dyDescent="0.25">
      <c r="B77" s="13" t="s">
        <v>133</v>
      </c>
      <c r="C77" s="13"/>
      <c r="D77" s="13"/>
      <c r="E77" s="13"/>
      <c r="F77" s="13"/>
      <c r="H77" s="164" t="s">
        <v>134</v>
      </c>
      <c r="I77" s="189">
        <v>33305823</v>
      </c>
      <c r="J77" s="165" t="s">
        <v>111</v>
      </c>
      <c r="K77" s="166">
        <f>K54</f>
        <v>5.6599999999999999E-4</v>
      </c>
      <c r="L77" s="50">
        <f>ROUND(I77*K77,0)</f>
        <v>18851</v>
      </c>
      <c r="O77" s="1"/>
      <c r="V77" s="651" t="str">
        <f>+B78</f>
        <v>15.  Additional Allocation (WFTE share)</v>
      </c>
      <c r="W77" s="651"/>
      <c r="X77" s="651"/>
      <c r="Y77" s="661">
        <f>+I78</f>
        <v>680688</v>
      </c>
      <c r="Z77" s="661"/>
      <c r="AA77" s="331" t="s">
        <v>129</v>
      </c>
      <c r="AB77" s="163">
        <f>AB54</f>
        <v>0</v>
      </c>
      <c r="AC77" s="56">
        <f>ROUND(Y77*AB77,0)</f>
        <v>0</v>
      </c>
      <c r="AD77" s="9"/>
    </row>
    <row r="78" spans="1:30" ht="26.25" customHeight="1" x14ac:dyDescent="0.25">
      <c r="B78" s="669" t="s">
        <v>135</v>
      </c>
      <c r="C78" s="669"/>
      <c r="D78" s="669"/>
      <c r="E78" s="13"/>
      <c r="F78" s="13"/>
      <c r="H78" s="164" t="s">
        <v>136</v>
      </c>
      <c r="I78" s="190">
        <v>680688</v>
      </c>
      <c r="J78" s="165" t="s">
        <v>111</v>
      </c>
      <c r="K78" s="166">
        <f>K54</f>
        <v>5.6599999999999999E-4</v>
      </c>
      <c r="L78" s="50">
        <f>ROUND(I78*K78,0)</f>
        <v>385</v>
      </c>
      <c r="O78" s="1"/>
      <c r="V78" s="651" t="str">
        <f>+B79</f>
        <v>16.  Florida Teachers Lead Program Stipend</v>
      </c>
      <c r="W78" s="651"/>
      <c r="X78" s="651"/>
      <c r="Y78" s="191"/>
      <c r="Z78" s="191"/>
      <c r="AA78" s="191"/>
      <c r="AB78" s="191"/>
      <c r="AC78" s="134"/>
      <c r="AD78" s="9"/>
    </row>
    <row r="79" spans="1:30" ht="21" customHeight="1" x14ac:dyDescent="0.25">
      <c r="B79" s="669" t="s">
        <v>137</v>
      </c>
      <c r="C79" s="669"/>
      <c r="D79" s="669"/>
      <c r="E79" s="13"/>
      <c r="F79" s="13"/>
      <c r="H79" s="164"/>
      <c r="I79" s="172"/>
      <c r="J79" s="172"/>
      <c r="K79" s="172"/>
      <c r="L79" s="129"/>
      <c r="N79" s="192"/>
      <c r="O79" s="1"/>
      <c r="Q79" s="164"/>
      <c r="V79" s="651" t="str">
        <f>+B80</f>
        <v>17.  Food Service Allocation</v>
      </c>
      <c r="W79" s="651"/>
      <c r="X79" s="651"/>
      <c r="Y79" s="191"/>
      <c r="Z79" s="191"/>
      <c r="AA79" s="191"/>
      <c r="AB79" s="191"/>
      <c r="AC79" s="193"/>
      <c r="AD79" s="9"/>
    </row>
    <row r="80" spans="1:30" ht="21" customHeight="1" x14ac:dyDescent="0.25">
      <c r="B80" s="669" t="s">
        <v>138</v>
      </c>
      <c r="C80" s="669"/>
      <c r="D80" s="669"/>
      <c r="E80" s="13"/>
      <c r="F80" s="13"/>
      <c r="H80" s="194" t="s">
        <v>139</v>
      </c>
      <c r="I80" s="195"/>
      <c r="J80" s="195"/>
      <c r="K80" s="195"/>
      <c r="L80" s="196"/>
      <c r="N80" s="197"/>
      <c r="O80" s="1"/>
      <c r="Q80" s="164"/>
      <c r="V80" s="191"/>
      <c r="W80" s="191"/>
      <c r="X80" s="191"/>
      <c r="Y80" s="191"/>
      <c r="Z80" s="191"/>
      <c r="AA80" s="191"/>
      <c r="AB80" s="191"/>
      <c r="AC80" s="193"/>
      <c r="AD80" s="9"/>
    </row>
    <row r="81" spans="1:30" ht="21" customHeight="1" thickBot="1" x14ac:dyDescent="0.3">
      <c r="B81" s="13"/>
      <c r="C81" s="13"/>
      <c r="D81" s="13"/>
      <c r="E81" s="13"/>
      <c r="F81" s="13"/>
      <c r="G81" s="13"/>
      <c r="H81" s="13"/>
      <c r="I81" s="13"/>
      <c r="J81" s="13"/>
      <c r="K81" s="13"/>
      <c r="L81" s="196"/>
      <c r="M81" s="198"/>
      <c r="N81" s="197"/>
      <c r="O81" s="1"/>
      <c r="Q81" s="164"/>
      <c r="V81" s="191" t="s">
        <v>140</v>
      </c>
      <c r="W81" s="191"/>
      <c r="X81" s="191"/>
      <c r="Y81" s="191"/>
      <c r="Z81" s="191"/>
      <c r="AA81" s="191"/>
      <c r="AB81" s="191"/>
      <c r="AC81" s="199">
        <f>SUM(AC44:AC80)</f>
        <v>0</v>
      </c>
      <c r="AD81" s="200"/>
    </row>
    <row r="82" spans="1:30" ht="22.5" customHeight="1" thickTop="1" thickBot="1" x14ac:dyDescent="0.3">
      <c r="B82" s="13" t="s">
        <v>141</v>
      </c>
      <c r="C82" s="13"/>
      <c r="D82" s="13"/>
      <c r="E82" s="13"/>
      <c r="F82" s="13"/>
      <c r="G82" s="13"/>
      <c r="H82" s="13"/>
      <c r="I82" s="13"/>
      <c r="J82" s="13"/>
      <c r="K82" s="13"/>
      <c r="L82" s="201">
        <f>SUM(L44:L81)</f>
        <v>683633</v>
      </c>
      <c r="M82" s="202"/>
      <c r="N82" s="203"/>
      <c r="O82" s="1"/>
      <c r="Q82" s="164"/>
      <c r="V82" s="191"/>
      <c r="W82" s="191"/>
      <c r="X82" s="191"/>
      <c r="Y82" s="191"/>
      <c r="Z82" s="191"/>
      <c r="AA82" s="191"/>
      <c r="AB82" s="191"/>
      <c r="AC82" s="204"/>
      <c r="AD82" s="200"/>
    </row>
    <row r="83" spans="1:30" ht="27.75" customHeight="1" thickTop="1" x14ac:dyDescent="0.25">
      <c r="B83" s="13" t="s">
        <v>142</v>
      </c>
      <c r="C83" s="13"/>
      <c r="D83" s="13"/>
      <c r="E83" s="13"/>
      <c r="F83" s="13"/>
      <c r="G83" s="13"/>
      <c r="H83" s="13"/>
      <c r="I83" s="13"/>
      <c r="J83" s="13"/>
      <c r="K83" s="82" t="s">
        <v>143</v>
      </c>
      <c r="L83" s="205" t="s">
        <v>144</v>
      </c>
      <c r="M83" s="202"/>
      <c r="N83" s="203"/>
      <c r="O83" s="1"/>
      <c r="Q83" s="164"/>
      <c r="V83" s="9" t="s">
        <v>145</v>
      </c>
      <c r="W83" s="9"/>
      <c r="X83" s="9"/>
      <c r="Y83" s="9"/>
      <c r="Z83" s="9"/>
      <c r="AA83" s="9"/>
      <c r="AB83" s="9"/>
      <c r="AC83" s="9"/>
      <c r="AD83" s="206"/>
    </row>
    <row r="84" spans="1:30" ht="18.75" customHeight="1" thickBot="1" x14ac:dyDescent="0.3">
      <c r="B84" s="13" t="s">
        <v>146</v>
      </c>
      <c r="C84" s="13"/>
      <c r="D84" s="13"/>
      <c r="E84" s="13"/>
      <c r="F84" s="13"/>
      <c r="G84" s="13"/>
      <c r="H84" s="13"/>
      <c r="I84" s="13"/>
      <c r="J84" s="13"/>
      <c r="K84" s="207" t="str">
        <f>IF(G26=0,"",IF((G11+G13+SUM(G15:G21))/G26&gt;0.75,1,""))</f>
        <v/>
      </c>
      <c r="L84" s="201">
        <f>'0054 June Final'!AC81</f>
        <v>0</v>
      </c>
      <c r="M84" s="202"/>
      <c r="N84" s="203"/>
      <c r="O84" s="1"/>
      <c r="Q84" s="164"/>
      <c r="V84" s="208" t="s">
        <v>147</v>
      </c>
      <c r="W84" s="208"/>
      <c r="X84" s="208"/>
      <c r="Y84" s="208"/>
      <c r="Z84" s="208"/>
      <c r="AA84" s="208"/>
      <c r="AB84" s="208"/>
      <c r="AC84" s="208"/>
      <c r="AD84" s="9"/>
    </row>
    <row r="85" spans="1:30" ht="18.75" customHeight="1" thickTop="1" x14ac:dyDescent="0.25">
      <c r="B85" s="13"/>
      <c r="C85" s="13"/>
      <c r="D85" s="13"/>
      <c r="E85" s="13"/>
      <c r="F85" s="13"/>
      <c r="G85" s="13"/>
      <c r="H85" s="13"/>
      <c r="I85" s="13"/>
      <c r="J85" s="13"/>
      <c r="M85" s="202"/>
      <c r="N85" s="203"/>
      <c r="O85" s="1"/>
      <c r="Q85" s="164"/>
      <c r="V85" s="208" t="s">
        <v>148</v>
      </c>
      <c r="W85" s="208"/>
      <c r="X85" s="208"/>
      <c r="Y85" s="208"/>
      <c r="Z85" s="208"/>
      <c r="AA85" s="208"/>
      <c r="AB85" s="208"/>
      <c r="AC85" s="208"/>
      <c r="AD85" s="206"/>
    </row>
    <row r="86" spans="1:30" ht="18.75" customHeight="1" x14ac:dyDescent="0.25">
      <c r="B86" s="2" t="s">
        <v>149</v>
      </c>
      <c r="C86" s="13"/>
      <c r="D86" s="13"/>
      <c r="E86" s="13"/>
      <c r="F86" s="13"/>
      <c r="G86" s="13"/>
      <c r="H86" s="13"/>
      <c r="I86" s="13"/>
      <c r="J86" s="209" t="s">
        <v>150</v>
      </c>
      <c r="K86" s="210">
        <f>IF(K84=1,L84,L82)</f>
        <v>683633</v>
      </c>
      <c r="L86" s="211">
        <f>IF(G26=0,0,IF(G26&gt;250,-(((250/G26)*K86)*IF(M86="H",0.02,0.05)),IF(M86="H",-0.02*K86,-0.05*K86)))</f>
        <v>-34181.65</v>
      </c>
      <c r="M86" s="212" t="str">
        <f>IF(B123="2801","H",IF(B123="2911","H",IF(B123="3382","H"," ")))</f>
        <v xml:space="preserve"> </v>
      </c>
      <c r="N86" s="203"/>
      <c r="O86" s="1"/>
      <c r="Q86" s="164"/>
      <c r="V86" s="208" t="s">
        <v>151</v>
      </c>
      <c r="W86" s="208"/>
      <c r="X86" s="208"/>
      <c r="Y86" s="208"/>
      <c r="Z86" s="208"/>
      <c r="AA86" s="208"/>
      <c r="AB86" s="208"/>
      <c r="AC86" s="208"/>
      <c r="AD86" s="206"/>
    </row>
    <row r="87" spans="1:30" ht="18.75" customHeight="1" x14ac:dyDescent="0.25">
      <c r="B87" s="2" t="s">
        <v>152</v>
      </c>
      <c r="C87" s="13"/>
      <c r="D87" s="13"/>
      <c r="E87" s="13"/>
      <c r="F87" s="13"/>
      <c r="G87" s="13"/>
      <c r="H87" s="13"/>
      <c r="I87" s="13"/>
      <c r="J87" s="13"/>
      <c r="K87" s="213"/>
      <c r="L87" s="205">
        <f>L82+L86</f>
        <v>649451.35</v>
      </c>
      <c r="M87" s="202"/>
      <c r="N87" s="203"/>
      <c r="O87" s="1"/>
      <c r="Q87" s="164"/>
      <c r="V87" s="198"/>
      <c r="W87" s="198"/>
      <c r="X87" s="198"/>
      <c r="Y87" s="198"/>
      <c r="Z87" s="198"/>
      <c r="AA87" s="198"/>
      <c r="AB87" s="198"/>
      <c r="AC87" s="198"/>
      <c r="AD87" s="214"/>
    </row>
    <row r="88" spans="1:30" x14ac:dyDescent="0.25">
      <c r="V88" s="198"/>
      <c r="W88" s="198"/>
      <c r="X88" s="198"/>
      <c r="Y88" s="198"/>
      <c r="Z88" s="198"/>
      <c r="AA88" s="198"/>
      <c r="AB88" s="198"/>
      <c r="AC88" s="198"/>
      <c r="AD88" s="215"/>
    </row>
    <row r="89" spans="1:30" ht="18.75" customHeight="1" x14ac:dyDescent="0.25">
      <c r="A89" s="1" t="s">
        <v>153</v>
      </c>
      <c r="B89" s="13" t="s">
        <v>154</v>
      </c>
      <c r="C89" s="13"/>
      <c r="D89" s="13">
        <v>322350</v>
      </c>
      <c r="E89" s="13">
        <v>56062</v>
      </c>
      <c r="F89" s="13">
        <v>546601</v>
      </c>
      <c r="G89" s="13"/>
      <c r="H89" s="13"/>
      <c r="I89" s="13"/>
      <c r="J89" s="13"/>
      <c r="K89" s="213"/>
      <c r="L89" s="84">
        <v>-649840.85</v>
      </c>
      <c r="M89" s="202"/>
      <c r="N89" s="203"/>
      <c r="O89" s="1"/>
      <c r="Q89" s="164"/>
      <c r="V89" s="198">
        <v>2801</v>
      </c>
      <c r="W89" s="198"/>
      <c r="X89" s="198"/>
      <c r="Y89" s="198"/>
      <c r="Z89" s="198"/>
      <c r="AA89" s="198"/>
      <c r="AB89" s="198"/>
      <c r="AC89" s="198"/>
      <c r="AD89" s="214"/>
    </row>
    <row r="90" spans="1:30" ht="18.75" customHeight="1" x14ac:dyDescent="0.25">
      <c r="B90" s="13" t="s">
        <v>155</v>
      </c>
      <c r="C90" s="13"/>
      <c r="D90" s="13"/>
      <c r="E90" s="13"/>
      <c r="F90" s="13"/>
      <c r="G90" s="13"/>
      <c r="H90" s="13"/>
      <c r="I90" s="13"/>
      <c r="J90" s="13"/>
      <c r="K90" s="213"/>
      <c r="L90" s="205">
        <f>L87+L89</f>
        <v>-389.5</v>
      </c>
      <c r="M90" s="202"/>
      <c r="N90" s="203"/>
      <c r="O90" s="1"/>
      <c r="Q90" s="164"/>
      <c r="V90" s="198">
        <v>2911</v>
      </c>
      <c r="W90" s="216"/>
      <c r="X90" s="216"/>
      <c r="Y90" s="216"/>
      <c r="Z90" s="216"/>
      <c r="AA90" s="216"/>
      <c r="AB90" s="216"/>
      <c r="AC90" s="216"/>
      <c r="AD90" s="214"/>
    </row>
    <row r="91" spans="1:30" ht="18.75" customHeight="1" x14ac:dyDescent="0.25">
      <c r="B91" s="13" t="s">
        <v>156</v>
      </c>
      <c r="C91" s="13"/>
      <c r="D91" s="13"/>
      <c r="E91" s="13"/>
      <c r="F91" s="13"/>
      <c r="G91" s="13"/>
      <c r="H91" s="13"/>
      <c r="I91" s="13"/>
      <c r="J91" s="13"/>
      <c r="K91" s="213"/>
      <c r="L91" s="205">
        <v>1</v>
      </c>
      <c r="M91" s="202"/>
      <c r="N91" s="203"/>
      <c r="O91" s="1"/>
      <c r="Q91" s="164"/>
      <c r="V91" s="198">
        <v>3382</v>
      </c>
      <c r="W91" s="216"/>
      <c r="X91" s="216"/>
      <c r="Y91" s="216"/>
      <c r="Z91" s="216"/>
      <c r="AA91" s="216"/>
      <c r="AB91" s="216"/>
      <c r="AC91" s="216"/>
      <c r="AD91" s="214"/>
    </row>
    <row r="92" spans="1:30" ht="18.75" customHeight="1" thickBot="1" x14ac:dyDescent="0.3">
      <c r="B92" s="13" t="s">
        <v>434</v>
      </c>
      <c r="C92" s="13"/>
      <c r="D92" s="13"/>
      <c r="E92" s="13"/>
      <c r="F92" s="13"/>
      <c r="G92" s="13"/>
      <c r="H92" s="13"/>
      <c r="I92" s="13"/>
      <c r="J92" s="13"/>
      <c r="K92" s="213"/>
      <c r="L92" s="217">
        <f>L90/L91</f>
        <v>-389.5</v>
      </c>
      <c r="M92" s="202"/>
      <c r="N92" s="203"/>
      <c r="O92" s="1"/>
      <c r="Q92" s="164"/>
      <c r="V92" s="218"/>
      <c r="W92" s="218"/>
      <c r="X92" s="218"/>
      <c r="Y92" s="218"/>
      <c r="Z92" s="218"/>
      <c r="AA92" s="218"/>
      <c r="AB92" s="218"/>
      <c r="AC92" s="218"/>
      <c r="AD92" s="219"/>
    </row>
    <row r="93" spans="1:30" ht="18.75" customHeight="1" thickTop="1" x14ac:dyDescent="0.25">
      <c r="N93" s="219"/>
      <c r="O93" s="220"/>
      <c r="P93" s="219"/>
      <c r="Q93" s="219"/>
      <c r="V93" s="218"/>
      <c r="W93" s="218"/>
      <c r="X93" s="218"/>
      <c r="Y93" s="218"/>
      <c r="Z93" s="218"/>
      <c r="AA93" s="218"/>
      <c r="AB93" s="218"/>
      <c r="AC93" s="218"/>
      <c r="AD93" s="214"/>
    </row>
    <row r="94" spans="1:30" ht="18.75" customHeight="1" thickBot="1" x14ac:dyDescent="0.3">
      <c r="B94" s="221" t="s">
        <v>158</v>
      </c>
      <c r="C94" s="13"/>
      <c r="D94" s="13"/>
      <c r="E94" s="13"/>
      <c r="G94" s="13"/>
      <c r="H94" s="13"/>
      <c r="I94" s="13"/>
      <c r="J94" s="13"/>
      <c r="L94" s="222">
        <f>IF(M86="H",(K86*0.02)+L86,(K86*0.05)+L86)</f>
        <v>0</v>
      </c>
      <c r="M94" s="202"/>
      <c r="V94" s="223"/>
      <c r="W94" s="223"/>
      <c r="X94" s="223"/>
      <c r="Y94" s="223"/>
      <c r="Z94" s="223"/>
      <c r="AA94" s="223"/>
      <c r="AB94" s="223"/>
      <c r="AC94" s="223"/>
      <c r="AD94" s="214"/>
    </row>
    <row r="95" spans="1:30" ht="21.75" customHeight="1" thickTop="1" x14ac:dyDescent="0.25">
      <c r="B95" s="224" t="s">
        <v>159</v>
      </c>
      <c r="C95" s="224"/>
      <c r="D95" s="224"/>
      <c r="E95" s="224"/>
      <c r="F95" s="224"/>
      <c r="G95" s="224"/>
      <c r="H95" s="224"/>
      <c r="I95" s="224"/>
      <c r="J95" s="224"/>
      <c r="K95" s="224"/>
      <c r="L95" s="224"/>
      <c r="M95" s="219"/>
      <c r="V95" s="223"/>
      <c r="W95" s="223"/>
      <c r="X95" s="223"/>
      <c r="Y95" s="223"/>
      <c r="Z95" s="223"/>
      <c r="AA95" s="223"/>
      <c r="AB95" s="223"/>
      <c r="AC95" s="223"/>
      <c r="AD95" s="214"/>
    </row>
    <row r="96" spans="1:30" x14ac:dyDescent="0.25">
      <c r="B96" s="225"/>
      <c r="V96" s="223"/>
      <c r="W96" s="223"/>
      <c r="X96" s="223"/>
      <c r="Y96" s="223"/>
      <c r="Z96" s="223"/>
      <c r="AA96" s="223"/>
      <c r="AB96" s="223"/>
      <c r="AC96" s="223"/>
      <c r="AD96" s="219"/>
    </row>
    <row r="97" spans="2:30" x14ac:dyDescent="0.25">
      <c r="B97" s="225"/>
      <c r="V97" s="223"/>
      <c r="W97" s="223"/>
      <c r="X97" s="223"/>
      <c r="Y97" s="223"/>
      <c r="Z97" s="223"/>
      <c r="AA97" s="223"/>
      <c r="AB97" s="223"/>
      <c r="AC97" s="223"/>
      <c r="AD97" s="219"/>
    </row>
    <row r="98" spans="2:30" hidden="1" x14ac:dyDescent="0.25">
      <c r="B98" s="226" t="s">
        <v>160</v>
      </c>
      <c r="C98" s="227"/>
      <c r="V98" s="228"/>
      <c r="W98" s="228"/>
      <c r="X98" s="228"/>
      <c r="Y98" s="228"/>
      <c r="Z98" s="228"/>
      <c r="AA98" s="228"/>
      <c r="AB98" s="228"/>
      <c r="AC98" s="228"/>
    </row>
    <row r="99" spans="2:30" hidden="1" x14ac:dyDescent="0.25">
      <c r="B99" s="229"/>
      <c r="C99" s="227"/>
      <c r="V99" s="225"/>
      <c r="W99" s="13"/>
      <c r="X99" s="13"/>
      <c r="Y99" s="13"/>
      <c r="Z99" s="13"/>
      <c r="AA99" s="13"/>
      <c r="AB99" s="13"/>
      <c r="AC99" s="13"/>
    </row>
    <row r="100" spans="2:30" hidden="1" x14ac:dyDescent="0.25">
      <c r="B100" s="230" t="s">
        <v>161</v>
      </c>
      <c r="C100" s="226" t="s">
        <v>162</v>
      </c>
      <c r="V100" s="225"/>
    </row>
    <row r="101" spans="2:30" hidden="1" x14ac:dyDescent="0.25">
      <c r="B101" s="230" t="s">
        <v>163</v>
      </c>
      <c r="C101" s="226" t="s">
        <v>164</v>
      </c>
      <c r="V101" s="225"/>
    </row>
    <row r="102" spans="2:30" hidden="1" x14ac:dyDescent="0.25">
      <c r="B102" s="230" t="s">
        <v>165</v>
      </c>
      <c r="C102" s="226" t="s">
        <v>166</v>
      </c>
      <c r="V102" s="225"/>
      <c r="W102" s="231"/>
      <c r="X102" s="231"/>
      <c r="Y102" s="231"/>
      <c r="Z102" s="231"/>
      <c r="AA102" s="231"/>
      <c r="AB102" s="231"/>
      <c r="AC102" s="231"/>
      <c r="AD102" s="231"/>
    </row>
    <row r="103" spans="2:30" hidden="1" x14ac:dyDescent="0.25">
      <c r="B103" s="230" t="s">
        <v>167</v>
      </c>
      <c r="C103" s="226" t="s">
        <v>168</v>
      </c>
      <c r="V103" s="225"/>
    </row>
    <row r="104" spans="2:30" hidden="1" x14ac:dyDescent="0.25">
      <c r="B104" s="232"/>
      <c r="C104" s="226" t="s">
        <v>169</v>
      </c>
      <c r="V104" s="225"/>
    </row>
    <row r="105" spans="2:30" hidden="1" x14ac:dyDescent="0.25">
      <c r="B105" s="230" t="s">
        <v>170</v>
      </c>
      <c r="C105" s="226" t="s">
        <v>171</v>
      </c>
      <c r="V105" s="225"/>
    </row>
    <row r="106" spans="2:30" hidden="1" x14ac:dyDescent="0.25">
      <c r="B106" s="230" t="s">
        <v>172</v>
      </c>
      <c r="C106" s="226" t="s">
        <v>173</v>
      </c>
      <c r="V106" s="225"/>
    </row>
    <row r="107" spans="2:30" hidden="1" x14ac:dyDescent="0.25">
      <c r="B107" s="230" t="s">
        <v>174</v>
      </c>
      <c r="C107" s="226" t="s">
        <v>175</v>
      </c>
      <c r="V107" s="225"/>
    </row>
    <row r="108" spans="2:30" hidden="1" x14ac:dyDescent="0.25">
      <c r="B108" s="230" t="s">
        <v>176</v>
      </c>
      <c r="C108" s="226" t="s">
        <v>177</v>
      </c>
      <c r="V108" s="225"/>
    </row>
    <row r="109" spans="2:30" hidden="1" x14ac:dyDescent="0.25">
      <c r="B109" s="230" t="s">
        <v>178</v>
      </c>
      <c r="C109" s="226" t="s">
        <v>179</v>
      </c>
      <c r="V109" s="225"/>
    </row>
    <row r="110" spans="2:30" hidden="1" x14ac:dyDescent="0.25">
      <c r="B110" s="232"/>
      <c r="C110" s="226"/>
      <c r="V110" s="225"/>
    </row>
    <row r="111" spans="2:30" hidden="1" x14ac:dyDescent="0.25">
      <c r="B111" s="230" t="s">
        <v>180</v>
      </c>
      <c r="C111" s="226" t="s">
        <v>181</v>
      </c>
      <c r="V111" s="225"/>
    </row>
    <row r="112" spans="2:30" hidden="1" x14ac:dyDescent="0.25">
      <c r="B112" s="230" t="s">
        <v>180</v>
      </c>
      <c r="C112" s="226" t="s">
        <v>182</v>
      </c>
    </row>
    <row r="113" spans="2:3" hidden="1" x14ac:dyDescent="0.25">
      <c r="B113" s="230" t="s">
        <v>183</v>
      </c>
      <c r="C113" s="226" t="s">
        <v>184</v>
      </c>
    </row>
    <row r="114" spans="2:3" hidden="1" x14ac:dyDescent="0.25">
      <c r="B114" s="230" t="s">
        <v>185</v>
      </c>
      <c r="C114" s="226" t="s">
        <v>186</v>
      </c>
    </row>
    <row r="115" spans="2:3" hidden="1" x14ac:dyDescent="0.25">
      <c r="B115" s="230" t="s">
        <v>183</v>
      </c>
      <c r="C115" s="226" t="s">
        <v>187</v>
      </c>
    </row>
    <row r="116" spans="2:3" hidden="1" x14ac:dyDescent="0.25">
      <c r="B116" s="230" t="s">
        <v>188</v>
      </c>
      <c r="C116" s="226" t="s">
        <v>189</v>
      </c>
    </row>
    <row r="117" spans="2:3" hidden="1" x14ac:dyDescent="0.25">
      <c r="B117" s="230" t="s">
        <v>190</v>
      </c>
      <c r="C117" s="226" t="s">
        <v>191</v>
      </c>
    </row>
    <row r="118" spans="2:3" hidden="1" x14ac:dyDescent="0.25">
      <c r="B118" s="232" t="s">
        <v>192</v>
      </c>
      <c r="C118" s="226" t="s">
        <v>193</v>
      </c>
    </row>
    <row r="119" spans="2:3" hidden="1" x14ac:dyDescent="0.25">
      <c r="B119" s="232"/>
      <c r="C119" s="226"/>
    </row>
    <row r="120" spans="2:3" hidden="1" x14ac:dyDescent="0.25">
      <c r="B120" s="230" t="s">
        <v>161</v>
      </c>
      <c r="C120" s="226" t="s">
        <v>194</v>
      </c>
    </row>
    <row r="121" spans="2:3" hidden="1" x14ac:dyDescent="0.25">
      <c r="B121" s="230" t="s">
        <v>195</v>
      </c>
      <c r="C121" s="226" t="s">
        <v>196</v>
      </c>
    </row>
    <row r="122" spans="2:3" hidden="1" x14ac:dyDescent="0.25">
      <c r="B122" s="230" t="s">
        <v>197</v>
      </c>
      <c r="C122" s="226" t="s">
        <v>198</v>
      </c>
    </row>
    <row r="123" spans="2:3" hidden="1" x14ac:dyDescent="0.25">
      <c r="B123" s="230" t="s">
        <v>199</v>
      </c>
      <c r="C123" s="226" t="s">
        <v>200</v>
      </c>
    </row>
    <row r="124" spans="2:3" hidden="1" x14ac:dyDescent="0.25">
      <c r="B124" s="230" t="s">
        <v>201</v>
      </c>
      <c r="C124" s="226" t="s">
        <v>202</v>
      </c>
    </row>
    <row r="125" spans="2:3" hidden="1" x14ac:dyDescent="0.25">
      <c r="B125" s="230" t="s">
        <v>203</v>
      </c>
      <c r="C125" s="226" t="s">
        <v>204</v>
      </c>
    </row>
    <row r="126" spans="2:3" hidden="1" x14ac:dyDescent="0.25">
      <c r="B126" s="230" t="s">
        <v>203</v>
      </c>
      <c r="C126" s="226" t="s">
        <v>205</v>
      </c>
    </row>
    <row r="127" spans="2:3" hidden="1" x14ac:dyDescent="0.25">
      <c r="B127" s="230" t="s">
        <v>203</v>
      </c>
      <c r="C127" s="226" t="s">
        <v>206</v>
      </c>
    </row>
    <row r="128" spans="2:3" hidden="1" x14ac:dyDescent="0.25">
      <c r="B128" s="230" t="s">
        <v>203</v>
      </c>
      <c r="C128" s="226" t="s">
        <v>207</v>
      </c>
    </row>
    <row r="129" spans="2:3" hidden="1" x14ac:dyDescent="0.25">
      <c r="B129" s="230" t="s">
        <v>167</v>
      </c>
      <c r="C129" s="226" t="s">
        <v>208</v>
      </c>
    </row>
    <row r="130" spans="2:3" hidden="1" x14ac:dyDescent="0.25">
      <c r="B130" s="230" t="s">
        <v>209</v>
      </c>
      <c r="C130" s="226" t="s">
        <v>210</v>
      </c>
    </row>
    <row r="131" spans="2:3" hidden="1" x14ac:dyDescent="0.25">
      <c r="B131" s="230" t="s">
        <v>203</v>
      </c>
      <c r="C131" s="226" t="s">
        <v>211</v>
      </c>
    </row>
    <row r="132" spans="2:3" hidden="1" x14ac:dyDescent="0.25">
      <c r="B132" s="226"/>
      <c r="C132" s="226"/>
    </row>
    <row r="133" spans="2:3" hidden="1" x14ac:dyDescent="0.25">
      <c r="B133" s="226"/>
      <c r="C133" s="226"/>
    </row>
    <row r="134" spans="2:3" hidden="1" x14ac:dyDescent="0.25">
      <c r="B134" s="232"/>
      <c r="C134" s="232"/>
    </row>
    <row r="135" spans="2:3" hidden="1" x14ac:dyDescent="0.25">
      <c r="B135" s="232">
        <f>NvsElapsedTime</f>
        <v>2.31481462833472E-5</v>
      </c>
      <c r="C135" s="232"/>
    </row>
    <row r="136" spans="2:3" hidden="1" x14ac:dyDescent="0.25">
      <c r="B136" s="233">
        <f>NvsEndTime</f>
        <v>41754.487638888902</v>
      </c>
      <c r="C136" s="233" t="s">
        <v>212</v>
      </c>
    </row>
    <row r="137" spans="2:3" x14ac:dyDescent="0.25">
      <c r="B137" s="226"/>
      <c r="C137" s="234"/>
    </row>
    <row r="138" spans="2:3" x14ac:dyDescent="0.25">
      <c r="B138" s="226"/>
      <c r="C138" s="226"/>
    </row>
    <row r="139" spans="2:3" x14ac:dyDescent="0.25">
      <c r="B139" s="226"/>
      <c r="C139" s="226"/>
    </row>
    <row r="140" spans="2:3" x14ac:dyDescent="0.25">
      <c r="B140" s="226"/>
      <c r="C140" s="226"/>
    </row>
    <row r="141" spans="2:3" x14ac:dyDescent="0.25">
      <c r="B141" s="226"/>
      <c r="C141" s="226"/>
    </row>
    <row r="142" spans="2:3" x14ac:dyDescent="0.25">
      <c r="B142" s="226"/>
      <c r="C142" s="226"/>
    </row>
    <row r="143" spans="2:3" x14ac:dyDescent="0.25">
      <c r="B143" s="226"/>
      <c r="C143" s="226"/>
    </row>
    <row r="144" spans="2:3" x14ac:dyDescent="0.25">
      <c r="B144" s="226"/>
      <c r="C144" s="226"/>
    </row>
    <row r="145" spans="2:3" x14ac:dyDescent="0.25">
      <c r="B145" s="226"/>
      <c r="C145" s="226"/>
    </row>
    <row r="146" spans="2:3" x14ac:dyDescent="0.25">
      <c r="B146" s="226"/>
      <c r="C146" s="226"/>
    </row>
    <row r="147" spans="2:3" x14ac:dyDescent="0.25">
      <c r="B147" s="226"/>
      <c r="C147" s="226"/>
    </row>
    <row r="148" spans="2:3" x14ac:dyDescent="0.25">
      <c r="B148" s="226"/>
      <c r="C148" s="226"/>
    </row>
    <row r="149" spans="2:3" x14ac:dyDescent="0.25">
      <c r="B149" s="226"/>
      <c r="C149" s="226"/>
    </row>
    <row r="150" spans="2:3" x14ac:dyDescent="0.25">
      <c r="B150" s="226"/>
      <c r="C150" s="226"/>
    </row>
    <row r="151" spans="2:3" x14ac:dyDescent="0.25">
      <c r="B151" s="226"/>
      <c r="C151" s="226"/>
    </row>
  </sheetData>
  <mergeCells count="151">
    <mergeCell ref="W2:AC2"/>
    <mergeCell ref="V3:AC3"/>
    <mergeCell ref="V4:AC4"/>
    <mergeCell ref="V5:W5"/>
    <mergeCell ref="X5:Y5"/>
    <mergeCell ref="V6:AC6"/>
    <mergeCell ref="V7:W7"/>
    <mergeCell ref="X7:Y7"/>
    <mergeCell ref="Z7:AA7"/>
    <mergeCell ref="V9:W9"/>
    <mergeCell ref="X9:Y9"/>
    <mergeCell ref="Z9:AA9"/>
    <mergeCell ref="V10:W10"/>
    <mergeCell ref="X10:Y10"/>
    <mergeCell ref="Z10:AA10"/>
    <mergeCell ref="AB7:AC7"/>
    <mergeCell ref="V8:W8"/>
    <mergeCell ref="X8:Y8"/>
    <mergeCell ref="Z8:AA8"/>
    <mergeCell ref="V18:W18"/>
    <mergeCell ref="X18:Y18"/>
    <mergeCell ref="Z18:AA18"/>
    <mergeCell ref="V14:W14"/>
    <mergeCell ref="X14:Y14"/>
    <mergeCell ref="Z14:AA14"/>
    <mergeCell ref="V11:W11"/>
    <mergeCell ref="X11:Y11"/>
    <mergeCell ref="Z11:AA11"/>
    <mergeCell ref="V12:W12"/>
    <mergeCell ref="X12:Y12"/>
    <mergeCell ref="Z12:AA12"/>
    <mergeCell ref="V15:W15"/>
    <mergeCell ref="X15:Y15"/>
    <mergeCell ref="Z15:AA15"/>
    <mergeCell ref="V16:W16"/>
    <mergeCell ref="X16:Y16"/>
    <mergeCell ref="Z16:AA16"/>
    <mergeCell ref="V17:W17"/>
    <mergeCell ref="X17:Y17"/>
    <mergeCell ref="Z17:AA17"/>
    <mergeCell ref="V13:W13"/>
    <mergeCell ref="X13:Y13"/>
    <mergeCell ref="Z13:AA13"/>
    <mergeCell ref="V26:W26"/>
    <mergeCell ref="X26:Y26"/>
    <mergeCell ref="Z26:AA26"/>
    <mergeCell ref="V19:W19"/>
    <mergeCell ref="X19:Y19"/>
    <mergeCell ref="Z19:AA19"/>
    <mergeCell ref="V20:W20"/>
    <mergeCell ref="X20:Y20"/>
    <mergeCell ref="Z20:AA20"/>
    <mergeCell ref="V21:W21"/>
    <mergeCell ref="X21:Y21"/>
    <mergeCell ref="Z21:AA21"/>
    <mergeCell ref="V22:W22"/>
    <mergeCell ref="X22:Y22"/>
    <mergeCell ref="Z22:AA22"/>
    <mergeCell ref="V23:W23"/>
    <mergeCell ref="X23:Y23"/>
    <mergeCell ref="Z23:AA23"/>
    <mergeCell ref="V24:W24"/>
    <mergeCell ref="X24:Y24"/>
    <mergeCell ref="Z24:AA24"/>
    <mergeCell ref="V25:W25"/>
    <mergeCell ref="X25:Y25"/>
    <mergeCell ref="Z25:AA25"/>
    <mergeCell ref="V40:W40"/>
    <mergeCell ref="X40:AA40"/>
    <mergeCell ref="V27:W27"/>
    <mergeCell ref="X27:Y27"/>
    <mergeCell ref="B28:C36"/>
    <mergeCell ref="V28:W36"/>
    <mergeCell ref="X28:Y28"/>
    <mergeCell ref="X29:Y29"/>
    <mergeCell ref="X30:Y30"/>
    <mergeCell ref="X31:Y31"/>
    <mergeCell ref="X32:Y32"/>
    <mergeCell ref="X33:Y33"/>
    <mergeCell ref="X34:Y34"/>
    <mergeCell ref="X35:Y35"/>
    <mergeCell ref="X36:Y36"/>
    <mergeCell ref="V37:W37"/>
    <mergeCell ref="X37:Y37"/>
    <mergeCell ref="Z37:AB37"/>
    <mergeCell ref="V38:AC38"/>
    <mergeCell ref="V39:W39"/>
    <mergeCell ref="X39:Y39"/>
    <mergeCell ref="Z39:AC39"/>
    <mergeCell ref="V57:AA57"/>
    <mergeCell ref="AB57:AC57"/>
    <mergeCell ref="V58:X58"/>
    <mergeCell ref="Y58:Z58"/>
    <mergeCell ref="V41:AC41"/>
    <mergeCell ref="V42:AC42"/>
    <mergeCell ref="V43:AC43"/>
    <mergeCell ref="V44:AB44"/>
    <mergeCell ref="V45:AC45"/>
    <mergeCell ref="X46:Y46"/>
    <mergeCell ref="Z46:AC46"/>
    <mergeCell ref="X47:Y47"/>
    <mergeCell ref="X48:Y48"/>
    <mergeCell ref="X49:Y49"/>
    <mergeCell ref="X50:AB50"/>
    <mergeCell ref="V51:AC51"/>
    <mergeCell ref="V52:AC52"/>
    <mergeCell ref="V53:W53"/>
    <mergeCell ref="Y53:Z53"/>
    <mergeCell ref="AA53:AC53"/>
    <mergeCell ref="V54:AA54"/>
    <mergeCell ref="AB54:AC54"/>
    <mergeCell ref="V55:AC55"/>
    <mergeCell ref="V56:W56"/>
    <mergeCell ref="Y56:Z56"/>
    <mergeCell ref="AA56:AC56"/>
    <mergeCell ref="V72:AB72"/>
    <mergeCell ref="V73:AC73"/>
    <mergeCell ref="V74:W74"/>
    <mergeCell ref="V75:W75"/>
    <mergeCell ref="V59:AC59"/>
    <mergeCell ref="V60:W60"/>
    <mergeCell ref="X60:AC60"/>
    <mergeCell ref="V61:W61"/>
    <mergeCell ref="X61:AC61"/>
    <mergeCell ref="V62:W62"/>
    <mergeCell ref="X62:AC62"/>
    <mergeCell ref="V63:AC63"/>
    <mergeCell ref="V64:W64"/>
    <mergeCell ref="X64:AC64"/>
    <mergeCell ref="V65:W65"/>
    <mergeCell ref="X65:AC65"/>
    <mergeCell ref="V66:X66"/>
    <mergeCell ref="Y66:Z66"/>
    <mergeCell ref="V67:AC67"/>
    <mergeCell ref="V68:X68"/>
    <mergeCell ref="Y68:Z68"/>
    <mergeCell ref="V69:X69"/>
    <mergeCell ref="Y69:Z69"/>
    <mergeCell ref="V70:X70"/>
    <mergeCell ref="Y70:Z70"/>
    <mergeCell ref="V71:X71"/>
    <mergeCell ref="Y71:Z71"/>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dimension ref="A1:AD151"/>
  <sheetViews>
    <sheetView topLeftCell="B23" zoomScale="70" zoomScaleNormal="70" workbookViewId="0">
      <selection activeCell="B2" sqref="B2"/>
    </sheetView>
  </sheetViews>
  <sheetFormatPr defaultColWidth="8.85546875" defaultRowHeight="15.75" x14ac:dyDescent="0.25"/>
  <cols>
    <col min="1" max="1" width="11.28515625" style="1" hidden="1" customWidth="1"/>
    <col min="2" max="2" width="10.28515625" style="2" customWidth="1"/>
    <col min="3" max="3" width="29" style="1" customWidth="1"/>
    <col min="4" max="5" width="12.28515625" style="1" customWidth="1"/>
    <col min="6" max="6" width="12.28515625" style="1" hidden="1" customWidth="1"/>
    <col min="7" max="7" width="15.28515625" style="1" customWidth="1"/>
    <col min="8" max="8" width="6.7109375" style="1" customWidth="1"/>
    <col min="9" max="9" width="12.5703125" style="1" customWidth="1"/>
    <col min="10" max="10" width="12.85546875" style="1" customWidth="1"/>
    <col min="11" max="11" width="13" style="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28515625" style="1" customWidth="1"/>
    <col min="18" max="18" width="8.85546875" style="1"/>
    <col min="19" max="21" width="0" style="1" hidden="1" customWidth="1"/>
    <col min="22" max="23" width="8.85546875" style="1"/>
    <col min="24" max="24" width="12.7109375" style="1" customWidth="1"/>
    <col min="25" max="27" width="8.85546875" style="1"/>
    <col min="28" max="28" width="13.140625" style="1" bestFit="1" customWidth="1"/>
    <col min="29" max="16384" width="8.85546875" style="1"/>
  </cols>
  <sheetData>
    <row r="1" spans="1:30" ht="15.6"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7"/>
      <c r="N2" s="3"/>
      <c r="O2" s="1"/>
      <c r="V2" s="8">
        <f>'3401'!B2</f>
        <v>50</v>
      </c>
      <c r="W2" s="606" t="s">
        <v>4</v>
      </c>
      <c r="X2" s="607"/>
      <c r="Y2" s="608"/>
      <c r="Z2" s="608"/>
      <c r="AA2" s="608"/>
      <c r="AB2" s="608"/>
      <c r="AC2" s="608"/>
      <c r="AD2" s="9"/>
    </row>
    <row r="3" spans="1:30" ht="20.25" x14ac:dyDescent="0.3">
      <c r="B3" s="10" t="str">
        <f>"Revenue Estimate Worksheet for "&amp;B124</f>
        <v>Revenue Estimate Worksheet for Quantum High School</v>
      </c>
      <c r="C3" s="11"/>
      <c r="D3" s="11"/>
      <c r="E3" s="11"/>
      <c r="F3" s="11"/>
      <c r="G3" s="11"/>
      <c r="H3" s="11"/>
      <c r="I3" s="11"/>
      <c r="J3" s="11"/>
      <c r="K3" s="11"/>
      <c r="L3" s="11"/>
      <c r="M3" s="10"/>
      <c r="N3" s="10"/>
      <c r="O3" s="10"/>
      <c r="P3" s="10"/>
      <c r="Q3" s="10"/>
      <c r="V3" s="609" t="s">
        <v>5</v>
      </c>
      <c r="W3" s="609"/>
      <c r="X3" s="609"/>
      <c r="Y3" s="609"/>
      <c r="Z3" s="609"/>
      <c r="AA3" s="609"/>
      <c r="AB3" s="609"/>
      <c r="AC3" s="609"/>
      <c r="AD3" s="12"/>
    </row>
    <row r="4" spans="1:30" ht="18.75" x14ac:dyDescent="0.3">
      <c r="B4" s="2" t="s">
        <v>6</v>
      </c>
      <c r="C4" s="13"/>
      <c r="D4" s="13"/>
      <c r="E4" s="13"/>
      <c r="F4" s="13"/>
      <c r="G4" s="13"/>
      <c r="H4" s="13"/>
      <c r="I4" s="13"/>
      <c r="J4" s="13"/>
      <c r="K4" s="13"/>
      <c r="L4" s="13"/>
      <c r="M4" s="14"/>
      <c r="N4" s="14"/>
      <c r="O4" s="14"/>
      <c r="P4" s="14"/>
      <c r="Q4" s="14"/>
      <c r="V4" s="610" t="str">
        <f>+Based_on_the_Second_Calculation_of_the_FEFP_2010_11</f>
        <v>Based on the Fourth Calculation of the FEFP 2013-14</v>
      </c>
      <c r="W4" s="610"/>
      <c r="X4" s="610"/>
      <c r="Y4" s="610"/>
      <c r="Z4" s="610"/>
      <c r="AA4" s="610"/>
      <c r="AB4" s="610"/>
      <c r="AC4" s="610"/>
      <c r="AD4" s="15"/>
    </row>
    <row r="5" spans="1:30" ht="18.75" customHeight="1" x14ac:dyDescent="0.25">
      <c r="B5" s="16" t="s">
        <v>7</v>
      </c>
      <c r="C5" s="16"/>
      <c r="D5" s="16"/>
      <c r="E5" s="16"/>
      <c r="F5" s="16"/>
      <c r="G5" s="17" t="s">
        <v>8</v>
      </c>
      <c r="H5" s="17"/>
      <c r="I5" s="17"/>
      <c r="J5" s="17"/>
      <c r="K5" s="17"/>
      <c r="L5" s="17"/>
      <c r="M5" s="18"/>
      <c r="N5" s="18"/>
      <c r="O5" s="18"/>
      <c r="P5" s="18"/>
      <c r="Q5" s="18"/>
      <c r="V5" s="611" t="s">
        <v>7</v>
      </c>
      <c r="W5" s="611"/>
      <c r="X5" s="612" t="s">
        <v>8</v>
      </c>
      <c r="Y5" s="612"/>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613" t="s">
        <v>9</v>
      </c>
      <c r="W6" s="613"/>
      <c r="X6" s="613"/>
      <c r="Y6" s="613"/>
      <c r="Z6" s="613"/>
      <c r="AA6" s="613"/>
      <c r="AB6" s="613"/>
      <c r="AC6" s="613"/>
      <c r="AD6" s="22"/>
    </row>
    <row r="7" spans="1:30" ht="18" customHeight="1" x14ac:dyDescent="0.25">
      <c r="B7" s="23" t="s">
        <v>10</v>
      </c>
      <c r="C7" s="23"/>
      <c r="D7" s="23"/>
      <c r="E7" s="23"/>
      <c r="F7" s="23"/>
      <c r="G7" s="24">
        <v>3752.3</v>
      </c>
      <c r="H7" s="24"/>
      <c r="I7" s="23" t="s">
        <v>11</v>
      </c>
      <c r="J7" s="23"/>
      <c r="K7" s="25">
        <v>1.0326</v>
      </c>
      <c r="L7" s="25"/>
      <c r="O7" s="1"/>
      <c r="V7" s="620" t="s">
        <v>10</v>
      </c>
      <c r="W7" s="620"/>
      <c r="X7" s="621">
        <f>'3401'!G7</f>
        <v>3752.3</v>
      </c>
      <c r="Y7" s="621"/>
      <c r="Z7" s="622" t="s">
        <v>11</v>
      </c>
      <c r="AA7" s="622"/>
      <c r="AB7" s="602">
        <f>+K7</f>
        <v>1.0326</v>
      </c>
      <c r="AC7" s="602"/>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603" t="s">
        <v>12</v>
      </c>
      <c r="W8" s="603"/>
      <c r="X8" s="604" t="s">
        <v>15</v>
      </c>
      <c r="Y8" s="604"/>
      <c r="Z8" s="605" t="s">
        <v>16</v>
      </c>
      <c r="AA8" s="605"/>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614" t="s">
        <v>22</v>
      </c>
      <c r="W9" s="614"/>
      <c r="X9" s="615" t="s">
        <v>23</v>
      </c>
      <c r="Y9" s="615"/>
      <c r="Z9" s="616" t="s">
        <v>24</v>
      </c>
      <c r="AA9" s="616"/>
      <c r="AB9" s="43" t="s">
        <v>25</v>
      </c>
      <c r="AC9" s="44" t="s">
        <v>26</v>
      </c>
      <c r="AD9" s="9"/>
    </row>
    <row r="10" spans="1:30" x14ac:dyDescent="0.25">
      <c r="A10" s="1" t="s">
        <v>27</v>
      </c>
      <c r="B10" s="45" t="s">
        <v>28</v>
      </c>
      <c r="C10" s="45"/>
      <c r="D10" s="45">
        <v>0</v>
      </c>
      <c r="E10" s="45">
        <v>0</v>
      </c>
      <c r="F10" s="45">
        <v>0</v>
      </c>
      <c r="G10" s="46">
        <f>D10+E10</f>
        <v>0</v>
      </c>
      <c r="H10" s="47"/>
      <c r="I10" s="48">
        <v>1.125</v>
      </c>
      <c r="J10" s="48"/>
      <c r="K10" s="49">
        <f>ROUND(G10*I10,4)</f>
        <v>0</v>
      </c>
      <c r="L10" s="50">
        <f>ROUND(ROUND(K10*$G$7,4)*($K$7),0)</f>
        <v>0</v>
      </c>
      <c r="N10" s="51">
        <v>5101</v>
      </c>
      <c r="O10" s="52">
        <v>101</v>
      </c>
      <c r="P10" s="53"/>
      <c r="Q10" s="54"/>
      <c r="V10" s="617" t="s">
        <v>28</v>
      </c>
      <c r="W10" s="617"/>
      <c r="X10" s="618">
        <f>IF('3401'!K$84=1,'3401'!G10,0)</f>
        <v>0</v>
      </c>
      <c r="Y10" s="618"/>
      <c r="Z10" s="619">
        <v>1</v>
      </c>
      <c r="AA10" s="619"/>
      <c r="AB10" s="55">
        <f t="shared" ref="AB10:AB25" si="0">ROUND(X10*Z10,4)</f>
        <v>0</v>
      </c>
      <c r="AC10" s="56">
        <f t="shared" ref="AC10:AC25" si="1">ROUND(ROUND(AB10*$X$7,4)*($AB$7),0)</f>
        <v>0</v>
      </c>
      <c r="AD10" s="9">
        <v>1</v>
      </c>
    </row>
    <row r="11" spans="1:30" x14ac:dyDescent="0.25">
      <c r="A11" s="1" t="s">
        <v>29</v>
      </c>
      <c r="B11" s="13" t="s">
        <v>30</v>
      </c>
      <c r="C11" s="13"/>
      <c r="D11" s="13">
        <v>0</v>
      </c>
      <c r="E11" s="13">
        <v>0</v>
      </c>
      <c r="F11" s="13">
        <v>0</v>
      </c>
      <c r="G11" s="46">
        <f t="shared" ref="G11:G25" si="2">D11+E11</f>
        <v>0</v>
      </c>
      <c r="H11" s="47"/>
      <c r="I11" s="57">
        <f>I10</f>
        <v>1.125</v>
      </c>
      <c r="J11" s="57"/>
      <c r="K11" s="49">
        <f t="shared" ref="K11:K25" si="3">ROUND(G11*I11,4)</f>
        <v>0</v>
      </c>
      <c r="L11" s="50">
        <f t="shared" ref="L11:L25" si="4">ROUND(ROUND(K11*$G$7,4)*($K$7),0)</f>
        <v>0</v>
      </c>
      <c r="M11" s="1" t="str">
        <f>IF(ROUND(G11,2)=ROUND(SUM(G28:G30),2)," ","CHECK 2. PK-3 Lines Below")</f>
        <v xml:space="preserve"> </v>
      </c>
      <c r="N11" s="51">
        <v>5101</v>
      </c>
      <c r="O11" s="58" t="s">
        <v>31</v>
      </c>
      <c r="P11" s="53"/>
      <c r="Q11" s="54"/>
      <c r="V11" s="623" t="s">
        <v>30</v>
      </c>
      <c r="W11" s="623"/>
      <c r="X11" s="618">
        <f>IF('3401'!K$84=1,'3401'!G11,0)</f>
        <v>0</v>
      </c>
      <c r="Y11" s="618"/>
      <c r="Z11" s="624">
        <v>1</v>
      </c>
      <c r="AA11" s="624"/>
      <c r="AB11" s="55">
        <f t="shared" si="0"/>
        <v>0</v>
      </c>
      <c r="AC11" s="56">
        <f t="shared" si="1"/>
        <v>0</v>
      </c>
      <c r="AD11" s="9"/>
    </row>
    <row r="12" spans="1:30" x14ac:dyDescent="0.25">
      <c r="A12" s="1" t="s">
        <v>32</v>
      </c>
      <c r="B12" s="13" t="s">
        <v>33</v>
      </c>
      <c r="C12" s="13"/>
      <c r="D12" s="13">
        <v>0</v>
      </c>
      <c r="E12" s="13">
        <v>0</v>
      </c>
      <c r="F12" s="13">
        <v>0</v>
      </c>
      <c r="G12" s="46">
        <f t="shared" si="2"/>
        <v>0</v>
      </c>
      <c r="H12" s="47"/>
      <c r="I12" s="57">
        <v>1</v>
      </c>
      <c r="J12" s="57"/>
      <c r="K12" s="49">
        <f t="shared" si="3"/>
        <v>0</v>
      </c>
      <c r="L12" s="50">
        <f t="shared" si="4"/>
        <v>0</v>
      </c>
      <c r="N12" s="51">
        <v>5102</v>
      </c>
      <c r="O12" s="52">
        <v>102</v>
      </c>
      <c r="P12" s="53"/>
      <c r="Q12" s="54"/>
      <c r="V12" s="623" t="s">
        <v>33</v>
      </c>
      <c r="W12" s="623"/>
      <c r="X12" s="618">
        <f>IF('3401'!K$84=1,'3401'!G12,0)</f>
        <v>0</v>
      </c>
      <c r="Y12" s="618"/>
      <c r="Z12" s="624">
        <v>1</v>
      </c>
      <c r="AA12" s="624"/>
      <c r="AB12" s="55">
        <f t="shared" si="0"/>
        <v>0</v>
      </c>
      <c r="AC12" s="56">
        <f t="shared" si="1"/>
        <v>0</v>
      </c>
      <c r="AD12" s="9"/>
    </row>
    <row r="13" spans="1:30" x14ac:dyDescent="0.25">
      <c r="A13" s="1" t="s">
        <v>34</v>
      </c>
      <c r="B13" s="13" t="s">
        <v>35</v>
      </c>
      <c r="C13" s="13"/>
      <c r="D13" s="13">
        <v>0</v>
      </c>
      <c r="E13" s="13">
        <v>0</v>
      </c>
      <c r="F13" s="13">
        <v>0</v>
      </c>
      <c r="G13" s="46">
        <f t="shared" si="2"/>
        <v>0</v>
      </c>
      <c r="H13" s="47"/>
      <c r="I13" s="57">
        <f>I12</f>
        <v>1</v>
      </c>
      <c r="J13" s="57"/>
      <c r="K13" s="49">
        <f t="shared" si="3"/>
        <v>0</v>
      </c>
      <c r="L13" s="50">
        <f t="shared" si="4"/>
        <v>0</v>
      </c>
      <c r="M13" s="1" t="str">
        <f>IF(ROUND(G13,2)=ROUND(SUM(G31:G33),2)," ","CHECK 2. PK-3 Lines Below")</f>
        <v xml:space="preserve"> </v>
      </c>
      <c r="N13" s="51">
        <v>5102</v>
      </c>
      <c r="O13" s="58" t="s">
        <v>36</v>
      </c>
      <c r="P13" s="53"/>
      <c r="Q13" s="54"/>
      <c r="V13" s="623" t="s">
        <v>35</v>
      </c>
      <c r="W13" s="623"/>
      <c r="X13" s="618">
        <f>IF('3401'!K$84=1,'3401'!G13,0)</f>
        <v>0</v>
      </c>
      <c r="Y13" s="618"/>
      <c r="Z13" s="624">
        <v>1</v>
      </c>
      <c r="AA13" s="624"/>
      <c r="AB13" s="55">
        <f t="shared" si="0"/>
        <v>0</v>
      </c>
      <c r="AC13" s="56">
        <f t="shared" si="1"/>
        <v>0</v>
      </c>
      <c r="AD13" s="9"/>
    </row>
    <row r="14" spans="1:30" x14ac:dyDescent="0.25">
      <c r="A14" s="1" t="s">
        <v>37</v>
      </c>
      <c r="B14" s="13" t="s">
        <v>38</v>
      </c>
      <c r="C14" s="13"/>
      <c r="D14" s="13">
        <v>151.84</v>
      </c>
      <c r="E14" s="13">
        <v>189.65</v>
      </c>
      <c r="F14" s="13">
        <v>152.6</v>
      </c>
      <c r="G14" s="46">
        <f t="shared" si="2"/>
        <v>341.49</v>
      </c>
      <c r="H14" s="47"/>
      <c r="I14" s="57">
        <v>1.0109999999999999</v>
      </c>
      <c r="J14" s="57"/>
      <c r="K14" s="49">
        <f t="shared" si="3"/>
        <v>345.24639999999999</v>
      </c>
      <c r="L14" s="50">
        <f t="shared" si="4"/>
        <v>1337700</v>
      </c>
      <c r="N14" s="51">
        <v>5103</v>
      </c>
      <c r="O14" s="52">
        <v>103</v>
      </c>
      <c r="P14" s="53"/>
      <c r="Q14" s="54"/>
      <c r="V14" s="623" t="s">
        <v>38</v>
      </c>
      <c r="W14" s="623"/>
      <c r="X14" s="618">
        <f>IF('3401'!K$84=1,'3401'!G14,0)</f>
        <v>0</v>
      </c>
      <c r="Y14" s="618"/>
      <c r="Z14" s="624">
        <v>1</v>
      </c>
      <c r="AA14" s="624"/>
      <c r="AB14" s="55">
        <f t="shared" si="0"/>
        <v>0</v>
      </c>
      <c r="AC14" s="56">
        <f t="shared" si="1"/>
        <v>0</v>
      </c>
      <c r="AD14" s="9"/>
    </row>
    <row r="15" spans="1:30" x14ac:dyDescent="0.25">
      <c r="A15" s="1" t="s">
        <v>39</v>
      </c>
      <c r="B15" s="13" t="s">
        <v>40</v>
      </c>
      <c r="C15" s="13"/>
      <c r="D15" s="13">
        <v>40.18</v>
      </c>
      <c r="E15" s="13">
        <v>45.47</v>
      </c>
      <c r="F15" s="13">
        <v>40.82</v>
      </c>
      <c r="G15" s="46">
        <f t="shared" si="2"/>
        <v>85.65</v>
      </c>
      <c r="H15" s="47"/>
      <c r="I15" s="57">
        <f>I14</f>
        <v>1.0109999999999999</v>
      </c>
      <c r="J15" s="57"/>
      <c r="K15" s="49">
        <f t="shared" si="3"/>
        <v>86.592200000000005</v>
      </c>
      <c r="L15" s="59">
        <f t="shared" si="4"/>
        <v>335512</v>
      </c>
      <c r="M15" s="1" t="str">
        <f>IF(ROUND(G15,2)=ROUND(SUM(G34:G36),2)," ","CHECK 2. PK-3 Lines Below")</f>
        <v xml:space="preserve"> </v>
      </c>
      <c r="N15" s="51">
        <v>5103</v>
      </c>
      <c r="O15" s="58" t="s">
        <v>41</v>
      </c>
      <c r="P15" s="53"/>
      <c r="Q15" s="54"/>
      <c r="V15" s="623" t="s">
        <v>40</v>
      </c>
      <c r="W15" s="623"/>
      <c r="X15" s="618">
        <f>IF('3401'!K$84=1,'3401'!G15,0)</f>
        <v>0</v>
      </c>
      <c r="Y15" s="618"/>
      <c r="Z15" s="624">
        <v>1</v>
      </c>
      <c r="AA15" s="624"/>
      <c r="AB15" s="55">
        <f t="shared" si="0"/>
        <v>0</v>
      </c>
      <c r="AC15" s="60">
        <f t="shared" si="1"/>
        <v>0</v>
      </c>
      <c r="AD15" s="9"/>
    </row>
    <row r="16" spans="1:30" x14ac:dyDescent="0.25">
      <c r="A16" s="1" t="s">
        <v>42</v>
      </c>
      <c r="B16" s="13" t="s">
        <v>43</v>
      </c>
      <c r="C16" s="13"/>
      <c r="D16" s="13">
        <v>0</v>
      </c>
      <c r="E16" s="13">
        <v>0</v>
      </c>
      <c r="F16" s="13">
        <v>0</v>
      </c>
      <c r="G16" s="46">
        <f t="shared" si="2"/>
        <v>0</v>
      </c>
      <c r="H16" s="47"/>
      <c r="I16" s="57">
        <v>3.5579999999999998</v>
      </c>
      <c r="J16" s="57"/>
      <c r="K16" s="49">
        <f t="shared" si="3"/>
        <v>0</v>
      </c>
      <c r="L16" s="50">
        <f t="shared" si="4"/>
        <v>0</v>
      </c>
      <c r="N16" s="51">
        <v>5101</v>
      </c>
      <c r="O16" s="53">
        <v>254</v>
      </c>
      <c r="P16" s="53"/>
      <c r="Q16" s="54"/>
      <c r="V16" s="623" t="s">
        <v>43</v>
      </c>
      <c r="W16" s="623"/>
      <c r="X16" s="618">
        <f>IF('3401'!K$84=1,'3401'!G16,0)</f>
        <v>0</v>
      </c>
      <c r="Y16" s="618"/>
      <c r="Z16" s="624">
        <v>1</v>
      </c>
      <c r="AA16" s="624"/>
      <c r="AB16" s="55">
        <f t="shared" si="0"/>
        <v>0</v>
      </c>
      <c r="AC16" s="56">
        <f t="shared" si="1"/>
        <v>0</v>
      </c>
      <c r="AD16" s="9"/>
    </row>
    <row r="17" spans="1:30" x14ac:dyDescent="0.25">
      <c r="A17" s="1" t="s">
        <v>44</v>
      </c>
      <c r="B17" s="13" t="s">
        <v>45</v>
      </c>
      <c r="C17" s="13"/>
      <c r="D17" s="13">
        <v>0</v>
      </c>
      <c r="E17" s="13">
        <v>0</v>
      </c>
      <c r="F17" s="13">
        <v>0</v>
      </c>
      <c r="G17" s="46">
        <f t="shared" si="2"/>
        <v>0</v>
      </c>
      <c r="H17" s="47"/>
      <c r="I17" s="57">
        <f>I16</f>
        <v>3.5579999999999998</v>
      </c>
      <c r="J17" s="57"/>
      <c r="K17" s="49">
        <f t="shared" si="3"/>
        <v>0</v>
      </c>
      <c r="L17" s="50">
        <f t="shared" si="4"/>
        <v>0</v>
      </c>
      <c r="N17" s="51">
        <v>5102</v>
      </c>
      <c r="O17" s="54">
        <v>254</v>
      </c>
      <c r="P17" s="53"/>
      <c r="Q17" s="54"/>
      <c r="V17" s="623" t="s">
        <v>45</v>
      </c>
      <c r="W17" s="623"/>
      <c r="X17" s="618">
        <f>IF('3401'!K$84=1,'3401'!G17,0)</f>
        <v>0</v>
      </c>
      <c r="Y17" s="618"/>
      <c r="Z17" s="624">
        <v>1</v>
      </c>
      <c r="AA17" s="624"/>
      <c r="AB17" s="55">
        <f t="shared" si="0"/>
        <v>0</v>
      </c>
      <c r="AC17" s="56">
        <f t="shared" si="1"/>
        <v>0</v>
      </c>
      <c r="AD17" s="9"/>
    </row>
    <row r="18" spans="1:30" x14ac:dyDescent="0.25">
      <c r="A18" s="1" t="s">
        <v>46</v>
      </c>
      <c r="B18" s="13" t="s">
        <v>47</v>
      </c>
      <c r="C18" s="13"/>
      <c r="D18" s="13">
        <v>0</v>
      </c>
      <c r="E18" s="13">
        <v>0</v>
      </c>
      <c r="F18" s="13">
        <v>0</v>
      </c>
      <c r="G18" s="46">
        <f t="shared" si="2"/>
        <v>0</v>
      </c>
      <c r="H18" s="47"/>
      <c r="I18" s="57">
        <f>I17</f>
        <v>3.5579999999999998</v>
      </c>
      <c r="J18" s="57"/>
      <c r="K18" s="49">
        <f t="shared" si="3"/>
        <v>0</v>
      </c>
      <c r="L18" s="50">
        <f t="shared" si="4"/>
        <v>0</v>
      </c>
      <c r="N18" s="51">
        <v>5103</v>
      </c>
      <c r="O18" s="54">
        <v>254</v>
      </c>
      <c r="P18" s="53"/>
      <c r="Q18" s="54"/>
      <c r="V18" s="623" t="s">
        <v>47</v>
      </c>
      <c r="W18" s="623"/>
      <c r="X18" s="618">
        <f>IF('3401'!K$84=1,'3401'!G18,0)</f>
        <v>0</v>
      </c>
      <c r="Y18" s="618"/>
      <c r="Z18" s="624">
        <v>1</v>
      </c>
      <c r="AA18" s="624"/>
      <c r="AB18" s="55">
        <f t="shared" si="0"/>
        <v>0</v>
      </c>
      <c r="AC18" s="56">
        <f t="shared" si="1"/>
        <v>0</v>
      </c>
      <c r="AD18" s="9"/>
    </row>
    <row r="19" spans="1:30" ht="15" customHeight="1" x14ac:dyDescent="0.25">
      <c r="A19" s="1" t="s">
        <v>48</v>
      </c>
      <c r="B19" s="13" t="s">
        <v>49</v>
      </c>
      <c r="C19" s="13"/>
      <c r="D19" s="13">
        <v>0</v>
      </c>
      <c r="E19" s="13">
        <v>0</v>
      </c>
      <c r="F19" s="13">
        <v>0</v>
      </c>
      <c r="G19" s="46">
        <f t="shared" si="2"/>
        <v>0</v>
      </c>
      <c r="H19" s="47"/>
      <c r="I19" s="57">
        <v>5.0890000000000004</v>
      </c>
      <c r="J19" s="57"/>
      <c r="K19" s="49">
        <f t="shared" si="3"/>
        <v>0</v>
      </c>
      <c r="L19" s="50">
        <f t="shared" si="4"/>
        <v>0</v>
      </c>
      <c r="N19" s="51">
        <v>5101</v>
      </c>
      <c r="O19" s="53">
        <v>255</v>
      </c>
      <c r="P19" s="53"/>
      <c r="Q19" s="54"/>
      <c r="V19" s="623" t="s">
        <v>49</v>
      </c>
      <c r="W19" s="623"/>
      <c r="X19" s="618">
        <f>IF('3401'!K$84=1,'3401'!G19,0)</f>
        <v>0</v>
      </c>
      <c r="Y19" s="618"/>
      <c r="Z19" s="624">
        <v>1</v>
      </c>
      <c r="AA19" s="624"/>
      <c r="AB19" s="55">
        <f t="shared" si="0"/>
        <v>0</v>
      </c>
      <c r="AC19" s="56">
        <f t="shared" si="1"/>
        <v>0</v>
      </c>
      <c r="AD19" s="9"/>
    </row>
    <row r="20" spans="1:30" ht="15" customHeight="1" x14ac:dyDescent="0.25">
      <c r="A20" s="1" t="s">
        <v>50</v>
      </c>
      <c r="B20" s="13" t="s">
        <v>51</v>
      </c>
      <c r="C20" s="13"/>
      <c r="D20" s="13">
        <v>0</v>
      </c>
      <c r="E20" s="13">
        <v>0</v>
      </c>
      <c r="F20" s="13">
        <v>0</v>
      </c>
      <c r="G20" s="46">
        <f t="shared" si="2"/>
        <v>0</v>
      </c>
      <c r="H20" s="47"/>
      <c r="I20" s="57">
        <f>I19</f>
        <v>5.0890000000000004</v>
      </c>
      <c r="J20" s="57"/>
      <c r="K20" s="49">
        <f t="shared" si="3"/>
        <v>0</v>
      </c>
      <c r="L20" s="50">
        <f t="shared" si="4"/>
        <v>0</v>
      </c>
      <c r="N20" s="51">
        <v>5102</v>
      </c>
      <c r="O20" s="54">
        <v>255</v>
      </c>
      <c r="P20" s="53"/>
      <c r="Q20" s="54"/>
      <c r="V20" s="623" t="s">
        <v>51</v>
      </c>
      <c r="W20" s="623"/>
      <c r="X20" s="618">
        <f>IF('3401'!K$84=1,'3401'!G20,0)</f>
        <v>0</v>
      </c>
      <c r="Y20" s="618"/>
      <c r="Z20" s="624">
        <v>1</v>
      </c>
      <c r="AA20" s="624"/>
      <c r="AB20" s="55">
        <f t="shared" si="0"/>
        <v>0</v>
      </c>
      <c r="AC20" s="56">
        <f t="shared" si="1"/>
        <v>0</v>
      </c>
      <c r="AD20" s="9"/>
    </row>
    <row r="21" spans="1:30" ht="15" customHeight="1" x14ac:dyDescent="0.25">
      <c r="A21" s="1" t="s">
        <v>52</v>
      </c>
      <c r="B21" s="13" t="s">
        <v>53</v>
      </c>
      <c r="C21" s="13"/>
      <c r="D21" s="13">
        <v>0</v>
      </c>
      <c r="E21" s="13">
        <v>0</v>
      </c>
      <c r="F21" s="13">
        <v>0</v>
      </c>
      <c r="G21" s="46">
        <f t="shared" si="2"/>
        <v>0</v>
      </c>
      <c r="H21" s="47"/>
      <c r="I21" s="57">
        <f>I20</f>
        <v>5.0890000000000004</v>
      </c>
      <c r="J21" s="57"/>
      <c r="K21" s="49">
        <f t="shared" si="3"/>
        <v>0</v>
      </c>
      <c r="L21" s="50">
        <f t="shared" si="4"/>
        <v>0</v>
      </c>
      <c r="N21" s="51">
        <v>5103</v>
      </c>
      <c r="O21" s="54">
        <v>255</v>
      </c>
      <c r="P21" s="53"/>
      <c r="Q21" s="54"/>
      <c r="V21" s="623" t="s">
        <v>53</v>
      </c>
      <c r="W21" s="623"/>
      <c r="X21" s="618">
        <f>IF('3401'!K$84=1,'3401'!G21,0)</f>
        <v>0</v>
      </c>
      <c r="Y21" s="618"/>
      <c r="Z21" s="624">
        <v>1</v>
      </c>
      <c r="AA21" s="624"/>
      <c r="AB21" s="55">
        <f t="shared" si="0"/>
        <v>0</v>
      </c>
      <c r="AC21" s="56">
        <f t="shared" si="1"/>
        <v>0</v>
      </c>
      <c r="AD21" s="9"/>
    </row>
    <row r="22" spans="1:30" x14ac:dyDescent="0.25">
      <c r="A22" s="1" t="s">
        <v>54</v>
      </c>
      <c r="B22" s="13" t="s">
        <v>55</v>
      </c>
      <c r="C22" s="13"/>
      <c r="D22" s="13">
        <v>0</v>
      </c>
      <c r="E22" s="13">
        <v>0</v>
      </c>
      <c r="F22" s="13">
        <v>0</v>
      </c>
      <c r="G22" s="46">
        <f t="shared" si="2"/>
        <v>0</v>
      </c>
      <c r="H22" s="47"/>
      <c r="I22" s="57">
        <v>1.145</v>
      </c>
      <c r="J22" s="57"/>
      <c r="K22" s="49">
        <f t="shared" si="3"/>
        <v>0</v>
      </c>
      <c r="L22" s="50">
        <f t="shared" si="4"/>
        <v>0</v>
      </c>
      <c r="N22" s="51">
        <v>5101</v>
      </c>
      <c r="O22" s="52">
        <v>130</v>
      </c>
      <c r="P22" s="53"/>
      <c r="Q22" s="54"/>
      <c r="V22" s="623" t="s">
        <v>55</v>
      </c>
      <c r="W22" s="623"/>
      <c r="X22" s="618">
        <f>IF('3401'!K$84=1,'3401'!G22,0)</f>
        <v>0</v>
      </c>
      <c r="Y22" s="618"/>
      <c r="Z22" s="624">
        <v>1</v>
      </c>
      <c r="AA22" s="624"/>
      <c r="AB22" s="55">
        <f t="shared" si="0"/>
        <v>0</v>
      </c>
      <c r="AC22" s="56">
        <f t="shared" si="1"/>
        <v>0</v>
      </c>
      <c r="AD22" s="9"/>
    </row>
    <row r="23" spans="1:30" x14ac:dyDescent="0.25">
      <c r="A23" s="1" t="s">
        <v>56</v>
      </c>
      <c r="B23" s="13" t="s">
        <v>57</v>
      </c>
      <c r="C23" s="13"/>
      <c r="D23" s="13">
        <v>0</v>
      </c>
      <c r="E23" s="13">
        <v>0</v>
      </c>
      <c r="F23" s="13">
        <v>0</v>
      </c>
      <c r="G23" s="46">
        <f t="shared" si="2"/>
        <v>0</v>
      </c>
      <c r="H23" s="47"/>
      <c r="I23" s="57">
        <f>I22</f>
        <v>1.145</v>
      </c>
      <c r="J23" s="57"/>
      <c r="K23" s="49">
        <f t="shared" si="3"/>
        <v>0</v>
      </c>
      <c r="L23" s="50">
        <f t="shared" si="4"/>
        <v>0</v>
      </c>
      <c r="N23" s="51">
        <v>5102</v>
      </c>
      <c r="O23" s="52">
        <v>130</v>
      </c>
      <c r="P23" s="53"/>
      <c r="Q23" s="54"/>
      <c r="V23" s="623" t="s">
        <v>57</v>
      </c>
      <c r="W23" s="623"/>
      <c r="X23" s="618">
        <f>IF('3401'!K$84=1,'3401'!G23,0)</f>
        <v>0</v>
      </c>
      <c r="Y23" s="618"/>
      <c r="Z23" s="624">
        <v>1</v>
      </c>
      <c r="AA23" s="624"/>
      <c r="AB23" s="55">
        <f t="shared" si="0"/>
        <v>0</v>
      </c>
      <c r="AC23" s="56">
        <f t="shared" si="1"/>
        <v>0</v>
      </c>
      <c r="AD23" s="9"/>
    </row>
    <row r="24" spans="1:30" x14ac:dyDescent="0.25">
      <c r="A24" s="1" t="s">
        <v>58</v>
      </c>
      <c r="B24" s="13" t="s">
        <v>59</v>
      </c>
      <c r="C24" s="13"/>
      <c r="D24" s="13">
        <v>2.4</v>
      </c>
      <c r="E24" s="13">
        <v>4.9400000000000004</v>
      </c>
      <c r="F24" s="13">
        <v>2.4</v>
      </c>
      <c r="G24" s="46">
        <f t="shared" si="2"/>
        <v>7.34</v>
      </c>
      <c r="H24" s="47"/>
      <c r="I24" s="57">
        <f>I23</f>
        <v>1.145</v>
      </c>
      <c r="J24" s="57"/>
      <c r="K24" s="49">
        <f t="shared" si="3"/>
        <v>8.4042999999999992</v>
      </c>
      <c r="L24" s="50">
        <f t="shared" si="4"/>
        <v>32564</v>
      </c>
      <c r="N24" s="51">
        <v>5103</v>
      </c>
      <c r="O24" s="52">
        <v>130</v>
      </c>
      <c r="P24" s="53"/>
      <c r="Q24" s="54"/>
      <c r="V24" s="623" t="s">
        <v>59</v>
      </c>
      <c r="W24" s="623"/>
      <c r="X24" s="618">
        <f>IF('3401'!K$84=1,'3401'!G24,0)</f>
        <v>0</v>
      </c>
      <c r="Y24" s="618"/>
      <c r="Z24" s="624">
        <v>1</v>
      </c>
      <c r="AA24" s="624"/>
      <c r="AB24" s="55">
        <f t="shared" si="0"/>
        <v>0</v>
      </c>
      <c r="AC24" s="56">
        <f t="shared" si="1"/>
        <v>0</v>
      </c>
      <c r="AD24" s="9"/>
    </row>
    <row r="25" spans="1:30" ht="16.5" thickBot="1" x14ac:dyDescent="0.3">
      <c r="A25" s="1" t="s">
        <v>60</v>
      </c>
      <c r="B25" s="13" t="s">
        <v>61</v>
      </c>
      <c r="C25" s="13"/>
      <c r="D25" s="13">
        <v>0</v>
      </c>
      <c r="E25" s="13">
        <v>0</v>
      </c>
      <c r="F25" s="13">
        <v>0</v>
      </c>
      <c r="G25" s="46">
        <f t="shared" si="2"/>
        <v>0</v>
      </c>
      <c r="H25" s="47"/>
      <c r="I25" s="57">
        <v>1.0109999999999999</v>
      </c>
      <c r="J25" s="57"/>
      <c r="K25" s="49">
        <f t="shared" si="3"/>
        <v>0</v>
      </c>
      <c r="L25" s="50">
        <f t="shared" si="4"/>
        <v>0</v>
      </c>
      <c r="N25" s="51">
        <v>5310</v>
      </c>
      <c r="O25" s="52">
        <v>300</v>
      </c>
      <c r="P25" s="53"/>
      <c r="Q25" s="54"/>
      <c r="V25" s="623" t="s">
        <v>61</v>
      </c>
      <c r="W25" s="623"/>
      <c r="X25" s="618">
        <f>IF('3401'!K$84=1,'3401'!G25,0)</f>
        <v>0</v>
      </c>
      <c r="Y25" s="618"/>
      <c r="Z25" s="624">
        <v>1</v>
      </c>
      <c r="AA25" s="624"/>
      <c r="AB25" s="55">
        <f t="shared" si="0"/>
        <v>0</v>
      </c>
      <c r="AC25" s="56">
        <f t="shared" si="1"/>
        <v>0</v>
      </c>
      <c r="AD25" s="9"/>
    </row>
    <row r="26" spans="1:30" ht="20.25" customHeight="1" thickBot="1" x14ac:dyDescent="0.3">
      <c r="B26" s="62" t="s">
        <v>62</v>
      </c>
      <c r="C26" s="62"/>
      <c r="D26" s="63">
        <f t="shared" ref="D26:E26" si="5">SUM(D10:D25)</f>
        <v>194.42000000000002</v>
      </c>
      <c r="E26" s="63">
        <f t="shared" si="5"/>
        <v>240.06</v>
      </c>
      <c r="F26" s="63"/>
      <c r="G26" s="63">
        <f>SUM(G10:G25)</f>
        <v>434.47999999999996</v>
      </c>
      <c r="H26" s="64"/>
      <c r="I26" s="64"/>
      <c r="J26" s="65"/>
      <c r="K26" s="66">
        <f>SUM(K10:K25)</f>
        <v>440.24289999999996</v>
      </c>
      <c r="L26" s="67">
        <f>SUM(L10:L25)</f>
        <v>1705776</v>
      </c>
      <c r="N26" s="54"/>
      <c r="O26" s="68"/>
      <c r="P26" s="54"/>
      <c r="Q26" s="54"/>
      <c r="V26" s="625" t="s">
        <v>62</v>
      </c>
      <c r="W26" s="625"/>
      <c r="X26" s="626">
        <f>SUM(X10:X25)</f>
        <v>0</v>
      </c>
      <c r="Y26" s="626"/>
      <c r="Z26" s="627"/>
      <c r="AA26" s="628"/>
      <c r="AB26" s="69">
        <f>SUM(AB10:AB25)</f>
        <v>0</v>
      </c>
      <c r="AC26" s="70">
        <f>SUM(AC10:AC25)</f>
        <v>0</v>
      </c>
      <c r="AD26" s="9"/>
    </row>
    <row r="27" spans="1:30" ht="51.75" customHeight="1" x14ac:dyDescent="0.25">
      <c r="B27" s="62" t="s">
        <v>63</v>
      </c>
      <c r="C27" s="62"/>
      <c r="D27" s="71" t="s">
        <v>13</v>
      </c>
      <c r="E27" s="71" t="s">
        <v>14</v>
      </c>
      <c r="F27" s="27"/>
      <c r="G27" s="72" t="s">
        <v>64</v>
      </c>
      <c r="H27" s="73"/>
      <c r="I27" s="74" t="s">
        <v>65</v>
      </c>
      <c r="J27" s="74" t="s">
        <v>66</v>
      </c>
      <c r="K27" s="75" t="s">
        <v>67</v>
      </c>
      <c r="N27" s="54"/>
      <c r="O27" s="68"/>
      <c r="P27" s="54"/>
      <c r="Q27" s="54"/>
      <c r="V27" s="629" t="s">
        <v>63</v>
      </c>
      <c r="W27" s="629"/>
      <c r="X27" s="630" t="s">
        <v>64</v>
      </c>
      <c r="Y27" s="630"/>
      <c r="Z27" s="76" t="s">
        <v>65</v>
      </c>
      <c r="AA27" s="77" t="s">
        <v>66</v>
      </c>
      <c r="AB27" s="78" t="s">
        <v>67</v>
      </c>
      <c r="AC27" s="9"/>
      <c r="AD27" s="9"/>
    </row>
    <row r="28" spans="1:30" ht="15.75" customHeight="1" x14ac:dyDescent="0.25">
      <c r="A28" s="1" t="s">
        <v>68</v>
      </c>
      <c r="B28" s="631" t="s">
        <v>69</v>
      </c>
      <c r="C28" s="632"/>
      <c r="D28" s="13">
        <v>0</v>
      </c>
      <c r="E28" s="13">
        <v>0</v>
      </c>
      <c r="F28" s="79">
        <v>0</v>
      </c>
      <c r="G28" s="46">
        <f t="shared" ref="G28:G36" si="6">D28+E28</f>
        <v>0</v>
      </c>
      <c r="H28" s="80"/>
      <c r="I28" s="81" t="s">
        <v>70</v>
      </c>
      <c r="J28" s="82">
        <v>251</v>
      </c>
      <c r="K28" s="83">
        <v>1047</v>
      </c>
      <c r="L28" s="84">
        <f>ROUND(G28*K28,0)</f>
        <v>0</v>
      </c>
      <c r="N28" s="85">
        <v>5101</v>
      </c>
      <c r="O28" s="54">
        <v>251</v>
      </c>
      <c r="P28" s="86"/>
      <c r="Q28" s="87"/>
      <c r="V28" s="637" t="s">
        <v>69</v>
      </c>
      <c r="W28" s="637"/>
      <c r="X28" s="638"/>
      <c r="Y28" s="638"/>
      <c r="Z28" s="88" t="s">
        <v>70</v>
      </c>
      <c r="AA28" s="89">
        <v>251</v>
      </c>
      <c r="AB28" s="90">
        <f>+K28</f>
        <v>1047</v>
      </c>
      <c r="AC28" s="91">
        <f t="shared" ref="AC28:AC36" si="7">ROUND(X28*AB28,0)</f>
        <v>0</v>
      </c>
      <c r="AD28" s="9"/>
    </row>
    <row r="29" spans="1:30" x14ac:dyDescent="0.25">
      <c r="A29" s="1" t="s">
        <v>71</v>
      </c>
      <c r="B29" s="633"/>
      <c r="C29" s="634"/>
      <c r="D29" s="13">
        <v>0</v>
      </c>
      <c r="E29" s="13">
        <v>0</v>
      </c>
      <c r="F29" s="92">
        <v>0</v>
      </c>
      <c r="G29" s="46">
        <f t="shared" si="6"/>
        <v>0</v>
      </c>
      <c r="H29" s="80"/>
      <c r="I29" s="82" t="s">
        <v>70</v>
      </c>
      <c r="J29" s="82">
        <v>252</v>
      </c>
      <c r="K29" s="83">
        <v>3380</v>
      </c>
      <c r="L29" s="84">
        <f t="shared" ref="L29:L36" si="8">ROUND(G29*K29,0)</f>
        <v>0</v>
      </c>
      <c r="N29" s="85">
        <v>5101</v>
      </c>
      <c r="O29" s="54">
        <v>252</v>
      </c>
      <c r="P29" s="86"/>
      <c r="Q29" s="87"/>
      <c r="V29" s="637"/>
      <c r="W29" s="637"/>
      <c r="X29" s="638"/>
      <c r="Y29" s="638"/>
      <c r="Z29" s="89" t="s">
        <v>70</v>
      </c>
      <c r="AA29" s="89">
        <v>252</v>
      </c>
      <c r="AB29" s="90">
        <f t="shared" ref="AB29:AB36" si="9">+K29</f>
        <v>3380</v>
      </c>
      <c r="AC29" s="91">
        <f t="shared" si="7"/>
        <v>0</v>
      </c>
      <c r="AD29" s="9"/>
    </row>
    <row r="30" spans="1:30" x14ac:dyDescent="0.25">
      <c r="A30" s="1" t="s">
        <v>72</v>
      </c>
      <c r="B30" s="633"/>
      <c r="C30" s="634"/>
      <c r="D30" s="13">
        <v>0</v>
      </c>
      <c r="E30" s="13">
        <v>0</v>
      </c>
      <c r="F30" s="92">
        <v>0</v>
      </c>
      <c r="G30" s="46">
        <f t="shared" si="6"/>
        <v>0</v>
      </c>
      <c r="H30" s="80"/>
      <c r="I30" s="82" t="s">
        <v>70</v>
      </c>
      <c r="J30" s="82">
        <v>253</v>
      </c>
      <c r="K30" s="83">
        <v>6896</v>
      </c>
      <c r="L30" s="84">
        <f t="shared" si="8"/>
        <v>0</v>
      </c>
      <c r="N30" s="85">
        <v>5101</v>
      </c>
      <c r="O30" s="54">
        <v>253</v>
      </c>
      <c r="P30" s="86"/>
      <c r="Q30" s="68"/>
      <c r="V30" s="637"/>
      <c r="W30" s="637"/>
      <c r="X30" s="638"/>
      <c r="Y30" s="638"/>
      <c r="Z30" s="89" t="s">
        <v>70</v>
      </c>
      <c r="AA30" s="89">
        <v>253</v>
      </c>
      <c r="AB30" s="90">
        <f t="shared" si="9"/>
        <v>6896</v>
      </c>
      <c r="AC30" s="91">
        <f t="shared" si="7"/>
        <v>0</v>
      </c>
      <c r="AD30" s="9"/>
    </row>
    <row r="31" spans="1:30" x14ac:dyDescent="0.25">
      <c r="A31" s="1" t="s">
        <v>73</v>
      </c>
      <c r="B31" s="633"/>
      <c r="C31" s="634"/>
      <c r="D31" s="13">
        <v>0</v>
      </c>
      <c r="E31" s="13">
        <v>0</v>
      </c>
      <c r="F31" s="92">
        <v>0</v>
      </c>
      <c r="G31" s="46">
        <f t="shared" si="6"/>
        <v>0</v>
      </c>
      <c r="H31" s="80"/>
      <c r="I31" s="93" t="s">
        <v>74</v>
      </c>
      <c r="J31" s="82">
        <v>251</v>
      </c>
      <c r="K31" s="83">
        <v>1173</v>
      </c>
      <c r="L31" s="84">
        <f t="shared" si="8"/>
        <v>0</v>
      </c>
      <c r="N31" s="85">
        <v>5102</v>
      </c>
      <c r="O31" s="54">
        <v>251</v>
      </c>
      <c r="P31" s="86"/>
      <c r="Q31" s="68"/>
      <c r="V31" s="637"/>
      <c r="W31" s="637"/>
      <c r="X31" s="638"/>
      <c r="Y31" s="638"/>
      <c r="Z31" s="94" t="s">
        <v>74</v>
      </c>
      <c r="AA31" s="89">
        <v>251</v>
      </c>
      <c r="AB31" s="90">
        <f t="shared" si="9"/>
        <v>1173</v>
      </c>
      <c r="AC31" s="91">
        <f t="shared" si="7"/>
        <v>0</v>
      </c>
      <c r="AD31" s="9"/>
    </row>
    <row r="32" spans="1:30" x14ac:dyDescent="0.25">
      <c r="A32" s="1" t="s">
        <v>75</v>
      </c>
      <c r="B32" s="633"/>
      <c r="C32" s="634"/>
      <c r="D32" s="13">
        <v>0</v>
      </c>
      <c r="E32" s="13">
        <v>0</v>
      </c>
      <c r="F32" s="92">
        <v>0</v>
      </c>
      <c r="G32" s="46">
        <f t="shared" si="6"/>
        <v>0</v>
      </c>
      <c r="H32" s="80"/>
      <c r="I32" s="93" t="s">
        <v>74</v>
      </c>
      <c r="J32" s="82">
        <v>252</v>
      </c>
      <c r="K32" s="83">
        <v>3506</v>
      </c>
      <c r="L32" s="84">
        <f t="shared" si="8"/>
        <v>0</v>
      </c>
      <c r="N32" s="85">
        <v>5102</v>
      </c>
      <c r="O32" s="54">
        <v>252</v>
      </c>
      <c r="P32" s="86"/>
      <c r="Q32" s="54"/>
      <c r="V32" s="637"/>
      <c r="W32" s="637"/>
      <c r="X32" s="638"/>
      <c r="Y32" s="638"/>
      <c r="Z32" s="94" t="s">
        <v>74</v>
      </c>
      <c r="AA32" s="89">
        <v>252</v>
      </c>
      <c r="AB32" s="90">
        <f t="shared" si="9"/>
        <v>3506</v>
      </c>
      <c r="AC32" s="91">
        <f t="shared" si="7"/>
        <v>0</v>
      </c>
      <c r="AD32" s="9"/>
    </row>
    <row r="33" spans="1:30" x14ac:dyDescent="0.25">
      <c r="A33" s="1" t="s">
        <v>76</v>
      </c>
      <c r="B33" s="633"/>
      <c r="C33" s="634"/>
      <c r="D33" s="13">
        <v>0</v>
      </c>
      <c r="E33" s="13">
        <v>0</v>
      </c>
      <c r="F33" s="92">
        <v>0</v>
      </c>
      <c r="G33" s="46">
        <f t="shared" si="6"/>
        <v>0</v>
      </c>
      <c r="H33" s="80"/>
      <c r="I33" s="93" t="s">
        <v>74</v>
      </c>
      <c r="J33" s="82">
        <v>253</v>
      </c>
      <c r="K33" s="83">
        <v>7023</v>
      </c>
      <c r="L33" s="84">
        <f t="shared" si="8"/>
        <v>0</v>
      </c>
      <c r="N33" s="85">
        <v>5102</v>
      </c>
      <c r="O33" s="54">
        <v>253</v>
      </c>
      <c r="P33" s="86"/>
      <c r="Q33" s="87"/>
      <c r="V33" s="637"/>
      <c r="W33" s="637"/>
      <c r="X33" s="638"/>
      <c r="Y33" s="638"/>
      <c r="Z33" s="94" t="s">
        <v>74</v>
      </c>
      <c r="AA33" s="89">
        <v>253</v>
      </c>
      <c r="AB33" s="90">
        <f t="shared" si="9"/>
        <v>7023</v>
      </c>
      <c r="AC33" s="91">
        <f t="shared" si="7"/>
        <v>0</v>
      </c>
      <c r="AD33" s="9"/>
    </row>
    <row r="34" spans="1:30" x14ac:dyDescent="0.25">
      <c r="A34" s="1" t="s">
        <v>77</v>
      </c>
      <c r="B34" s="633"/>
      <c r="C34" s="634"/>
      <c r="D34" s="13">
        <v>36.200000000000003</v>
      </c>
      <c r="E34" s="13">
        <v>39.17</v>
      </c>
      <c r="F34" s="92">
        <v>29</v>
      </c>
      <c r="G34" s="46">
        <f t="shared" si="6"/>
        <v>75.37</v>
      </c>
      <c r="H34" s="80"/>
      <c r="I34" s="93" t="s">
        <v>78</v>
      </c>
      <c r="J34" s="82">
        <v>251</v>
      </c>
      <c r="K34" s="83">
        <v>835</v>
      </c>
      <c r="L34" s="84">
        <f t="shared" si="8"/>
        <v>62934</v>
      </c>
      <c r="N34" s="85">
        <v>5103</v>
      </c>
      <c r="O34" s="54">
        <v>251</v>
      </c>
      <c r="P34" s="86"/>
      <c r="Q34" s="87"/>
      <c r="V34" s="637"/>
      <c r="W34" s="637"/>
      <c r="X34" s="638"/>
      <c r="Y34" s="638"/>
      <c r="Z34" s="94" t="s">
        <v>78</v>
      </c>
      <c r="AA34" s="89">
        <v>251</v>
      </c>
      <c r="AB34" s="90">
        <f t="shared" si="9"/>
        <v>835</v>
      </c>
      <c r="AC34" s="91">
        <f t="shared" si="7"/>
        <v>0</v>
      </c>
      <c r="AD34" s="9"/>
    </row>
    <row r="35" spans="1:30" x14ac:dyDescent="0.25">
      <c r="A35" s="1" t="s">
        <v>79</v>
      </c>
      <c r="B35" s="633"/>
      <c r="C35" s="634"/>
      <c r="D35" s="13">
        <v>2.98</v>
      </c>
      <c r="E35" s="13">
        <v>5.3</v>
      </c>
      <c r="F35" s="92">
        <v>3</v>
      </c>
      <c r="G35" s="46">
        <f t="shared" si="6"/>
        <v>8.2799999999999994</v>
      </c>
      <c r="H35" s="80"/>
      <c r="I35" s="93" t="s">
        <v>78</v>
      </c>
      <c r="J35" s="82">
        <v>252</v>
      </c>
      <c r="K35" s="83">
        <v>3168</v>
      </c>
      <c r="L35" s="84">
        <f t="shared" si="8"/>
        <v>26231</v>
      </c>
      <c r="N35" s="85">
        <v>5103</v>
      </c>
      <c r="O35" s="54">
        <v>252</v>
      </c>
      <c r="P35" s="86"/>
      <c r="Q35" s="95"/>
      <c r="V35" s="637"/>
      <c r="W35" s="637"/>
      <c r="X35" s="638"/>
      <c r="Y35" s="638"/>
      <c r="Z35" s="94" t="s">
        <v>78</v>
      </c>
      <c r="AA35" s="89">
        <v>252</v>
      </c>
      <c r="AB35" s="90">
        <f t="shared" si="9"/>
        <v>3168</v>
      </c>
      <c r="AC35" s="91">
        <f t="shared" si="7"/>
        <v>0</v>
      </c>
      <c r="AD35" s="9"/>
    </row>
    <row r="36" spans="1:30" ht="16.5" thickBot="1" x14ac:dyDescent="0.3">
      <c r="A36" s="1" t="s">
        <v>80</v>
      </c>
      <c r="B36" s="635"/>
      <c r="C36" s="636"/>
      <c r="D36" s="13">
        <v>1</v>
      </c>
      <c r="E36" s="13">
        <v>1</v>
      </c>
      <c r="F36" s="92">
        <v>0.5</v>
      </c>
      <c r="G36" s="46">
        <f t="shared" si="6"/>
        <v>2</v>
      </c>
      <c r="H36" s="80"/>
      <c r="I36" s="93" t="s">
        <v>78</v>
      </c>
      <c r="J36" s="82">
        <v>253</v>
      </c>
      <c r="K36" s="83">
        <v>6685</v>
      </c>
      <c r="L36" s="96">
        <f t="shared" si="8"/>
        <v>13370</v>
      </c>
      <c r="N36" s="85">
        <v>5103</v>
      </c>
      <c r="O36" s="54">
        <v>253</v>
      </c>
      <c r="P36" s="86"/>
      <c r="Q36" s="97"/>
      <c r="V36" s="637"/>
      <c r="W36" s="637"/>
      <c r="X36" s="645"/>
      <c r="Y36" s="645"/>
      <c r="Z36" s="94" t="s">
        <v>78</v>
      </c>
      <c r="AA36" s="89">
        <v>253</v>
      </c>
      <c r="AB36" s="90">
        <f t="shared" si="9"/>
        <v>6685</v>
      </c>
      <c r="AC36" s="98">
        <f t="shared" si="7"/>
        <v>0</v>
      </c>
      <c r="AD36" s="9"/>
    </row>
    <row r="37" spans="1:30" ht="18.75" customHeight="1" x14ac:dyDescent="0.25">
      <c r="B37" s="13" t="s">
        <v>81</v>
      </c>
      <c r="C37" s="13"/>
      <c r="D37" s="63">
        <f t="shared" ref="D37:E37" si="10">SUM(D28:D36)</f>
        <v>40.18</v>
      </c>
      <c r="E37" s="63">
        <f t="shared" si="10"/>
        <v>45.47</v>
      </c>
      <c r="F37" s="63"/>
      <c r="G37" s="63">
        <f>SUM(G28:G36)</f>
        <v>85.65</v>
      </c>
      <c r="H37" s="64"/>
      <c r="I37" s="13" t="s">
        <v>82</v>
      </c>
      <c r="J37" s="13"/>
      <c r="K37" s="13"/>
      <c r="L37" s="50">
        <f>SUM(L28:L36)</f>
        <v>102535</v>
      </c>
      <c r="N37" s="54"/>
      <c r="O37" s="68"/>
      <c r="P37" s="54"/>
      <c r="Q37" s="54"/>
      <c r="V37" s="646" t="s">
        <v>81</v>
      </c>
      <c r="W37" s="646"/>
      <c r="X37" s="626">
        <f>SUM(X28:X36)</f>
        <v>0</v>
      </c>
      <c r="Y37" s="626"/>
      <c r="Z37" s="646" t="s">
        <v>82</v>
      </c>
      <c r="AA37" s="646"/>
      <c r="AB37" s="646"/>
      <c r="AC37" s="56">
        <f>SUM(AC28:AC36)</f>
        <v>0</v>
      </c>
      <c r="AD37" s="9"/>
    </row>
    <row r="38" spans="1:30" ht="30.75" customHeight="1" x14ac:dyDescent="0.25">
      <c r="B38" s="99" t="s">
        <v>83</v>
      </c>
      <c r="C38" s="99"/>
      <c r="D38" s="99"/>
      <c r="E38" s="99"/>
      <c r="F38" s="99"/>
      <c r="G38" s="99"/>
      <c r="H38" s="100"/>
      <c r="I38" s="99"/>
      <c r="J38" s="99"/>
      <c r="K38" s="99"/>
      <c r="L38" s="99"/>
      <c r="M38" s="101"/>
      <c r="N38" s="54"/>
      <c r="O38" s="68"/>
      <c r="P38" s="54"/>
      <c r="Q38" s="54"/>
      <c r="V38" s="639" t="s">
        <v>83</v>
      </c>
      <c r="W38" s="639"/>
      <c r="X38" s="639"/>
      <c r="Y38" s="639"/>
      <c r="Z38" s="639"/>
      <c r="AA38" s="639"/>
      <c r="AB38" s="639"/>
      <c r="AC38" s="639"/>
      <c r="AD38" s="102"/>
    </row>
    <row r="39" spans="1:30" ht="15.75" customHeight="1" x14ac:dyDescent="0.25">
      <c r="B39" s="103" t="s">
        <v>84</v>
      </c>
      <c r="C39" s="103"/>
      <c r="D39" s="103"/>
      <c r="E39" s="103"/>
      <c r="F39" s="103"/>
      <c r="G39" s="104">
        <v>34389540</v>
      </c>
      <c r="H39" s="104"/>
      <c r="I39" s="13" t="s">
        <v>85</v>
      </c>
      <c r="J39" s="13"/>
      <c r="K39" s="13"/>
      <c r="L39" s="13"/>
      <c r="O39" s="1"/>
      <c r="V39" s="640" t="s">
        <v>84</v>
      </c>
      <c r="W39" s="640"/>
      <c r="X39" s="641">
        <f>+G39</f>
        <v>34389540</v>
      </c>
      <c r="Y39" s="641"/>
      <c r="Z39" s="642" t="s">
        <v>85</v>
      </c>
      <c r="AA39" s="642"/>
      <c r="AB39" s="642"/>
      <c r="AC39" s="642"/>
      <c r="AD39" s="9"/>
    </row>
    <row r="40" spans="1:30" ht="15.75" customHeight="1" x14ac:dyDescent="0.25">
      <c r="B40" s="105" t="s">
        <v>86</v>
      </c>
      <c r="C40" s="105"/>
      <c r="D40" s="105"/>
      <c r="E40" s="105"/>
      <c r="F40" s="105"/>
      <c r="G40" s="106">
        <v>180284.81</v>
      </c>
      <c r="H40" s="106"/>
      <c r="I40" s="106"/>
      <c r="J40" s="106"/>
      <c r="K40" s="50">
        <f>ROUND(G39/G40,0)</f>
        <v>191</v>
      </c>
      <c r="L40" s="50">
        <f>ROUND(K40*$G$26,0)</f>
        <v>82986</v>
      </c>
      <c r="N40" s="107"/>
      <c r="O40" s="107"/>
      <c r="P40" s="107"/>
      <c r="Q40" s="107"/>
      <c r="V40" s="643" t="s">
        <v>86</v>
      </c>
      <c r="W40" s="643"/>
      <c r="X40" s="644">
        <f>+G40</f>
        <v>180284.81</v>
      </c>
      <c r="Y40" s="644"/>
      <c r="Z40" s="644"/>
      <c r="AA40" s="644"/>
      <c r="AB40" s="56">
        <f>ROUND(X39/X40,0)</f>
        <v>191</v>
      </c>
      <c r="AC40" s="56">
        <f>ROUND(AB40*$X$26,0)</f>
        <v>0</v>
      </c>
      <c r="AD40" s="9"/>
    </row>
    <row r="41" spans="1:30" ht="15.75" customHeight="1" x14ac:dyDescent="0.25">
      <c r="B41" s="108" t="s">
        <v>87</v>
      </c>
      <c r="C41" s="108"/>
      <c r="D41" s="108"/>
      <c r="E41" s="108"/>
      <c r="F41" s="108"/>
      <c r="G41" s="108"/>
      <c r="H41" s="108"/>
      <c r="I41" s="108"/>
      <c r="J41" s="108"/>
      <c r="K41" s="108"/>
      <c r="L41" s="108"/>
      <c r="N41" s="101"/>
      <c r="O41" s="109"/>
      <c r="P41" s="101"/>
      <c r="Q41" s="101"/>
      <c r="V41" s="652" t="s">
        <v>87</v>
      </c>
      <c r="W41" s="652"/>
      <c r="X41" s="652"/>
      <c r="Y41" s="652"/>
      <c r="Z41" s="652"/>
      <c r="AA41" s="652"/>
      <c r="AB41" s="652"/>
      <c r="AC41" s="652"/>
      <c r="AD41" s="9"/>
    </row>
    <row r="42" spans="1:30" ht="28.5" customHeight="1" x14ac:dyDescent="0.25">
      <c r="B42" s="99" t="s">
        <v>88</v>
      </c>
      <c r="C42" s="99"/>
      <c r="D42" s="99"/>
      <c r="E42" s="99"/>
      <c r="F42" s="99"/>
      <c r="G42" s="99"/>
      <c r="H42" s="99"/>
      <c r="I42" s="99"/>
      <c r="J42" s="99"/>
      <c r="K42" s="99"/>
      <c r="L42" s="99"/>
      <c r="M42" s="107"/>
      <c r="O42" s="1"/>
      <c r="V42" s="639" t="s">
        <v>88</v>
      </c>
      <c r="W42" s="639"/>
      <c r="X42" s="639"/>
      <c r="Y42" s="639"/>
      <c r="Z42" s="639"/>
      <c r="AA42" s="639"/>
      <c r="AB42" s="639"/>
      <c r="AC42" s="639"/>
      <c r="AD42" s="110"/>
    </row>
    <row r="43" spans="1:30" x14ac:dyDescent="0.25">
      <c r="B43" s="111" t="s">
        <v>89</v>
      </c>
      <c r="C43" s="111"/>
      <c r="D43" s="111"/>
      <c r="E43" s="111"/>
      <c r="F43" s="111"/>
      <c r="G43" s="111"/>
      <c r="H43" s="111"/>
      <c r="I43" s="111"/>
      <c r="J43" s="111"/>
      <c r="K43" s="111"/>
      <c r="L43" s="111"/>
      <c r="M43" s="112"/>
      <c r="N43" s="101"/>
      <c r="O43" s="101"/>
      <c r="P43" s="101"/>
      <c r="Q43" s="101"/>
      <c r="V43" s="653" t="s">
        <v>89</v>
      </c>
      <c r="W43" s="653"/>
      <c r="X43" s="653"/>
      <c r="Y43" s="653"/>
      <c r="Z43" s="653"/>
      <c r="AA43" s="653"/>
      <c r="AB43" s="653"/>
      <c r="AC43" s="653"/>
      <c r="AD43" s="113"/>
    </row>
    <row r="44" spans="1:30" ht="24" customHeight="1" x14ac:dyDescent="0.25">
      <c r="B44" s="62" t="s">
        <v>90</v>
      </c>
      <c r="C44" s="62"/>
      <c r="D44" s="62"/>
      <c r="E44" s="62"/>
      <c r="F44" s="62"/>
      <c r="G44" s="62"/>
      <c r="H44" s="62"/>
      <c r="I44" s="62"/>
      <c r="J44" s="62"/>
      <c r="K44" s="62"/>
      <c r="L44" s="114">
        <f>SUM(L26,L37,L40)</f>
        <v>1891297</v>
      </c>
      <c r="O44" s="1"/>
      <c r="V44" s="654" t="s">
        <v>90</v>
      </c>
      <c r="W44" s="654"/>
      <c r="X44" s="654"/>
      <c r="Y44" s="654"/>
      <c r="Z44" s="654"/>
      <c r="AA44" s="654"/>
      <c r="AB44" s="654"/>
      <c r="AC44" s="115">
        <f>SUM(AC26,AC37,AC40)</f>
        <v>0</v>
      </c>
      <c r="AD44" s="9"/>
    </row>
    <row r="45" spans="1:30" ht="30.75" customHeight="1" x14ac:dyDescent="0.25">
      <c r="B45" s="99" t="s">
        <v>91</v>
      </c>
      <c r="C45" s="99"/>
      <c r="D45" s="99"/>
      <c r="E45" s="99"/>
      <c r="F45" s="99"/>
      <c r="G45" s="99"/>
      <c r="H45" s="99"/>
      <c r="I45" s="99"/>
      <c r="J45" s="99"/>
      <c r="K45" s="99"/>
      <c r="L45" s="99"/>
      <c r="M45" s="116"/>
      <c r="O45" s="1"/>
      <c r="V45" s="639" t="s">
        <v>91</v>
      </c>
      <c r="W45" s="639"/>
      <c r="X45" s="639"/>
      <c r="Y45" s="639"/>
      <c r="Z45" s="639"/>
      <c r="AA45" s="639"/>
      <c r="AB45" s="639"/>
      <c r="AC45" s="639"/>
      <c r="AD45" s="117"/>
    </row>
    <row r="46" spans="1:30" ht="18.75" customHeight="1" x14ac:dyDescent="0.25">
      <c r="B46" s="1"/>
      <c r="C46" s="118" t="s">
        <v>92</v>
      </c>
      <c r="D46" s="118"/>
      <c r="E46" s="118"/>
      <c r="F46" s="118"/>
      <c r="G46" s="118" t="s">
        <v>93</v>
      </c>
      <c r="H46" s="119"/>
      <c r="I46" s="120" t="s">
        <v>94</v>
      </c>
      <c r="J46" s="121"/>
      <c r="K46" s="121"/>
      <c r="L46" s="121"/>
      <c r="M46" s="122"/>
      <c r="O46" s="1"/>
      <c r="V46" s="9"/>
      <c r="W46" s="123" t="s">
        <v>92</v>
      </c>
      <c r="X46" s="655" t="s">
        <v>95</v>
      </c>
      <c r="Y46" s="655"/>
      <c r="Z46" s="656" t="s">
        <v>94</v>
      </c>
      <c r="AA46" s="656"/>
      <c r="AB46" s="656"/>
      <c r="AC46" s="656"/>
      <c r="AD46" s="124"/>
    </row>
    <row r="47" spans="1:30" ht="18.75" customHeight="1" x14ac:dyDescent="0.25">
      <c r="B47" s="107" t="s">
        <v>96</v>
      </c>
      <c r="C47" s="125">
        <f>K10+K11+K16+K19+K22</f>
        <v>0</v>
      </c>
      <c r="D47" s="125"/>
      <c r="E47" s="125"/>
      <c r="F47" s="125"/>
      <c r="G47" s="126">
        <f>K7</f>
        <v>1.0326</v>
      </c>
      <c r="H47" s="126"/>
      <c r="I47" s="127">
        <v>1316.85</v>
      </c>
      <c r="J47" s="128" t="s">
        <v>97</v>
      </c>
      <c r="K47" s="129">
        <f>ROUND(C47*G47*I47,0)</f>
        <v>0</v>
      </c>
      <c r="L47" s="130"/>
      <c r="O47" s="1"/>
      <c r="V47" s="110" t="s">
        <v>96</v>
      </c>
      <c r="W47" s="131">
        <f>AB10+AB11+AB16+AB19+AB22</f>
        <v>0</v>
      </c>
      <c r="X47" s="647">
        <f>AB7</f>
        <v>1.0326</v>
      </c>
      <c r="Y47" s="647"/>
      <c r="Z47" s="132">
        <f>+I47</f>
        <v>1316.85</v>
      </c>
      <c r="AA47" s="133" t="s">
        <v>97</v>
      </c>
      <c r="AB47" s="134">
        <f>ROUND(W47*X47*Z47,0)</f>
        <v>0</v>
      </c>
      <c r="AC47" s="135"/>
      <c r="AD47" s="9"/>
    </row>
    <row r="48" spans="1:30" ht="18" customHeight="1" x14ac:dyDescent="0.25">
      <c r="B48" s="136" t="s">
        <v>74</v>
      </c>
      <c r="C48" s="125">
        <f>K12+K13+K17+K20+K23</f>
        <v>0</v>
      </c>
      <c r="D48" s="125"/>
      <c r="E48" s="125"/>
      <c r="F48" s="125"/>
      <c r="G48" s="126">
        <f>K7</f>
        <v>1.0326</v>
      </c>
      <c r="H48" s="126"/>
      <c r="I48" s="127">
        <v>898.23</v>
      </c>
      <c r="J48" s="128" t="s">
        <v>97</v>
      </c>
      <c r="K48" s="129">
        <f>ROUND(C48*G48*I48,0)</f>
        <v>0</v>
      </c>
      <c r="L48" s="62"/>
      <c r="O48" s="1"/>
      <c r="V48" s="137" t="s">
        <v>74</v>
      </c>
      <c r="W48" s="131">
        <f>AB12+AB13+AB17+AB20+AB23</f>
        <v>0</v>
      </c>
      <c r="X48" s="647">
        <f>AB7</f>
        <v>1.0326</v>
      </c>
      <c r="Y48" s="647"/>
      <c r="Z48" s="132">
        <f>+I48</f>
        <v>898.23</v>
      </c>
      <c r="AA48" s="133" t="s">
        <v>97</v>
      </c>
      <c r="AB48" s="134">
        <f>ROUND(W48*X48*Z48,0)</f>
        <v>0</v>
      </c>
      <c r="AC48" s="138"/>
      <c r="AD48" s="9"/>
    </row>
    <row r="49" spans="2:30" ht="19.5" customHeight="1" thickBot="1" x14ac:dyDescent="0.3">
      <c r="B49" s="139" t="s">
        <v>78</v>
      </c>
      <c r="C49" s="140">
        <f>K14+K15+K18+K21+K24+K25</f>
        <v>440.24289999999996</v>
      </c>
      <c r="D49" s="125"/>
      <c r="E49" s="125"/>
      <c r="F49" s="125"/>
      <c r="G49" s="126">
        <f>K7</f>
        <v>1.0326</v>
      </c>
      <c r="H49" s="126"/>
      <c r="I49" s="127">
        <v>900.39</v>
      </c>
      <c r="J49" s="128" t="s">
        <v>97</v>
      </c>
      <c r="K49" s="129">
        <f>ROUND(C49*G49*I49,0)</f>
        <v>409313</v>
      </c>
      <c r="L49" s="62"/>
      <c r="M49" s="112"/>
      <c r="N49" s="141"/>
      <c r="O49" s="142"/>
      <c r="P49" s="101"/>
      <c r="Q49" s="143"/>
      <c r="V49" s="144" t="s">
        <v>78</v>
      </c>
      <c r="W49" s="145">
        <f>AB14+AB15+AB18+AB21+AB24+AB25</f>
        <v>0</v>
      </c>
      <c r="X49" s="647">
        <f>AB7</f>
        <v>1.0326</v>
      </c>
      <c r="Y49" s="647"/>
      <c r="Z49" s="132">
        <f>+I49</f>
        <v>900.39</v>
      </c>
      <c r="AA49" s="133" t="s">
        <v>97</v>
      </c>
      <c r="AB49" s="134">
        <f>ROUND(W49*X49*Z49,0)</f>
        <v>0</v>
      </c>
      <c r="AC49" s="138"/>
      <c r="AD49" s="113"/>
    </row>
    <row r="50" spans="2:30" ht="24" customHeight="1" thickBot="1" x14ac:dyDescent="0.3">
      <c r="B50" s="146" t="s">
        <v>98</v>
      </c>
      <c r="C50" s="147">
        <f>SUM(C47:C49)</f>
        <v>440.24289999999996</v>
      </c>
      <c r="D50" s="148"/>
      <c r="E50" s="149"/>
      <c r="F50" s="149"/>
      <c r="G50" s="150" t="s">
        <v>99</v>
      </c>
      <c r="H50" s="150"/>
      <c r="I50" s="150"/>
      <c r="J50" s="150"/>
      <c r="K50" s="150"/>
      <c r="L50" s="50">
        <f>IF(B2=75,0,K49+K48+K47)</f>
        <v>409313</v>
      </c>
      <c r="N50" s="3"/>
      <c r="O50" s="1"/>
      <c r="V50" s="151" t="s">
        <v>98</v>
      </c>
      <c r="W50" s="152">
        <f>SUM(W47:W49)</f>
        <v>0</v>
      </c>
      <c r="X50" s="648" t="s">
        <v>99</v>
      </c>
      <c r="Y50" s="649"/>
      <c r="Z50" s="649"/>
      <c r="AA50" s="649"/>
      <c r="AB50" s="649"/>
      <c r="AC50" s="56">
        <f>IF(V2=75,0,AB49+AB48+AB47)</f>
        <v>0</v>
      </c>
      <c r="AD50" s="9"/>
    </row>
    <row r="51" spans="2:30" ht="19.5" customHeight="1" x14ac:dyDescent="0.25">
      <c r="B51" s="153" t="s">
        <v>100</v>
      </c>
      <c r="C51" s="153"/>
      <c r="D51" s="153"/>
      <c r="E51" s="153"/>
      <c r="F51" s="153"/>
      <c r="G51" s="153"/>
      <c r="H51" s="153"/>
      <c r="I51" s="153"/>
      <c r="J51" s="153"/>
      <c r="K51" s="153"/>
      <c r="L51" s="153"/>
      <c r="M51" s="141"/>
      <c r="N51" s="101"/>
      <c r="O51" s="1"/>
      <c r="V51" s="650" t="s">
        <v>100</v>
      </c>
      <c r="W51" s="650"/>
      <c r="X51" s="650"/>
      <c r="Y51" s="650"/>
      <c r="Z51" s="650"/>
      <c r="AA51" s="650"/>
      <c r="AB51" s="650"/>
      <c r="AC51" s="650"/>
      <c r="AD51" s="154"/>
    </row>
    <row r="52" spans="2:30" ht="27.75" customHeight="1" x14ac:dyDescent="0.25">
      <c r="B52" s="13" t="s">
        <v>101</v>
      </c>
      <c r="C52" s="13"/>
      <c r="D52" s="13"/>
      <c r="E52" s="13"/>
      <c r="F52" s="13"/>
      <c r="G52" s="13"/>
      <c r="H52" s="13"/>
      <c r="I52" s="13"/>
      <c r="J52" s="13"/>
      <c r="K52" s="13"/>
      <c r="L52" s="13"/>
      <c r="O52" s="1"/>
      <c r="V52" s="651" t="s">
        <v>101</v>
      </c>
      <c r="W52" s="651"/>
      <c r="X52" s="651"/>
      <c r="Y52" s="651"/>
      <c r="Z52" s="651"/>
      <c r="AA52" s="651"/>
      <c r="AB52" s="651"/>
      <c r="AC52" s="651"/>
      <c r="AD52" s="9"/>
    </row>
    <row r="53" spans="2:30" x14ac:dyDescent="0.25">
      <c r="B53" s="13" t="s">
        <v>102</v>
      </c>
      <c r="C53" s="13"/>
      <c r="D53" s="13"/>
      <c r="E53" s="13"/>
      <c r="F53" s="13"/>
      <c r="G53" s="155">
        <f>K26</f>
        <v>440.24289999999996</v>
      </c>
      <c r="H53" s="57" t="s">
        <v>103</v>
      </c>
      <c r="I53" s="57"/>
      <c r="J53" s="156">
        <v>197823.77</v>
      </c>
      <c r="K53" s="156"/>
      <c r="L53" s="156"/>
      <c r="N53" s="3"/>
      <c r="O53" s="1"/>
      <c r="V53" s="657" t="s">
        <v>102</v>
      </c>
      <c r="W53" s="657"/>
      <c r="X53" s="157">
        <f>AB26</f>
        <v>0</v>
      </c>
      <c r="Y53" s="658" t="s">
        <v>103</v>
      </c>
      <c r="Z53" s="658"/>
      <c r="AA53" s="659">
        <f>+J53</f>
        <v>197823.77</v>
      </c>
      <c r="AB53" s="659"/>
      <c r="AC53" s="659"/>
      <c r="AD53" s="9"/>
    </row>
    <row r="54" spans="2:30" x14ac:dyDescent="0.25">
      <c r="B54" s="13" t="s">
        <v>104</v>
      </c>
      <c r="C54" s="13"/>
      <c r="D54" s="13"/>
      <c r="E54" s="13"/>
      <c r="F54" s="13"/>
      <c r="G54" s="13"/>
      <c r="H54" s="13"/>
      <c r="I54" s="13"/>
      <c r="J54" s="13"/>
      <c r="K54" s="158">
        <f>ROUND(G53/J53,6)</f>
        <v>2.225E-3</v>
      </c>
      <c r="L54" s="158"/>
      <c r="N54" s="101"/>
      <c r="O54" s="1"/>
      <c r="V54" s="657" t="s">
        <v>104</v>
      </c>
      <c r="W54" s="657"/>
      <c r="X54" s="657"/>
      <c r="Y54" s="657"/>
      <c r="Z54" s="657"/>
      <c r="AA54" s="657"/>
      <c r="AB54" s="660">
        <f>ROUND(X53/AA53,6)</f>
        <v>0</v>
      </c>
      <c r="AC54" s="660"/>
      <c r="AD54" s="9"/>
    </row>
    <row r="55" spans="2:30" ht="24" customHeight="1" x14ac:dyDescent="0.25">
      <c r="B55" s="13" t="s">
        <v>105</v>
      </c>
      <c r="C55" s="13"/>
      <c r="D55" s="13"/>
      <c r="E55" s="13"/>
      <c r="F55" s="13"/>
      <c r="G55" s="13"/>
      <c r="H55" s="13"/>
      <c r="I55" s="13"/>
      <c r="J55" s="13"/>
      <c r="K55" s="13"/>
      <c r="L55" s="13"/>
      <c r="O55" s="1"/>
      <c r="V55" s="651" t="s">
        <v>105</v>
      </c>
      <c r="W55" s="651"/>
      <c r="X55" s="651"/>
      <c r="Y55" s="651"/>
      <c r="Z55" s="651"/>
      <c r="AA55" s="651"/>
      <c r="AB55" s="651"/>
      <c r="AC55" s="651"/>
      <c r="AD55" s="9"/>
    </row>
    <row r="56" spans="2:30" x14ac:dyDescent="0.25">
      <c r="B56" s="13" t="s">
        <v>106</v>
      </c>
      <c r="C56" s="13"/>
      <c r="D56" s="13"/>
      <c r="E56" s="13"/>
      <c r="F56" s="13"/>
      <c r="G56" s="159">
        <f>G26</f>
        <v>434.47999999999996</v>
      </c>
      <c r="H56" s="57" t="s">
        <v>107</v>
      </c>
      <c r="I56" s="57"/>
      <c r="J56" s="156">
        <f>+G40</f>
        <v>180284.81</v>
      </c>
      <c r="K56" s="156"/>
      <c r="L56" s="156"/>
      <c r="O56" s="1"/>
      <c r="V56" s="657" t="s">
        <v>106</v>
      </c>
      <c r="W56" s="657"/>
      <c r="X56" s="160">
        <f>X26</f>
        <v>0</v>
      </c>
      <c r="Y56" s="658" t="s">
        <v>107</v>
      </c>
      <c r="Z56" s="658"/>
      <c r="AA56" s="659">
        <f>+J56</f>
        <v>180284.81</v>
      </c>
      <c r="AB56" s="659"/>
      <c r="AC56" s="659"/>
      <c r="AD56" s="9"/>
    </row>
    <row r="57" spans="2:30" x14ac:dyDescent="0.25">
      <c r="B57" s="13" t="s">
        <v>108</v>
      </c>
      <c r="C57" s="13"/>
      <c r="D57" s="13"/>
      <c r="E57" s="13"/>
      <c r="F57" s="13"/>
      <c r="G57" s="13"/>
      <c r="H57" s="13"/>
      <c r="I57" s="13"/>
      <c r="J57" s="13"/>
      <c r="K57" s="158">
        <f>ROUND(G56/J56,6)</f>
        <v>2.4099999999999998E-3</v>
      </c>
      <c r="L57" s="158"/>
      <c r="O57" s="1"/>
      <c r="V57" s="657" t="s">
        <v>108</v>
      </c>
      <c r="W57" s="657"/>
      <c r="X57" s="657"/>
      <c r="Y57" s="657"/>
      <c r="Z57" s="657"/>
      <c r="AA57" s="657"/>
      <c r="AB57" s="660">
        <f>ROUND(X56/AA56,6)</f>
        <v>0</v>
      </c>
      <c r="AC57" s="660"/>
      <c r="AD57" s="9"/>
    </row>
    <row r="58" spans="2:30" ht="20.25" customHeight="1" x14ac:dyDescent="0.25">
      <c r="B58" s="161" t="s">
        <v>109</v>
      </c>
      <c r="C58" s="161"/>
      <c r="D58" s="161"/>
      <c r="E58" s="161"/>
      <c r="F58" s="161"/>
      <c r="G58" s="161"/>
      <c r="H58" s="161"/>
      <c r="I58" s="161"/>
      <c r="J58" s="161"/>
      <c r="K58" s="161"/>
      <c r="L58" s="161"/>
      <c r="N58" s="18"/>
      <c r="O58" s="18"/>
      <c r="V58" s="629" t="s">
        <v>110</v>
      </c>
      <c r="W58" s="629"/>
      <c r="X58" s="629"/>
      <c r="Y58" s="661">
        <f>X65+X64+X62+X61+X60</f>
        <v>4123852</v>
      </c>
      <c r="Z58" s="661"/>
      <c r="AA58" s="162" t="s">
        <v>111</v>
      </c>
      <c r="AB58" s="163">
        <f>AB54</f>
        <v>0</v>
      </c>
      <c r="AC58" s="56">
        <f>ROUND(Y58*AB58,0)</f>
        <v>0</v>
      </c>
      <c r="AD58" s="9"/>
    </row>
    <row r="59" spans="2:30" x14ac:dyDescent="0.25">
      <c r="B59" s="62" t="s">
        <v>110</v>
      </c>
      <c r="C59" s="62"/>
      <c r="D59" s="62"/>
      <c r="E59" s="62"/>
      <c r="F59" s="62"/>
      <c r="G59" s="62"/>
      <c r="H59" s="164" t="s">
        <v>22</v>
      </c>
      <c r="I59" s="129">
        <v>4123852</v>
      </c>
      <c r="J59" s="165" t="s">
        <v>111</v>
      </c>
      <c r="K59" s="166">
        <f>K54</f>
        <v>2.225E-3</v>
      </c>
      <c r="L59" s="50">
        <f>ROUND(I59*K59,0)</f>
        <v>9176</v>
      </c>
      <c r="O59" s="1"/>
      <c r="P59" s="165"/>
      <c r="Q59" s="165"/>
      <c r="V59" s="662" t="s">
        <v>112</v>
      </c>
      <c r="W59" s="662"/>
      <c r="X59" s="662"/>
      <c r="Y59" s="662"/>
      <c r="Z59" s="662"/>
      <c r="AA59" s="662"/>
      <c r="AB59" s="662"/>
      <c r="AC59" s="662"/>
      <c r="AD59" s="9"/>
    </row>
    <row r="60" spans="2:30" x14ac:dyDescent="0.25">
      <c r="B60" s="62" t="s">
        <v>112</v>
      </c>
      <c r="C60" s="62"/>
      <c r="D60" s="62"/>
      <c r="E60" s="62"/>
      <c r="F60" s="62"/>
      <c r="G60" s="62"/>
      <c r="H60" s="62"/>
      <c r="I60" s="62"/>
      <c r="J60" s="62"/>
      <c r="K60" s="62"/>
      <c r="L60" s="62"/>
      <c r="O60" s="1"/>
      <c r="P60" s="165"/>
      <c r="Q60" s="165"/>
      <c r="V60" s="663" t="s">
        <v>113</v>
      </c>
      <c r="W60" s="663"/>
      <c r="X60" s="664">
        <f>+G61</f>
        <v>0</v>
      </c>
      <c r="Y60" s="664"/>
      <c r="Z60" s="664"/>
      <c r="AA60" s="664"/>
      <c r="AB60" s="664"/>
      <c r="AC60" s="664"/>
      <c r="AD60" s="9"/>
    </row>
    <row r="61" spans="2:30" ht="15" customHeight="1" x14ac:dyDescent="0.25">
      <c r="B61" s="167" t="s">
        <v>113</v>
      </c>
      <c r="C61" s="62"/>
      <c r="D61" s="62"/>
      <c r="E61" s="62"/>
      <c r="F61" s="62"/>
      <c r="G61" s="168">
        <v>0</v>
      </c>
      <c r="H61" s="168"/>
      <c r="I61" s="168"/>
      <c r="J61" s="168"/>
      <c r="K61" s="168"/>
      <c r="L61" s="168"/>
      <c r="O61" s="1"/>
      <c r="P61" s="165"/>
      <c r="Q61" s="165"/>
      <c r="V61" s="663" t="s">
        <v>114</v>
      </c>
      <c r="W61" s="663"/>
      <c r="X61" s="664">
        <f>+G62</f>
        <v>0</v>
      </c>
      <c r="Y61" s="664"/>
      <c r="Z61" s="664"/>
      <c r="AA61" s="664"/>
      <c r="AB61" s="664"/>
      <c r="AC61" s="664"/>
      <c r="AD61" s="9"/>
    </row>
    <row r="62" spans="2:30" ht="13.5" customHeight="1" x14ac:dyDescent="0.25">
      <c r="B62" s="167" t="s">
        <v>114</v>
      </c>
      <c r="C62" s="62"/>
      <c r="D62" s="62"/>
      <c r="E62" s="62"/>
      <c r="F62" s="62"/>
      <c r="G62" s="168">
        <v>0</v>
      </c>
      <c r="H62" s="168"/>
      <c r="I62" s="168"/>
      <c r="J62" s="168"/>
      <c r="K62" s="168"/>
      <c r="L62" s="168"/>
      <c r="N62" s="165"/>
      <c r="O62" s="165"/>
      <c r="P62" s="165"/>
      <c r="Q62" s="165"/>
      <c r="V62" s="663" t="s">
        <v>115</v>
      </c>
      <c r="W62" s="663"/>
      <c r="X62" s="664">
        <v>0</v>
      </c>
      <c r="Y62" s="664"/>
      <c r="Z62" s="664"/>
      <c r="AA62" s="664"/>
      <c r="AB62" s="664"/>
      <c r="AC62" s="664"/>
      <c r="AD62" s="9"/>
    </row>
    <row r="63" spans="2:30" ht="13.5" hidden="1" customHeight="1" x14ac:dyDescent="0.25">
      <c r="B63" s="62" t="s">
        <v>115</v>
      </c>
      <c r="C63" s="62"/>
      <c r="D63" s="62"/>
      <c r="E63" s="62"/>
      <c r="F63" s="62"/>
      <c r="G63" s="168">
        <v>0</v>
      </c>
      <c r="H63" s="168"/>
      <c r="I63" s="168"/>
      <c r="J63" s="168"/>
      <c r="K63" s="168"/>
      <c r="L63" s="168"/>
      <c r="O63" s="1"/>
      <c r="P63" s="165"/>
      <c r="Q63" s="165"/>
      <c r="V63" s="662" t="s">
        <v>116</v>
      </c>
      <c r="W63" s="662"/>
      <c r="X63" s="662"/>
      <c r="Y63" s="662"/>
      <c r="Z63" s="662"/>
      <c r="AA63" s="662"/>
      <c r="AB63" s="662"/>
      <c r="AC63" s="662"/>
      <c r="AD63" s="117"/>
    </row>
    <row r="64" spans="2:30" ht="13.5" customHeight="1" x14ac:dyDescent="0.25">
      <c r="B64" s="62" t="s">
        <v>116</v>
      </c>
      <c r="C64" s="62"/>
      <c r="D64" s="62"/>
      <c r="E64" s="62"/>
      <c r="F64" s="62"/>
      <c r="G64" s="62"/>
      <c r="H64" s="62"/>
      <c r="I64" s="62"/>
      <c r="J64" s="62"/>
      <c r="K64" s="62"/>
      <c r="L64" s="62"/>
      <c r="M64" s="116"/>
      <c r="N64" s="18"/>
      <c r="O64" s="1"/>
      <c r="V64" s="663" t="s">
        <v>117</v>
      </c>
      <c r="W64" s="663"/>
      <c r="X64" s="664">
        <f>+G65</f>
        <v>4123852</v>
      </c>
      <c r="Y64" s="664"/>
      <c r="Z64" s="664"/>
      <c r="AA64" s="664"/>
      <c r="AB64" s="664"/>
      <c r="AC64" s="664"/>
      <c r="AD64" s="9"/>
    </row>
    <row r="65" spans="1:30" ht="12.75" customHeight="1" x14ac:dyDescent="0.25">
      <c r="B65" s="167" t="s">
        <v>117</v>
      </c>
      <c r="C65" s="62"/>
      <c r="D65" s="62"/>
      <c r="E65" s="62"/>
      <c r="F65" s="62"/>
      <c r="G65" s="168">
        <f>+I59</f>
        <v>4123852</v>
      </c>
      <c r="H65" s="168"/>
      <c r="I65" s="168"/>
      <c r="J65" s="168"/>
      <c r="K65" s="168"/>
      <c r="L65" s="168"/>
      <c r="O65" s="1"/>
      <c r="V65" s="663" t="s">
        <v>118</v>
      </c>
      <c r="W65" s="663"/>
      <c r="X65" s="664">
        <f>+G66</f>
        <v>0</v>
      </c>
      <c r="Y65" s="664"/>
      <c r="Z65" s="664"/>
      <c r="AA65" s="664"/>
      <c r="AB65" s="664"/>
      <c r="AC65" s="664"/>
      <c r="AD65" s="20"/>
    </row>
    <row r="66" spans="1:30" ht="15" customHeight="1" x14ac:dyDescent="0.25">
      <c r="B66" s="167" t="s">
        <v>118</v>
      </c>
      <c r="C66" s="62"/>
      <c r="D66" s="62"/>
      <c r="E66" s="62"/>
      <c r="F66" s="62"/>
      <c r="G66" s="168">
        <v>0</v>
      </c>
      <c r="H66" s="168"/>
      <c r="I66" s="168"/>
      <c r="J66" s="168"/>
      <c r="K66" s="168"/>
      <c r="L66" s="168"/>
      <c r="M66" s="18"/>
      <c r="N66" s="3"/>
      <c r="O66" s="169"/>
      <c r="P66" s="169"/>
      <c r="Q66" s="169"/>
      <c r="V66" s="651" t="s">
        <v>119</v>
      </c>
      <c r="W66" s="651"/>
      <c r="X66" s="651"/>
      <c r="Y66" s="661">
        <f>+I67</f>
        <v>96774526</v>
      </c>
      <c r="Z66" s="661"/>
      <c r="AA66" s="162" t="s">
        <v>111</v>
      </c>
      <c r="AB66" s="163">
        <f>AB54</f>
        <v>0</v>
      </c>
      <c r="AC66" s="56">
        <f>ROUND(Y66*AB66,0)</f>
        <v>0</v>
      </c>
      <c r="AD66" s="9"/>
    </row>
    <row r="67" spans="1:30" ht="20.25" customHeight="1" x14ac:dyDescent="0.25">
      <c r="B67" s="13" t="s">
        <v>119</v>
      </c>
      <c r="C67" s="13"/>
      <c r="D67" s="13"/>
      <c r="E67" s="13"/>
      <c r="F67" s="13"/>
      <c r="H67" s="164" t="s">
        <v>25</v>
      </c>
      <c r="I67" s="129">
        <v>96774526</v>
      </c>
      <c r="J67" s="165" t="s">
        <v>111</v>
      </c>
      <c r="K67" s="166">
        <f>K54</f>
        <v>2.225E-3</v>
      </c>
      <c r="L67" s="50">
        <f>ROUND(I67*K67,0)</f>
        <v>215323</v>
      </c>
      <c r="O67" s="1"/>
      <c r="V67" s="651" t="s">
        <v>120</v>
      </c>
      <c r="W67" s="651"/>
      <c r="X67" s="651"/>
      <c r="Y67" s="651"/>
      <c r="Z67" s="651"/>
      <c r="AA67" s="651"/>
      <c r="AB67" s="651"/>
      <c r="AC67" s="651"/>
      <c r="AD67" s="9"/>
    </row>
    <row r="68" spans="1:30" ht="20.25" customHeight="1" x14ac:dyDescent="0.25">
      <c r="B68" s="13" t="s">
        <v>120</v>
      </c>
      <c r="C68" s="13"/>
      <c r="D68" s="13"/>
      <c r="E68" s="13"/>
      <c r="F68" s="13"/>
      <c r="H68" s="13"/>
      <c r="I68" s="13"/>
      <c r="J68" s="82"/>
      <c r="K68" s="13"/>
      <c r="L68" s="13"/>
      <c r="O68" s="1"/>
      <c r="V68" s="667" t="s">
        <v>121</v>
      </c>
      <c r="W68" s="667"/>
      <c r="X68" s="667"/>
      <c r="Y68" s="661">
        <f>+I69</f>
        <v>0</v>
      </c>
      <c r="Z68" s="661"/>
      <c r="AA68" s="162" t="s">
        <v>111</v>
      </c>
      <c r="AB68" s="163">
        <f>AB57</f>
        <v>0</v>
      </c>
      <c r="AC68" s="56">
        <f>ROUND(Y68*AB68,0)</f>
        <v>0</v>
      </c>
      <c r="AD68" s="9"/>
    </row>
    <row r="69" spans="1:30" ht="15" customHeight="1" x14ac:dyDescent="0.25">
      <c r="B69" s="170" t="s">
        <v>121</v>
      </c>
      <c r="C69" s="13"/>
      <c r="D69" s="13"/>
      <c r="E69" s="13"/>
      <c r="F69" s="13"/>
      <c r="H69" s="164" t="s">
        <v>23</v>
      </c>
      <c r="I69" s="129">
        <v>0</v>
      </c>
      <c r="J69" s="165" t="s">
        <v>111</v>
      </c>
      <c r="K69" s="166">
        <f>K57</f>
        <v>2.4099999999999998E-3</v>
      </c>
      <c r="L69" s="50">
        <f>ROUND(I69*K69,0)</f>
        <v>0</v>
      </c>
      <c r="O69" s="1"/>
      <c r="V69" s="651" t="s">
        <v>122</v>
      </c>
      <c r="W69" s="651"/>
      <c r="X69" s="651"/>
      <c r="Y69" s="668">
        <f>+I70</f>
        <v>-3460775</v>
      </c>
      <c r="Z69" s="668"/>
      <c r="AA69" s="162" t="s">
        <v>111</v>
      </c>
      <c r="AB69" s="163">
        <f>AB54</f>
        <v>0</v>
      </c>
      <c r="AC69" s="56">
        <f>ROUND(Y69*AB69,0)</f>
        <v>0</v>
      </c>
      <c r="AD69" s="9"/>
    </row>
    <row r="70" spans="1:30" ht="20.25" customHeight="1" x14ac:dyDescent="0.25">
      <c r="B70" s="13" t="s">
        <v>122</v>
      </c>
      <c r="C70" s="13"/>
      <c r="D70" s="13"/>
      <c r="E70" s="13"/>
      <c r="F70" s="13"/>
      <c r="H70" s="164" t="s">
        <v>22</v>
      </c>
      <c r="I70" s="129">
        <v>-3460775</v>
      </c>
      <c r="J70" s="165" t="s">
        <v>111</v>
      </c>
      <c r="K70" s="166">
        <f>K54</f>
        <v>2.225E-3</v>
      </c>
      <c r="L70" s="50">
        <f>ROUND(I70*K70,0)</f>
        <v>-7700</v>
      </c>
      <c r="O70" s="1"/>
      <c r="V70" s="651" t="s">
        <v>123</v>
      </c>
      <c r="W70" s="651"/>
      <c r="X70" s="651"/>
      <c r="Y70" s="665">
        <f>+I71</f>
        <v>1874788</v>
      </c>
      <c r="Z70" s="665"/>
      <c r="AA70" s="162" t="s">
        <v>111</v>
      </c>
      <c r="AB70" s="163">
        <f>AB54</f>
        <v>0</v>
      </c>
      <c r="AC70" s="56">
        <f>ROUND(Y70*AB70,0)</f>
        <v>0</v>
      </c>
      <c r="AD70" s="9"/>
    </row>
    <row r="71" spans="1:30" ht="20.25" customHeight="1" x14ac:dyDescent="0.25">
      <c r="B71" s="13" t="s">
        <v>123</v>
      </c>
      <c r="C71" s="13"/>
      <c r="D71" s="13"/>
      <c r="E71" s="13"/>
      <c r="F71" s="13"/>
      <c r="H71" s="164" t="s">
        <v>22</v>
      </c>
      <c r="I71" s="129">
        <v>1874788</v>
      </c>
      <c r="J71" s="165" t="s">
        <v>111</v>
      </c>
      <c r="K71" s="166">
        <f>K54</f>
        <v>2.225E-3</v>
      </c>
      <c r="L71" s="50">
        <f>ROUND(I71*K71,0)</f>
        <v>4171</v>
      </c>
      <c r="O71" s="1"/>
      <c r="V71" s="651" t="s">
        <v>124</v>
      </c>
      <c r="W71" s="651"/>
      <c r="X71" s="651"/>
      <c r="Y71" s="665">
        <f>+I72</f>
        <v>14223298</v>
      </c>
      <c r="Z71" s="665"/>
      <c r="AA71" s="162" t="s">
        <v>111</v>
      </c>
      <c r="AB71" s="163">
        <f>AB57</f>
        <v>0</v>
      </c>
      <c r="AC71" s="56">
        <f>ROUND(Y71*AB71,0)</f>
        <v>0</v>
      </c>
      <c r="AD71" s="9"/>
    </row>
    <row r="72" spans="1:30" ht="21" customHeight="1" x14ac:dyDescent="0.25">
      <c r="B72" s="13" t="s">
        <v>124</v>
      </c>
      <c r="C72" s="13"/>
      <c r="D72" s="13"/>
      <c r="E72" s="13"/>
      <c r="F72" s="13"/>
      <c r="H72" s="164" t="s">
        <v>23</v>
      </c>
      <c r="I72" s="171">
        <v>14223298</v>
      </c>
      <c r="J72" s="165" t="s">
        <v>111</v>
      </c>
      <c r="K72" s="166">
        <f>K57</f>
        <v>2.4099999999999998E-3</v>
      </c>
      <c r="L72" s="50">
        <f>ROUND(I72*K72,0)</f>
        <v>34278</v>
      </c>
      <c r="O72" s="1"/>
      <c r="V72" s="623" t="s">
        <v>125</v>
      </c>
      <c r="W72" s="623"/>
      <c r="X72" s="623"/>
      <c r="Y72" s="623"/>
      <c r="Z72" s="623"/>
      <c r="AA72" s="623"/>
      <c r="AB72" s="623"/>
      <c r="AC72" s="60"/>
      <c r="AD72" s="9"/>
    </row>
    <row r="73" spans="1:30" ht="17.25" customHeight="1" x14ac:dyDescent="0.25">
      <c r="B73" s="13" t="s">
        <v>125</v>
      </c>
      <c r="C73" s="13"/>
      <c r="D73" s="13"/>
      <c r="E73" s="13"/>
      <c r="F73" s="13"/>
      <c r="H73" s="13"/>
      <c r="I73" s="13"/>
      <c r="J73" s="82"/>
      <c r="K73" s="13"/>
      <c r="L73" s="59"/>
      <c r="O73" s="1"/>
      <c r="V73" s="651" t="s">
        <v>126</v>
      </c>
      <c r="W73" s="651"/>
      <c r="X73" s="651"/>
      <c r="Y73" s="651"/>
      <c r="Z73" s="651"/>
      <c r="AA73" s="651"/>
      <c r="AB73" s="651"/>
      <c r="AC73" s="651"/>
      <c r="AD73" s="9"/>
    </row>
    <row r="74" spans="1:30" ht="31.5" x14ac:dyDescent="0.25">
      <c r="B74" s="13" t="s">
        <v>126</v>
      </c>
      <c r="C74" s="13"/>
      <c r="D74" s="27" t="s">
        <v>13</v>
      </c>
      <c r="E74" s="27" t="s">
        <v>14</v>
      </c>
      <c r="F74" s="27"/>
      <c r="H74" s="164" t="s">
        <v>26</v>
      </c>
      <c r="I74" s="172"/>
      <c r="J74" s="164"/>
      <c r="K74" s="172"/>
      <c r="L74" s="112"/>
      <c r="O74" s="1"/>
      <c r="V74" s="666" t="s">
        <v>127</v>
      </c>
      <c r="W74" s="666"/>
      <c r="X74" s="173" t="s">
        <v>128</v>
      </c>
      <c r="Y74" s="174"/>
      <c r="Z74" s="175">
        <f>+I75</f>
        <v>270</v>
      </c>
      <c r="AA74" s="176" t="s">
        <v>129</v>
      </c>
      <c r="AB74" s="177">
        <f>+K75</f>
        <v>361</v>
      </c>
      <c r="AC74" s="56">
        <f>ROUND(AB74*Z74,0)</f>
        <v>97470</v>
      </c>
      <c r="AD74" s="9"/>
    </row>
    <row r="75" spans="1:30" ht="19.5" customHeight="1" x14ac:dyDescent="0.25">
      <c r="A75" s="1" t="s">
        <v>130</v>
      </c>
      <c r="B75" s="178" t="s">
        <v>127</v>
      </c>
      <c r="C75" s="179" t="s">
        <v>128</v>
      </c>
      <c r="D75" s="178">
        <v>188</v>
      </c>
      <c r="E75" s="178">
        <v>352</v>
      </c>
      <c r="F75" s="178">
        <v>0</v>
      </c>
      <c r="G75" s="180">
        <f>IF(E75=0,D75,E75)</f>
        <v>352</v>
      </c>
      <c r="H75" s="181"/>
      <c r="I75" s="182">
        <f>AVERAGE(G75,D75)</f>
        <v>270</v>
      </c>
      <c r="J75" s="183" t="s">
        <v>129</v>
      </c>
      <c r="K75" s="184">
        <v>361</v>
      </c>
      <c r="L75" s="50">
        <f>ROUND(K75*I75,0)</f>
        <v>97470</v>
      </c>
      <c r="N75" s="1">
        <v>7802</v>
      </c>
      <c r="O75" s="1">
        <v>0</v>
      </c>
      <c r="V75" s="666" t="s">
        <v>127</v>
      </c>
      <c r="W75" s="666"/>
      <c r="X75" s="173" t="s">
        <v>131</v>
      </c>
      <c r="Y75" s="185"/>
      <c r="Z75" s="186">
        <f>+I76</f>
        <v>0</v>
      </c>
      <c r="AA75" s="176" t="s">
        <v>129</v>
      </c>
      <c r="AB75" s="187">
        <f>+K76</f>
        <v>1358</v>
      </c>
      <c r="AC75" s="56">
        <f>ROUND(AB75*Z75,0)</f>
        <v>0</v>
      </c>
      <c r="AD75" s="9"/>
    </row>
    <row r="76" spans="1:30" ht="19.5" customHeight="1" x14ac:dyDescent="0.25">
      <c r="A76" s="1" t="s">
        <v>132</v>
      </c>
      <c r="B76" s="178" t="s">
        <v>127</v>
      </c>
      <c r="C76" s="179" t="s">
        <v>131</v>
      </c>
      <c r="D76" s="178">
        <v>0</v>
      </c>
      <c r="E76" s="178">
        <v>0</v>
      </c>
      <c r="F76" s="178">
        <v>0</v>
      </c>
      <c r="G76" s="180">
        <f>IF(E76=0,D76,E76)</f>
        <v>0</v>
      </c>
      <c r="H76" s="181"/>
      <c r="I76" s="182">
        <f>AVERAGE(G76,D76)</f>
        <v>0</v>
      </c>
      <c r="J76" s="183" t="s">
        <v>129</v>
      </c>
      <c r="K76" s="188">
        <v>1358</v>
      </c>
      <c r="L76" s="50">
        <f>ROUND(K76*I76,0)</f>
        <v>0</v>
      </c>
      <c r="N76" s="1">
        <v>7802</v>
      </c>
      <c r="O76" s="1">
        <v>110</v>
      </c>
      <c r="V76" s="651" t="s">
        <v>133</v>
      </c>
      <c r="W76" s="651"/>
      <c r="X76" s="651"/>
      <c r="Y76" s="661">
        <f>+I77</f>
        <v>33305823</v>
      </c>
      <c r="Z76" s="661"/>
      <c r="AA76" s="176" t="s">
        <v>129</v>
      </c>
      <c r="AB76" s="163">
        <f>AB54</f>
        <v>0</v>
      </c>
      <c r="AC76" s="56">
        <f>ROUND(Y76*AB76,0)</f>
        <v>0</v>
      </c>
      <c r="AD76" s="9"/>
    </row>
    <row r="77" spans="1:30" ht="26.25" customHeight="1" x14ac:dyDescent="0.25">
      <c r="B77" s="13" t="s">
        <v>133</v>
      </c>
      <c r="C77" s="13"/>
      <c r="D77" s="13"/>
      <c r="E77" s="13"/>
      <c r="F77" s="13"/>
      <c r="H77" s="164" t="s">
        <v>134</v>
      </c>
      <c r="I77" s="189">
        <v>33305823</v>
      </c>
      <c r="J77" s="165" t="s">
        <v>111</v>
      </c>
      <c r="K77" s="166">
        <f>K54</f>
        <v>2.225E-3</v>
      </c>
      <c r="L77" s="50">
        <f>ROUND(I77*K77,0)</f>
        <v>74105</v>
      </c>
      <c r="O77" s="1"/>
      <c r="V77" s="651" t="str">
        <f>+B78</f>
        <v>15.  Additional Allocation (WFTE share)</v>
      </c>
      <c r="W77" s="651"/>
      <c r="X77" s="651"/>
      <c r="Y77" s="661">
        <f>+I78</f>
        <v>680688</v>
      </c>
      <c r="Z77" s="661"/>
      <c r="AA77" s="176" t="s">
        <v>129</v>
      </c>
      <c r="AB77" s="163">
        <f>AB54</f>
        <v>0</v>
      </c>
      <c r="AC77" s="56">
        <f>ROUND(Y77*AB77,0)</f>
        <v>0</v>
      </c>
      <c r="AD77" s="9"/>
    </row>
    <row r="78" spans="1:30" ht="26.25" customHeight="1" x14ac:dyDescent="0.25">
      <c r="B78" s="669" t="s">
        <v>135</v>
      </c>
      <c r="C78" s="669"/>
      <c r="D78" s="669"/>
      <c r="E78" s="13"/>
      <c r="F78" s="13"/>
      <c r="H78" s="164" t="s">
        <v>136</v>
      </c>
      <c r="I78" s="190">
        <v>680688</v>
      </c>
      <c r="J78" s="165" t="s">
        <v>111</v>
      </c>
      <c r="K78" s="166">
        <f>K54</f>
        <v>2.225E-3</v>
      </c>
      <c r="L78" s="50">
        <f>ROUND(I78*K78,0)</f>
        <v>1515</v>
      </c>
      <c r="O78" s="1"/>
      <c r="V78" s="651" t="str">
        <f t="shared" ref="V78:V79" si="11">+B79</f>
        <v>16.  Florida Teachers Lead Program Stipend</v>
      </c>
      <c r="W78" s="651"/>
      <c r="X78" s="651"/>
      <c r="Y78" s="191"/>
      <c r="Z78" s="191"/>
      <c r="AA78" s="191"/>
      <c r="AB78" s="191"/>
      <c r="AC78" s="134"/>
      <c r="AD78" s="9"/>
    </row>
    <row r="79" spans="1:30" ht="21" customHeight="1" x14ac:dyDescent="0.25">
      <c r="B79" s="669" t="s">
        <v>137</v>
      </c>
      <c r="C79" s="669"/>
      <c r="D79" s="669"/>
      <c r="E79" s="13"/>
      <c r="F79" s="13"/>
      <c r="H79" s="164"/>
      <c r="I79" s="172"/>
      <c r="J79" s="172"/>
      <c r="K79" s="172"/>
      <c r="L79" s="129"/>
      <c r="N79" s="192"/>
      <c r="O79" s="1"/>
      <c r="Q79" s="164"/>
      <c r="V79" s="651" t="str">
        <f t="shared" si="11"/>
        <v>17.  Food Service Allocation</v>
      </c>
      <c r="W79" s="651"/>
      <c r="X79" s="651"/>
      <c r="Y79" s="191"/>
      <c r="Z79" s="191"/>
      <c r="AA79" s="191"/>
      <c r="AB79" s="191"/>
      <c r="AC79" s="193"/>
      <c r="AD79" s="9"/>
    </row>
    <row r="80" spans="1:30" ht="21" customHeight="1" x14ac:dyDescent="0.25">
      <c r="B80" s="669" t="s">
        <v>138</v>
      </c>
      <c r="C80" s="669"/>
      <c r="D80" s="669"/>
      <c r="E80" s="13"/>
      <c r="F80" s="13"/>
      <c r="H80" s="194" t="s">
        <v>139</v>
      </c>
      <c r="I80" s="195"/>
      <c r="J80" s="195"/>
      <c r="K80" s="195"/>
      <c r="L80" s="196"/>
      <c r="N80" s="197"/>
      <c r="O80" s="1"/>
      <c r="Q80" s="164"/>
      <c r="V80" s="191"/>
      <c r="W80" s="191"/>
      <c r="X80" s="191"/>
      <c r="Y80" s="191"/>
      <c r="Z80" s="191"/>
      <c r="AA80" s="191"/>
      <c r="AB80" s="191"/>
      <c r="AC80" s="193"/>
      <c r="AD80" s="9"/>
    </row>
    <row r="81" spans="1:30" ht="21" customHeight="1" thickBot="1" x14ac:dyDescent="0.3">
      <c r="B81" s="13"/>
      <c r="C81" s="13"/>
      <c r="D81" s="13"/>
      <c r="E81" s="13"/>
      <c r="F81" s="13"/>
      <c r="G81" s="13"/>
      <c r="H81" s="13"/>
      <c r="I81" s="13"/>
      <c r="J81" s="13"/>
      <c r="K81" s="13"/>
      <c r="L81" s="196"/>
      <c r="M81" s="198"/>
      <c r="N81" s="197"/>
      <c r="O81" s="1"/>
      <c r="Q81" s="164"/>
      <c r="V81" s="191" t="s">
        <v>140</v>
      </c>
      <c r="W81" s="191"/>
      <c r="X81" s="191"/>
      <c r="Y81" s="191"/>
      <c r="Z81" s="191"/>
      <c r="AA81" s="191"/>
      <c r="AB81" s="191"/>
      <c r="AC81" s="199">
        <f>SUM(AC44:AC80)</f>
        <v>97470</v>
      </c>
      <c r="AD81" s="200"/>
    </row>
    <row r="82" spans="1:30" ht="22.5" customHeight="1" thickTop="1" thickBot="1" x14ac:dyDescent="0.3">
      <c r="B82" s="13" t="s">
        <v>141</v>
      </c>
      <c r="C82" s="13"/>
      <c r="D82" s="13"/>
      <c r="E82" s="13"/>
      <c r="F82" s="13"/>
      <c r="G82" s="13"/>
      <c r="H82" s="13"/>
      <c r="I82" s="13"/>
      <c r="J82" s="13"/>
      <c r="K82" s="13"/>
      <c r="L82" s="201">
        <f>SUM(L44:L81)</f>
        <v>2728948</v>
      </c>
      <c r="M82" s="202"/>
      <c r="N82" s="203"/>
      <c r="O82" s="1"/>
      <c r="Q82" s="164"/>
      <c r="V82" s="191"/>
      <c r="W82" s="191"/>
      <c r="X82" s="191"/>
      <c r="Y82" s="191"/>
      <c r="Z82" s="191"/>
      <c r="AA82" s="191"/>
      <c r="AB82" s="191"/>
      <c r="AC82" s="204"/>
      <c r="AD82" s="200"/>
    </row>
    <row r="83" spans="1:30" ht="27.75" customHeight="1" thickTop="1" x14ac:dyDescent="0.25">
      <c r="B83" s="13" t="s">
        <v>142</v>
      </c>
      <c r="C83" s="13"/>
      <c r="D83" s="13"/>
      <c r="E83" s="13"/>
      <c r="F83" s="13"/>
      <c r="G83" s="13"/>
      <c r="H83" s="13"/>
      <c r="I83" s="13"/>
      <c r="J83" s="13"/>
      <c r="K83" s="82" t="s">
        <v>143</v>
      </c>
      <c r="L83" s="205" t="s">
        <v>144</v>
      </c>
      <c r="M83" s="202"/>
      <c r="N83" s="203"/>
      <c r="O83" s="1"/>
      <c r="Q83" s="164"/>
      <c r="V83" s="9" t="s">
        <v>145</v>
      </c>
      <c r="W83" s="9"/>
      <c r="X83" s="9"/>
      <c r="Y83" s="9"/>
      <c r="Z83" s="9"/>
      <c r="AA83" s="9"/>
      <c r="AB83" s="9"/>
      <c r="AC83" s="9"/>
      <c r="AD83" s="206"/>
    </row>
    <row r="84" spans="1:30" ht="18.75" customHeight="1" thickBot="1" x14ac:dyDescent="0.3">
      <c r="B84" s="13" t="s">
        <v>146</v>
      </c>
      <c r="C84" s="13"/>
      <c r="D84" s="13"/>
      <c r="E84" s="13"/>
      <c r="F84" s="13"/>
      <c r="G84" s="13"/>
      <c r="H84" s="13"/>
      <c r="I84" s="13"/>
      <c r="J84" s="13"/>
      <c r="K84" s="207" t="str">
        <f>IF(G26=0,"",IF((G11+G13+SUM(G15:G21))/G26&gt;0.75,1,""))</f>
        <v/>
      </c>
      <c r="L84" s="201">
        <f>'3401'!AC81</f>
        <v>97470</v>
      </c>
      <c r="M84" s="202"/>
      <c r="N84" s="203"/>
      <c r="O84" s="1"/>
      <c r="Q84" s="164"/>
      <c r="V84" s="208" t="s">
        <v>147</v>
      </c>
      <c r="W84" s="208"/>
      <c r="X84" s="208"/>
      <c r="Y84" s="208"/>
      <c r="Z84" s="208"/>
      <c r="AA84" s="208"/>
      <c r="AB84" s="208"/>
      <c r="AC84" s="208"/>
      <c r="AD84" s="9"/>
    </row>
    <row r="85" spans="1:30" ht="18.75" customHeight="1" thickTop="1" x14ac:dyDescent="0.25">
      <c r="B85" s="13"/>
      <c r="C85" s="13"/>
      <c r="D85" s="13"/>
      <c r="E85" s="13"/>
      <c r="F85" s="13"/>
      <c r="G85" s="13"/>
      <c r="H85" s="13"/>
      <c r="I85" s="13"/>
      <c r="J85" s="13"/>
      <c r="M85" s="202"/>
      <c r="N85" s="203"/>
      <c r="O85" s="1"/>
      <c r="Q85" s="164"/>
      <c r="V85" s="208" t="s">
        <v>148</v>
      </c>
      <c r="W85" s="208"/>
      <c r="X85" s="208"/>
      <c r="Y85" s="208"/>
      <c r="Z85" s="208"/>
      <c r="AA85" s="208"/>
      <c r="AB85" s="208"/>
      <c r="AC85" s="208"/>
      <c r="AD85" s="206"/>
    </row>
    <row r="86" spans="1:30" ht="18.75" customHeight="1" x14ac:dyDescent="0.25">
      <c r="B86" s="2" t="s">
        <v>149</v>
      </c>
      <c r="C86" s="13"/>
      <c r="D86" s="13"/>
      <c r="E86" s="13"/>
      <c r="F86" s="13"/>
      <c r="G86" s="13"/>
      <c r="H86" s="13"/>
      <c r="I86" s="13"/>
      <c r="J86" s="209" t="s">
        <v>150</v>
      </c>
      <c r="K86" s="210">
        <f>IF(K84=1,L84,L82)</f>
        <v>2728948</v>
      </c>
      <c r="L86" s="211">
        <f>IF(G26=0,0,IF(G26&gt;250,-(((250/G26)*K86)*IF(M86="H",0.02,0.05)),IF(M86="H",-0.02*K86,-0.05*K86)))</f>
        <v>-78511.899281900201</v>
      </c>
      <c r="M86" s="212" t="str">
        <f>IF(B123="2801","H",IF(B123="2911","H",IF(B123="3382","H"," ")))</f>
        <v xml:space="preserve"> </v>
      </c>
      <c r="N86" s="203"/>
      <c r="O86" s="1"/>
      <c r="Q86" s="164"/>
      <c r="V86" s="208" t="s">
        <v>151</v>
      </c>
      <c r="W86" s="208"/>
      <c r="X86" s="208"/>
      <c r="Y86" s="208"/>
      <c r="Z86" s="208"/>
      <c r="AA86" s="208"/>
      <c r="AB86" s="208"/>
      <c r="AC86" s="208"/>
      <c r="AD86" s="206"/>
    </row>
    <row r="87" spans="1:30" ht="18.75" customHeight="1" x14ac:dyDescent="0.25">
      <c r="B87" s="2" t="s">
        <v>152</v>
      </c>
      <c r="C87" s="13"/>
      <c r="D87" s="13"/>
      <c r="E87" s="13"/>
      <c r="F87" s="13"/>
      <c r="G87" s="13"/>
      <c r="H87" s="13"/>
      <c r="I87" s="13"/>
      <c r="J87" s="13"/>
      <c r="K87" s="213"/>
      <c r="L87" s="205">
        <f>L82+L86</f>
        <v>2650436.1007180996</v>
      </c>
      <c r="M87" s="202"/>
      <c r="N87" s="203"/>
      <c r="O87" s="1"/>
      <c r="Q87" s="164"/>
      <c r="V87" s="198"/>
      <c r="W87" s="198"/>
      <c r="X87" s="198"/>
      <c r="Y87" s="198"/>
      <c r="Z87" s="198"/>
      <c r="AA87" s="198"/>
      <c r="AB87" s="198"/>
      <c r="AC87" s="198"/>
      <c r="AD87" s="214"/>
    </row>
    <row r="88" spans="1:30" x14ac:dyDescent="0.25">
      <c r="V88" s="198"/>
      <c r="W88" s="198"/>
      <c r="X88" s="198"/>
      <c r="Y88" s="198"/>
      <c r="Z88" s="198"/>
      <c r="AA88" s="198"/>
      <c r="AB88" s="198"/>
      <c r="AC88" s="198"/>
      <c r="AD88" s="215"/>
    </row>
    <row r="89" spans="1:30" ht="18.75" customHeight="1" x14ac:dyDescent="0.25">
      <c r="A89" s="1" t="s">
        <v>153</v>
      </c>
      <c r="B89" s="13" t="s">
        <v>154</v>
      </c>
      <c r="C89" s="13"/>
      <c r="D89" s="13">
        <v>956836</v>
      </c>
      <c r="E89" s="13">
        <v>231117</v>
      </c>
      <c r="F89" s="13">
        <v>1881165</v>
      </c>
      <c r="G89" s="13"/>
      <c r="H89" s="13"/>
      <c r="I89" s="13"/>
      <c r="J89" s="13"/>
      <c r="K89" s="213"/>
      <c r="L89" s="84">
        <v>-2271853</v>
      </c>
      <c r="M89" s="202"/>
      <c r="N89" s="203"/>
      <c r="O89" s="1"/>
      <c r="Q89" s="164"/>
      <c r="V89" s="198">
        <v>2801</v>
      </c>
      <c r="W89" s="198"/>
      <c r="X89" s="198"/>
      <c r="Y89" s="198"/>
      <c r="Z89" s="198"/>
      <c r="AA89" s="198"/>
      <c r="AB89" s="198"/>
      <c r="AC89" s="198"/>
      <c r="AD89" s="214"/>
    </row>
    <row r="90" spans="1:30" ht="18.75" customHeight="1" x14ac:dyDescent="0.25">
      <c r="B90" s="13" t="s">
        <v>155</v>
      </c>
      <c r="C90" s="13"/>
      <c r="D90" s="13"/>
      <c r="E90" s="13"/>
      <c r="F90" s="13"/>
      <c r="G90" s="13"/>
      <c r="H90" s="13"/>
      <c r="I90" s="13"/>
      <c r="J90" s="13"/>
      <c r="K90" s="213"/>
      <c r="L90" s="205">
        <f>L87+L89</f>
        <v>378583.10071809962</v>
      </c>
      <c r="M90" s="202"/>
      <c r="N90" s="203"/>
      <c r="O90" s="1"/>
      <c r="Q90" s="164"/>
      <c r="V90" s="198">
        <v>2911</v>
      </c>
      <c r="W90" s="216"/>
      <c r="X90" s="216"/>
      <c r="Y90" s="216"/>
      <c r="Z90" s="216"/>
      <c r="AA90" s="216"/>
      <c r="AB90" s="216"/>
      <c r="AC90" s="216"/>
      <c r="AD90" s="214"/>
    </row>
    <row r="91" spans="1:30" ht="18.75" customHeight="1" x14ac:dyDescent="0.25">
      <c r="B91" s="13" t="s">
        <v>156</v>
      </c>
      <c r="C91" s="13"/>
      <c r="D91" s="13"/>
      <c r="E91" s="13"/>
      <c r="F91" s="13"/>
      <c r="G91" s="13"/>
      <c r="H91" s="13"/>
      <c r="I91" s="13"/>
      <c r="J91" s="13"/>
      <c r="K91" s="213"/>
      <c r="L91" s="205">
        <v>1</v>
      </c>
      <c r="M91" s="202"/>
      <c r="N91" s="203"/>
      <c r="O91" s="1"/>
      <c r="Q91" s="164"/>
      <c r="V91" s="198">
        <v>3382</v>
      </c>
      <c r="W91" s="216"/>
      <c r="X91" s="216"/>
      <c r="Y91" s="216"/>
      <c r="Z91" s="216"/>
      <c r="AA91" s="216"/>
      <c r="AB91" s="216"/>
      <c r="AC91" s="216"/>
      <c r="AD91" s="214"/>
    </row>
    <row r="92" spans="1:30" ht="18.75" customHeight="1" thickBot="1" x14ac:dyDescent="0.3">
      <c r="B92" s="13" t="s">
        <v>157</v>
      </c>
      <c r="C92" s="13"/>
      <c r="D92" s="13"/>
      <c r="E92" s="13"/>
      <c r="F92" s="13"/>
      <c r="G92" s="13"/>
      <c r="H92" s="13"/>
      <c r="I92" s="13"/>
      <c r="J92" s="13"/>
      <c r="K92" s="213"/>
      <c r="L92" s="217">
        <f>L90/L91</f>
        <v>378583.10071809962</v>
      </c>
      <c r="M92" s="202"/>
      <c r="N92" s="203"/>
      <c r="O92" s="1"/>
      <c r="Q92" s="164"/>
      <c r="V92" s="218"/>
      <c r="W92" s="218"/>
      <c r="X92" s="218"/>
      <c r="Y92" s="218"/>
      <c r="Z92" s="218"/>
      <c r="AA92" s="218"/>
      <c r="AB92" s="218"/>
      <c r="AC92" s="218"/>
      <c r="AD92" s="219"/>
    </row>
    <row r="93" spans="1:30" ht="18.75" customHeight="1" thickTop="1" x14ac:dyDescent="0.25">
      <c r="N93" s="219"/>
      <c r="O93" s="220"/>
      <c r="P93" s="219"/>
      <c r="Q93" s="219"/>
      <c r="V93" s="218"/>
      <c r="W93" s="218"/>
      <c r="X93" s="218"/>
      <c r="Y93" s="218"/>
      <c r="Z93" s="218"/>
      <c r="AA93" s="218"/>
      <c r="AB93" s="218"/>
      <c r="AC93" s="218"/>
      <c r="AD93" s="214"/>
    </row>
    <row r="94" spans="1:30" ht="18.75" customHeight="1" thickBot="1" x14ac:dyDescent="0.3">
      <c r="B94" s="221" t="s">
        <v>158</v>
      </c>
      <c r="C94" s="13"/>
      <c r="D94" s="13"/>
      <c r="E94" s="13"/>
      <c r="G94" s="13"/>
      <c r="H94" s="13"/>
      <c r="I94" s="13"/>
      <c r="J94" s="13"/>
      <c r="L94" s="222">
        <f>IF(M86="H",(K86*0.02)+L86,(K86*0.05)+L86)</f>
        <v>57935.500718099793</v>
      </c>
      <c r="M94" s="202"/>
      <c r="V94" s="223"/>
      <c r="W94" s="223"/>
      <c r="X94" s="223"/>
      <c r="Y94" s="223"/>
      <c r="Z94" s="223"/>
      <c r="AA94" s="223"/>
      <c r="AB94" s="223"/>
      <c r="AC94" s="223"/>
      <c r="AD94" s="214"/>
    </row>
    <row r="95" spans="1:30" ht="21.75" customHeight="1" thickTop="1" x14ac:dyDescent="0.25">
      <c r="B95" s="224" t="s">
        <v>159</v>
      </c>
      <c r="C95" s="224"/>
      <c r="D95" s="224"/>
      <c r="E95" s="224"/>
      <c r="F95" s="224"/>
      <c r="G95" s="224"/>
      <c r="H95" s="224"/>
      <c r="I95" s="224"/>
      <c r="J95" s="224"/>
      <c r="K95" s="224"/>
      <c r="L95" s="224"/>
      <c r="M95" s="219"/>
      <c r="V95" s="223"/>
      <c r="W95" s="223"/>
      <c r="X95" s="223"/>
      <c r="Y95" s="223"/>
      <c r="Z95" s="223"/>
      <c r="AA95" s="223"/>
      <c r="AB95" s="223"/>
      <c r="AC95" s="223"/>
      <c r="AD95" s="214"/>
    </row>
    <row r="96" spans="1:30" x14ac:dyDescent="0.25">
      <c r="B96" s="225"/>
      <c r="V96" s="223"/>
      <c r="W96" s="223"/>
      <c r="X96" s="223"/>
      <c r="Y96" s="223"/>
      <c r="Z96" s="223"/>
      <c r="AA96" s="223"/>
      <c r="AB96" s="223"/>
      <c r="AC96" s="223"/>
      <c r="AD96" s="219"/>
    </row>
    <row r="97" spans="2:30" x14ac:dyDescent="0.25">
      <c r="B97" s="225"/>
      <c r="V97" s="223"/>
      <c r="W97" s="223"/>
      <c r="X97" s="223"/>
      <c r="Y97" s="223"/>
      <c r="Z97" s="223"/>
      <c r="AA97" s="223"/>
      <c r="AB97" s="223"/>
      <c r="AC97" s="223"/>
      <c r="AD97" s="219"/>
    </row>
    <row r="98" spans="2:30" hidden="1" x14ac:dyDescent="0.25">
      <c r="B98" s="226" t="s">
        <v>160</v>
      </c>
      <c r="C98" s="227"/>
      <c r="V98" s="228"/>
      <c r="W98" s="228"/>
      <c r="X98" s="228"/>
      <c r="Y98" s="228"/>
      <c r="Z98" s="228"/>
      <c r="AA98" s="228"/>
      <c r="AB98" s="228"/>
      <c r="AC98" s="228"/>
    </row>
    <row r="99" spans="2:30" hidden="1" x14ac:dyDescent="0.25">
      <c r="B99" s="229"/>
      <c r="C99" s="227"/>
      <c r="V99" s="225"/>
      <c r="W99" s="13"/>
      <c r="X99" s="13"/>
      <c r="Y99" s="13"/>
      <c r="Z99" s="13"/>
      <c r="AA99" s="13"/>
      <c r="AB99" s="13"/>
      <c r="AC99" s="13"/>
    </row>
    <row r="100" spans="2:30" hidden="1" x14ac:dyDescent="0.25">
      <c r="B100" s="230" t="s">
        <v>161</v>
      </c>
      <c r="C100" s="226" t="s">
        <v>162</v>
      </c>
      <c r="V100" s="225"/>
    </row>
    <row r="101" spans="2:30" hidden="1" x14ac:dyDescent="0.25">
      <c r="B101" s="230" t="s">
        <v>163</v>
      </c>
      <c r="C101" s="226" t="s">
        <v>164</v>
      </c>
      <c r="V101" s="225"/>
    </row>
    <row r="102" spans="2:30" hidden="1" x14ac:dyDescent="0.25">
      <c r="B102" s="230" t="s">
        <v>165</v>
      </c>
      <c r="C102" s="226" t="s">
        <v>166</v>
      </c>
      <c r="V102" s="225"/>
      <c r="W102" s="231"/>
      <c r="X102" s="231"/>
      <c r="Y102" s="231"/>
      <c r="Z102" s="231"/>
      <c r="AA102" s="231"/>
      <c r="AB102" s="231"/>
      <c r="AC102" s="231"/>
      <c r="AD102" s="231"/>
    </row>
    <row r="103" spans="2:30" hidden="1" x14ac:dyDescent="0.25">
      <c r="B103" s="230" t="s">
        <v>167</v>
      </c>
      <c r="C103" s="226" t="s">
        <v>168</v>
      </c>
      <c r="V103" s="225"/>
    </row>
    <row r="104" spans="2:30" hidden="1" x14ac:dyDescent="0.25">
      <c r="B104" s="232"/>
      <c r="C104" s="226" t="s">
        <v>169</v>
      </c>
      <c r="V104" s="225"/>
    </row>
    <row r="105" spans="2:30" hidden="1" x14ac:dyDescent="0.25">
      <c r="B105" s="230" t="s">
        <v>170</v>
      </c>
      <c r="C105" s="226" t="s">
        <v>171</v>
      </c>
      <c r="V105" s="225"/>
    </row>
    <row r="106" spans="2:30" hidden="1" x14ac:dyDescent="0.25">
      <c r="B106" s="230" t="s">
        <v>172</v>
      </c>
      <c r="C106" s="226" t="s">
        <v>173</v>
      </c>
      <c r="V106" s="225"/>
    </row>
    <row r="107" spans="2:30" hidden="1" x14ac:dyDescent="0.25">
      <c r="B107" s="230" t="s">
        <v>295</v>
      </c>
      <c r="C107" s="226" t="s">
        <v>175</v>
      </c>
      <c r="V107" s="225"/>
    </row>
    <row r="108" spans="2:30" hidden="1" x14ac:dyDescent="0.25">
      <c r="B108" s="230" t="s">
        <v>176</v>
      </c>
      <c r="C108" s="226" t="s">
        <v>177</v>
      </c>
      <c r="V108" s="225"/>
    </row>
    <row r="109" spans="2:30" hidden="1" x14ac:dyDescent="0.25">
      <c r="B109" s="230" t="s">
        <v>178</v>
      </c>
      <c r="C109" s="226" t="s">
        <v>179</v>
      </c>
      <c r="V109" s="225"/>
    </row>
    <row r="110" spans="2:30" hidden="1" x14ac:dyDescent="0.25">
      <c r="B110" s="232"/>
      <c r="C110" s="226"/>
      <c r="V110" s="225"/>
    </row>
    <row r="111" spans="2:30" hidden="1" x14ac:dyDescent="0.25">
      <c r="B111" s="230" t="s">
        <v>180</v>
      </c>
      <c r="C111" s="226" t="s">
        <v>181</v>
      </c>
      <c r="V111" s="225"/>
    </row>
    <row r="112" spans="2:30" hidden="1" x14ac:dyDescent="0.25">
      <c r="B112" s="230" t="s">
        <v>180</v>
      </c>
      <c r="C112" s="226" t="s">
        <v>182</v>
      </c>
    </row>
    <row r="113" spans="2:3" hidden="1" x14ac:dyDescent="0.25">
      <c r="B113" s="230" t="s">
        <v>183</v>
      </c>
      <c r="C113" s="226" t="s">
        <v>184</v>
      </c>
    </row>
    <row r="114" spans="2:3" hidden="1" x14ac:dyDescent="0.25">
      <c r="B114" s="230" t="s">
        <v>185</v>
      </c>
      <c r="C114" s="226" t="s">
        <v>186</v>
      </c>
    </row>
    <row r="115" spans="2:3" hidden="1" x14ac:dyDescent="0.25">
      <c r="B115" s="230" t="s">
        <v>183</v>
      </c>
      <c r="C115" s="226" t="s">
        <v>187</v>
      </c>
    </row>
    <row r="116" spans="2:3" hidden="1" x14ac:dyDescent="0.25">
      <c r="B116" s="230" t="s">
        <v>188</v>
      </c>
      <c r="C116" s="226" t="s">
        <v>189</v>
      </c>
    </row>
    <row r="117" spans="2:3" hidden="1" x14ac:dyDescent="0.25">
      <c r="B117" s="230" t="s">
        <v>190</v>
      </c>
      <c r="C117" s="226" t="s">
        <v>191</v>
      </c>
    </row>
    <row r="118" spans="2:3" hidden="1" x14ac:dyDescent="0.25">
      <c r="B118" s="232" t="s">
        <v>192</v>
      </c>
      <c r="C118" s="226" t="s">
        <v>193</v>
      </c>
    </row>
    <row r="119" spans="2:3" hidden="1" x14ac:dyDescent="0.25">
      <c r="B119" s="232"/>
      <c r="C119" s="226"/>
    </row>
    <row r="120" spans="2:3" hidden="1" x14ac:dyDescent="0.25">
      <c r="B120" s="230" t="s">
        <v>161</v>
      </c>
      <c r="C120" s="226" t="s">
        <v>194</v>
      </c>
    </row>
    <row r="121" spans="2:3" hidden="1" x14ac:dyDescent="0.25">
      <c r="B121" s="230" t="s">
        <v>195</v>
      </c>
      <c r="C121" s="226" t="s">
        <v>196</v>
      </c>
    </row>
    <row r="122" spans="2:3" hidden="1" x14ac:dyDescent="0.25">
      <c r="B122" s="230" t="s">
        <v>197</v>
      </c>
      <c r="C122" s="226" t="s">
        <v>198</v>
      </c>
    </row>
    <row r="123" spans="2:3" hidden="1" x14ac:dyDescent="0.25">
      <c r="B123" s="230" t="s">
        <v>296</v>
      </c>
      <c r="C123" s="226" t="s">
        <v>200</v>
      </c>
    </row>
    <row r="124" spans="2:3" hidden="1" x14ac:dyDescent="0.25">
      <c r="B124" s="230" t="s">
        <v>297</v>
      </c>
      <c r="C124" s="226" t="s">
        <v>202</v>
      </c>
    </row>
    <row r="125" spans="2:3" hidden="1" x14ac:dyDescent="0.25">
      <c r="B125" s="230" t="s">
        <v>203</v>
      </c>
      <c r="C125" s="226" t="s">
        <v>204</v>
      </c>
    </row>
    <row r="126" spans="2:3" hidden="1" x14ac:dyDescent="0.25">
      <c r="B126" s="230" t="s">
        <v>203</v>
      </c>
      <c r="C126" s="226" t="s">
        <v>205</v>
      </c>
    </row>
    <row r="127" spans="2:3" hidden="1" x14ac:dyDescent="0.25">
      <c r="B127" s="230" t="s">
        <v>203</v>
      </c>
      <c r="C127" s="226" t="s">
        <v>206</v>
      </c>
    </row>
    <row r="128" spans="2:3" hidden="1" x14ac:dyDescent="0.25">
      <c r="B128" s="230" t="s">
        <v>203</v>
      </c>
      <c r="C128" s="226" t="s">
        <v>207</v>
      </c>
    </row>
    <row r="129" spans="2:3" hidden="1" x14ac:dyDescent="0.25">
      <c r="B129" s="230" t="s">
        <v>167</v>
      </c>
      <c r="C129" s="226" t="s">
        <v>208</v>
      </c>
    </row>
    <row r="130" spans="2:3" hidden="1" x14ac:dyDescent="0.25">
      <c r="B130" s="230" t="s">
        <v>209</v>
      </c>
      <c r="C130" s="226" t="s">
        <v>210</v>
      </c>
    </row>
    <row r="131" spans="2:3" hidden="1" x14ac:dyDescent="0.25">
      <c r="B131" s="230" t="s">
        <v>203</v>
      </c>
      <c r="C131" s="226" t="s">
        <v>211</v>
      </c>
    </row>
    <row r="132" spans="2:3" hidden="1" x14ac:dyDescent="0.25">
      <c r="B132" s="226"/>
      <c r="C132" s="226"/>
    </row>
    <row r="133" spans="2:3" hidden="1" x14ac:dyDescent="0.25">
      <c r="B133" s="226"/>
      <c r="C133" s="226"/>
    </row>
    <row r="134" spans="2:3" hidden="1" x14ac:dyDescent="0.25">
      <c r="B134" s="232"/>
      <c r="C134" s="232"/>
    </row>
    <row r="135" spans="2:3" hidden="1" x14ac:dyDescent="0.25">
      <c r="B135" s="232">
        <f>NvsElapsedTime</f>
        <v>1.15740767796524E-5</v>
      </c>
      <c r="C135" s="232"/>
    </row>
    <row r="136" spans="2:3" hidden="1" x14ac:dyDescent="0.25">
      <c r="B136" s="233">
        <f>NvsEndTime</f>
        <v>41754.487997685203</v>
      </c>
      <c r="C136" s="233" t="s">
        <v>212</v>
      </c>
    </row>
    <row r="137" spans="2:3" x14ac:dyDescent="0.25">
      <c r="B137" s="226"/>
      <c r="C137" s="234"/>
    </row>
    <row r="138" spans="2:3" x14ac:dyDescent="0.25">
      <c r="B138" s="226"/>
      <c r="C138" s="226"/>
    </row>
    <row r="139" spans="2:3" x14ac:dyDescent="0.25">
      <c r="B139" s="226"/>
      <c r="C139" s="226"/>
    </row>
    <row r="140" spans="2:3" x14ac:dyDescent="0.25">
      <c r="B140" s="226"/>
      <c r="C140" s="226"/>
    </row>
    <row r="141" spans="2:3" x14ac:dyDescent="0.25">
      <c r="B141" s="226"/>
      <c r="C141" s="226"/>
    </row>
    <row r="142" spans="2:3" x14ac:dyDescent="0.25">
      <c r="B142" s="226"/>
      <c r="C142" s="226"/>
    </row>
    <row r="143" spans="2:3" x14ac:dyDescent="0.25">
      <c r="B143" s="226"/>
      <c r="C143" s="226"/>
    </row>
    <row r="144" spans="2:3" x14ac:dyDescent="0.25">
      <c r="B144" s="226"/>
      <c r="C144" s="226"/>
    </row>
    <row r="145" spans="2:3" x14ac:dyDescent="0.25">
      <c r="B145" s="226"/>
      <c r="C145" s="226"/>
    </row>
    <row r="146" spans="2:3" x14ac:dyDescent="0.25">
      <c r="B146" s="226"/>
      <c r="C146" s="226"/>
    </row>
    <row r="147" spans="2:3" x14ac:dyDescent="0.25">
      <c r="B147" s="226"/>
      <c r="C147" s="226"/>
    </row>
    <row r="148" spans="2:3" x14ac:dyDescent="0.25">
      <c r="B148" s="226"/>
      <c r="C148" s="226"/>
    </row>
    <row r="149" spans="2:3" x14ac:dyDescent="0.25">
      <c r="B149" s="226"/>
      <c r="C149" s="226"/>
    </row>
    <row r="150" spans="2:3" x14ac:dyDescent="0.25">
      <c r="B150" s="226"/>
      <c r="C150" s="226"/>
    </row>
    <row r="151" spans="2:3" x14ac:dyDescent="0.25">
      <c r="B151" s="226"/>
      <c r="C151" s="226"/>
    </row>
  </sheetData>
  <mergeCells count="151">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9:W9"/>
    <mergeCell ref="X9:Y9"/>
    <mergeCell ref="Z9:AA9"/>
    <mergeCell ref="V10:W10"/>
    <mergeCell ref="X10:Y10"/>
    <mergeCell ref="Z10:AA10"/>
    <mergeCell ref="V7:W7"/>
    <mergeCell ref="X7:Y7"/>
    <mergeCell ref="Z7:AA7"/>
    <mergeCell ref="AB7:AC7"/>
    <mergeCell ref="V8:W8"/>
    <mergeCell ref="X8:Y8"/>
    <mergeCell ref="Z8:AA8"/>
    <mergeCell ref="W2:AC2"/>
    <mergeCell ref="V3:AC3"/>
    <mergeCell ref="V4:AC4"/>
    <mergeCell ref="V5:W5"/>
    <mergeCell ref="X5:Y5"/>
    <mergeCell ref="V6:AC6"/>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dimension ref="A1:AD151"/>
  <sheetViews>
    <sheetView topLeftCell="B2" zoomScale="70" zoomScaleNormal="70" workbookViewId="0">
      <selection activeCell="B2" sqref="B2"/>
    </sheetView>
  </sheetViews>
  <sheetFormatPr defaultColWidth="8.85546875" defaultRowHeight="15.75" x14ac:dyDescent="0.25"/>
  <cols>
    <col min="1" max="1" width="11.28515625" style="1" hidden="1" customWidth="1"/>
    <col min="2" max="2" width="10.28515625" style="2" customWidth="1"/>
    <col min="3" max="3" width="29" style="1" customWidth="1"/>
    <col min="4" max="5" width="12.28515625" style="1" customWidth="1"/>
    <col min="6" max="6" width="12.28515625" style="1" hidden="1" customWidth="1"/>
    <col min="7" max="7" width="15.28515625" style="1" customWidth="1"/>
    <col min="8" max="8" width="6.7109375" style="1" customWidth="1"/>
    <col min="9" max="9" width="12.5703125" style="1" customWidth="1"/>
    <col min="10" max="10" width="12.85546875" style="1" customWidth="1"/>
    <col min="11" max="11" width="13" style="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28515625" style="1" customWidth="1"/>
    <col min="18" max="18" width="8.85546875" style="1"/>
    <col min="19" max="21" width="0" style="1" hidden="1" customWidth="1"/>
    <col min="22" max="23" width="8.85546875" style="1"/>
    <col min="24" max="24" width="12.7109375" style="1" customWidth="1"/>
    <col min="25" max="27" width="8.85546875" style="1"/>
    <col min="28" max="28" width="13.140625" style="1" bestFit="1" customWidth="1"/>
    <col min="29" max="16384" width="8.85546875" style="1"/>
  </cols>
  <sheetData>
    <row r="1" spans="1:30" ht="15.6"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7"/>
      <c r="N2" s="3"/>
      <c r="O2" s="1"/>
      <c r="V2" s="8">
        <f>'3411'!B2</f>
        <v>50</v>
      </c>
      <c r="W2" s="606" t="s">
        <v>4</v>
      </c>
      <c r="X2" s="607"/>
      <c r="Y2" s="608"/>
      <c r="Z2" s="608"/>
      <c r="AA2" s="608"/>
      <c r="AB2" s="608"/>
      <c r="AC2" s="608"/>
      <c r="AD2" s="9"/>
    </row>
    <row r="3" spans="1:30" ht="20.25" x14ac:dyDescent="0.3">
      <c r="B3" s="10" t="str">
        <f>"Revenue Estimate Worksheet for "&amp;B124</f>
        <v>Revenue Estimate Worksheet for My Choice Academy</v>
      </c>
      <c r="C3" s="11"/>
      <c r="D3" s="11"/>
      <c r="E3" s="11"/>
      <c r="F3" s="11"/>
      <c r="G3" s="11"/>
      <c r="H3" s="11"/>
      <c r="I3" s="11"/>
      <c r="J3" s="11"/>
      <c r="K3" s="11"/>
      <c r="L3" s="11"/>
      <c r="M3" s="10"/>
      <c r="N3" s="10"/>
      <c r="O3" s="10"/>
      <c r="P3" s="10"/>
      <c r="Q3" s="10"/>
      <c r="V3" s="609" t="s">
        <v>5</v>
      </c>
      <c r="W3" s="609"/>
      <c r="X3" s="609"/>
      <c r="Y3" s="609"/>
      <c r="Z3" s="609"/>
      <c r="AA3" s="609"/>
      <c r="AB3" s="609"/>
      <c r="AC3" s="609"/>
      <c r="AD3" s="12"/>
    </row>
    <row r="4" spans="1:30" ht="18.75" x14ac:dyDescent="0.3">
      <c r="B4" s="2" t="s">
        <v>6</v>
      </c>
      <c r="C4" s="13"/>
      <c r="D4" s="13"/>
      <c r="E4" s="13"/>
      <c r="F4" s="13"/>
      <c r="G4" s="13"/>
      <c r="H4" s="13"/>
      <c r="I4" s="13"/>
      <c r="J4" s="13"/>
      <c r="K4" s="13"/>
      <c r="L4" s="13"/>
      <c r="M4" s="14"/>
      <c r="N4" s="14"/>
      <c r="O4" s="14"/>
      <c r="P4" s="14"/>
      <c r="Q4" s="14"/>
      <c r="V4" s="610" t="str">
        <f>+Based_on_the_Second_Calculation_of_the_FEFP_2010_11</f>
        <v>Based on the Fourth Calculation of the FEFP 2013-14</v>
      </c>
      <c r="W4" s="610"/>
      <c r="X4" s="610"/>
      <c r="Y4" s="610"/>
      <c r="Z4" s="610"/>
      <c r="AA4" s="610"/>
      <c r="AB4" s="610"/>
      <c r="AC4" s="610"/>
      <c r="AD4" s="15"/>
    </row>
    <row r="5" spans="1:30" ht="18.75" customHeight="1" x14ac:dyDescent="0.25">
      <c r="B5" s="16" t="s">
        <v>7</v>
      </c>
      <c r="C5" s="16"/>
      <c r="D5" s="16"/>
      <c r="E5" s="16"/>
      <c r="F5" s="16"/>
      <c r="G5" s="17" t="s">
        <v>8</v>
      </c>
      <c r="H5" s="17"/>
      <c r="I5" s="17"/>
      <c r="J5" s="17"/>
      <c r="K5" s="17"/>
      <c r="L5" s="17"/>
      <c r="M5" s="18"/>
      <c r="N5" s="18"/>
      <c r="O5" s="18"/>
      <c r="P5" s="18"/>
      <c r="Q5" s="18"/>
      <c r="V5" s="611" t="s">
        <v>7</v>
      </c>
      <c r="W5" s="611"/>
      <c r="X5" s="612" t="s">
        <v>8</v>
      </c>
      <c r="Y5" s="612"/>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613" t="s">
        <v>9</v>
      </c>
      <c r="W6" s="613"/>
      <c r="X6" s="613"/>
      <c r="Y6" s="613"/>
      <c r="Z6" s="613"/>
      <c r="AA6" s="613"/>
      <c r="AB6" s="613"/>
      <c r="AC6" s="613"/>
      <c r="AD6" s="22"/>
    </row>
    <row r="7" spans="1:30" ht="18" customHeight="1" x14ac:dyDescent="0.25">
      <c r="B7" s="23" t="s">
        <v>10</v>
      </c>
      <c r="C7" s="23"/>
      <c r="D7" s="23"/>
      <c r="E7" s="23"/>
      <c r="F7" s="23"/>
      <c r="G7" s="24">
        <v>3752.3</v>
      </c>
      <c r="H7" s="24"/>
      <c r="I7" s="23" t="s">
        <v>11</v>
      </c>
      <c r="J7" s="23"/>
      <c r="K7" s="25">
        <v>1.0326</v>
      </c>
      <c r="L7" s="25"/>
      <c r="O7" s="1"/>
      <c r="V7" s="620" t="s">
        <v>10</v>
      </c>
      <c r="W7" s="620"/>
      <c r="X7" s="621">
        <f>'3411'!G7</f>
        <v>3752.3</v>
      </c>
      <c r="Y7" s="621"/>
      <c r="Z7" s="622" t="s">
        <v>11</v>
      </c>
      <c r="AA7" s="622"/>
      <c r="AB7" s="602">
        <f>+K7</f>
        <v>1.0326</v>
      </c>
      <c r="AC7" s="602"/>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603" t="s">
        <v>12</v>
      </c>
      <c r="W8" s="603"/>
      <c r="X8" s="604" t="s">
        <v>15</v>
      </c>
      <c r="Y8" s="604"/>
      <c r="Z8" s="605" t="s">
        <v>16</v>
      </c>
      <c r="AA8" s="605"/>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614" t="s">
        <v>22</v>
      </c>
      <c r="W9" s="614"/>
      <c r="X9" s="615" t="s">
        <v>23</v>
      </c>
      <c r="Y9" s="615"/>
      <c r="Z9" s="616" t="s">
        <v>24</v>
      </c>
      <c r="AA9" s="616"/>
      <c r="AB9" s="43" t="s">
        <v>25</v>
      </c>
      <c r="AC9" s="44" t="s">
        <v>26</v>
      </c>
      <c r="AD9" s="9"/>
    </row>
    <row r="10" spans="1:30" x14ac:dyDescent="0.25">
      <c r="A10" s="1" t="s">
        <v>27</v>
      </c>
      <c r="B10" s="45" t="s">
        <v>28</v>
      </c>
      <c r="C10" s="45"/>
      <c r="D10" s="45">
        <v>0</v>
      </c>
      <c r="E10" s="45">
        <v>0</v>
      </c>
      <c r="F10" s="45">
        <v>0</v>
      </c>
      <c r="G10" s="46">
        <f>IF(E10=0,D10*2,D10+E10)</f>
        <v>0</v>
      </c>
      <c r="H10" s="47"/>
      <c r="I10" s="48">
        <v>1.125</v>
      </c>
      <c r="J10" s="48"/>
      <c r="K10" s="49">
        <f>ROUND(G10*I10,4)</f>
        <v>0</v>
      </c>
      <c r="L10" s="50">
        <f>ROUND(ROUND(K10*$G$7,4)*($K$7),0)</f>
        <v>0</v>
      </c>
      <c r="N10" s="51">
        <v>5101</v>
      </c>
      <c r="O10" s="52">
        <v>101</v>
      </c>
      <c r="P10" s="53"/>
      <c r="Q10" s="54"/>
      <c r="V10" s="617" t="s">
        <v>28</v>
      </c>
      <c r="W10" s="617"/>
      <c r="X10" s="618">
        <f>IF('3411'!K$84=1,'3411'!G10,0)</f>
        <v>0</v>
      </c>
      <c r="Y10" s="618"/>
      <c r="Z10" s="619">
        <v>1</v>
      </c>
      <c r="AA10" s="619"/>
      <c r="AB10" s="55">
        <f t="shared" ref="AB10:AB25" si="0">ROUND(X10*Z10,4)</f>
        <v>0</v>
      </c>
      <c r="AC10" s="56">
        <f t="shared" ref="AC10:AC25" si="1">ROUND(ROUND(AB10*$X$7,4)*($AB$7),0)</f>
        <v>0</v>
      </c>
      <c r="AD10" s="9">
        <v>1</v>
      </c>
    </row>
    <row r="11" spans="1:30" x14ac:dyDescent="0.25">
      <c r="A11" s="1" t="s">
        <v>29</v>
      </c>
      <c r="B11" s="13" t="s">
        <v>30</v>
      </c>
      <c r="C11" s="13"/>
      <c r="D11" s="13">
        <v>0</v>
      </c>
      <c r="E11" s="13">
        <v>0</v>
      </c>
      <c r="F11" s="13">
        <v>0</v>
      </c>
      <c r="G11" s="46">
        <f t="shared" ref="G11:G25" si="2">IF(E11=0,D11*2,D11+E11)</f>
        <v>0</v>
      </c>
      <c r="H11" s="47"/>
      <c r="I11" s="57">
        <f>I10</f>
        <v>1.125</v>
      </c>
      <c r="J11" s="57"/>
      <c r="K11" s="49">
        <f t="shared" ref="K11:K25" si="3">ROUND(G11*I11,4)</f>
        <v>0</v>
      </c>
      <c r="L11" s="50">
        <f t="shared" ref="L11:L25" si="4">ROUND(ROUND(K11*$G$7,4)*($K$7),0)</f>
        <v>0</v>
      </c>
      <c r="M11" s="1" t="str">
        <f>IF(ROUND(G11,2)=ROUND(SUM(G28:G30),2)," ","CHECK 2. PK-3 Lines Below")</f>
        <v xml:space="preserve"> </v>
      </c>
      <c r="N11" s="51">
        <v>5101</v>
      </c>
      <c r="O11" s="58" t="s">
        <v>31</v>
      </c>
      <c r="P11" s="53"/>
      <c r="Q11" s="54"/>
      <c r="V11" s="623" t="s">
        <v>30</v>
      </c>
      <c r="W11" s="623"/>
      <c r="X11" s="618">
        <f>IF('3411'!K$84=1,'3411'!G11,0)</f>
        <v>0</v>
      </c>
      <c r="Y11" s="618"/>
      <c r="Z11" s="624">
        <v>1</v>
      </c>
      <c r="AA11" s="624"/>
      <c r="AB11" s="55">
        <f t="shared" si="0"/>
        <v>0</v>
      </c>
      <c r="AC11" s="56">
        <f t="shared" si="1"/>
        <v>0</v>
      </c>
      <c r="AD11" s="9"/>
    </row>
    <row r="12" spans="1:30" x14ac:dyDescent="0.25">
      <c r="A12" s="1" t="s">
        <v>32</v>
      </c>
      <c r="B12" s="13" t="s">
        <v>33</v>
      </c>
      <c r="C12" s="13"/>
      <c r="D12" s="13">
        <v>0</v>
      </c>
      <c r="E12" s="13">
        <v>0</v>
      </c>
      <c r="F12" s="13">
        <v>0</v>
      </c>
      <c r="G12" s="46">
        <f t="shared" si="2"/>
        <v>0</v>
      </c>
      <c r="H12" s="47"/>
      <c r="I12" s="57">
        <v>1</v>
      </c>
      <c r="J12" s="57"/>
      <c r="K12" s="49">
        <f t="shared" si="3"/>
        <v>0</v>
      </c>
      <c r="L12" s="50">
        <f t="shared" si="4"/>
        <v>0</v>
      </c>
      <c r="N12" s="51">
        <v>5102</v>
      </c>
      <c r="O12" s="52">
        <v>102</v>
      </c>
      <c r="P12" s="53"/>
      <c r="Q12" s="54"/>
      <c r="V12" s="623" t="s">
        <v>33</v>
      </c>
      <c r="W12" s="623"/>
      <c r="X12" s="618">
        <f>IF('3411'!K$84=1,'3411'!G12,0)</f>
        <v>0</v>
      </c>
      <c r="Y12" s="618"/>
      <c r="Z12" s="624">
        <v>1</v>
      </c>
      <c r="AA12" s="624"/>
      <c r="AB12" s="55">
        <f t="shared" si="0"/>
        <v>0</v>
      </c>
      <c r="AC12" s="56">
        <f t="shared" si="1"/>
        <v>0</v>
      </c>
      <c r="AD12" s="9"/>
    </row>
    <row r="13" spans="1:30" x14ac:dyDescent="0.25">
      <c r="A13" s="1" t="s">
        <v>34</v>
      </c>
      <c r="B13" s="13" t="s">
        <v>35</v>
      </c>
      <c r="C13" s="13"/>
      <c r="D13" s="13">
        <v>0</v>
      </c>
      <c r="E13" s="13">
        <v>0</v>
      </c>
      <c r="F13" s="13">
        <v>0</v>
      </c>
      <c r="G13" s="46">
        <f t="shared" si="2"/>
        <v>0</v>
      </c>
      <c r="H13" s="47"/>
      <c r="I13" s="57">
        <f>I12</f>
        <v>1</v>
      </c>
      <c r="J13" s="57"/>
      <c r="K13" s="49">
        <f t="shared" si="3"/>
        <v>0</v>
      </c>
      <c r="L13" s="50">
        <f t="shared" si="4"/>
        <v>0</v>
      </c>
      <c r="M13" s="1" t="str">
        <f>IF(ROUND(G13,2)=ROUND(SUM(G31:G33),2)," ","CHECK 2. PK-3 Lines Below")</f>
        <v xml:space="preserve"> </v>
      </c>
      <c r="N13" s="51">
        <v>5102</v>
      </c>
      <c r="O13" s="58" t="s">
        <v>36</v>
      </c>
      <c r="P13" s="53"/>
      <c r="Q13" s="54"/>
      <c r="V13" s="623" t="s">
        <v>35</v>
      </c>
      <c r="W13" s="623"/>
      <c r="X13" s="618">
        <f>IF('3411'!K$84=1,'3411'!G13,0)</f>
        <v>0</v>
      </c>
      <c r="Y13" s="618"/>
      <c r="Z13" s="624">
        <v>1</v>
      </c>
      <c r="AA13" s="624"/>
      <c r="AB13" s="55">
        <f t="shared" si="0"/>
        <v>0</v>
      </c>
      <c r="AC13" s="56">
        <f t="shared" si="1"/>
        <v>0</v>
      </c>
      <c r="AD13" s="9"/>
    </row>
    <row r="14" spans="1:30" x14ac:dyDescent="0.25">
      <c r="A14" s="1" t="s">
        <v>37</v>
      </c>
      <c r="B14" s="13" t="s">
        <v>38</v>
      </c>
      <c r="C14" s="13"/>
      <c r="D14" s="13">
        <v>0</v>
      </c>
      <c r="E14" s="13">
        <v>0</v>
      </c>
      <c r="F14" s="13">
        <v>0</v>
      </c>
      <c r="G14" s="46">
        <f t="shared" si="2"/>
        <v>0</v>
      </c>
      <c r="H14" s="47"/>
      <c r="I14" s="57">
        <v>1.0109999999999999</v>
      </c>
      <c r="J14" s="57"/>
      <c r="K14" s="49">
        <f t="shared" si="3"/>
        <v>0</v>
      </c>
      <c r="L14" s="50">
        <f t="shared" si="4"/>
        <v>0</v>
      </c>
      <c r="N14" s="51">
        <v>5103</v>
      </c>
      <c r="O14" s="52">
        <v>103</v>
      </c>
      <c r="P14" s="53"/>
      <c r="Q14" s="54"/>
      <c r="V14" s="623" t="s">
        <v>38</v>
      </c>
      <c r="W14" s="623"/>
      <c r="X14" s="618">
        <f>IF('3411'!K$84=1,'3411'!G14,0)</f>
        <v>0</v>
      </c>
      <c r="Y14" s="618"/>
      <c r="Z14" s="624">
        <v>1</v>
      </c>
      <c r="AA14" s="624"/>
      <c r="AB14" s="55">
        <f t="shared" si="0"/>
        <v>0</v>
      </c>
      <c r="AC14" s="56">
        <f t="shared" si="1"/>
        <v>0</v>
      </c>
      <c r="AD14" s="9"/>
    </row>
    <row r="15" spans="1:30" x14ac:dyDescent="0.25">
      <c r="A15" s="1" t="s">
        <v>39</v>
      </c>
      <c r="B15" s="13" t="s">
        <v>40</v>
      </c>
      <c r="C15" s="13"/>
      <c r="D15" s="13">
        <v>0</v>
      </c>
      <c r="E15" s="13">
        <v>0</v>
      </c>
      <c r="F15" s="13">
        <v>0</v>
      </c>
      <c r="G15" s="46">
        <f t="shared" si="2"/>
        <v>0</v>
      </c>
      <c r="H15" s="47"/>
      <c r="I15" s="57">
        <f>I14</f>
        <v>1.0109999999999999</v>
      </c>
      <c r="J15" s="57"/>
      <c r="K15" s="49">
        <f t="shared" si="3"/>
        <v>0</v>
      </c>
      <c r="L15" s="59">
        <f t="shared" si="4"/>
        <v>0</v>
      </c>
      <c r="M15" s="1" t="str">
        <f>IF(ROUND(G15,2)=ROUND(SUM(G34:G36),2)," ","CHECK 2. PK-3 Lines Below")</f>
        <v xml:space="preserve"> </v>
      </c>
      <c r="N15" s="51">
        <v>5103</v>
      </c>
      <c r="O15" s="58" t="s">
        <v>41</v>
      </c>
      <c r="P15" s="53"/>
      <c r="Q15" s="54"/>
      <c r="V15" s="623" t="s">
        <v>40</v>
      </c>
      <c r="W15" s="623"/>
      <c r="X15" s="618">
        <f>IF('3411'!K$84=1,'3411'!G15,0)</f>
        <v>0</v>
      </c>
      <c r="Y15" s="618"/>
      <c r="Z15" s="624">
        <v>1</v>
      </c>
      <c r="AA15" s="624"/>
      <c r="AB15" s="55">
        <f t="shared" si="0"/>
        <v>0</v>
      </c>
      <c r="AC15" s="60">
        <f t="shared" si="1"/>
        <v>0</v>
      </c>
      <c r="AD15" s="9"/>
    </row>
    <row r="16" spans="1:30" x14ac:dyDescent="0.25">
      <c r="A16" s="1" t="s">
        <v>42</v>
      </c>
      <c r="B16" s="13" t="s">
        <v>43</v>
      </c>
      <c r="C16" s="13"/>
      <c r="D16" s="13">
        <v>0</v>
      </c>
      <c r="E16" s="13">
        <v>0</v>
      </c>
      <c r="F16" s="13">
        <v>0</v>
      </c>
      <c r="G16" s="46">
        <f t="shared" si="2"/>
        <v>0</v>
      </c>
      <c r="H16" s="47"/>
      <c r="I16" s="57">
        <v>3.5579999999999998</v>
      </c>
      <c r="J16" s="57"/>
      <c r="K16" s="49">
        <f t="shared" si="3"/>
        <v>0</v>
      </c>
      <c r="L16" s="50">
        <f t="shared" si="4"/>
        <v>0</v>
      </c>
      <c r="N16" s="51">
        <v>5101</v>
      </c>
      <c r="O16" s="53">
        <v>254</v>
      </c>
      <c r="P16" s="53"/>
      <c r="Q16" s="54"/>
      <c r="V16" s="623" t="s">
        <v>43</v>
      </c>
      <c r="W16" s="623"/>
      <c r="X16" s="618">
        <f>IF('3411'!K$84=1,'3411'!G16,0)</f>
        <v>0</v>
      </c>
      <c r="Y16" s="618"/>
      <c r="Z16" s="624">
        <v>1</v>
      </c>
      <c r="AA16" s="624"/>
      <c r="AB16" s="55">
        <f t="shared" si="0"/>
        <v>0</v>
      </c>
      <c r="AC16" s="56">
        <f t="shared" si="1"/>
        <v>0</v>
      </c>
      <c r="AD16" s="9"/>
    </row>
    <row r="17" spans="1:30" x14ac:dyDescent="0.25">
      <c r="A17" s="1" t="s">
        <v>44</v>
      </c>
      <c r="B17" s="13" t="s">
        <v>45</v>
      </c>
      <c r="C17" s="13"/>
      <c r="D17" s="13">
        <v>0</v>
      </c>
      <c r="E17" s="13">
        <v>0</v>
      </c>
      <c r="F17" s="13">
        <v>0</v>
      </c>
      <c r="G17" s="46">
        <f t="shared" si="2"/>
        <v>0</v>
      </c>
      <c r="H17" s="47"/>
      <c r="I17" s="57">
        <f>I16</f>
        <v>3.5579999999999998</v>
      </c>
      <c r="J17" s="57"/>
      <c r="K17" s="49">
        <f t="shared" si="3"/>
        <v>0</v>
      </c>
      <c r="L17" s="50">
        <f t="shared" si="4"/>
        <v>0</v>
      </c>
      <c r="N17" s="51">
        <v>5102</v>
      </c>
      <c r="O17" s="54">
        <v>254</v>
      </c>
      <c r="P17" s="53"/>
      <c r="Q17" s="54"/>
      <c r="V17" s="623" t="s">
        <v>45</v>
      </c>
      <c r="W17" s="623"/>
      <c r="X17" s="618">
        <f>IF('3411'!K$84=1,'3411'!G17,0)</f>
        <v>0</v>
      </c>
      <c r="Y17" s="618"/>
      <c r="Z17" s="624">
        <v>1</v>
      </c>
      <c r="AA17" s="624"/>
      <c r="AB17" s="55">
        <f t="shared" si="0"/>
        <v>0</v>
      </c>
      <c r="AC17" s="56">
        <f t="shared" si="1"/>
        <v>0</v>
      </c>
      <c r="AD17" s="9"/>
    </row>
    <row r="18" spans="1:30" x14ac:dyDescent="0.25">
      <c r="A18" s="1" t="s">
        <v>46</v>
      </c>
      <c r="B18" s="13" t="s">
        <v>47</v>
      </c>
      <c r="C18" s="13"/>
      <c r="D18" s="13">
        <v>0</v>
      </c>
      <c r="E18" s="13">
        <v>0</v>
      </c>
      <c r="F18" s="13">
        <v>0</v>
      </c>
      <c r="G18" s="46">
        <f t="shared" si="2"/>
        <v>0</v>
      </c>
      <c r="H18" s="47"/>
      <c r="I18" s="57">
        <f>I17</f>
        <v>3.5579999999999998</v>
      </c>
      <c r="J18" s="57"/>
      <c r="K18" s="49">
        <f t="shared" si="3"/>
        <v>0</v>
      </c>
      <c r="L18" s="50">
        <f t="shared" si="4"/>
        <v>0</v>
      </c>
      <c r="N18" s="51">
        <v>5103</v>
      </c>
      <c r="O18" s="54">
        <v>254</v>
      </c>
      <c r="P18" s="53"/>
      <c r="Q18" s="54"/>
      <c r="V18" s="623" t="s">
        <v>47</v>
      </c>
      <c r="W18" s="623"/>
      <c r="X18" s="618">
        <f>IF('3411'!K$84=1,'3411'!G18,0)</f>
        <v>0</v>
      </c>
      <c r="Y18" s="618"/>
      <c r="Z18" s="624">
        <v>1</v>
      </c>
      <c r="AA18" s="624"/>
      <c r="AB18" s="55">
        <f t="shared" si="0"/>
        <v>0</v>
      </c>
      <c r="AC18" s="56">
        <f t="shared" si="1"/>
        <v>0</v>
      </c>
      <c r="AD18" s="9"/>
    </row>
    <row r="19" spans="1:30" ht="15" customHeight="1" x14ac:dyDescent="0.25">
      <c r="A19" s="1" t="s">
        <v>48</v>
      </c>
      <c r="B19" s="13" t="s">
        <v>49</v>
      </c>
      <c r="C19" s="13"/>
      <c r="D19" s="13">
        <v>0</v>
      </c>
      <c r="E19" s="13">
        <v>0</v>
      </c>
      <c r="F19" s="13">
        <v>0</v>
      </c>
      <c r="G19" s="46">
        <f t="shared" si="2"/>
        <v>0</v>
      </c>
      <c r="H19" s="47"/>
      <c r="I19" s="57">
        <v>5.0890000000000004</v>
      </c>
      <c r="J19" s="57"/>
      <c r="K19" s="49">
        <f t="shared" si="3"/>
        <v>0</v>
      </c>
      <c r="L19" s="50">
        <f t="shared" si="4"/>
        <v>0</v>
      </c>
      <c r="N19" s="51">
        <v>5101</v>
      </c>
      <c r="O19" s="53">
        <v>255</v>
      </c>
      <c r="P19" s="53"/>
      <c r="Q19" s="54"/>
      <c r="V19" s="623" t="s">
        <v>49</v>
      </c>
      <c r="W19" s="623"/>
      <c r="X19" s="618">
        <f>IF('3411'!K$84=1,'3411'!G19,0)</f>
        <v>0</v>
      </c>
      <c r="Y19" s="618"/>
      <c r="Z19" s="624">
        <v>1</v>
      </c>
      <c r="AA19" s="624"/>
      <c r="AB19" s="55">
        <f t="shared" si="0"/>
        <v>0</v>
      </c>
      <c r="AC19" s="56">
        <f t="shared" si="1"/>
        <v>0</v>
      </c>
      <c r="AD19" s="9"/>
    </row>
    <row r="20" spans="1:30" ht="15" customHeight="1" x14ac:dyDescent="0.25">
      <c r="A20" s="1" t="s">
        <v>50</v>
      </c>
      <c r="B20" s="13" t="s">
        <v>51</v>
      </c>
      <c r="C20" s="13"/>
      <c r="D20" s="13">
        <v>0</v>
      </c>
      <c r="E20" s="13">
        <v>0</v>
      </c>
      <c r="F20" s="13">
        <v>0</v>
      </c>
      <c r="G20" s="46">
        <f t="shared" si="2"/>
        <v>0</v>
      </c>
      <c r="H20" s="47"/>
      <c r="I20" s="57">
        <f>I19</f>
        <v>5.0890000000000004</v>
      </c>
      <c r="J20" s="57"/>
      <c r="K20" s="49">
        <f t="shared" si="3"/>
        <v>0</v>
      </c>
      <c r="L20" s="50">
        <f t="shared" si="4"/>
        <v>0</v>
      </c>
      <c r="N20" s="51">
        <v>5102</v>
      </c>
      <c r="O20" s="54">
        <v>255</v>
      </c>
      <c r="P20" s="53"/>
      <c r="Q20" s="54"/>
      <c r="V20" s="623" t="s">
        <v>51</v>
      </c>
      <c r="W20" s="623"/>
      <c r="X20" s="618">
        <f>IF('3411'!K$84=1,'3411'!G20,0)</f>
        <v>0</v>
      </c>
      <c r="Y20" s="618"/>
      <c r="Z20" s="624">
        <v>1</v>
      </c>
      <c r="AA20" s="624"/>
      <c r="AB20" s="55">
        <f t="shared" si="0"/>
        <v>0</v>
      </c>
      <c r="AC20" s="56">
        <f t="shared" si="1"/>
        <v>0</v>
      </c>
      <c r="AD20" s="9"/>
    </row>
    <row r="21" spans="1:30" ht="15" customHeight="1" x14ac:dyDescent="0.25">
      <c r="A21" s="1" t="s">
        <v>52</v>
      </c>
      <c r="B21" s="13" t="s">
        <v>53</v>
      </c>
      <c r="C21" s="13"/>
      <c r="D21" s="13">
        <v>0</v>
      </c>
      <c r="E21" s="13">
        <v>0</v>
      </c>
      <c r="F21" s="13">
        <v>0</v>
      </c>
      <c r="G21" s="46">
        <f t="shared" si="2"/>
        <v>0</v>
      </c>
      <c r="H21" s="47"/>
      <c r="I21" s="57">
        <f>I20</f>
        <v>5.0890000000000004</v>
      </c>
      <c r="J21" s="57"/>
      <c r="K21" s="49">
        <f t="shared" si="3"/>
        <v>0</v>
      </c>
      <c r="L21" s="50">
        <f t="shared" si="4"/>
        <v>0</v>
      </c>
      <c r="N21" s="51">
        <v>5103</v>
      </c>
      <c r="O21" s="54">
        <v>255</v>
      </c>
      <c r="P21" s="53"/>
      <c r="Q21" s="54"/>
      <c r="V21" s="623" t="s">
        <v>53</v>
      </c>
      <c r="W21" s="623"/>
      <c r="X21" s="618">
        <f>IF('3411'!K$84=1,'3411'!G21,0)</f>
        <v>0</v>
      </c>
      <c r="Y21" s="618"/>
      <c r="Z21" s="624">
        <v>1</v>
      </c>
      <c r="AA21" s="624"/>
      <c r="AB21" s="55">
        <f t="shared" si="0"/>
        <v>0</v>
      </c>
      <c r="AC21" s="56">
        <f t="shared" si="1"/>
        <v>0</v>
      </c>
      <c r="AD21" s="9"/>
    </row>
    <row r="22" spans="1:30" x14ac:dyDescent="0.25">
      <c r="A22" s="1" t="s">
        <v>54</v>
      </c>
      <c r="B22" s="13" t="s">
        <v>55</v>
      </c>
      <c r="C22" s="13"/>
      <c r="D22" s="13">
        <v>0</v>
      </c>
      <c r="E22" s="13">
        <v>0</v>
      </c>
      <c r="F22" s="13">
        <v>0</v>
      </c>
      <c r="G22" s="46">
        <f t="shared" si="2"/>
        <v>0</v>
      </c>
      <c r="H22" s="47"/>
      <c r="I22" s="57">
        <v>1.145</v>
      </c>
      <c r="J22" s="57"/>
      <c r="K22" s="49">
        <f t="shared" si="3"/>
        <v>0</v>
      </c>
      <c r="L22" s="50">
        <f t="shared" si="4"/>
        <v>0</v>
      </c>
      <c r="N22" s="51">
        <v>5101</v>
      </c>
      <c r="O22" s="52">
        <v>130</v>
      </c>
      <c r="P22" s="53"/>
      <c r="Q22" s="54"/>
      <c r="V22" s="623" t="s">
        <v>55</v>
      </c>
      <c r="W22" s="623"/>
      <c r="X22" s="618">
        <f>IF('3411'!K$84=1,'3411'!G22,0)</f>
        <v>0</v>
      </c>
      <c r="Y22" s="618"/>
      <c r="Z22" s="624">
        <v>1</v>
      </c>
      <c r="AA22" s="624"/>
      <c r="AB22" s="55">
        <f t="shared" si="0"/>
        <v>0</v>
      </c>
      <c r="AC22" s="56">
        <f t="shared" si="1"/>
        <v>0</v>
      </c>
      <c r="AD22" s="9"/>
    </row>
    <row r="23" spans="1:30" x14ac:dyDescent="0.25">
      <c r="A23" s="1" t="s">
        <v>56</v>
      </c>
      <c r="B23" s="13" t="s">
        <v>57</v>
      </c>
      <c r="C23" s="13"/>
      <c r="D23" s="13">
        <v>0</v>
      </c>
      <c r="E23" s="13">
        <v>0</v>
      </c>
      <c r="F23" s="13">
        <v>0</v>
      </c>
      <c r="G23" s="46">
        <f t="shared" si="2"/>
        <v>0</v>
      </c>
      <c r="H23" s="47"/>
      <c r="I23" s="57">
        <f>I22</f>
        <v>1.145</v>
      </c>
      <c r="J23" s="57"/>
      <c r="K23" s="49">
        <f t="shared" si="3"/>
        <v>0</v>
      </c>
      <c r="L23" s="50">
        <f t="shared" si="4"/>
        <v>0</v>
      </c>
      <c r="N23" s="51">
        <v>5102</v>
      </c>
      <c r="O23" s="52">
        <v>130</v>
      </c>
      <c r="P23" s="53"/>
      <c r="Q23" s="54"/>
      <c r="V23" s="623" t="s">
        <v>57</v>
      </c>
      <c r="W23" s="623"/>
      <c r="X23" s="618">
        <f>IF('3411'!K$84=1,'3411'!G23,0)</f>
        <v>0</v>
      </c>
      <c r="Y23" s="618"/>
      <c r="Z23" s="624">
        <v>1</v>
      </c>
      <c r="AA23" s="624"/>
      <c r="AB23" s="55">
        <f t="shared" si="0"/>
        <v>0</v>
      </c>
      <c r="AC23" s="56">
        <f t="shared" si="1"/>
        <v>0</v>
      </c>
      <c r="AD23" s="9"/>
    </row>
    <row r="24" spans="1:30" x14ac:dyDescent="0.25">
      <c r="A24" s="1" t="s">
        <v>58</v>
      </c>
      <c r="B24" s="13" t="s">
        <v>59</v>
      </c>
      <c r="C24" s="13"/>
      <c r="D24" s="13">
        <v>0</v>
      </c>
      <c r="E24" s="13">
        <v>0</v>
      </c>
      <c r="F24" s="13">
        <v>0</v>
      </c>
      <c r="G24" s="46">
        <f t="shared" si="2"/>
        <v>0</v>
      </c>
      <c r="H24" s="47"/>
      <c r="I24" s="57">
        <f>I23</f>
        <v>1.145</v>
      </c>
      <c r="J24" s="57"/>
      <c r="K24" s="49">
        <f t="shared" si="3"/>
        <v>0</v>
      </c>
      <c r="L24" s="50">
        <f t="shared" si="4"/>
        <v>0</v>
      </c>
      <c r="N24" s="51">
        <v>5103</v>
      </c>
      <c r="O24" s="52">
        <v>130</v>
      </c>
      <c r="P24" s="53"/>
      <c r="Q24" s="54"/>
      <c r="V24" s="623" t="s">
        <v>59</v>
      </c>
      <c r="W24" s="623"/>
      <c r="X24" s="618">
        <f>IF('3411'!K$84=1,'3411'!G24,0)</f>
        <v>0</v>
      </c>
      <c r="Y24" s="618"/>
      <c r="Z24" s="624">
        <v>1</v>
      </c>
      <c r="AA24" s="624"/>
      <c r="AB24" s="55">
        <f t="shared" si="0"/>
        <v>0</v>
      </c>
      <c r="AC24" s="56">
        <f t="shared" si="1"/>
        <v>0</v>
      </c>
      <c r="AD24" s="9"/>
    </row>
    <row r="25" spans="1:30" ht="16.5" thickBot="1" x14ac:dyDescent="0.3">
      <c r="A25" s="1" t="s">
        <v>60</v>
      </c>
      <c r="B25" s="13" t="s">
        <v>61</v>
      </c>
      <c r="C25" s="13"/>
      <c r="D25" s="13">
        <v>0</v>
      </c>
      <c r="E25" s="13">
        <v>0</v>
      </c>
      <c r="F25" s="13">
        <v>0</v>
      </c>
      <c r="G25" s="61">
        <f t="shared" si="2"/>
        <v>0</v>
      </c>
      <c r="H25" s="47"/>
      <c r="I25" s="57">
        <v>1.0109999999999999</v>
      </c>
      <c r="J25" s="57"/>
      <c r="K25" s="49">
        <f t="shared" si="3"/>
        <v>0</v>
      </c>
      <c r="L25" s="50">
        <f t="shared" si="4"/>
        <v>0</v>
      </c>
      <c r="N25" s="51">
        <v>5310</v>
      </c>
      <c r="O25" s="52">
        <v>300</v>
      </c>
      <c r="P25" s="53"/>
      <c r="Q25" s="54"/>
      <c r="V25" s="623" t="s">
        <v>61</v>
      </c>
      <c r="W25" s="623"/>
      <c r="X25" s="618">
        <f>IF('3411'!K$84=1,'3411'!G25,0)</f>
        <v>0</v>
      </c>
      <c r="Y25" s="618"/>
      <c r="Z25" s="624">
        <v>1</v>
      </c>
      <c r="AA25" s="624"/>
      <c r="AB25" s="55">
        <f t="shared" si="0"/>
        <v>0</v>
      </c>
      <c r="AC25" s="56">
        <f t="shared" si="1"/>
        <v>0</v>
      </c>
      <c r="AD25" s="9"/>
    </row>
    <row r="26" spans="1:30" ht="20.25" customHeight="1" thickBot="1" x14ac:dyDescent="0.3">
      <c r="B26" s="62" t="s">
        <v>62</v>
      </c>
      <c r="C26" s="62"/>
      <c r="D26" s="63">
        <f t="shared" ref="D26:E26" si="5">SUM(D10:D25)</f>
        <v>0</v>
      </c>
      <c r="E26" s="63">
        <f t="shared" si="5"/>
        <v>0</v>
      </c>
      <c r="F26" s="63"/>
      <c r="G26" s="63">
        <f>SUM(G10:G25)</f>
        <v>0</v>
      </c>
      <c r="H26" s="64"/>
      <c r="I26" s="64"/>
      <c r="J26" s="65"/>
      <c r="K26" s="66">
        <f>SUM(K10:K25)</f>
        <v>0</v>
      </c>
      <c r="L26" s="67">
        <f>SUM(L10:L25)</f>
        <v>0</v>
      </c>
      <c r="N26" s="54"/>
      <c r="O26" s="68"/>
      <c r="P26" s="54"/>
      <c r="Q26" s="54"/>
      <c r="V26" s="625" t="s">
        <v>62</v>
      </c>
      <c r="W26" s="625"/>
      <c r="X26" s="626">
        <f>SUM(X10:X25)</f>
        <v>0</v>
      </c>
      <c r="Y26" s="626"/>
      <c r="Z26" s="627"/>
      <c r="AA26" s="628"/>
      <c r="AB26" s="69">
        <f>SUM(AB10:AB25)</f>
        <v>0</v>
      </c>
      <c r="AC26" s="70">
        <f>SUM(AC10:AC25)</f>
        <v>0</v>
      </c>
      <c r="AD26" s="9"/>
    </row>
    <row r="27" spans="1:30" ht="51.75" customHeight="1" x14ac:dyDescent="0.25">
      <c r="B27" s="62" t="s">
        <v>63</v>
      </c>
      <c r="C27" s="62"/>
      <c r="D27" s="71" t="s">
        <v>13</v>
      </c>
      <c r="E27" s="71" t="s">
        <v>14</v>
      </c>
      <c r="F27" s="27"/>
      <c r="G27" s="72" t="s">
        <v>64</v>
      </c>
      <c r="H27" s="73"/>
      <c r="I27" s="74" t="s">
        <v>65</v>
      </c>
      <c r="J27" s="74" t="s">
        <v>66</v>
      </c>
      <c r="K27" s="75" t="s">
        <v>67</v>
      </c>
      <c r="N27" s="54"/>
      <c r="O27" s="68"/>
      <c r="P27" s="54"/>
      <c r="Q27" s="54"/>
      <c r="V27" s="629" t="s">
        <v>63</v>
      </c>
      <c r="W27" s="629"/>
      <c r="X27" s="630" t="s">
        <v>64</v>
      </c>
      <c r="Y27" s="630"/>
      <c r="Z27" s="76" t="s">
        <v>65</v>
      </c>
      <c r="AA27" s="77" t="s">
        <v>66</v>
      </c>
      <c r="AB27" s="78" t="s">
        <v>67</v>
      </c>
      <c r="AC27" s="9"/>
      <c r="AD27" s="9"/>
    </row>
    <row r="28" spans="1:30" ht="15.75" customHeight="1" x14ac:dyDescent="0.25">
      <c r="A28" s="1" t="s">
        <v>68</v>
      </c>
      <c r="B28" s="631" t="s">
        <v>69</v>
      </c>
      <c r="C28" s="632"/>
      <c r="D28" s="13">
        <v>0</v>
      </c>
      <c r="E28" s="13">
        <v>0</v>
      </c>
      <c r="F28" s="79">
        <v>0</v>
      </c>
      <c r="G28" s="46">
        <f>IF(E28=0,D28*2,D28+E28)</f>
        <v>0</v>
      </c>
      <c r="H28" s="80"/>
      <c r="I28" s="81" t="s">
        <v>70</v>
      </c>
      <c r="J28" s="82">
        <v>251</v>
      </c>
      <c r="K28" s="83">
        <v>1047</v>
      </c>
      <c r="L28" s="84">
        <f>ROUND(G28*K28,0)</f>
        <v>0</v>
      </c>
      <c r="N28" s="85">
        <v>5101</v>
      </c>
      <c r="O28" s="54">
        <v>251</v>
      </c>
      <c r="P28" s="86"/>
      <c r="Q28" s="87"/>
      <c r="V28" s="637" t="s">
        <v>69</v>
      </c>
      <c r="W28" s="637"/>
      <c r="X28" s="638"/>
      <c r="Y28" s="638"/>
      <c r="Z28" s="88" t="s">
        <v>70</v>
      </c>
      <c r="AA28" s="89">
        <v>251</v>
      </c>
      <c r="AB28" s="90">
        <f>+K28</f>
        <v>1047</v>
      </c>
      <c r="AC28" s="91">
        <f t="shared" ref="AC28:AC36" si="6">ROUND(X28*AB28,0)</f>
        <v>0</v>
      </c>
      <c r="AD28" s="9"/>
    </row>
    <row r="29" spans="1:30" x14ac:dyDescent="0.25">
      <c r="A29" s="1" t="s">
        <v>71</v>
      </c>
      <c r="B29" s="633"/>
      <c r="C29" s="634"/>
      <c r="D29" s="13">
        <v>0</v>
      </c>
      <c r="E29" s="13">
        <v>0</v>
      </c>
      <c r="F29" s="92">
        <v>0</v>
      </c>
      <c r="G29" s="46">
        <f t="shared" ref="G29:G36" si="7">IF(E29=0,D29*2,D29+E29)</f>
        <v>0</v>
      </c>
      <c r="H29" s="80"/>
      <c r="I29" s="82" t="s">
        <v>70</v>
      </c>
      <c r="J29" s="82">
        <v>252</v>
      </c>
      <c r="K29" s="83">
        <v>3380</v>
      </c>
      <c r="L29" s="84">
        <f t="shared" ref="L29:L36" si="8">ROUND(G29*K29,0)</f>
        <v>0</v>
      </c>
      <c r="N29" s="85">
        <v>5101</v>
      </c>
      <c r="O29" s="54">
        <v>252</v>
      </c>
      <c r="P29" s="86"/>
      <c r="Q29" s="87"/>
      <c r="V29" s="637"/>
      <c r="W29" s="637"/>
      <c r="X29" s="638"/>
      <c r="Y29" s="638"/>
      <c r="Z29" s="89" t="s">
        <v>70</v>
      </c>
      <c r="AA29" s="89">
        <v>252</v>
      </c>
      <c r="AB29" s="90">
        <f t="shared" ref="AB29:AB36" si="9">+K29</f>
        <v>3380</v>
      </c>
      <c r="AC29" s="91">
        <f t="shared" si="6"/>
        <v>0</v>
      </c>
      <c r="AD29" s="9"/>
    </row>
    <row r="30" spans="1:30" x14ac:dyDescent="0.25">
      <c r="A30" s="1" t="s">
        <v>72</v>
      </c>
      <c r="B30" s="633"/>
      <c r="C30" s="634"/>
      <c r="D30" s="13">
        <v>0</v>
      </c>
      <c r="E30" s="13">
        <v>0</v>
      </c>
      <c r="F30" s="92">
        <v>0</v>
      </c>
      <c r="G30" s="46">
        <f t="shared" si="7"/>
        <v>0</v>
      </c>
      <c r="H30" s="80"/>
      <c r="I30" s="82" t="s">
        <v>70</v>
      </c>
      <c r="J30" s="82">
        <v>253</v>
      </c>
      <c r="K30" s="83">
        <v>6896</v>
      </c>
      <c r="L30" s="84">
        <f t="shared" si="8"/>
        <v>0</v>
      </c>
      <c r="N30" s="85">
        <v>5101</v>
      </c>
      <c r="O30" s="54">
        <v>253</v>
      </c>
      <c r="P30" s="86"/>
      <c r="Q30" s="68"/>
      <c r="V30" s="637"/>
      <c r="W30" s="637"/>
      <c r="X30" s="638"/>
      <c r="Y30" s="638"/>
      <c r="Z30" s="89" t="s">
        <v>70</v>
      </c>
      <c r="AA30" s="89">
        <v>253</v>
      </c>
      <c r="AB30" s="90">
        <f t="shared" si="9"/>
        <v>6896</v>
      </c>
      <c r="AC30" s="91">
        <f t="shared" si="6"/>
        <v>0</v>
      </c>
      <c r="AD30" s="9"/>
    </row>
    <row r="31" spans="1:30" x14ac:dyDescent="0.25">
      <c r="A31" s="1" t="s">
        <v>73</v>
      </c>
      <c r="B31" s="633"/>
      <c r="C31" s="634"/>
      <c r="D31" s="13">
        <v>0</v>
      </c>
      <c r="E31" s="13">
        <v>0</v>
      </c>
      <c r="F31" s="92">
        <v>0</v>
      </c>
      <c r="G31" s="46">
        <f t="shared" si="7"/>
        <v>0</v>
      </c>
      <c r="H31" s="80"/>
      <c r="I31" s="93" t="s">
        <v>74</v>
      </c>
      <c r="J31" s="82">
        <v>251</v>
      </c>
      <c r="K31" s="83">
        <v>1173</v>
      </c>
      <c r="L31" s="84">
        <f t="shared" si="8"/>
        <v>0</v>
      </c>
      <c r="N31" s="85">
        <v>5102</v>
      </c>
      <c r="O31" s="54">
        <v>251</v>
      </c>
      <c r="P31" s="86"/>
      <c r="Q31" s="68"/>
      <c r="V31" s="637"/>
      <c r="W31" s="637"/>
      <c r="X31" s="638"/>
      <c r="Y31" s="638"/>
      <c r="Z31" s="94" t="s">
        <v>74</v>
      </c>
      <c r="AA31" s="89">
        <v>251</v>
      </c>
      <c r="AB31" s="90">
        <f t="shared" si="9"/>
        <v>1173</v>
      </c>
      <c r="AC31" s="91">
        <f t="shared" si="6"/>
        <v>0</v>
      </c>
      <c r="AD31" s="9"/>
    </row>
    <row r="32" spans="1:30" x14ac:dyDescent="0.25">
      <c r="A32" s="1" t="s">
        <v>75</v>
      </c>
      <c r="B32" s="633"/>
      <c r="C32" s="634"/>
      <c r="D32" s="13">
        <v>0</v>
      </c>
      <c r="E32" s="13">
        <v>0</v>
      </c>
      <c r="F32" s="92">
        <v>0</v>
      </c>
      <c r="G32" s="46">
        <f t="shared" si="7"/>
        <v>0</v>
      </c>
      <c r="H32" s="80"/>
      <c r="I32" s="93" t="s">
        <v>74</v>
      </c>
      <c r="J32" s="82">
        <v>252</v>
      </c>
      <c r="K32" s="83">
        <v>3506</v>
      </c>
      <c r="L32" s="84">
        <f t="shared" si="8"/>
        <v>0</v>
      </c>
      <c r="N32" s="85">
        <v>5102</v>
      </c>
      <c r="O32" s="54">
        <v>252</v>
      </c>
      <c r="P32" s="86"/>
      <c r="Q32" s="54"/>
      <c r="V32" s="637"/>
      <c r="W32" s="637"/>
      <c r="X32" s="638"/>
      <c r="Y32" s="638"/>
      <c r="Z32" s="94" t="s">
        <v>74</v>
      </c>
      <c r="AA32" s="89">
        <v>252</v>
      </c>
      <c r="AB32" s="90">
        <f t="shared" si="9"/>
        <v>3506</v>
      </c>
      <c r="AC32" s="91">
        <f t="shared" si="6"/>
        <v>0</v>
      </c>
      <c r="AD32" s="9"/>
    </row>
    <row r="33" spans="1:30" x14ac:dyDescent="0.25">
      <c r="A33" s="1" t="s">
        <v>76</v>
      </c>
      <c r="B33" s="633"/>
      <c r="C33" s="634"/>
      <c r="D33" s="13">
        <v>0</v>
      </c>
      <c r="E33" s="13">
        <v>0</v>
      </c>
      <c r="F33" s="92">
        <v>0</v>
      </c>
      <c r="G33" s="46">
        <f t="shared" si="7"/>
        <v>0</v>
      </c>
      <c r="H33" s="80"/>
      <c r="I33" s="93" t="s">
        <v>74</v>
      </c>
      <c r="J33" s="82">
        <v>253</v>
      </c>
      <c r="K33" s="83">
        <v>7023</v>
      </c>
      <c r="L33" s="84">
        <f t="shared" si="8"/>
        <v>0</v>
      </c>
      <c r="N33" s="85">
        <v>5102</v>
      </c>
      <c r="O33" s="54">
        <v>253</v>
      </c>
      <c r="P33" s="86"/>
      <c r="Q33" s="87"/>
      <c r="V33" s="637"/>
      <c r="W33" s="637"/>
      <c r="X33" s="638"/>
      <c r="Y33" s="638"/>
      <c r="Z33" s="94" t="s">
        <v>74</v>
      </c>
      <c r="AA33" s="89">
        <v>253</v>
      </c>
      <c r="AB33" s="90">
        <f t="shared" si="9"/>
        <v>7023</v>
      </c>
      <c r="AC33" s="91">
        <f t="shared" si="6"/>
        <v>0</v>
      </c>
      <c r="AD33" s="9"/>
    </row>
    <row r="34" spans="1:30" x14ac:dyDescent="0.25">
      <c r="A34" s="1" t="s">
        <v>77</v>
      </c>
      <c r="B34" s="633"/>
      <c r="C34" s="634"/>
      <c r="D34" s="13">
        <v>0</v>
      </c>
      <c r="E34" s="13">
        <v>0</v>
      </c>
      <c r="F34" s="92">
        <v>0</v>
      </c>
      <c r="G34" s="46">
        <f t="shared" si="7"/>
        <v>0</v>
      </c>
      <c r="H34" s="80"/>
      <c r="I34" s="93" t="s">
        <v>78</v>
      </c>
      <c r="J34" s="82">
        <v>251</v>
      </c>
      <c r="K34" s="83">
        <v>835</v>
      </c>
      <c r="L34" s="84">
        <f t="shared" si="8"/>
        <v>0</v>
      </c>
      <c r="N34" s="85">
        <v>5103</v>
      </c>
      <c r="O34" s="54">
        <v>251</v>
      </c>
      <c r="P34" s="86"/>
      <c r="Q34" s="87"/>
      <c r="V34" s="637"/>
      <c r="W34" s="637"/>
      <c r="X34" s="638"/>
      <c r="Y34" s="638"/>
      <c r="Z34" s="94" t="s">
        <v>78</v>
      </c>
      <c r="AA34" s="89">
        <v>251</v>
      </c>
      <c r="AB34" s="90">
        <f t="shared" si="9"/>
        <v>835</v>
      </c>
      <c r="AC34" s="91">
        <f t="shared" si="6"/>
        <v>0</v>
      </c>
      <c r="AD34" s="9"/>
    </row>
    <row r="35" spans="1:30" x14ac:dyDescent="0.25">
      <c r="A35" s="1" t="s">
        <v>79</v>
      </c>
      <c r="B35" s="633"/>
      <c r="C35" s="634"/>
      <c r="D35" s="13">
        <v>0</v>
      </c>
      <c r="E35" s="13">
        <v>0</v>
      </c>
      <c r="F35" s="92">
        <v>0</v>
      </c>
      <c r="G35" s="46">
        <f t="shared" si="7"/>
        <v>0</v>
      </c>
      <c r="H35" s="80"/>
      <c r="I35" s="93" t="s">
        <v>78</v>
      </c>
      <c r="J35" s="82">
        <v>252</v>
      </c>
      <c r="K35" s="83">
        <v>3168</v>
      </c>
      <c r="L35" s="84">
        <f t="shared" si="8"/>
        <v>0</v>
      </c>
      <c r="N35" s="85">
        <v>5103</v>
      </c>
      <c r="O35" s="54">
        <v>252</v>
      </c>
      <c r="P35" s="86"/>
      <c r="Q35" s="95"/>
      <c r="V35" s="637"/>
      <c r="W35" s="637"/>
      <c r="X35" s="638"/>
      <c r="Y35" s="638"/>
      <c r="Z35" s="94" t="s">
        <v>78</v>
      </c>
      <c r="AA35" s="89">
        <v>252</v>
      </c>
      <c r="AB35" s="90">
        <f t="shared" si="9"/>
        <v>3168</v>
      </c>
      <c r="AC35" s="91">
        <f t="shared" si="6"/>
        <v>0</v>
      </c>
      <c r="AD35" s="9"/>
    </row>
    <row r="36" spans="1:30" ht="16.5" thickBot="1" x14ac:dyDescent="0.3">
      <c r="A36" s="1" t="s">
        <v>80</v>
      </c>
      <c r="B36" s="635"/>
      <c r="C36" s="636"/>
      <c r="D36" s="13">
        <v>0</v>
      </c>
      <c r="E36" s="13">
        <v>0</v>
      </c>
      <c r="F36" s="92">
        <v>0</v>
      </c>
      <c r="G36" s="46">
        <f t="shared" si="7"/>
        <v>0</v>
      </c>
      <c r="H36" s="80"/>
      <c r="I36" s="93" t="s">
        <v>78</v>
      </c>
      <c r="J36" s="82">
        <v>253</v>
      </c>
      <c r="K36" s="83">
        <v>6685</v>
      </c>
      <c r="L36" s="96">
        <f t="shared" si="8"/>
        <v>0</v>
      </c>
      <c r="N36" s="85">
        <v>5103</v>
      </c>
      <c r="O36" s="54">
        <v>253</v>
      </c>
      <c r="P36" s="86"/>
      <c r="Q36" s="97"/>
      <c r="V36" s="637"/>
      <c r="W36" s="637"/>
      <c r="X36" s="645"/>
      <c r="Y36" s="645"/>
      <c r="Z36" s="94" t="s">
        <v>78</v>
      </c>
      <c r="AA36" s="89">
        <v>253</v>
      </c>
      <c r="AB36" s="90">
        <f t="shared" si="9"/>
        <v>6685</v>
      </c>
      <c r="AC36" s="98">
        <f t="shared" si="6"/>
        <v>0</v>
      </c>
      <c r="AD36" s="9"/>
    </row>
    <row r="37" spans="1:30" ht="18.75" customHeight="1" x14ac:dyDescent="0.25">
      <c r="B37" s="13" t="s">
        <v>81</v>
      </c>
      <c r="C37" s="13"/>
      <c r="D37" s="63">
        <f t="shared" ref="D37:E37" si="10">SUM(D28:D36)</f>
        <v>0</v>
      </c>
      <c r="E37" s="63">
        <f t="shared" si="10"/>
        <v>0</v>
      </c>
      <c r="F37" s="63"/>
      <c r="G37" s="63">
        <f>SUM(G28:G36)</f>
        <v>0</v>
      </c>
      <c r="H37" s="64"/>
      <c r="I37" s="13" t="s">
        <v>82</v>
      </c>
      <c r="J37" s="13"/>
      <c r="K37" s="13"/>
      <c r="L37" s="50">
        <f>SUM(L28:L36)</f>
        <v>0</v>
      </c>
      <c r="N37" s="54"/>
      <c r="O37" s="68"/>
      <c r="P37" s="54"/>
      <c r="Q37" s="54"/>
      <c r="V37" s="646" t="s">
        <v>81</v>
      </c>
      <c r="W37" s="646"/>
      <c r="X37" s="626">
        <f>SUM(X28:X36)</f>
        <v>0</v>
      </c>
      <c r="Y37" s="626"/>
      <c r="Z37" s="646" t="s">
        <v>82</v>
      </c>
      <c r="AA37" s="646"/>
      <c r="AB37" s="646"/>
      <c r="AC37" s="56">
        <f>SUM(AC28:AC36)</f>
        <v>0</v>
      </c>
      <c r="AD37" s="9"/>
    </row>
    <row r="38" spans="1:30" ht="30.75" customHeight="1" x14ac:dyDescent="0.25">
      <c r="B38" s="99" t="s">
        <v>83</v>
      </c>
      <c r="C38" s="99"/>
      <c r="D38" s="99"/>
      <c r="E38" s="99"/>
      <c r="F38" s="99"/>
      <c r="G38" s="99"/>
      <c r="H38" s="100"/>
      <c r="I38" s="99"/>
      <c r="J38" s="99"/>
      <c r="K38" s="99"/>
      <c r="L38" s="99"/>
      <c r="M38" s="101"/>
      <c r="N38" s="54"/>
      <c r="O38" s="68"/>
      <c r="P38" s="54"/>
      <c r="Q38" s="54"/>
      <c r="V38" s="639" t="s">
        <v>83</v>
      </c>
      <c r="W38" s="639"/>
      <c r="X38" s="639"/>
      <c r="Y38" s="639"/>
      <c r="Z38" s="639"/>
      <c r="AA38" s="639"/>
      <c r="AB38" s="639"/>
      <c r="AC38" s="639"/>
      <c r="AD38" s="102"/>
    </row>
    <row r="39" spans="1:30" ht="15.75" customHeight="1" x14ac:dyDescent="0.25">
      <c r="B39" s="103" t="s">
        <v>84</v>
      </c>
      <c r="C39" s="103"/>
      <c r="D39" s="103"/>
      <c r="E39" s="103"/>
      <c r="F39" s="103"/>
      <c r="G39" s="104">
        <v>34389540</v>
      </c>
      <c r="H39" s="104"/>
      <c r="I39" s="13" t="s">
        <v>85</v>
      </c>
      <c r="J39" s="13"/>
      <c r="K39" s="13"/>
      <c r="L39" s="13"/>
      <c r="O39" s="1"/>
      <c r="V39" s="640" t="s">
        <v>84</v>
      </c>
      <c r="W39" s="640"/>
      <c r="X39" s="641">
        <f>+G39</f>
        <v>34389540</v>
      </c>
      <c r="Y39" s="641"/>
      <c r="Z39" s="642" t="s">
        <v>85</v>
      </c>
      <c r="AA39" s="642"/>
      <c r="AB39" s="642"/>
      <c r="AC39" s="642"/>
      <c r="AD39" s="9"/>
    </row>
    <row r="40" spans="1:30" ht="15.75" customHeight="1" x14ac:dyDescent="0.25">
      <c r="B40" s="105" t="s">
        <v>86</v>
      </c>
      <c r="C40" s="105"/>
      <c r="D40" s="105"/>
      <c r="E40" s="105"/>
      <c r="F40" s="105"/>
      <c r="G40" s="106">
        <v>180284.81</v>
      </c>
      <c r="H40" s="106"/>
      <c r="I40" s="106"/>
      <c r="J40" s="106"/>
      <c r="K40" s="50">
        <f>ROUND(G39/G40,0)</f>
        <v>191</v>
      </c>
      <c r="L40" s="50">
        <f>ROUND(K40*$G$26,0)</f>
        <v>0</v>
      </c>
      <c r="N40" s="107"/>
      <c r="O40" s="107"/>
      <c r="P40" s="107"/>
      <c r="Q40" s="107"/>
      <c r="V40" s="643" t="s">
        <v>86</v>
      </c>
      <c r="W40" s="643"/>
      <c r="X40" s="644">
        <f>+G40</f>
        <v>180284.81</v>
      </c>
      <c r="Y40" s="644"/>
      <c r="Z40" s="644"/>
      <c r="AA40" s="644"/>
      <c r="AB40" s="56">
        <f>ROUND(X39/X40,0)</f>
        <v>191</v>
      </c>
      <c r="AC40" s="56">
        <f>ROUND(AB40*$X$26,0)</f>
        <v>0</v>
      </c>
      <c r="AD40" s="9"/>
    </row>
    <row r="41" spans="1:30" ht="15.75" customHeight="1" x14ac:dyDescent="0.25">
      <c r="B41" s="108" t="s">
        <v>87</v>
      </c>
      <c r="C41" s="108"/>
      <c r="D41" s="108"/>
      <c r="E41" s="108"/>
      <c r="F41" s="108"/>
      <c r="G41" s="108"/>
      <c r="H41" s="108"/>
      <c r="I41" s="108"/>
      <c r="J41" s="108"/>
      <c r="K41" s="108"/>
      <c r="L41" s="108"/>
      <c r="N41" s="101"/>
      <c r="O41" s="109"/>
      <c r="P41" s="101"/>
      <c r="Q41" s="101"/>
      <c r="V41" s="652" t="s">
        <v>87</v>
      </c>
      <c r="W41" s="652"/>
      <c r="X41" s="652"/>
      <c r="Y41" s="652"/>
      <c r="Z41" s="652"/>
      <c r="AA41" s="652"/>
      <c r="AB41" s="652"/>
      <c r="AC41" s="652"/>
      <c r="AD41" s="9"/>
    </row>
    <row r="42" spans="1:30" ht="28.5" customHeight="1" x14ac:dyDescent="0.25">
      <c r="B42" s="99" t="s">
        <v>88</v>
      </c>
      <c r="C42" s="99"/>
      <c r="D42" s="99"/>
      <c r="E42" s="99"/>
      <c r="F42" s="99"/>
      <c r="G42" s="99"/>
      <c r="H42" s="99"/>
      <c r="I42" s="99"/>
      <c r="J42" s="99"/>
      <c r="K42" s="99"/>
      <c r="L42" s="99"/>
      <c r="M42" s="107"/>
      <c r="O42" s="1"/>
      <c r="V42" s="639" t="s">
        <v>88</v>
      </c>
      <c r="W42" s="639"/>
      <c r="X42" s="639"/>
      <c r="Y42" s="639"/>
      <c r="Z42" s="639"/>
      <c r="AA42" s="639"/>
      <c r="AB42" s="639"/>
      <c r="AC42" s="639"/>
      <c r="AD42" s="110"/>
    </row>
    <row r="43" spans="1:30" x14ac:dyDescent="0.25">
      <c r="B43" s="111" t="s">
        <v>89</v>
      </c>
      <c r="C43" s="111"/>
      <c r="D43" s="111"/>
      <c r="E43" s="111"/>
      <c r="F43" s="111"/>
      <c r="G43" s="111"/>
      <c r="H43" s="111"/>
      <c r="I43" s="111"/>
      <c r="J43" s="111"/>
      <c r="K43" s="111"/>
      <c r="L43" s="111"/>
      <c r="M43" s="112"/>
      <c r="N43" s="101"/>
      <c r="O43" s="101"/>
      <c r="P43" s="101"/>
      <c r="Q43" s="101"/>
      <c r="V43" s="653" t="s">
        <v>89</v>
      </c>
      <c r="W43" s="653"/>
      <c r="X43" s="653"/>
      <c r="Y43" s="653"/>
      <c r="Z43" s="653"/>
      <c r="AA43" s="653"/>
      <c r="AB43" s="653"/>
      <c r="AC43" s="653"/>
      <c r="AD43" s="113"/>
    </row>
    <row r="44" spans="1:30" ht="24" customHeight="1" x14ac:dyDescent="0.25">
      <c r="B44" s="62" t="s">
        <v>90</v>
      </c>
      <c r="C44" s="62"/>
      <c r="D44" s="62"/>
      <c r="E44" s="62"/>
      <c r="F44" s="62"/>
      <c r="G44" s="62"/>
      <c r="H44" s="62"/>
      <c r="I44" s="62"/>
      <c r="J44" s="62"/>
      <c r="K44" s="62"/>
      <c r="L44" s="114">
        <f>SUM(L26,L37,L40)</f>
        <v>0</v>
      </c>
      <c r="O44" s="1"/>
      <c r="V44" s="654" t="s">
        <v>90</v>
      </c>
      <c r="W44" s="654"/>
      <c r="X44" s="654"/>
      <c r="Y44" s="654"/>
      <c r="Z44" s="654"/>
      <c r="AA44" s="654"/>
      <c r="AB44" s="654"/>
      <c r="AC44" s="115">
        <f>SUM(AC26,AC37,AC40)</f>
        <v>0</v>
      </c>
      <c r="AD44" s="9"/>
    </row>
    <row r="45" spans="1:30" ht="30.75" customHeight="1" x14ac:dyDescent="0.25">
      <c r="B45" s="99" t="s">
        <v>91</v>
      </c>
      <c r="C45" s="99"/>
      <c r="D45" s="99"/>
      <c r="E45" s="99"/>
      <c r="F45" s="99"/>
      <c r="G45" s="99"/>
      <c r="H45" s="99"/>
      <c r="I45" s="99"/>
      <c r="J45" s="99"/>
      <c r="K45" s="99"/>
      <c r="L45" s="99"/>
      <c r="M45" s="116"/>
      <c r="O45" s="1"/>
      <c r="V45" s="639" t="s">
        <v>91</v>
      </c>
      <c r="W45" s="639"/>
      <c r="X45" s="639"/>
      <c r="Y45" s="639"/>
      <c r="Z45" s="639"/>
      <c r="AA45" s="639"/>
      <c r="AB45" s="639"/>
      <c r="AC45" s="639"/>
      <c r="AD45" s="117"/>
    </row>
    <row r="46" spans="1:30" ht="18.75" customHeight="1" x14ac:dyDescent="0.25">
      <c r="B46" s="1"/>
      <c r="C46" s="118" t="s">
        <v>92</v>
      </c>
      <c r="D46" s="118"/>
      <c r="E46" s="118"/>
      <c r="F46" s="118"/>
      <c r="G46" s="118" t="s">
        <v>93</v>
      </c>
      <c r="H46" s="119"/>
      <c r="I46" s="120" t="s">
        <v>94</v>
      </c>
      <c r="J46" s="121"/>
      <c r="K46" s="121"/>
      <c r="L46" s="121"/>
      <c r="M46" s="122"/>
      <c r="O46" s="1"/>
      <c r="V46" s="9"/>
      <c r="W46" s="123" t="s">
        <v>92</v>
      </c>
      <c r="X46" s="655" t="s">
        <v>95</v>
      </c>
      <c r="Y46" s="655"/>
      <c r="Z46" s="656" t="s">
        <v>94</v>
      </c>
      <c r="AA46" s="656"/>
      <c r="AB46" s="656"/>
      <c r="AC46" s="656"/>
      <c r="AD46" s="124"/>
    </row>
    <row r="47" spans="1:30" ht="18.75" customHeight="1" x14ac:dyDescent="0.25">
      <c r="B47" s="107" t="s">
        <v>96</v>
      </c>
      <c r="C47" s="125">
        <f>K10+K11+K16+K19+K22</f>
        <v>0</v>
      </c>
      <c r="D47" s="125"/>
      <c r="E47" s="125"/>
      <c r="F47" s="125"/>
      <c r="G47" s="126">
        <f>K7</f>
        <v>1.0326</v>
      </c>
      <c r="H47" s="126"/>
      <c r="I47" s="127">
        <v>1316.85</v>
      </c>
      <c r="J47" s="128" t="s">
        <v>97</v>
      </c>
      <c r="K47" s="129">
        <f>ROUND(C47*G47*I47,0)</f>
        <v>0</v>
      </c>
      <c r="L47" s="130"/>
      <c r="O47" s="1"/>
      <c r="V47" s="110" t="s">
        <v>96</v>
      </c>
      <c r="W47" s="131">
        <f>AB10+AB11+AB16+AB19+AB22</f>
        <v>0</v>
      </c>
      <c r="X47" s="647">
        <f>AB7</f>
        <v>1.0326</v>
      </c>
      <c r="Y47" s="647"/>
      <c r="Z47" s="132">
        <f>+I47</f>
        <v>1316.85</v>
      </c>
      <c r="AA47" s="133" t="s">
        <v>97</v>
      </c>
      <c r="AB47" s="134">
        <f>ROUND(W47*X47*Z47,0)</f>
        <v>0</v>
      </c>
      <c r="AC47" s="135"/>
      <c r="AD47" s="9"/>
    </row>
    <row r="48" spans="1:30" ht="18" customHeight="1" x14ac:dyDescent="0.25">
      <c r="B48" s="136" t="s">
        <v>74</v>
      </c>
      <c r="C48" s="125">
        <f>K12+K13+K17+K20+K23</f>
        <v>0</v>
      </c>
      <c r="D48" s="125"/>
      <c r="E48" s="125"/>
      <c r="F48" s="125"/>
      <c r="G48" s="126">
        <f>K7</f>
        <v>1.0326</v>
      </c>
      <c r="H48" s="126"/>
      <c r="I48" s="127">
        <v>898.23</v>
      </c>
      <c r="J48" s="128" t="s">
        <v>97</v>
      </c>
      <c r="K48" s="129">
        <f>ROUND(C48*G48*I48,0)</f>
        <v>0</v>
      </c>
      <c r="L48" s="62"/>
      <c r="O48" s="1"/>
      <c r="V48" s="137" t="s">
        <v>74</v>
      </c>
      <c r="W48" s="131">
        <f>AB12+AB13+AB17+AB20+AB23</f>
        <v>0</v>
      </c>
      <c r="X48" s="647">
        <f>AB7</f>
        <v>1.0326</v>
      </c>
      <c r="Y48" s="647"/>
      <c r="Z48" s="132">
        <f>+I48</f>
        <v>898.23</v>
      </c>
      <c r="AA48" s="133" t="s">
        <v>97</v>
      </c>
      <c r="AB48" s="134">
        <f>ROUND(W48*X48*Z48,0)</f>
        <v>0</v>
      </c>
      <c r="AC48" s="138"/>
      <c r="AD48" s="9"/>
    </row>
    <row r="49" spans="2:30" ht="19.5" customHeight="1" thickBot="1" x14ac:dyDescent="0.3">
      <c r="B49" s="139" t="s">
        <v>78</v>
      </c>
      <c r="C49" s="140">
        <f>K14+K15+K18+K21+K24+K25</f>
        <v>0</v>
      </c>
      <c r="D49" s="125"/>
      <c r="E49" s="125"/>
      <c r="F49" s="125"/>
      <c r="G49" s="126">
        <f>K7</f>
        <v>1.0326</v>
      </c>
      <c r="H49" s="126"/>
      <c r="I49" s="127">
        <v>900.39</v>
      </c>
      <c r="J49" s="128" t="s">
        <v>97</v>
      </c>
      <c r="K49" s="129">
        <f>ROUND(C49*G49*I49,0)</f>
        <v>0</v>
      </c>
      <c r="L49" s="62"/>
      <c r="M49" s="112"/>
      <c r="N49" s="141"/>
      <c r="O49" s="142"/>
      <c r="P49" s="101"/>
      <c r="Q49" s="143"/>
      <c r="V49" s="144" t="s">
        <v>78</v>
      </c>
      <c r="W49" s="145">
        <f>AB14+AB15+AB18+AB21+AB24+AB25</f>
        <v>0</v>
      </c>
      <c r="X49" s="647">
        <f>AB7</f>
        <v>1.0326</v>
      </c>
      <c r="Y49" s="647"/>
      <c r="Z49" s="132">
        <f>+I49</f>
        <v>900.39</v>
      </c>
      <c r="AA49" s="133" t="s">
        <v>97</v>
      </c>
      <c r="AB49" s="134">
        <f>ROUND(W49*X49*Z49,0)</f>
        <v>0</v>
      </c>
      <c r="AC49" s="138"/>
      <c r="AD49" s="113"/>
    </row>
    <row r="50" spans="2:30" ht="24" customHeight="1" thickBot="1" x14ac:dyDescent="0.3">
      <c r="B50" s="146" t="s">
        <v>98</v>
      </c>
      <c r="C50" s="147">
        <f>SUM(C47:C49)</f>
        <v>0</v>
      </c>
      <c r="D50" s="148"/>
      <c r="E50" s="149"/>
      <c r="F50" s="149"/>
      <c r="G50" s="150" t="s">
        <v>99</v>
      </c>
      <c r="H50" s="150"/>
      <c r="I50" s="150"/>
      <c r="J50" s="150"/>
      <c r="K50" s="150"/>
      <c r="L50" s="50">
        <f>IF(B2=75,0,K49+K48+K47)</f>
        <v>0</v>
      </c>
      <c r="N50" s="3"/>
      <c r="O50" s="1"/>
      <c r="V50" s="151" t="s">
        <v>98</v>
      </c>
      <c r="W50" s="152">
        <f>SUM(W47:W49)</f>
        <v>0</v>
      </c>
      <c r="X50" s="648" t="s">
        <v>99</v>
      </c>
      <c r="Y50" s="649"/>
      <c r="Z50" s="649"/>
      <c r="AA50" s="649"/>
      <c r="AB50" s="649"/>
      <c r="AC50" s="56">
        <f>IF(V2=75,0,AB49+AB48+AB47)</f>
        <v>0</v>
      </c>
      <c r="AD50" s="9"/>
    </row>
    <row r="51" spans="2:30" ht="19.5" customHeight="1" x14ac:dyDescent="0.25">
      <c r="B51" s="153" t="s">
        <v>100</v>
      </c>
      <c r="C51" s="153"/>
      <c r="D51" s="153"/>
      <c r="E51" s="153"/>
      <c r="F51" s="153"/>
      <c r="G51" s="153"/>
      <c r="H51" s="153"/>
      <c r="I51" s="153"/>
      <c r="J51" s="153"/>
      <c r="K51" s="153"/>
      <c r="L51" s="153"/>
      <c r="M51" s="141"/>
      <c r="N51" s="101"/>
      <c r="O51" s="1"/>
      <c r="V51" s="650" t="s">
        <v>100</v>
      </c>
      <c r="W51" s="650"/>
      <c r="X51" s="650"/>
      <c r="Y51" s="650"/>
      <c r="Z51" s="650"/>
      <c r="AA51" s="650"/>
      <c r="AB51" s="650"/>
      <c r="AC51" s="650"/>
      <c r="AD51" s="154"/>
    </row>
    <row r="52" spans="2:30" ht="27.75" customHeight="1" x14ac:dyDescent="0.25">
      <c r="B52" s="13" t="s">
        <v>101</v>
      </c>
      <c r="C52" s="13"/>
      <c r="D52" s="13"/>
      <c r="E52" s="13"/>
      <c r="F52" s="13"/>
      <c r="G52" s="13"/>
      <c r="H52" s="13"/>
      <c r="I52" s="13"/>
      <c r="J52" s="13"/>
      <c r="K52" s="13"/>
      <c r="L52" s="13"/>
      <c r="O52" s="1"/>
      <c r="V52" s="651" t="s">
        <v>101</v>
      </c>
      <c r="W52" s="651"/>
      <c r="X52" s="651"/>
      <c r="Y52" s="651"/>
      <c r="Z52" s="651"/>
      <c r="AA52" s="651"/>
      <c r="AB52" s="651"/>
      <c r="AC52" s="651"/>
      <c r="AD52" s="9"/>
    </row>
    <row r="53" spans="2:30" x14ac:dyDescent="0.25">
      <c r="B53" s="13" t="s">
        <v>102</v>
      </c>
      <c r="C53" s="13"/>
      <c r="D53" s="13"/>
      <c r="E53" s="13"/>
      <c r="F53" s="13"/>
      <c r="G53" s="155">
        <f>K26</f>
        <v>0</v>
      </c>
      <c r="H53" s="57" t="s">
        <v>103</v>
      </c>
      <c r="I53" s="57"/>
      <c r="J53" s="156">
        <v>197823.77</v>
      </c>
      <c r="K53" s="156"/>
      <c r="L53" s="156"/>
      <c r="N53" s="3"/>
      <c r="O53" s="1"/>
      <c r="V53" s="657" t="s">
        <v>102</v>
      </c>
      <c r="W53" s="657"/>
      <c r="X53" s="157">
        <f>AB26</f>
        <v>0</v>
      </c>
      <c r="Y53" s="658" t="s">
        <v>103</v>
      </c>
      <c r="Z53" s="658"/>
      <c r="AA53" s="659">
        <f>+J53</f>
        <v>197823.77</v>
      </c>
      <c r="AB53" s="659"/>
      <c r="AC53" s="659"/>
      <c r="AD53" s="9"/>
    </row>
    <row r="54" spans="2:30" x14ac:dyDescent="0.25">
      <c r="B54" s="13" t="s">
        <v>104</v>
      </c>
      <c r="C54" s="13"/>
      <c r="D54" s="13"/>
      <c r="E54" s="13"/>
      <c r="F54" s="13"/>
      <c r="G54" s="13"/>
      <c r="H54" s="13"/>
      <c r="I54" s="13"/>
      <c r="J54" s="13"/>
      <c r="K54" s="158">
        <f>ROUND(G53/J53,6)</f>
        <v>0</v>
      </c>
      <c r="L54" s="158"/>
      <c r="N54" s="101"/>
      <c r="O54" s="1"/>
      <c r="V54" s="657" t="s">
        <v>104</v>
      </c>
      <c r="W54" s="657"/>
      <c r="X54" s="657"/>
      <c r="Y54" s="657"/>
      <c r="Z54" s="657"/>
      <c r="AA54" s="657"/>
      <c r="AB54" s="660">
        <f>ROUND(X53/AA53,6)</f>
        <v>0</v>
      </c>
      <c r="AC54" s="660"/>
      <c r="AD54" s="9"/>
    </row>
    <row r="55" spans="2:30" ht="24" customHeight="1" x14ac:dyDescent="0.25">
      <c r="B55" s="13" t="s">
        <v>105</v>
      </c>
      <c r="C55" s="13"/>
      <c r="D55" s="13"/>
      <c r="E55" s="13"/>
      <c r="F55" s="13"/>
      <c r="G55" s="13"/>
      <c r="H55" s="13"/>
      <c r="I55" s="13"/>
      <c r="J55" s="13"/>
      <c r="K55" s="13"/>
      <c r="L55" s="13"/>
      <c r="O55" s="1"/>
      <c r="V55" s="651" t="s">
        <v>105</v>
      </c>
      <c r="W55" s="651"/>
      <c r="X55" s="651"/>
      <c r="Y55" s="651"/>
      <c r="Z55" s="651"/>
      <c r="AA55" s="651"/>
      <c r="AB55" s="651"/>
      <c r="AC55" s="651"/>
      <c r="AD55" s="9"/>
    </row>
    <row r="56" spans="2:30" x14ac:dyDescent="0.25">
      <c r="B56" s="13" t="s">
        <v>106</v>
      </c>
      <c r="C56" s="13"/>
      <c r="D56" s="13"/>
      <c r="E56" s="13"/>
      <c r="F56" s="13"/>
      <c r="G56" s="159">
        <f>G26</f>
        <v>0</v>
      </c>
      <c r="H56" s="57" t="s">
        <v>107</v>
      </c>
      <c r="I56" s="57"/>
      <c r="J56" s="156">
        <f>+G40</f>
        <v>180284.81</v>
      </c>
      <c r="K56" s="156"/>
      <c r="L56" s="156"/>
      <c r="O56" s="1"/>
      <c r="V56" s="657" t="s">
        <v>106</v>
      </c>
      <c r="W56" s="657"/>
      <c r="X56" s="160">
        <f>X26</f>
        <v>0</v>
      </c>
      <c r="Y56" s="658" t="s">
        <v>107</v>
      </c>
      <c r="Z56" s="658"/>
      <c r="AA56" s="659">
        <f>+J56</f>
        <v>180284.81</v>
      </c>
      <c r="AB56" s="659"/>
      <c r="AC56" s="659"/>
      <c r="AD56" s="9"/>
    </row>
    <row r="57" spans="2:30" x14ac:dyDescent="0.25">
      <c r="B57" s="13" t="s">
        <v>108</v>
      </c>
      <c r="C57" s="13"/>
      <c r="D57" s="13"/>
      <c r="E57" s="13"/>
      <c r="F57" s="13"/>
      <c r="G57" s="13"/>
      <c r="H57" s="13"/>
      <c r="I57" s="13"/>
      <c r="J57" s="13"/>
      <c r="K57" s="158">
        <f>ROUND(G56/J56,6)</f>
        <v>0</v>
      </c>
      <c r="L57" s="158"/>
      <c r="O57" s="1"/>
      <c r="V57" s="657" t="s">
        <v>108</v>
      </c>
      <c r="W57" s="657"/>
      <c r="X57" s="657"/>
      <c r="Y57" s="657"/>
      <c r="Z57" s="657"/>
      <c r="AA57" s="657"/>
      <c r="AB57" s="660">
        <f>ROUND(X56/AA56,6)</f>
        <v>0</v>
      </c>
      <c r="AC57" s="660"/>
      <c r="AD57" s="9"/>
    </row>
    <row r="58" spans="2:30" ht="20.25" customHeight="1" x14ac:dyDescent="0.25">
      <c r="B58" s="161" t="s">
        <v>109</v>
      </c>
      <c r="C58" s="161"/>
      <c r="D58" s="161"/>
      <c r="E58" s="161"/>
      <c r="F58" s="161"/>
      <c r="G58" s="161"/>
      <c r="H58" s="161"/>
      <c r="I58" s="161"/>
      <c r="J58" s="161"/>
      <c r="K58" s="161"/>
      <c r="L58" s="161"/>
      <c r="N58" s="18"/>
      <c r="O58" s="18"/>
      <c r="V58" s="629" t="s">
        <v>110</v>
      </c>
      <c r="W58" s="629"/>
      <c r="X58" s="629"/>
      <c r="Y58" s="661">
        <f>X65+X64+X62+X61+X60</f>
        <v>4123852</v>
      </c>
      <c r="Z58" s="661"/>
      <c r="AA58" s="162" t="s">
        <v>111</v>
      </c>
      <c r="AB58" s="163">
        <f>AB54</f>
        <v>0</v>
      </c>
      <c r="AC58" s="56">
        <f>ROUND(Y58*AB58,0)</f>
        <v>0</v>
      </c>
      <c r="AD58" s="9"/>
    </row>
    <row r="59" spans="2:30" x14ac:dyDescent="0.25">
      <c r="B59" s="62" t="s">
        <v>110</v>
      </c>
      <c r="C59" s="62"/>
      <c r="D59" s="62"/>
      <c r="E59" s="62"/>
      <c r="F59" s="62"/>
      <c r="G59" s="62"/>
      <c r="H59" s="164" t="s">
        <v>22</v>
      </c>
      <c r="I59" s="129">
        <v>4123852</v>
      </c>
      <c r="J59" s="165" t="s">
        <v>111</v>
      </c>
      <c r="K59" s="166">
        <f>K54</f>
        <v>0</v>
      </c>
      <c r="L59" s="50">
        <f>ROUND(I59*K59,0)</f>
        <v>0</v>
      </c>
      <c r="O59" s="1"/>
      <c r="P59" s="165"/>
      <c r="Q59" s="165"/>
      <c r="V59" s="662" t="s">
        <v>112</v>
      </c>
      <c r="W59" s="662"/>
      <c r="X59" s="662"/>
      <c r="Y59" s="662"/>
      <c r="Z59" s="662"/>
      <c r="AA59" s="662"/>
      <c r="AB59" s="662"/>
      <c r="AC59" s="662"/>
      <c r="AD59" s="9"/>
    </row>
    <row r="60" spans="2:30" x14ac:dyDescent="0.25">
      <c r="B60" s="62" t="s">
        <v>112</v>
      </c>
      <c r="C60" s="62"/>
      <c r="D60" s="62"/>
      <c r="E60" s="62"/>
      <c r="F60" s="62"/>
      <c r="G60" s="62"/>
      <c r="H60" s="62"/>
      <c r="I60" s="62"/>
      <c r="J60" s="62"/>
      <c r="K60" s="62"/>
      <c r="L60" s="62"/>
      <c r="O60" s="1"/>
      <c r="P60" s="165"/>
      <c r="Q60" s="165"/>
      <c r="V60" s="663" t="s">
        <v>113</v>
      </c>
      <c r="W60" s="663"/>
      <c r="X60" s="664">
        <f>+G61</f>
        <v>0</v>
      </c>
      <c r="Y60" s="664"/>
      <c r="Z60" s="664"/>
      <c r="AA60" s="664"/>
      <c r="AB60" s="664"/>
      <c r="AC60" s="664"/>
      <c r="AD60" s="9"/>
    </row>
    <row r="61" spans="2:30" ht="15" customHeight="1" x14ac:dyDescent="0.25">
      <c r="B61" s="167" t="s">
        <v>113</v>
      </c>
      <c r="C61" s="62"/>
      <c r="D61" s="62"/>
      <c r="E61" s="62"/>
      <c r="F61" s="62"/>
      <c r="G61" s="168">
        <v>0</v>
      </c>
      <c r="H61" s="168"/>
      <c r="I61" s="168"/>
      <c r="J61" s="168"/>
      <c r="K61" s="168"/>
      <c r="L61" s="168"/>
      <c r="O61" s="1"/>
      <c r="P61" s="165"/>
      <c r="Q61" s="165"/>
      <c r="V61" s="663" t="s">
        <v>114</v>
      </c>
      <c r="W61" s="663"/>
      <c r="X61" s="664">
        <f>+G62</f>
        <v>0</v>
      </c>
      <c r="Y61" s="664"/>
      <c r="Z61" s="664"/>
      <c r="AA61" s="664"/>
      <c r="AB61" s="664"/>
      <c r="AC61" s="664"/>
      <c r="AD61" s="9"/>
    </row>
    <row r="62" spans="2:30" ht="13.5" customHeight="1" x14ac:dyDescent="0.25">
      <c r="B62" s="167" t="s">
        <v>114</v>
      </c>
      <c r="C62" s="62"/>
      <c r="D62" s="62"/>
      <c r="E62" s="62"/>
      <c r="F62" s="62"/>
      <c r="G62" s="168">
        <v>0</v>
      </c>
      <c r="H62" s="168"/>
      <c r="I62" s="168"/>
      <c r="J62" s="168"/>
      <c r="K62" s="168"/>
      <c r="L62" s="168"/>
      <c r="N62" s="165"/>
      <c r="O62" s="165"/>
      <c r="P62" s="165"/>
      <c r="Q62" s="165"/>
      <c r="V62" s="663" t="s">
        <v>115</v>
      </c>
      <c r="W62" s="663"/>
      <c r="X62" s="664">
        <v>0</v>
      </c>
      <c r="Y62" s="664"/>
      <c r="Z62" s="664"/>
      <c r="AA62" s="664"/>
      <c r="AB62" s="664"/>
      <c r="AC62" s="664"/>
      <c r="AD62" s="9"/>
    </row>
    <row r="63" spans="2:30" ht="13.5" hidden="1" customHeight="1" x14ac:dyDescent="0.25">
      <c r="B63" s="62" t="s">
        <v>115</v>
      </c>
      <c r="C63" s="62"/>
      <c r="D63" s="62"/>
      <c r="E63" s="62"/>
      <c r="F63" s="62"/>
      <c r="G63" s="168">
        <v>0</v>
      </c>
      <c r="H63" s="168"/>
      <c r="I63" s="168"/>
      <c r="J63" s="168"/>
      <c r="K63" s="168"/>
      <c r="L63" s="168"/>
      <c r="O63" s="1"/>
      <c r="P63" s="165"/>
      <c r="Q63" s="165"/>
      <c r="V63" s="662" t="s">
        <v>116</v>
      </c>
      <c r="W63" s="662"/>
      <c r="X63" s="662"/>
      <c r="Y63" s="662"/>
      <c r="Z63" s="662"/>
      <c r="AA63" s="662"/>
      <c r="AB63" s="662"/>
      <c r="AC63" s="662"/>
      <c r="AD63" s="117"/>
    </row>
    <row r="64" spans="2:30" ht="13.5" customHeight="1" x14ac:dyDescent="0.25">
      <c r="B64" s="62" t="s">
        <v>116</v>
      </c>
      <c r="C64" s="62"/>
      <c r="D64" s="62"/>
      <c r="E64" s="62"/>
      <c r="F64" s="62"/>
      <c r="G64" s="62"/>
      <c r="H64" s="62"/>
      <c r="I64" s="62"/>
      <c r="J64" s="62"/>
      <c r="K64" s="62"/>
      <c r="L64" s="62"/>
      <c r="M64" s="116"/>
      <c r="N64" s="18"/>
      <c r="O64" s="1"/>
      <c r="V64" s="663" t="s">
        <v>117</v>
      </c>
      <c r="W64" s="663"/>
      <c r="X64" s="664">
        <f>+G65</f>
        <v>4123852</v>
      </c>
      <c r="Y64" s="664"/>
      <c r="Z64" s="664"/>
      <c r="AA64" s="664"/>
      <c r="AB64" s="664"/>
      <c r="AC64" s="664"/>
      <c r="AD64" s="9"/>
    </row>
    <row r="65" spans="1:30" ht="12.75" customHeight="1" x14ac:dyDescent="0.25">
      <c r="B65" s="167" t="s">
        <v>117</v>
      </c>
      <c r="C65" s="62"/>
      <c r="D65" s="62"/>
      <c r="E65" s="62"/>
      <c r="F65" s="62"/>
      <c r="G65" s="168">
        <f>+I59</f>
        <v>4123852</v>
      </c>
      <c r="H65" s="168"/>
      <c r="I65" s="168"/>
      <c r="J65" s="168"/>
      <c r="K65" s="168"/>
      <c r="L65" s="168"/>
      <c r="O65" s="1"/>
      <c r="V65" s="663" t="s">
        <v>118</v>
      </c>
      <c r="W65" s="663"/>
      <c r="X65" s="664">
        <f>+G66</f>
        <v>0</v>
      </c>
      <c r="Y65" s="664"/>
      <c r="Z65" s="664"/>
      <c r="AA65" s="664"/>
      <c r="AB65" s="664"/>
      <c r="AC65" s="664"/>
      <c r="AD65" s="20"/>
    </row>
    <row r="66" spans="1:30" ht="15" customHeight="1" x14ac:dyDescent="0.25">
      <c r="B66" s="167" t="s">
        <v>118</v>
      </c>
      <c r="C66" s="62"/>
      <c r="D66" s="62"/>
      <c r="E66" s="62"/>
      <c r="F66" s="62"/>
      <c r="G66" s="168">
        <v>0</v>
      </c>
      <c r="H66" s="168"/>
      <c r="I66" s="168"/>
      <c r="J66" s="168"/>
      <c r="K66" s="168"/>
      <c r="L66" s="168"/>
      <c r="M66" s="18"/>
      <c r="N66" s="3"/>
      <c r="O66" s="169"/>
      <c r="P66" s="169"/>
      <c r="Q66" s="169"/>
      <c r="V66" s="651" t="s">
        <v>119</v>
      </c>
      <c r="W66" s="651"/>
      <c r="X66" s="651"/>
      <c r="Y66" s="661">
        <f>+I67</f>
        <v>96774526</v>
      </c>
      <c r="Z66" s="661"/>
      <c r="AA66" s="162" t="s">
        <v>111</v>
      </c>
      <c r="AB66" s="163">
        <f>AB54</f>
        <v>0</v>
      </c>
      <c r="AC66" s="56">
        <f>ROUND(Y66*AB66,0)</f>
        <v>0</v>
      </c>
      <c r="AD66" s="9"/>
    </row>
    <row r="67" spans="1:30" ht="20.25" customHeight="1" x14ac:dyDescent="0.25">
      <c r="B67" s="13" t="s">
        <v>119</v>
      </c>
      <c r="C67" s="13"/>
      <c r="D67" s="13"/>
      <c r="E67" s="13"/>
      <c r="F67" s="13"/>
      <c r="H67" s="164" t="s">
        <v>25</v>
      </c>
      <c r="I67" s="129">
        <v>96774526</v>
      </c>
      <c r="J67" s="165" t="s">
        <v>111</v>
      </c>
      <c r="K67" s="166">
        <f>K54</f>
        <v>0</v>
      </c>
      <c r="L67" s="50">
        <f>ROUND(I67*K67,0)</f>
        <v>0</v>
      </c>
      <c r="O67" s="1"/>
      <c r="V67" s="651" t="s">
        <v>120</v>
      </c>
      <c r="W67" s="651"/>
      <c r="X67" s="651"/>
      <c r="Y67" s="651"/>
      <c r="Z67" s="651"/>
      <c r="AA67" s="651"/>
      <c r="AB67" s="651"/>
      <c r="AC67" s="651"/>
      <c r="AD67" s="9"/>
    </row>
    <row r="68" spans="1:30" ht="20.25" customHeight="1" x14ac:dyDescent="0.25">
      <c r="B68" s="13" t="s">
        <v>120</v>
      </c>
      <c r="C68" s="13"/>
      <c r="D68" s="13"/>
      <c r="E68" s="13"/>
      <c r="F68" s="13"/>
      <c r="H68" s="13"/>
      <c r="I68" s="13"/>
      <c r="J68" s="82"/>
      <c r="K68" s="13"/>
      <c r="L68" s="13"/>
      <c r="O68" s="1"/>
      <c r="V68" s="667" t="s">
        <v>121</v>
      </c>
      <c r="W68" s="667"/>
      <c r="X68" s="667"/>
      <c r="Y68" s="661">
        <f>+I69</f>
        <v>0</v>
      </c>
      <c r="Z68" s="661"/>
      <c r="AA68" s="162" t="s">
        <v>111</v>
      </c>
      <c r="AB68" s="163">
        <f>AB57</f>
        <v>0</v>
      </c>
      <c r="AC68" s="56">
        <f>ROUND(Y68*AB68,0)</f>
        <v>0</v>
      </c>
      <c r="AD68" s="9"/>
    </row>
    <row r="69" spans="1:30" ht="15" customHeight="1" x14ac:dyDescent="0.25">
      <c r="B69" s="170" t="s">
        <v>121</v>
      </c>
      <c r="C69" s="13"/>
      <c r="D69" s="13"/>
      <c r="E69" s="13"/>
      <c r="F69" s="13"/>
      <c r="H69" s="164" t="s">
        <v>23</v>
      </c>
      <c r="I69" s="129">
        <v>0</v>
      </c>
      <c r="J69" s="165" t="s">
        <v>111</v>
      </c>
      <c r="K69" s="166">
        <f>K57</f>
        <v>0</v>
      </c>
      <c r="L69" s="50">
        <f>ROUND(I69*K69,0)</f>
        <v>0</v>
      </c>
      <c r="O69" s="1"/>
      <c r="V69" s="651" t="s">
        <v>122</v>
      </c>
      <c r="W69" s="651"/>
      <c r="X69" s="651"/>
      <c r="Y69" s="668">
        <f>+I70</f>
        <v>-3460775</v>
      </c>
      <c r="Z69" s="668"/>
      <c r="AA69" s="162" t="s">
        <v>111</v>
      </c>
      <c r="AB69" s="163">
        <f>AB54</f>
        <v>0</v>
      </c>
      <c r="AC69" s="56">
        <f>ROUND(Y69*AB69,0)</f>
        <v>0</v>
      </c>
      <c r="AD69" s="9"/>
    </row>
    <row r="70" spans="1:30" ht="20.25" customHeight="1" x14ac:dyDescent="0.25">
      <c r="B70" s="13" t="s">
        <v>122</v>
      </c>
      <c r="C70" s="13"/>
      <c r="D70" s="13"/>
      <c r="E70" s="13"/>
      <c r="F70" s="13"/>
      <c r="H70" s="164" t="s">
        <v>22</v>
      </c>
      <c r="I70" s="129">
        <v>-3460775</v>
      </c>
      <c r="J70" s="165" t="s">
        <v>111</v>
      </c>
      <c r="K70" s="166">
        <f>K54</f>
        <v>0</v>
      </c>
      <c r="L70" s="50">
        <f>ROUND(I70*K70,0)</f>
        <v>0</v>
      </c>
      <c r="O70" s="1"/>
      <c r="V70" s="651" t="s">
        <v>123</v>
      </c>
      <c r="W70" s="651"/>
      <c r="X70" s="651"/>
      <c r="Y70" s="665">
        <f>+I71</f>
        <v>1874788</v>
      </c>
      <c r="Z70" s="665"/>
      <c r="AA70" s="162" t="s">
        <v>111</v>
      </c>
      <c r="AB70" s="163">
        <f>AB54</f>
        <v>0</v>
      </c>
      <c r="AC70" s="56">
        <f>ROUND(Y70*AB70,0)</f>
        <v>0</v>
      </c>
      <c r="AD70" s="9"/>
    </row>
    <row r="71" spans="1:30" ht="20.25" customHeight="1" x14ac:dyDescent="0.25">
      <c r="B71" s="13" t="s">
        <v>123</v>
      </c>
      <c r="C71" s="13"/>
      <c r="D71" s="13"/>
      <c r="E71" s="13"/>
      <c r="F71" s="13"/>
      <c r="H71" s="164" t="s">
        <v>22</v>
      </c>
      <c r="I71" s="129">
        <v>1874788</v>
      </c>
      <c r="J71" s="165" t="s">
        <v>111</v>
      </c>
      <c r="K71" s="166">
        <f>K54</f>
        <v>0</v>
      </c>
      <c r="L71" s="50">
        <f>ROUND(I71*K71,0)</f>
        <v>0</v>
      </c>
      <c r="O71" s="1"/>
      <c r="V71" s="651" t="s">
        <v>124</v>
      </c>
      <c r="W71" s="651"/>
      <c r="X71" s="651"/>
      <c r="Y71" s="665">
        <f>+I72</f>
        <v>14223298</v>
      </c>
      <c r="Z71" s="665"/>
      <c r="AA71" s="162" t="s">
        <v>111</v>
      </c>
      <c r="AB71" s="163">
        <f>AB57</f>
        <v>0</v>
      </c>
      <c r="AC71" s="56">
        <f>ROUND(Y71*AB71,0)</f>
        <v>0</v>
      </c>
      <c r="AD71" s="9"/>
    </row>
    <row r="72" spans="1:30" ht="21" customHeight="1" x14ac:dyDescent="0.25">
      <c r="B72" s="13" t="s">
        <v>124</v>
      </c>
      <c r="C72" s="13"/>
      <c r="D72" s="13"/>
      <c r="E72" s="13"/>
      <c r="F72" s="13"/>
      <c r="H72" s="164" t="s">
        <v>23</v>
      </c>
      <c r="I72" s="171">
        <v>14223298</v>
      </c>
      <c r="J72" s="165" t="s">
        <v>111</v>
      </c>
      <c r="K72" s="166">
        <f>K57</f>
        <v>0</v>
      </c>
      <c r="L72" s="50">
        <f>ROUND(I72*K72,0)</f>
        <v>0</v>
      </c>
      <c r="O72" s="1"/>
      <c r="V72" s="623" t="s">
        <v>125</v>
      </c>
      <c r="W72" s="623"/>
      <c r="X72" s="623"/>
      <c r="Y72" s="623"/>
      <c r="Z72" s="623"/>
      <c r="AA72" s="623"/>
      <c r="AB72" s="623"/>
      <c r="AC72" s="60"/>
      <c r="AD72" s="9"/>
    </row>
    <row r="73" spans="1:30" ht="17.25" customHeight="1" x14ac:dyDescent="0.25">
      <c r="B73" s="13" t="s">
        <v>125</v>
      </c>
      <c r="C73" s="13"/>
      <c r="D73" s="13"/>
      <c r="E73" s="13"/>
      <c r="F73" s="13"/>
      <c r="H73" s="13"/>
      <c r="I73" s="13"/>
      <c r="J73" s="82"/>
      <c r="K73" s="13"/>
      <c r="L73" s="59"/>
      <c r="O73" s="1"/>
      <c r="V73" s="651" t="s">
        <v>126</v>
      </c>
      <c r="W73" s="651"/>
      <c r="X73" s="651"/>
      <c r="Y73" s="651"/>
      <c r="Z73" s="651"/>
      <c r="AA73" s="651"/>
      <c r="AB73" s="651"/>
      <c r="AC73" s="651"/>
      <c r="AD73" s="9"/>
    </row>
    <row r="74" spans="1:30" ht="31.5" x14ac:dyDescent="0.25">
      <c r="B74" s="13" t="s">
        <v>126</v>
      </c>
      <c r="C74" s="13"/>
      <c r="D74" s="27" t="s">
        <v>13</v>
      </c>
      <c r="E74" s="27" t="s">
        <v>14</v>
      </c>
      <c r="F74" s="27"/>
      <c r="H74" s="164" t="s">
        <v>26</v>
      </c>
      <c r="I74" s="172"/>
      <c r="J74" s="164"/>
      <c r="K74" s="172"/>
      <c r="L74" s="112"/>
      <c r="O74" s="1"/>
      <c r="V74" s="666" t="s">
        <v>127</v>
      </c>
      <c r="W74" s="666"/>
      <c r="X74" s="173" t="s">
        <v>128</v>
      </c>
      <c r="Y74" s="174"/>
      <c r="Z74" s="175">
        <f>+I75</f>
        <v>0</v>
      </c>
      <c r="AA74" s="176" t="s">
        <v>129</v>
      </c>
      <c r="AB74" s="177">
        <f>+K75</f>
        <v>361</v>
      </c>
      <c r="AC74" s="56">
        <f>ROUND(AB74*Z74,0)</f>
        <v>0</v>
      </c>
      <c r="AD74" s="9"/>
    </row>
    <row r="75" spans="1:30" ht="19.5" customHeight="1" x14ac:dyDescent="0.25">
      <c r="A75" s="1" t="s">
        <v>130</v>
      </c>
      <c r="B75" s="178" t="s">
        <v>127</v>
      </c>
      <c r="C75" s="179" t="s">
        <v>128</v>
      </c>
      <c r="D75" s="178">
        <v>0</v>
      </c>
      <c r="E75" s="178">
        <v>0</v>
      </c>
      <c r="F75" s="178">
        <v>0</v>
      </c>
      <c r="G75" s="180">
        <f>IF(E75=0,D75,E75)</f>
        <v>0</v>
      </c>
      <c r="H75" s="181"/>
      <c r="I75" s="182">
        <f>AVERAGE(G75,D75)</f>
        <v>0</v>
      </c>
      <c r="J75" s="183" t="s">
        <v>129</v>
      </c>
      <c r="K75" s="184">
        <v>361</v>
      </c>
      <c r="L75" s="50">
        <f>ROUND(K75*I75,0)</f>
        <v>0</v>
      </c>
      <c r="N75" s="1">
        <v>7802</v>
      </c>
      <c r="O75" s="1">
        <v>0</v>
      </c>
      <c r="V75" s="666" t="s">
        <v>127</v>
      </c>
      <c r="W75" s="666"/>
      <c r="X75" s="173" t="s">
        <v>131</v>
      </c>
      <c r="Y75" s="185"/>
      <c r="Z75" s="186">
        <f>+I76</f>
        <v>0</v>
      </c>
      <c r="AA75" s="176" t="s">
        <v>129</v>
      </c>
      <c r="AB75" s="187">
        <f>+K76</f>
        <v>1358</v>
      </c>
      <c r="AC75" s="56">
        <f>ROUND(AB75*Z75,0)</f>
        <v>0</v>
      </c>
      <c r="AD75" s="9"/>
    </row>
    <row r="76" spans="1:30" ht="19.5" customHeight="1" x14ac:dyDescent="0.25">
      <c r="A76" s="1" t="s">
        <v>132</v>
      </c>
      <c r="B76" s="178" t="s">
        <v>127</v>
      </c>
      <c r="C76" s="179" t="s">
        <v>131</v>
      </c>
      <c r="D76" s="178">
        <v>0</v>
      </c>
      <c r="E76" s="178">
        <v>0</v>
      </c>
      <c r="F76" s="178">
        <v>0</v>
      </c>
      <c r="G76" s="180">
        <f>IF(E76=0,D76,E76)</f>
        <v>0</v>
      </c>
      <c r="H76" s="181"/>
      <c r="I76" s="182">
        <f>AVERAGE(G76,D76)</f>
        <v>0</v>
      </c>
      <c r="J76" s="183" t="s">
        <v>129</v>
      </c>
      <c r="K76" s="188">
        <v>1358</v>
      </c>
      <c r="L76" s="50">
        <f>ROUND(K76*I76,0)</f>
        <v>0</v>
      </c>
      <c r="N76" s="1">
        <v>7802</v>
      </c>
      <c r="O76" s="1">
        <v>110</v>
      </c>
      <c r="V76" s="651" t="s">
        <v>133</v>
      </c>
      <c r="W76" s="651"/>
      <c r="X76" s="651"/>
      <c r="Y76" s="661">
        <f>+I77</f>
        <v>33305823</v>
      </c>
      <c r="Z76" s="661"/>
      <c r="AA76" s="176" t="s">
        <v>129</v>
      </c>
      <c r="AB76" s="163">
        <f>AB54</f>
        <v>0</v>
      </c>
      <c r="AC76" s="56">
        <f>ROUND(Y76*AB76,0)</f>
        <v>0</v>
      </c>
      <c r="AD76" s="9"/>
    </row>
    <row r="77" spans="1:30" ht="26.25" customHeight="1" x14ac:dyDescent="0.25">
      <c r="B77" s="13" t="s">
        <v>133</v>
      </c>
      <c r="C77" s="13"/>
      <c r="D77" s="13"/>
      <c r="E77" s="13"/>
      <c r="F77" s="13"/>
      <c r="H77" s="164" t="s">
        <v>134</v>
      </c>
      <c r="I77" s="189">
        <v>33305823</v>
      </c>
      <c r="J77" s="165" t="s">
        <v>111</v>
      </c>
      <c r="K77" s="166">
        <f>K54</f>
        <v>0</v>
      </c>
      <c r="L77" s="50">
        <f>ROUND(I77*K77,0)</f>
        <v>0</v>
      </c>
      <c r="O77" s="1"/>
      <c r="V77" s="651" t="str">
        <f>+B78</f>
        <v>15.  Additional Allocation (WFTE share)</v>
      </c>
      <c r="W77" s="651"/>
      <c r="X77" s="651"/>
      <c r="Y77" s="661">
        <f>+I78</f>
        <v>680688</v>
      </c>
      <c r="Z77" s="661"/>
      <c r="AA77" s="176" t="s">
        <v>129</v>
      </c>
      <c r="AB77" s="163">
        <f>AB54</f>
        <v>0</v>
      </c>
      <c r="AC77" s="56">
        <f>ROUND(Y77*AB77,0)</f>
        <v>0</v>
      </c>
      <c r="AD77" s="9"/>
    </row>
    <row r="78" spans="1:30" ht="26.25" customHeight="1" x14ac:dyDescent="0.25">
      <c r="B78" s="669" t="s">
        <v>135</v>
      </c>
      <c r="C78" s="669"/>
      <c r="D78" s="669"/>
      <c r="E78" s="13"/>
      <c r="F78" s="13"/>
      <c r="H78" s="164" t="s">
        <v>136</v>
      </c>
      <c r="I78" s="190">
        <v>680688</v>
      </c>
      <c r="J78" s="165" t="s">
        <v>111</v>
      </c>
      <c r="K78" s="166">
        <f>K54</f>
        <v>0</v>
      </c>
      <c r="L78" s="50">
        <f>ROUND(I78*K78,0)</f>
        <v>0</v>
      </c>
      <c r="O78" s="1"/>
      <c r="V78" s="651" t="str">
        <f t="shared" ref="V78:V79" si="11">+B79</f>
        <v>16.  Florida Teachers Lead Program Stipend</v>
      </c>
      <c r="W78" s="651"/>
      <c r="X78" s="651"/>
      <c r="Y78" s="191"/>
      <c r="Z78" s="191"/>
      <c r="AA78" s="191"/>
      <c r="AB78" s="191"/>
      <c r="AC78" s="134"/>
      <c r="AD78" s="9"/>
    </row>
    <row r="79" spans="1:30" ht="21" customHeight="1" x14ac:dyDescent="0.25">
      <c r="B79" s="669" t="s">
        <v>137</v>
      </c>
      <c r="C79" s="669"/>
      <c r="D79" s="669"/>
      <c r="E79" s="13"/>
      <c r="F79" s="13"/>
      <c r="H79" s="164"/>
      <c r="I79" s="172"/>
      <c r="J79" s="172"/>
      <c r="K79" s="172"/>
      <c r="L79" s="129"/>
      <c r="N79" s="192"/>
      <c r="O79" s="1"/>
      <c r="Q79" s="164"/>
      <c r="V79" s="651" t="str">
        <f t="shared" si="11"/>
        <v>17.  Food Service Allocation</v>
      </c>
      <c r="W79" s="651"/>
      <c r="X79" s="651"/>
      <c r="Y79" s="191"/>
      <c r="Z79" s="191"/>
      <c r="AA79" s="191"/>
      <c r="AB79" s="191"/>
      <c r="AC79" s="193"/>
      <c r="AD79" s="9"/>
    </row>
    <row r="80" spans="1:30" ht="21" customHeight="1" x14ac:dyDescent="0.25">
      <c r="B80" s="669" t="s">
        <v>138</v>
      </c>
      <c r="C80" s="669"/>
      <c r="D80" s="669"/>
      <c r="E80" s="13"/>
      <c r="F80" s="13"/>
      <c r="H80" s="194" t="s">
        <v>139</v>
      </c>
      <c r="I80" s="195"/>
      <c r="J80" s="195"/>
      <c r="K80" s="195"/>
      <c r="L80" s="196"/>
      <c r="N80" s="197"/>
      <c r="O80" s="1"/>
      <c r="Q80" s="164"/>
      <c r="V80" s="191"/>
      <c r="W80" s="191"/>
      <c r="X80" s="191"/>
      <c r="Y80" s="191"/>
      <c r="Z80" s="191"/>
      <c r="AA80" s="191"/>
      <c r="AB80" s="191"/>
      <c r="AC80" s="193"/>
      <c r="AD80" s="9"/>
    </row>
    <row r="81" spans="1:30" ht="21" customHeight="1" thickBot="1" x14ac:dyDescent="0.3">
      <c r="B81" s="13"/>
      <c r="C81" s="13"/>
      <c r="D81" s="13"/>
      <c r="E81" s="13"/>
      <c r="F81" s="13"/>
      <c r="G81" s="13"/>
      <c r="H81" s="13"/>
      <c r="I81" s="13"/>
      <c r="J81" s="13"/>
      <c r="K81" s="13"/>
      <c r="L81" s="196"/>
      <c r="M81" s="198"/>
      <c r="N81" s="197"/>
      <c r="O81" s="1"/>
      <c r="Q81" s="164"/>
      <c r="V81" s="191" t="s">
        <v>140</v>
      </c>
      <c r="W81" s="191"/>
      <c r="X81" s="191"/>
      <c r="Y81" s="191"/>
      <c r="Z81" s="191"/>
      <c r="AA81" s="191"/>
      <c r="AB81" s="191"/>
      <c r="AC81" s="199">
        <f>SUM(AC44:AC80)</f>
        <v>0</v>
      </c>
      <c r="AD81" s="200"/>
    </row>
    <row r="82" spans="1:30" ht="22.5" customHeight="1" thickTop="1" thickBot="1" x14ac:dyDescent="0.3">
      <c r="B82" s="13" t="s">
        <v>141</v>
      </c>
      <c r="C82" s="13"/>
      <c r="D82" s="13"/>
      <c r="E82" s="13"/>
      <c r="F82" s="13"/>
      <c r="G82" s="13"/>
      <c r="H82" s="13"/>
      <c r="I82" s="13"/>
      <c r="J82" s="13"/>
      <c r="K82" s="13"/>
      <c r="L82" s="201">
        <f>SUM(L44:L81)</f>
        <v>0</v>
      </c>
      <c r="M82" s="202"/>
      <c r="N82" s="203"/>
      <c r="O82" s="1"/>
      <c r="Q82" s="164"/>
      <c r="V82" s="191"/>
      <c r="W82" s="191"/>
      <c r="X82" s="191"/>
      <c r="Y82" s="191"/>
      <c r="Z82" s="191"/>
      <c r="AA82" s="191"/>
      <c r="AB82" s="191"/>
      <c r="AC82" s="204"/>
      <c r="AD82" s="200"/>
    </row>
    <row r="83" spans="1:30" ht="27.75" customHeight="1" thickTop="1" x14ac:dyDescent="0.25">
      <c r="B83" s="13" t="s">
        <v>142</v>
      </c>
      <c r="C83" s="13"/>
      <c r="D83" s="13"/>
      <c r="E83" s="13"/>
      <c r="F83" s="13"/>
      <c r="G83" s="13"/>
      <c r="H83" s="13"/>
      <c r="I83" s="13"/>
      <c r="J83" s="13"/>
      <c r="K83" s="82" t="s">
        <v>143</v>
      </c>
      <c r="L83" s="205" t="s">
        <v>144</v>
      </c>
      <c r="M83" s="202"/>
      <c r="N83" s="203"/>
      <c r="O83" s="1"/>
      <c r="Q83" s="164"/>
      <c r="V83" s="9" t="s">
        <v>145</v>
      </c>
      <c r="W83" s="9"/>
      <c r="X83" s="9"/>
      <c r="Y83" s="9"/>
      <c r="Z83" s="9"/>
      <c r="AA83" s="9"/>
      <c r="AB83" s="9"/>
      <c r="AC83" s="9"/>
      <c r="AD83" s="206"/>
    </row>
    <row r="84" spans="1:30" ht="18.75" customHeight="1" thickBot="1" x14ac:dyDescent="0.3">
      <c r="B84" s="13" t="s">
        <v>146</v>
      </c>
      <c r="C84" s="13"/>
      <c r="D84" s="13"/>
      <c r="E84" s="13"/>
      <c r="F84" s="13"/>
      <c r="G84" s="13"/>
      <c r="H84" s="13"/>
      <c r="I84" s="13"/>
      <c r="J84" s="13"/>
      <c r="K84" s="207" t="str">
        <f>IF(G26=0,"",IF((G11+G13+SUM(G15:G21))/G26&gt;0.75,1,""))</f>
        <v/>
      </c>
      <c r="L84" s="201">
        <f>'3411'!AC81</f>
        <v>0</v>
      </c>
      <c r="M84" s="202"/>
      <c r="N84" s="203"/>
      <c r="O84" s="1"/>
      <c r="Q84" s="164"/>
      <c r="V84" s="208" t="s">
        <v>147</v>
      </c>
      <c r="W84" s="208"/>
      <c r="X84" s="208"/>
      <c r="Y84" s="208"/>
      <c r="Z84" s="208"/>
      <c r="AA84" s="208"/>
      <c r="AB84" s="208"/>
      <c r="AC84" s="208"/>
      <c r="AD84" s="9"/>
    </row>
    <row r="85" spans="1:30" ht="18.75" customHeight="1" thickTop="1" x14ac:dyDescent="0.25">
      <c r="B85" s="13"/>
      <c r="C85" s="13"/>
      <c r="D85" s="13"/>
      <c r="E85" s="13"/>
      <c r="F85" s="13"/>
      <c r="G85" s="13"/>
      <c r="H85" s="13"/>
      <c r="I85" s="13"/>
      <c r="J85" s="13"/>
      <c r="M85" s="202"/>
      <c r="N85" s="203"/>
      <c r="O85" s="1"/>
      <c r="Q85" s="164"/>
      <c r="V85" s="208" t="s">
        <v>148</v>
      </c>
      <c r="W85" s="208"/>
      <c r="X85" s="208"/>
      <c r="Y85" s="208"/>
      <c r="Z85" s="208"/>
      <c r="AA85" s="208"/>
      <c r="AB85" s="208"/>
      <c r="AC85" s="208"/>
      <c r="AD85" s="206"/>
    </row>
    <row r="86" spans="1:30" ht="18.75" customHeight="1" x14ac:dyDescent="0.25">
      <c r="B86" s="2" t="s">
        <v>149</v>
      </c>
      <c r="C86" s="13"/>
      <c r="D86" s="13"/>
      <c r="E86" s="13"/>
      <c r="F86" s="13"/>
      <c r="G86" s="13"/>
      <c r="H86" s="13"/>
      <c r="I86" s="13"/>
      <c r="J86" s="209" t="s">
        <v>150</v>
      </c>
      <c r="K86" s="210">
        <f>IF(K84=1,L84,L82)</f>
        <v>0</v>
      </c>
      <c r="L86" s="211">
        <f>IF(G26=0,0,IF(G26&gt;250,-(((250/G26)*K86)*IF(M86="H",0.02,0.05)),IF(M86="H",-0.02*K86,-0.05*K86)))</f>
        <v>0</v>
      </c>
      <c r="M86" s="212" t="str">
        <f>IF(B123="2801","H",IF(B123="2911","H",IF(B123="3382","H"," ")))</f>
        <v xml:space="preserve"> </v>
      </c>
      <c r="N86" s="203"/>
      <c r="O86" s="1"/>
      <c r="Q86" s="164"/>
      <c r="V86" s="208" t="s">
        <v>151</v>
      </c>
      <c r="W86" s="208"/>
      <c r="X86" s="208"/>
      <c r="Y86" s="208"/>
      <c r="Z86" s="208"/>
      <c r="AA86" s="208"/>
      <c r="AB86" s="208"/>
      <c r="AC86" s="208"/>
      <c r="AD86" s="206"/>
    </row>
    <row r="87" spans="1:30" ht="18.75" customHeight="1" x14ac:dyDescent="0.25">
      <c r="B87" s="2" t="s">
        <v>152</v>
      </c>
      <c r="C87" s="13"/>
      <c r="D87" s="13"/>
      <c r="E87" s="13"/>
      <c r="F87" s="13"/>
      <c r="G87" s="13"/>
      <c r="H87" s="13"/>
      <c r="I87" s="13"/>
      <c r="J87" s="13"/>
      <c r="K87" s="213"/>
      <c r="L87" s="205">
        <f>L82+L86</f>
        <v>0</v>
      </c>
      <c r="M87" s="202"/>
      <c r="N87" s="203"/>
      <c r="O87" s="1"/>
      <c r="Q87" s="164"/>
      <c r="V87" s="198"/>
      <c r="W87" s="198"/>
      <c r="X87" s="198"/>
      <c r="Y87" s="198"/>
      <c r="Z87" s="198"/>
      <c r="AA87" s="198"/>
      <c r="AB87" s="198"/>
      <c r="AC87" s="198"/>
      <c r="AD87" s="214"/>
    </row>
    <row r="88" spans="1:30" x14ac:dyDescent="0.25">
      <c r="V88" s="198"/>
      <c r="W88" s="198"/>
      <c r="X88" s="198"/>
      <c r="Y88" s="198"/>
      <c r="Z88" s="198"/>
      <c r="AA88" s="198"/>
      <c r="AB88" s="198"/>
      <c r="AC88" s="198"/>
      <c r="AD88" s="215"/>
    </row>
    <row r="89" spans="1:30" ht="18.75" customHeight="1" x14ac:dyDescent="0.25">
      <c r="A89" s="1" t="s">
        <v>153</v>
      </c>
      <c r="B89" s="13" t="s">
        <v>154</v>
      </c>
      <c r="C89" s="13"/>
      <c r="D89" s="13">
        <v>16395</v>
      </c>
      <c r="E89" s="13">
        <v>0</v>
      </c>
      <c r="F89" s="13">
        <v>16395</v>
      </c>
      <c r="G89" s="13"/>
      <c r="H89" s="13"/>
      <c r="I89" s="13"/>
      <c r="J89" s="13"/>
      <c r="K89" s="213"/>
      <c r="L89" s="84">
        <f>-F89</f>
        <v>-16395</v>
      </c>
      <c r="M89" s="202"/>
      <c r="N89" s="203"/>
      <c r="O89" s="1"/>
      <c r="Q89" s="164"/>
      <c r="V89" s="198">
        <v>2801</v>
      </c>
      <c r="W89" s="198"/>
      <c r="X89" s="198"/>
      <c r="Y89" s="198"/>
      <c r="Z89" s="198"/>
      <c r="AA89" s="198"/>
      <c r="AB89" s="198"/>
      <c r="AC89" s="198"/>
      <c r="AD89" s="214"/>
    </row>
    <row r="90" spans="1:30" ht="18.75" customHeight="1" x14ac:dyDescent="0.25">
      <c r="B90" s="13" t="s">
        <v>155</v>
      </c>
      <c r="C90" s="13"/>
      <c r="D90" s="13"/>
      <c r="E90" s="13"/>
      <c r="F90" s="13"/>
      <c r="G90" s="13"/>
      <c r="H90" s="13"/>
      <c r="I90" s="13"/>
      <c r="J90" s="13"/>
      <c r="K90" s="213"/>
      <c r="L90" s="205">
        <f>L87+L89</f>
        <v>-16395</v>
      </c>
      <c r="M90" s="202"/>
      <c r="N90" s="203"/>
      <c r="O90" s="1"/>
      <c r="Q90" s="164"/>
      <c r="V90" s="198">
        <v>2911</v>
      </c>
      <c r="W90" s="216"/>
      <c r="X90" s="216"/>
      <c r="Y90" s="216"/>
      <c r="Z90" s="216"/>
      <c r="AA90" s="216"/>
      <c r="AB90" s="216"/>
      <c r="AC90" s="216"/>
      <c r="AD90" s="214"/>
    </row>
    <row r="91" spans="1:30" ht="18.75" customHeight="1" x14ac:dyDescent="0.25">
      <c r="B91" s="13" t="s">
        <v>156</v>
      </c>
      <c r="C91" s="13"/>
      <c r="D91" s="13"/>
      <c r="E91" s="13"/>
      <c r="F91" s="13"/>
      <c r="G91" s="13"/>
      <c r="H91" s="13"/>
      <c r="I91" s="13"/>
      <c r="J91" s="13"/>
      <c r="K91" s="213"/>
      <c r="L91" s="205">
        <v>0</v>
      </c>
      <c r="M91" s="202"/>
      <c r="N91" s="203"/>
      <c r="O91" s="1"/>
      <c r="Q91" s="164"/>
      <c r="V91" s="198">
        <v>3382</v>
      </c>
      <c r="W91" s="216"/>
      <c r="X91" s="216"/>
      <c r="Y91" s="216"/>
      <c r="Z91" s="216"/>
      <c r="AA91" s="216"/>
      <c r="AB91" s="216"/>
      <c r="AC91" s="216"/>
      <c r="AD91" s="214"/>
    </row>
    <row r="92" spans="1:30" ht="18.75" customHeight="1" thickBot="1" x14ac:dyDescent="0.3">
      <c r="B92" s="13" t="s">
        <v>157</v>
      </c>
      <c r="C92" s="13"/>
      <c r="D92" s="13"/>
      <c r="E92" s="13"/>
      <c r="F92" s="13"/>
      <c r="G92" s="13"/>
      <c r="H92" s="13"/>
      <c r="I92" s="13"/>
      <c r="J92" s="13"/>
      <c r="K92" s="213"/>
      <c r="L92" s="217">
        <f>L90</f>
        <v>-16395</v>
      </c>
      <c r="M92" s="202"/>
      <c r="N92" s="203"/>
      <c r="O92" s="1"/>
      <c r="Q92" s="164"/>
      <c r="V92" s="218"/>
      <c r="W92" s="218"/>
      <c r="X92" s="218"/>
      <c r="Y92" s="218"/>
      <c r="Z92" s="218"/>
      <c r="AA92" s="218"/>
      <c r="AB92" s="218"/>
      <c r="AC92" s="218"/>
      <c r="AD92" s="219"/>
    </row>
    <row r="93" spans="1:30" ht="18.75" customHeight="1" thickTop="1" x14ac:dyDescent="0.25">
      <c r="N93" s="219"/>
      <c r="O93" s="220"/>
      <c r="P93" s="219"/>
      <c r="Q93" s="219"/>
      <c r="V93" s="218"/>
      <c r="W93" s="218"/>
      <c r="X93" s="218"/>
      <c r="Y93" s="218"/>
      <c r="Z93" s="218"/>
      <c r="AA93" s="218"/>
      <c r="AB93" s="218"/>
      <c r="AC93" s="218"/>
      <c r="AD93" s="214"/>
    </row>
    <row r="94" spans="1:30" ht="18.75" customHeight="1" thickBot="1" x14ac:dyDescent="0.3">
      <c r="B94" s="221" t="s">
        <v>158</v>
      </c>
      <c r="C94" s="13"/>
      <c r="D94" s="13"/>
      <c r="E94" s="13"/>
      <c r="G94" s="13"/>
      <c r="H94" s="13"/>
      <c r="I94" s="13"/>
      <c r="J94" s="13"/>
      <c r="L94" s="222">
        <f>IF(M86="H",(K86*0.02)+L86,(K86*0.05)+L86)</f>
        <v>0</v>
      </c>
      <c r="M94" s="202"/>
      <c r="V94" s="223"/>
      <c r="W94" s="223"/>
      <c r="X94" s="223"/>
      <c r="Y94" s="223"/>
      <c r="Z94" s="223"/>
      <c r="AA94" s="223"/>
      <c r="AB94" s="223"/>
      <c r="AC94" s="223"/>
      <c r="AD94" s="214"/>
    </row>
    <row r="95" spans="1:30" ht="21.75" customHeight="1" thickTop="1" x14ac:dyDescent="0.25">
      <c r="B95" s="224" t="s">
        <v>159</v>
      </c>
      <c r="C95" s="224"/>
      <c r="D95" s="224"/>
      <c r="E95" s="224"/>
      <c r="F95" s="224"/>
      <c r="G95" s="224"/>
      <c r="H95" s="224"/>
      <c r="I95" s="224"/>
      <c r="J95" s="224"/>
      <c r="K95" s="224"/>
      <c r="L95" s="224"/>
      <c r="M95" s="219"/>
      <c r="V95" s="223"/>
      <c r="W95" s="223"/>
      <c r="X95" s="223"/>
      <c r="Y95" s="223"/>
      <c r="Z95" s="223"/>
      <c r="AA95" s="223"/>
      <c r="AB95" s="223"/>
      <c r="AC95" s="223"/>
      <c r="AD95" s="214"/>
    </row>
    <row r="96" spans="1:30" x14ac:dyDescent="0.25">
      <c r="B96" s="225"/>
      <c r="V96" s="223"/>
      <c r="W96" s="223"/>
      <c r="X96" s="223"/>
      <c r="Y96" s="223"/>
      <c r="Z96" s="223"/>
      <c r="AA96" s="223"/>
      <c r="AB96" s="223"/>
      <c r="AC96" s="223"/>
      <c r="AD96" s="219"/>
    </row>
    <row r="97" spans="2:30" x14ac:dyDescent="0.25">
      <c r="B97" s="225"/>
      <c r="V97" s="223"/>
      <c r="W97" s="223"/>
      <c r="X97" s="223"/>
      <c r="Y97" s="223"/>
      <c r="Z97" s="223"/>
      <c r="AA97" s="223"/>
      <c r="AB97" s="223"/>
      <c r="AC97" s="223"/>
      <c r="AD97" s="219"/>
    </row>
    <row r="98" spans="2:30" hidden="1" x14ac:dyDescent="0.25">
      <c r="B98" s="226" t="s">
        <v>160</v>
      </c>
      <c r="C98" s="227"/>
      <c r="V98" s="228"/>
      <c r="W98" s="228"/>
      <c r="X98" s="228"/>
      <c r="Y98" s="228"/>
      <c r="Z98" s="228"/>
      <c r="AA98" s="228"/>
      <c r="AB98" s="228"/>
      <c r="AC98" s="228"/>
    </row>
    <row r="99" spans="2:30" hidden="1" x14ac:dyDescent="0.25">
      <c r="B99" s="229"/>
      <c r="C99" s="227"/>
      <c r="V99" s="225"/>
      <c r="W99" s="13"/>
      <c r="X99" s="13"/>
      <c r="Y99" s="13"/>
      <c r="Z99" s="13"/>
      <c r="AA99" s="13"/>
      <c r="AB99" s="13"/>
      <c r="AC99" s="13"/>
    </row>
    <row r="100" spans="2:30" hidden="1" x14ac:dyDescent="0.25">
      <c r="B100" s="230" t="s">
        <v>161</v>
      </c>
      <c r="C100" s="226" t="s">
        <v>162</v>
      </c>
      <c r="V100" s="225"/>
    </row>
    <row r="101" spans="2:30" hidden="1" x14ac:dyDescent="0.25">
      <c r="B101" s="230" t="s">
        <v>163</v>
      </c>
      <c r="C101" s="226" t="s">
        <v>164</v>
      </c>
      <c r="V101" s="225"/>
    </row>
    <row r="102" spans="2:30" hidden="1" x14ac:dyDescent="0.25">
      <c r="B102" s="230" t="s">
        <v>165</v>
      </c>
      <c r="C102" s="226" t="s">
        <v>166</v>
      </c>
      <c r="V102" s="225"/>
      <c r="W102" s="231"/>
      <c r="X102" s="231"/>
      <c r="Y102" s="231"/>
      <c r="Z102" s="231"/>
      <c r="AA102" s="231"/>
      <c r="AB102" s="231"/>
      <c r="AC102" s="231"/>
      <c r="AD102" s="231"/>
    </row>
    <row r="103" spans="2:30" hidden="1" x14ac:dyDescent="0.25">
      <c r="B103" s="230" t="s">
        <v>167</v>
      </c>
      <c r="C103" s="226" t="s">
        <v>168</v>
      </c>
      <c r="V103" s="225"/>
    </row>
    <row r="104" spans="2:30" hidden="1" x14ac:dyDescent="0.25">
      <c r="B104" s="232"/>
      <c r="C104" s="226" t="s">
        <v>169</v>
      </c>
      <c r="V104" s="225"/>
    </row>
    <row r="105" spans="2:30" hidden="1" x14ac:dyDescent="0.25">
      <c r="B105" s="230" t="s">
        <v>170</v>
      </c>
      <c r="C105" s="226" t="s">
        <v>171</v>
      </c>
      <c r="V105" s="225"/>
    </row>
    <row r="106" spans="2:30" hidden="1" x14ac:dyDescent="0.25">
      <c r="B106" s="230" t="s">
        <v>172</v>
      </c>
      <c r="C106" s="226" t="s">
        <v>173</v>
      </c>
      <c r="V106" s="225"/>
    </row>
    <row r="107" spans="2:30" hidden="1" x14ac:dyDescent="0.25">
      <c r="B107" s="230" t="s">
        <v>298</v>
      </c>
      <c r="C107" s="226" t="s">
        <v>175</v>
      </c>
      <c r="V107" s="225"/>
    </row>
    <row r="108" spans="2:30" hidden="1" x14ac:dyDescent="0.25">
      <c r="B108" s="230" t="s">
        <v>176</v>
      </c>
      <c r="C108" s="226" t="s">
        <v>177</v>
      </c>
      <c r="V108" s="225"/>
    </row>
    <row r="109" spans="2:30" hidden="1" x14ac:dyDescent="0.25">
      <c r="B109" s="230" t="s">
        <v>178</v>
      </c>
      <c r="C109" s="226" t="s">
        <v>179</v>
      </c>
      <c r="V109" s="225"/>
    </row>
    <row r="110" spans="2:30" hidden="1" x14ac:dyDescent="0.25">
      <c r="B110" s="232"/>
      <c r="C110" s="226"/>
      <c r="V110" s="225"/>
    </row>
    <row r="111" spans="2:30" hidden="1" x14ac:dyDescent="0.25">
      <c r="B111" s="230" t="s">
        <v>180</v>
      </c>
      <c r="C111" s="226" t="s">
        <v>181</v>
      </c>
      <c r="V111" s="225"/>
    </row>
    <row r="112" spans="2:30" hidden="1" x14ac:dyDescent="0.25">
      <c r="B112" s="230" t="s">
        <v>180</v>
      </c>
      <c r="C112" s="226" t="s">
        <v>182</v>
      </c>
    </row>
    <row r="113" spans="2:3" hidden="1" x14ac:dyDescent="0.25">
      <c r="B113" s="230" t="s">
        <v>183</v>
      </c>
      <c r="C113" s="226" t="s">
        <v>184</v>
      </c>
    </row>
    <row r="114" spans="2:3" hidden="1" x14ac:dyDescent="0.25">
      <c r="B114" s="230" t="s">
        <v>185</v>
      </c>
      <c r="C114" s="226" t="s">
        <v>186</v>
      </c>
    </row>
    <row r="115" spans="2:3" hidden="1" x14ac:dyDescent="0.25">
      <c r="B115" s="230" t="s">
        <v>183</v>
      </c>
      <c r="C115" s="226" t="s">
        <v>187</v>
      </c>
    </row>
    <row r="116" spans="2:3" hidden="1" x14ac:dyDescent="0.25">
      <c r="B116" s="230" t="s">
        <v>188</v>
      </c>
      <c r="C116" s="226" t="s">
        <v>189</v>
      </c>
    </row>
    <row r="117" spans="2:3" hidden="1" x14ac:dyDescent="0.25">
      <c r="B117" s="230" t="s">
        <v>190</v>
      </c>
      <c r="C117" s="226" t="s">
        <v>191</v>
      </c>
    </row>
    <row r="118" spans="2:3" hidden="1" x14ac:dyDescent="0.25">
      <c r="B118" s="232" t="s">
        <v>192</v>
      </c>
      <c r="C118" s="226" t="s">
        <v>193</v>
      </c>
    </row>
    <row r="119" spans="2:3" hidden="1" x14ac:dyDescent="0.25">
      <c r="B119" s="232"/>
      <c r="C119" s="226"/>
    </row>
    <row r="120" spans="2:3" hidden="1" x14ac:dyDescent="0.25">
      <c r="B120" s="230" t="s">
        <v>161</v>
      </c>
      <c r="C120" s="226" t="s">
        <v>194</v>
      </c>
    </row>
    <row r="121" spans="2:3" hidden="1" x14ac:dyDescent="0.25">
      <c r="B121" s="230" t="s">
        <v>195</v>
      </c>
      <c r="C121" s="226" t="s">
        <v>196</v>
      </c>
    </row>
    <row r="122" spans="2:3" hidden="1" x14ac:dyDescent="0.25">
      <c r="B122" s="230" t="s">
        <v>197</v>
      </c>
      <c r="C122" s="226" t="s">
        <v>198</v>
      </c>
    </row>
    <row r="123" spans="2:3" hidden="1" x14ac:dyDescent="0.25">
      <c r="B123" s="230" t="s">
        <v>299</v>
      </c>
      <c r="C123" s="226" t="s">
        <v>200</v>
      </c>
    </row>
    <row r="124" spans="2:3" hidden="1" x14ac:dyDescent="0.25">
      <c r="B124" s="230" t="s">
        <v>300</v>
      </c>
      <c r="C124" s="226" t="s">
        <v>202</v>
      </c>
    </row>
    <row r="125" spans="2:3" hidden="1" x14ac:dyDescent="0.25">
      <c r="B125" s="230" t="s">
        <v>203</v>
      </c>
      <c r="C125" s="226" t="s">
        <v>204</v>
      </c>
    </row>
    <row r="126" spans="2:3" hidden="1" x14ac:dyDescent="0.25">
      <c r="B126" s="230" t="s">
        <v>203</v>
      </c>
      <c r="C126" s="226" t="s">
        <v>205</v>
      </c>
    </row>
    <row r="127" spans="2:3" hidden="1" x14ac:dyDescent="0.25">
      <c r="B127" s="230" t="s">
        <v>203</v>
      </c>
      <c r="C127" s="226" t="s">
        <v>206</v>
      </c>
    </row>
    <row r="128" spans="2:3" hidden="1" x14ac:dyDescent="0.25">
      <c r="B128" s="230" t="s">
        <v>203</v>
      </c>
      <c r="C128" s="226" t="s">
        <v>207</v>
      </c>
    </row>
    <row r="129" spans="2:3" hidden="1" x14ac:dyDescent="0.25">
      <c r="B129" s="230" t="s">
        <v>167</v>
      </c>
      <c r="C129" s="226" t="s">
        <v>208</v>
      </c>
    </row>
    <row r="130" spans="2:3" hidden="1" x14ac:dyDescent="0.25">
      <c r="B130" s="230" t="s">
        <v>209</v>
      </c>
      <c r="C130" s="226" t="s">
        <v>210</v>
      </c>
    </row>
    <row r="131" spans="2:3" hidden="1" x14ac:dyDescent="0.25">
      <c r="B131" s="230" t="s">
        <v>203</v>
      </c>
      <c r="C131" s="226" t="s">
        <v>211</v>
      </c>
    </row>
    <row r="132" spans="2:3" hidden="1" x14ac:dyDescent="0.25">
      <c r="B132" s="226"/>
      <c r="C132" s="226"/>
    </row>
    <row r="133" spans="2:3" hidden="1" x14ac:dyDescent="0.25">
      <c r="B133" s="226"/>
      <c r="C133" s="226"/>
    </row>
    <row r="134" spans="2:3" hidden="1" x14ac:dyDescent="0.25">
      <c r="B134" s="232"/>
      <c r="C134" s="232"/>
    </row>
    <row r="135" spans="2:3" hidden="1" x14ac:dyDescent="0.25">
      <c r="B135" s="232">
        <f>NvsElapsedTime</f>
        <v>0</v>
      </c>
      <c r="C135" s="232"/>
    </row>
    <row r="136" spans="2:3" hidden="1" x14ac:dyDescent="0.25">
      <c r="B136" s="233">
        <f>NvsEndTime</f>
        <v>41754.488009259301</v>
      </c>
      <c r="C136" s="233" t="s">
        <v>212</v>
      </c>
    </row>
    <row r="137" spans="2:3" x14ac:dyDescent="0.25">
      <c r="B137" s="226"/>
      <c r="C137" s="234"/>
    </row>
    <row r="138" spans="2:3" x14ac:dyDescent="0.25">
      <c r="B138" s="226"/>
      <c r="C138" s="226"/>
    </row>
    <row r="139" spans="2:3" x14ac:dyDescent="0.25">
      <c r="B139" s="226"/>
      <c r="C139" s="226"/>
    </row>
    <row r="140" spans="2:3" x14ac:dyDescent="0.25">
      <c r="B140" s="226"/>
      <c r="C140" s="226"/>
    </row>
    <row r="141" spans="2:3" x14ac:dyDescent="0.25">
      <c r="B141" s="226"/>
      <c r="C141" s="226"/>
    </row>
    <row r="142" spans="2:3" x14ac:dyDescent="0.25">
      <c r="B142" s="226"/>
      <c r="C142" s="226"/>
    </row>
    <row r="143" spans="2:3" x14ac:dyDescent="0.25">
      <c r="B143" s="226"/>
      <c r="C143" s="226"/>
    </row>
    <row r="144" spans="2:3" x14ac:dyDescent="0.25">
      <c r="B144" s="226"/>
      <c r="C144" s="226"/>
    </row>
    <row r="145" spans="2:3" x14ac:dyDescent="0.25">
      <c r="B145" s="226"/>
      <c r="C145" s="226"/>
    </row>
    <row r="146" spans="2:3" x14ac:dyDescent="0.25">
      <c r="B146" s="226"/>
      <c r="C146" s="226"/>
    </row>
    <row r="147" spans="2:3" x14ac:dyDescent="0.25">
      <c r="B147" s="226"/>
      <c r="C147" s="226"/>
    </row>
    <row r="148" spans="2:3" x14ac:dyDescent="0.25">
      <c r="B148" s="226"/>
      <c r="C148" s="226"/>
    </row>
    <row r="149" spans="2:3" x14ac:dyDescent="0.25">
      <c r="B149" s="226"/>
      <c r="C149" s="226"/>
    </row>
    <row r="150" spans="2:3" x14ac:dyDescent="0.25">
      <c r="B150" s="226"/>
      <c r="C150" s="226"/>
    </row>
    <row r="151" spans="2:3" x14ac:dyDescent="0.25">
      <c r="B151" s="226"/>
      <c r="C151" s="226"/>
    </row>
  </sheetData>
  <mergeCells count="151">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9:W9"/>
    <mergeCell ref="X9:Y9"/>
    <mergeCell ref="Z9:AA9"/>
    <mergeCell ref="V10:W10"/>
    <mergeCell ref="X10:Y10"/>
    <mergeCell ref="Z10:AA10"/>
    <mergeCell ref="V7:W7"/>
    <mergeCell ref="X7:Y7"/>
    <mergeCell ref="Z7:AA7"/>
    <mergeCell ref="AB7:AC7"/>
    <mergeCell ref="V8:W8"/>
    <mergeCell ref="X8:Y8"/>
    <mergeCell ref="Z8:AA8"/>
    <mergeCell ref="W2:AC2"/>
    <mergeCell ref="V3:AC3"/>
    <mergeCell ref="V4:AC4"/>
    <mergeCell ref="V5:W5"/>
    <mergeCell ref="X5:Y5"/>
    <mergeCell ref="V6:AC6"/>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pageSetUpPr fitToPage="1"/>
  </sheetPr>
  <dimension ref="A1:AD151"/>
  <sheetViews>
    <sheetView topLeftCell="B2" zoomScale="70" zoomScaleNormal="70" workbookViewId="0">
      <selection activeCell="B2" sqref="B2"/>
    </sheetView>
  </sheetViews>
  <sheetFormatPr defaultColWidth="8.85546875" defaultRowHeight="15.75" x14ac:dyDescent="0.25"/>
  <cols>
    <col min="1" max="1" width="11.28515625" style="1" hidden="1" customWidth="1"/>
    <col min="2" max="2" width="10.28515625" style="2" customWidth="1"/>
    <col min="3" max="3" width="29" style="1" customWidth="1"/>
    <col min="4" max="5" width="12.28515625" style="1" customWidth="1"/>
    <col min="6" max="6" width="12.28515625" style="1" hidden="1" customWidth="1"/>
    <col min="7" max="7" width="17" style="1" customWidth="1"/>
    <col min="8" max="8" width="6.7109375" style="1" customWidth="1"/>
    <col min="9" max="9" width="14.28515625" style="1" customWidth="1"/>
    <col min="10" max="10" width="12.85546875" style="1" customWidth="1"/>
    <col min="11" max="11" width="17.28515625" style="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28515625" style="1" customWidth="1"/>
    <col min="18" max="18" width="8.85546875" style="1"/>
    <col min="19" max="21" width="0" style="1" hidden="1" customWidth="1"/>
    <col min="22" max="23" width="8.85546875" style="1"/>
    <col min="24" max="24" width="12.7109375" style="1" customWidth="1"/>
    <col min="25" max="27" width="8.85546875" style="1"/>
    <col min="28" max="28" width="13.140625" style="1" bestFit="1" customWidth="1"/>
    <col min="29" max="16384" width="8.85546875" style="1"/>
  </cols>
  <sheetData>
    <row r="1" spans="1:30" ht="15.6"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7"/>
      <c r="N2" s="3"/>
      <c r="O2" s="1"/>
      <c r="V2" s="8">
        <f>'3413'!B2</f>
        <v>50</v>
      </c>
      <c r="W2" s="606" t="s">
        <v>4</v>
      </c>
      <c r="X2" s="607"/>
      <c r="Y2" s="608"/>
      <c r="Z2" s="608"/>
      <c r="AA2" s="608"/>
      <c r="AB2" s="608"/>
      <c r="AC2" s="608"/>
      <c r="AD2" s="9"/>
    </row>
    <row r="3" spans="1:30" ht="20.25" x14ac:dyDescent="0.3">
      <c r="B3" s="10" t="str">
        <f>"Revenue Estimate Worksheet for "&amp;B124</f>
        <v>Revenue Estimate Worksheet for Somerset Academy Boca East</v>
      </c>
      <c r="C3" s="11"/>
      <c r="D3" s="11"/>
      <c r="E3" s="11"/>
      <c r="F3" s="11"/>
      <c r="G3" s="11"/>
      <c r="H3" s="11"/>
      <c r="I3" s="11"/>
      <c r="J3" s="11"/>
      <c r="K3" s="11"/>
      <c r="L3" s="11"/>
      <c r="M3" s="10"/>
      <c r="N3" s="10"/>
      <c r="O3" s="10"/>
      <c r="P3" s="10"/>
      <c r="Q3" s="10"/>
      <c r="V3" s="609" t="s">
        <v>5</v>
      </c>
      <c r="W3" s="609"/>
      <c r="X3" s="609"/>
      <c r="Y3" s="609"/>
      <c r="Z3" s="609"/>
      <c r="AA3" s="609"/>
      <c r="AB3" s="609"/>
      <c r="AC3" s="609"/>
      <c r="AD3" s="12"/>
    </row>
    <row r="4" spans="1:30" ht="18.75" x14ac:dyDescent="0.3">
      <c r="B4" s="2" t="s">
        <v>6</v>
      </c>
      <c r="C4" s="13"/>
      <c r="D4" s="13"/>
      <c r="E4" s="13"/>
      <c r="F4" s="13"/>
      <c r="G4" s="13"/>
      <c r="H4" s="13"/>
      <c r="I4" s="13"/>
      <c r="J4" s="13"/>
      <c r="K4" s="13"/>
      <c r="L4" s="13"/>
      <c r="M4" s="14"/>
      <c r="N4" s="14"/>
      <c r="O4" s="14"/>
      <c r="P4" s="14"/>
      <c r="Q4" s="14"/>
      <c r="V4" s="610" t="str">
        <f>+Based_on_the_Second_Calculation_of_the_FEFP_2010_11</f>
        <v>Based on the Fourth Calculation of the FEFP 2013-14</v>
      </c>
      <c r="W4" s="610"/>
      <c r="X4" s="610"/>
      <c r="Y4" s="610"/>
      <c r="Z4" s="610"/>
      <c r="AA4" s="610"/>
      <c r="AB4" s="610"/>
      <c r="AC4" s="610"/>
      <c r="AD4" s="15"/>
    </row>
    <row r="5" spans="1:30" ht="18.75" customHeight="1" x14ac:dyDescent="0.25">
      <c r="B5" s="16" t="s">
        <v>7</v>
      </c>
      <c r="C5" s="16"/>
      <c r="D5" s="16"/>
      <c r="E5" s="16"/>
      <c r="F5" s="16"/>
      <c r="G5" s="17" t="s">
        <v>8</v>
      </c>
      <c r="H5" s="17"/>
      <c r="I5" s="17"/>
      <c r="J5" s="17"/>
      <c r="K5" s="17"/>
      <c r="L5" s="17"/>
      <c r="M5" s="18"/>
      <c r="N5" s="18"/>
      <c r="O5" s="18"/>
      <c r="P5" s="18"/>
      <c r="Q5" s="18"/>
      <c r="V5" s="611" t="s">
        <v>7</v>
      </c>
      <c r="W5" s="611"/>
      <c r="X5" s="612" t="s">
        <v>8</v>
      </c>
      <c r="Y5" s="612"/>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613" t="s">
        <v>9</v>
      </c>
      <c r="W6" s="613"/>
      <c r="X6" s="613"/>
      <c r="Y6" s="613"/>
      <c r="Z6" s="613"/>
      <c r="AA6" s="613"/>
      <c r="AB6" s="613"/>
      <c r="AC6" s="613"/>
      <c r="AD6" s="22"/>
    </row>
    <row r="7" spans="1:30" ht="18" customHeight="1" x14ac:dyDescent="0.25">
      <c r="B7" s="23" t="s">
        <v>10</v>
      </c>
      <c r="C7" s="23"/>
      <c r="D7" s="23"/>
      <c r="E7" s="23"/>
      <c r="F7" s="23"/>
      <c r="G7" s="24">
        <v>3752.3</v>
      </c>
      <c r="H7" s="24"/>
      <c r="I7" s="23" t="s">
        <v>11</v>
      </c>
      <c r="J7" s="23"/>
      <c r="K7" s="25">
        <v>1.0326</v>
      </c>
      <c r="L7" s="25"/>
      <c r="O7" s="1"/>
      <c r="V7" s="620" t="s">
        <v>10</v>
      </c>
      <c r="W7" s="620"/>
      <c r="X7" s="621">
        <f>'3413'!G7</f>
        <v>3752.3</v>
      </c>
      <c r="Y7" s="621"/>
      <c r="Z7" s="622" t="s">
        <v>11</v>
      </c>
      <c r="AA7" s="622"/>
      <c r="AB7" s="602">
        <f>+K7</f>
        <v>1.0326</v>
      </c>
      <c r="AC7" s="602"/>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603" t="s">
        <v>12</v>
      </c>
      <c r="W8" s="603"/>
      <c r="X8" s="604" t="s">
        <v>15</v>
      </c>
      <c r="Y8" s="604"/>
      <c r="Z8" s="605" t="s">
        <v>16</v>
      </c>
      <c r="AA8" s="605"/>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614" t="s">
        <v>22</v>
      </c>
      <c r="W9" s="614"/>
      <c r="X9" s="615" t="s">
        <v>23</v>
      </c>
      <c r="Y9" s="615"/>
      <c r="Z9" s="616" t="s">
        <v>24</v>
      </c>
      <c r="AA9" s="616"/>
      <c r="AB9" s="43" t="s">
        <v>25</v>
      </c>
      <c r="AC9" s="44" t="s">
        <v>26</v>
      </c>
      <c r="AD9" s="9"/>
    </row>
    <row r="10" spans="1:30" x14ac:dyDescent="0.25">
      <c r="A10" s="1" t="s">
        <v>27</v>
      </c>
      <c r="B10" s="45" t="s">
        <v>28</v>
      </c>
      <c r="C10" s="45"/>
      <c r="D10" s="45">
        <v>97.89</v>
      </c>
      <c r="E10" s="45">
        <v>96.91</v>
      </c>
      <c r="F10" s="45">
        <v>108.55</v>
      </c>
      <c r="G10" s="46">
        <f>D10+E10</f>
        <v>194.8</v>
      </c>
      <c r="H10" s="47"/>
      <c r="I10" s="48">
        <v>1.125</v>
      </c>
      <c r="J10" s="48"/>
      <c r="K10" s="49">
        <f>ROUND(G10*I10,4)</f>
        <v>219.15</v>
      </c>
      <c r="L10" s="50">
        <f>ROUND(ROUND(K10*$G$7,4)*($K$7),0)</f>
        <v>849124</v>
      </c>
      <c r="N10" s="51">
        <v>5101</v>
      </c>
      <c r="O10" s="52">
        <v>101</v>
      </c>
      <c r="P10" s="53"/>
      <c r="Q10" s="54"/>
      <c r="V10" s="617" t="s">
        <v>28</v>
      </c>
      <c r="W10" s="617"/>
      <c r="X10" s="618">
        <f>IF('3413'!K$84=1,'3413'!G10,0)</f>
        <v>0</v>
      </c>
      <c r="Y10" s="618"/>
      <c r="Z10" s="619">
        <v>1</v>
      </c>
      <c r="AA10" s="619"/>
      <c r="AB10" s="55">
        <f t="shared" ref="AB10:AB25" si="0">ROUND(X10*Z10,4)</f>
        <v>0</v>
      </c>
      <c r="AC10" s="56">
        <f t="shared" ref="AC10:AC25" si="1">ROUND(ROUND(AB10*$X$7,4)*($AB$7),0)</f>
        <v>0</v>
      </c>
      <c r="AD10" s="9">
        <v>1</v>
      </c>
    </row>
    <row r="11" spans="1:30" x14ac:dyDescent="0.25">
      <c r="A11" s="1" t="s">
        <v>29</v>
      </c>
      <c r="B11" s="13" t="s">
        <v>30</v>
      </c>
      <c r="C11" s="13"/>
      <c r="D11" s="13">
        <v>14.49</v>
      </c>
      <c r="E11" s="13">
        <v>14.07</v>
      </c>
      <c r="F11" s="13">
        <v>16.68</v>
      </c>
      <c r="G11" s="46">
        <f t="shared" ref="G11:G25" si="2">D11+E11</f>
        <v>28.560000000000002</v>
      </c>
      <c r="H11" s="47"/>
      <c r="I11" s="57">
        <f>I10</f>
        <v>1.125</v>
      </c>
      <c r="J11" s="57"/>
      <c r="K11" s="49">
        <f t="shared" ref="K11:K25" si="3">ROUND(G11*I11,4)</f>
        <v>32.130000000000003</v>
      </c>
      <c r="L11" s="50">
        <f t="shared" ref="L11:L25" si="4">ROUND(ROUND(K11*$G$7,4)*($K$7),0)</f>
        <v>124492</v>
      </c>
      <c r="M11" s="1" t="str">
        <f>IF(ROUND(G11,2)=ROUND(SUM(G28:G30),2)," ","CHECK 2. PK-3 Lines Below")</f>
        <v xml:space="preserve"> </v>
      </c>
      <c r="N11" s="51">
        <v>5101</v>
      </c>
      <c r="O11" s="58" t="s">
        <v>31</v>
      </c>
      <c r="P11" s="53"/>
      <c r="Q11" s="54"/>
      <c r="V11" s="623" t="s">
        <v>30</v>
      </c>
      <c r="W11" s="623"/>
      <c r="X11" s="618">
        <f>IF('3413'!K$84=1,'3413'!G11,0)</f>
        <v>0</v>
      </c>
      <c r="Y11" s="618"/>
      <c r="Z11" s="624">
        <v>1</v>
      </c>
      <c r="AA11" s="624"/>
      <c r="AB11" s="55">
        <f t="shared" si="0"/>
        <v>0</v>
      </c>
      <c r="AC11" s="56">
        <f t="shared" si="1"/>
        <v>0</v>
      </c>
      <c r="AD11" s="9"/>
    </row>
    <row r="12" spans="1:30" x14ac:dyDescent="0.25">
      <c r="A12" s="1" t="s">
        <v>32</v>
      </c>
      <c r="B12" s="13" t="s">
        <v>33</v>
      </c>
      <c r="C12" s="13"/>
      <c r="D12" s="13">
        <v>17.41</v>
      </c>
      <c r="E12" s="13">
        <v>20.02</v>
      </c>
      <c r="F12" s="13">
        <v>20.58</v>
      </c>
      <c r="G12" s="46">
        <f t="shared" si="2"/>
        <v>37.43</v>
      </c>
      <c r="H12" s="47"/>
      <c r="I12" s="57">
        <v>1</v>
      </c>
      <c r="J12" s="57"/>
      <c r="K12" s="49">
        <f t="shared" si="3"/>
        <v>37.43</v>
      </c>
      <c r="L12" s="50">
        <f t="shared" si="4"/>
        <v>145027</v>
      </c>
      <c r="N12" s="51">
        <v>5102</v>
      </c>
      <c r="O12" s="52">
        <v>102</v>
      </c>
      <c r="P12" s="53"/>
      <c r="Q12" s="54"/>
      <c r="V12" s="623" t="s">
        <v>33</v>
      </c>
      <c r="W12" s="623"/>
      <c r="X12" s="618">
        <f>IF('3413'!K$84=1,'3413'!G12,0)</f>
        <v>0</v>
      </c>
      <c r="Y12" s="618"/>
      <c r="Z12" s="624">
        <v>1</v>
      </c>
      <c r="AA12" s="624"/>
      <c r="AB12" s="55">
        <f t="shared" si="0"/>
        <v>0</v>
      </c>
      <c r="AC12" s="56">
        <f t="shared" si="1"/>
        <v>0</v>
      </c>
      <c r="AD12" s="9"/>
    </row>
    <row r="13" spans="1:30" x14ac:dyDescent="0.25">
      <c r="A13" s="1" t="s">
        <v>34</v>
      </c>
      <c r="B13" s="13" t="s">
        <v>35</v>
      </c>
      <c r="C13" s="13"/>
      <c r="D13" s="13">
        <v>8.51</v>
      </c>
      <c r="E13" s="13">
        <v>7.05</v>
      </c>
      <c r="F13" s="13">
        <v>10.34</v>
      </c>
      <c r="G13" s="46">
        <f t="shared" si="2"/>
        <v>15.559999999999999</v>
      </c>
      <c r="H13" s="47"/>
      <c r="I13" s="57">
        <f>I12</f>
        <v>1</v>
      </c>
      <c r="J13" s="57"/>
      <c r="K13" s="49">
        <f t="shared" si="3"/>
        <v>15.56</v>
      </c>
      <c r="L13" s="50">
        <f t="shared" si="4"/>
        <v>60289</v>
      </c>
      <c r="M13" s="1" t="str">
        <f>IF(ROUND(G13,2)=ROUND(SUM(G31:G33),2)," ","CHECK 2. PK-3 Lines Below")</f>
        <v xml:space="preserve"> </v>
      </c>
      <c r="N13" s="51">
        <v>5102</v>
      </c>
      <c r="O13" s="58" t="s">
        <v>36</v>
      </c>
      <c r="P13" s="53"/>
      <c r="Q13" s="54"/>
      <c r="V13" s="623" t="s">
        <v>35</v>
      </c>
      <c r="W13" s="623"/>
      <c r="X13" s="618">
        <f>IF('3413'!K$84=1,'3413'!G13,0)</f>
        <v>0</v>
      </c>
      <c r="Y13" s="618"/>
      <c r="Z13" s="624">
        <v>1</v>
      </c>
      <c r="AA13" s="624"/>
      <c r="AB13" s="55">
        <f t="shared" si="0"/>
        <v>0</v>
      </c>
      <c r="AC13" s="56">
        <f t="shared" si="1"/>
        <v>0</v>
      </c>
      <c r="AD13" s="9"/>
    </row>
    <row r="14" spans="1:30" x14ac:dyDescent="0.25">
      <c r="A14" s="1" t="s">
        <v>37</v>
      </c>
      <c r="B14" s="13" t="s">
        <v>38</v>
      </c>
      <c r="C14" s="13"/>
      <c r="D14" s="13">
        <v>0</v>
      </c>
      <c r="E14" s="13">
        <v>0</v>
      </c>
      <c r="F14" s="13">
        <v>0</v>
      </c>
      <c r="G14" s="46">
        <f t="shared" si="2"/>
        <v>0</v>
      </c>
      <c r="H14" s="47"/>
      <c r="I14" s="57">
        <v>1.0109999999999999</v>
      </c>
      <c r="J14" s="57"/>
      <c r="K14" s="49">
        <f t="shared" si="3"/>
        <v>0</v>
      </c>
      <c r="L14" s="50">
        <f t="shared" si="4"/>
        <v>0</v>
      </c>
      <c r="N14" s="51">
        <v>5103</v>
      </c>
      <c r="O14" s="52">
        <v>103</v>
      </c>
      <c r="P14" s="53"/>
      <c r="Q14" s="54"/>
      <c r="V14" s="623" t="s">
        <v>38</v>
      </c>
      <c r="W14" s="623"/>
      <c r="X14" s="618">
        <f>IF('3413'!K$84=1,'3413'!G14,0)</f>
        <v>0</v>
      </c>
      <c r="Y14" s="618"/>
      <c r="Z14" s="624">
        <v>1</v>
      </c>
      <c r="AA14" s="624"/>
      <c r="AB14" s="55">
        <f t="shared" si="0"/>
        <v>0</v>
      </c>
      <c r="AC14" s="56">
        <f t="shared" si="1"/>
        <v>0</v>
      </c>
      <c r="AD14" s="9"/>
    </row>
    <row r="15" spans="1:30" x14ac:dyDescent="0.25">
      <c r="A15" s="1" t="s">
        <v>39</v>
      </c>
      <c r="B15" s="13" t="s">
        <v>40</v>
      </c>
      <c r="C15" s="13"/>
      <c r="D15" s="13">
        <v>0</v>
      </c>
      <c r="E15" s="13">
        <v>0</v>
      </c>
      <c r="F15" s="13">
        <v>0</v>
      </c>
      <c r="G15" s="46">
        <f t="shared" si="2"/>
        <v>0</v>
      </c>
      <c r="H15" s="47"/>
      <c r="I15" s="57">
        <f>I14</f>
        <v>1.0109999999999999</v>
      </c>
      <c r="J15" s="57"/>
      <c r="K15" s="49">
        <f t="shared" si="3"/>
        <v>0</v>
      </c>
      <c r="L15" s="59">
        <f t="shared" si="4"/>
        <v>0</v>
      </c>
      <c r="M15" s="1" t="str">
        <f>IF(ROUND(G15,2)=ROUND(SUM(G34:G36),2)," ","CHECK 2. PK-3 Lines Below")</f>
        <v xml:space="preserve"> </v>
      </c>
      <c r="N15" s="51">
        <v>5103</v>
      </c>
      <c r="O15" s="58" t="s">
        <v>41</v>
      </c>
      <c r="P15" s="53"/>
      <c r="Q15" s="54"/>
      <c r="V15" s="623" t="s">
        <v>40</v>
      </c>
      <c r="W15" s="623"/>
      <c r="X15" s="618">
        <f>IF('3413'!K$84=1,'3413'!G15,0)</f>
        <v>0</v>
      </c>
      <c r="Y15" s="618"/>
      <c r="Z15" s="624">
        <v>1</v>
      </c>
      <c r="AA15" s="624"/>
      <c r="AB15" s="55">
        <f t="shared" si="0"/>
        <v>0</v>
      </c>
      <c r="AC15" s="60">
        <f t="shared" si="1"/>
        <v>0</v>
      </c>
      <c r="AD15" s="9"/>
    </row>
    <row r="16" spans="1:30" x14ac:dyDescent="0.25">
      <c r="A16" s="1" t="s">
        <v>42</v>
      </c>
      <c r="B16" s="13" t="s">
        <v>43</v>
      </c>
      <c r="C16" s="13"/>
      <c r="D16" s="13">
        <v>0</v>
      </c>
      <c r="E16" s="13">
        <v>0</v>
      </c>
      <c r="F16" s="13">
        <v>0</v>
      </c>
      <c r="G16" s="46">
        <f t="shared" si="2"/>
        <v>0</v>
      </c>
      <c r="H16" s="47"/>
      <c r="I16" s="57">
        <v>3.5579999999999998</v>
      </c>
      <c r="J16" s="57"/>
      <c r="K16" s="49">
        <f t="shared" si="3"/>
        <v>0</v>
      </c>
      <c r="L16" s="50">
        <f t="shared" si="4"/>
        <v>0</v>
      </c>
      <c r="N16" s="51">
        <v>5101</v>
      </c>
      <c r="O16" s="53">
        <v>254</v>
      </c>
      <c r="P16" s="53"/>
      <c r="Q16" s="54"/>
      <c r="V16" s="623" t="s">
        <v>43</v>
      </c>
      <c r="W16" s="623"/>
      <c r="X16" s="618">
        <f>IF('3413'!K$84=1,'3413'!G16,0)</f>
        <v>0</v>
      </c>
      <c r="Y16" s="618"/>
      <c r="Z16" s="624">
        <v>1</v>
      </c>
      <c r="AA16" s="624"/>
      <c r="AB16" s="55">
        <f t="shared" si="0"/>
        <v>0</v>
      </c>
      <c r="AC16" s="56">
        <f t="shared" si="1"/>
        <v>0</v>
      </c>
      <c r="AD16" s="9"/>
    </row>
    <row r="17" spans="1:30" x14ac:dyDescent="0.25">
      <c r="A17" s="1" t="s">
        <v>44</v>
      </c>
      <c r="B17" s="13" t="s">
        <v>45</v>
      </c>
      <c r="C17" s="13"/>
      <c r="D17" s="13">
        <v>0</v>
      </c>
      <c r="E17" s="13">
        <v>0</v>
      </c>
      <c r="F17" s="13">
        <v>0</v>
      </c>
      <c r="G17" s="46">
        <f t="shared" si="2"/>
        <v>0</v>
      </c>
      <c r="H17" s="47"/>
      <c r="I17" s="57">
        <f>I16</f>
        <v>3.5579999999999998</v>
      </c>
      <c r="J17" s="57"/>
      <c r="K17" s="49">
        <f t="shared" si="3"/>
        <v>0</v>
      </c>
      <c r="L17" s="50">
        <f t="shared" si="4"/>
        <v>0</v>
      </c>
      <c r="N17" s="51">
        <v>5102</v>
      </c>
      <c r="O17" s="54">
        <v>254</v>
      </c>
      <c r="P17" s="53"/>
      <c r="Q17" s="54"/>
      <c r="V17" s="623" t="s">
        <v>45</v>
      </c>
      <c r="W17" s="623"/>
      <c r="X17" s="618">
        <f>IF('3413'!K$84=1,'3413'!G17,0)</f>
        <v>0</v>
      </c>
      <c r="Y17" s="618"/>
      <c r="Z17" s="624">
        <v>1</v>
      </c>
      <c r="AA17" s="624"/>
      <c r="AB17" s="55">
        <f t="shared" si="0"/>
        <v>0</v>
      </c>
      <c r="AC17" s="56">
        <f t="shared" si="1"/>
        <v>0</v>
      </c>
      <c r="AD17" s="9"/>
    </row>
    <row r="18" spans="1:30" x14ac:dyDescent="0.25">
      <c r="A18" s="1" t="s">
        <v>46</v>
      </c>
      <c r="B18" s="13" t="s">
        <v>47</v>
      </c>
      <c r="C18" s="13"/>
      <c r="D18" s="13">
        <v>0</v>
      </c>
      <c r="E18" s="13">
        <v>0</v>
      </c>
      <c r="F18" s="13">
        <v>0</v>
      </c>
      <c r="G18" s="46">
        <f t="shared" si="2"/>
        <v>0</v>
      </c>
      <c r="H18" s="47"/>
      <c r="I18" s="57">
        <f>I17</f>
        <v>3.5579999999999998</v>
      </c>
      <c r="J18" s="57"/>
      <c r="K18" s="49">
        <f t="shared" si="3"/>
        <v>0</v>
      </c>
      <c r="L18" s="50">
        <f t="shared" si="4"/>
        <v>0</v>
      </c>
      <c r="N18" s="51">
        <v>5103</v>
      </c>
      <c r="O18" s="54">
        <v>254</v>
      </c>
      <c r="P18" s="53"/>
      <c r="Q18" s="54"/>
      <c r="V18" s="623" t="s">
        <v>47</v>
      </c>
      <c r="W18" s="623"/>
      <c r="X18" s="618">
        <f>IF('3413'!K$84=1,'3413'!G18,0)</f>
        <v>0</v>
      </c>
      <c r="Y18" s="618"/>
      <c r="Z18" s="624">
        <v>1</v>
      </c>
      <c r="AA18" s="624"/>
      <c r="AB18" s="55">
        <f t="shared" si="0"/>
        <v>0</v>
      </c>
      <c r="AC18" s="56">
        <f t="shared" si="1"/>
        <v>0</v>
      </c>
      <c r="AD18" s="9"/>
    </row>
    <row r="19" spans="1:30" ht="15" customHeight="1" x14ac:dyDescent="0.25">
      <c r="A19" s="1" t="s">
        <v>48</v>
      </c>
      <c r="B19" s="13" t="s">
        <v>49</v>
      </c>
      <c r="C19" s="13"/>
      <c r="D19" s="13">
        <v>0</v>
      </c>
      <c r="E19" s="13">
        <v>0</v>
      </c>
      <c r="F19" s="13">
        <v>0</v>
      </c>
      <c r="G19" s="46">
        <f t="shared" si="2"/>
        <v>0</v>
      </c>
      <c r="H19" s="47"/>
      <c r="I19" s="57">
        <v>5.0890000000000004</v>
      </c>
      <c r="J19" s="57"/>
      <c r="K19" s="49">
        <f t="shared" si="3"/>
        <v>0</v>
      </c>
      <c r="L19" s="50">
        <f t="shared" si="4"/>
        <v>0</v>
      </c>
      <c r="N19" s="51">
        <v>5101</v>
      </c>
      <c r="O19" s="53">
        <v>255</v>
      </c>
      <c r="P19" s="53"/>
      <c r="Q19" s="54"/>
      <c r="V19" s="623" t="s">
        <v>49</v>
      </c>
      <c r="W19" s="623"/>
      <c r="X19" s="618">
        <f>IF('3413'!K$84=1,'3413'!G19,0)</f>
        <v>0</v>
      </c>
      <c r="Y19" s="618"/>
      <c r="Z19" s="624">
        <v>1</v>
      </c>
      <c r="AA19" s="624"/>
      <c r="AB19" s="55">
        <f t="shared" si="0"/>
        <v>0</v>
      </c>
      <c r="AC19" s="56">
        <f t="shared" si="1"/>
        <v>0</v>
      </c>
      <c r="AD19" s="9"/>
    </row>
    <row r="20" spans="1:30" ht="15" customHeight="1" x14ac:dyDescent="0.25">
      <c r="A20" s="1" t="s">
        <v>50</v>
      </c>
      <c r="B20" s="13" t="s">
        <v>51</v>
      </c>
      <c r="C20" s="13"/>
      <c r="D20" s="13">
        <v>0</v>
      </c>
      <c r="E20" s="13">
        <v>0</v>
      </c>
      <c r="F20" s="13">
        <v>0</v>
      </c>
      <c r="G20" s="46">
        <f t="shared" si="2"/>
        <v>0</v>
      </c>
      <c r="H20" s="47"/>
      <c r="I20" s="57">
        <f>I19</f>
        <v>5.0890000000000004</v>
      </c>
      <c r="J20" s="57"/>
      <c r="K20" s="49">
        <f t="shared" si="3"/>
        <v>0</v>
      </c>
      <c r="L20" s="50">
        <f t="shared" si="4"/>
        <v>0</v>
      </c>
      <c r="N20" s="51">
        <v>5102</v>
      </c>
      <c r="O20" s="54">
        <v>255</v>
      </c>
      <c r="P20" s="53"/>
      <c r="Q20" s="54"/>
      <c r="V20" s="623" t="s">
        <v>51</v>
      </c>
      <c r="W20" s="623"/>
      <c r="X20" s="618">
        <f>IF('3413'!K$84=1,'3413'!G20,0)</f>
        <v>0</v>
      </c>
      <c r="Y20" s="618"/>
      <c r="Z20" s="624">
        <v>1</v>
      </c>
      <c r="AA20" s="624"/>
      <c r="AB20" s="55">
        <f t="shared" si="0"/>
        <v>0</v>
      </c>
      <c r="AC20" s="56">
        <f t="shared" si="1"/>
        <v>0</v>
      </c>
      <c r="AD20" s="9"/>
    </row>
    <row r="21" spans="1:30" ht="15" customHeight="1" x14ac:dyDescent="0.25">
      <c r="A21" s="1" t="s">
        <v>52</v>
      </c>
      <c r="B21" s="13" t="s">
        <v>53</v>
      </c>
      <c r="C21" s="13"/>
      <c r="D21" s="13">
        <v>0</v>
      </c>
      <c r="E21" s="13">
        <v>0</v>
      </c>
      <c r="F21" s="13">
        <v>0</v>
      </c>
      <c r="G21" s="46">
        <f t="shared" si="2"/>
        <v>0</v>
      </c>
      <c r="H21" s="47"/>
      <c r="I21" s="57">
        <f>I20</f>
        <v>5.0890000000000004</v>
      </c>
      <c r="J21" s="57"/>
      <c r="K21" s="49">
        <f t="shared" si="3"/>
        <v>0</v>
      </c>
      <c r="L21" s="50">
        <f t="shared" si="4"/>
        <v>0</v>
      </c>
      <c r="N21" s="51">
        <v>5103</v>
      </c>
      <c r="O21" s="54">
        <v>255</v>
      </c>
      <c r="P21" s="53"/>
      <c r="Q21" s="54"/>
      <c r="V21" s="623" t="s">
        <v>53</v>
      </c>
      <c r="W21" s="623"/>
      <c r="X21" s="618">
        <f>IF('3413'!K$84=1,'3413'!G21,0)</f>
        <v>0</v>
      </c>
      <c r="Y21" s="618"/>
      <c r="Z21" s="624">
        <v>1</v>
      </c>
      <c r="AA21" s="624"/>
      <c r="AB21" s="55">
        <f t="shared" si="0"/>
        <v>0</v>
      </c>
      <c r="AC21" s="56">
        <f t="shared" si="1"/>
        <v>0</v>
      </c>
      <c r="AD21" s="9"/>
    </row>
    <row r="22" spans="1:30" x14ac:dyDescent="0.25">
      <c r="A22" s="1" t="s">
        <v>54</v>
      </c>
      <c r="B22" s="13" t="s">
        <v>55</v>
      </c>
      <c r="C22" s="13"/>
      <c r="D22" s="13">
        <v>4.53</v>
      </c>
      <c r="E22" s="13">
        <v>4.09</v>
      </c>
      <c r="F22" s="13">
        <v>5.09</v>
      </c>
      <c r="G22" s="46">
        <f t="shared" si="2"/>
        <v>8.620000000000001</v>
      </c>
      <c r="H22" s="47"/>
      <c r="I22" s="57">
        <v>1.145</v>
      </c>
      <c r="J22" s="57"/>
      <c r="K22" s="49">
        <f t="shared" si="3"/>
        <v>9.8698999999999995</v>
      </c>
      <c r="L22" s="50">
        <f t="shared" si="4"/>
        <v>38242</v>
      </c>
      <c r="N22" s="51">
        <v>5101</v>
      </c>
      <c r="O22" s="52">
        <v>130</v>
      </c>
      <c r="P22" s="53"/>
      <c r="Q22" s="54"/>
      <c r="V22" s="623" t="s">
        <v>55</v>
      </c>
      <c r="W22" s="623"/>
      <c r="X22" s="618">
        <f>IF('3413'!K$84=1,'3413'!G22,0)</f>
        <v>0</v>
      </c>
      <c r="Y22" s="618"/>
      <c r="Z22" s="624">
        <v>1</v>
      </c>
      <c r="AA22" s="624"/>
      <c r="AB22" s="55">
        <f t="shared" si="0"/>
        <v>0</v>
      </c>
      <c r="AC22" s="56">
        <f t="shared" si="1"/>
        <v>0</v>
      </c>
      <c r="AD22" s="9"/>
    </row>
    <row r="23" spans="1:30" x14ac:dyDescent="0.25">
      <c r="A23" s="1" t="s">
        <v>56</v>
      </c>
      <c r="B23" s="13" t="s">
        <v>57</v>
      </c>
      <c r="C23" s="13"/>
      <c r="D23" s="13">
        <v>0</v>
      </c>
      <c r="E23" s="13">
        <v>0</v>
      </c>
      <c r="F23" s="13">
        <v>0</v>
      </c>
      <c r="G23" s="46">
        <f t="shared" si="2"/>
        <v>0</v>
      </c>
      <c r="H23" s="47"/>
      <c r="I23" s="57">
        <f>I22</f>
        <v>1.145</v>
      </c>
      <c r="J23" s="57"/>
      <c r="K23" s="49">
        <f t="shared" si="3"/>
        <v>0</v>
      </c>
      <c r="L23" s="50">
        <f t="shared" si="4"/>
        <v>0</v>
      </c>
      <c r="N23" s="51">
        <v>5102</v>
      </c>
      <c r="O23" s="52">
        <v>130</v>
      </c>
      <c r="P23" s="53"/>
      <c r="Q23" s="54"/>
      <c r="V23" s="623" t="s">
        <v>57</v>
      </c>
      <c r="W23" s="623"/>
      <c r="X23" s="618">
        <f>IF('3413'!K$84=1,'3413'!G23,0)</f>
        <v>0</v>
      </c>
      <c r="Y23" s="618"/>
      <c r="Z23" s="624">
        <v>1</v>
      </c>
      <c r="AA23" s="624"/>
      <c r="AB23" s="55">
        <f t="shared" si="0"/>
        <v>0</v>
      </c>
      <c r="AC23" s="56">
        <f t="shared" si="1"/>
        <v>0</v>
      </c>
      <c r="AD23" s="9"/>
    </row>
    <row r="24" spans="1:30" x14ac:dyDescent="0.25">
      <c r="A24" s="1" t="s">
        <v>58</v>
      </c>
      <c r="B24" s="13" t="s">
        <v>59</v>
      </c>
      <c r="C24" s="13"/>
      <c r="D24" s="13">
        <v>0</v>
      </c>
      <c r="E24" s="13">
        <v>0</v>
      </c>
      <c r="F24" s="13">
        <v>0</v>
      </c>
      <c r="G24" s="46">
        <f t="shared" si="2"/>
        <v>0</v>
      </c>
      <c r="H24" s="47"/>
      <c r="I24" s="57">
        <f>I23</f>
        <v>1.145</v>
      </c>
      <c r="J24" s="57"/>
      <c r="K24" s="49">
        <f t="shared" si="3"/>
        <v>0</v>
      </c>
      <c r="L24" s="50">
        <f t="shared" si="4"/>
        <v>0</v>
      </c>
      <c r="N24" s="51">
        <v>5103</v>
      </c>
      <c r="O24" s="52">
        <v>130</v>
      </c>
      <c r="P24" s="53"/>
      <c r="Q24" s="54"/>
      <c r="V24" s="623" t="s">
        <v>59</v>
      </c>
      <c r="W24" s="623"/>
      <c r="X24" s="618">
        <f>IF('3413'!K$84=1,'3413'!G24,0)</f>
        <v>0</v>
      </c>
      <c r="Y24" s="618"/>
      <c r="Z24" s="624">
        <v>1</v>
      </c>
      <c r="AA24" s="624"/>
      <c r="AB24" s="55">
        <f t="shared" si="0"/>
        <v>0</v>
      </c>
      <c r="AC24" s="56">
        <f t="shared" si="1"/>
        <v>0</v>
      </c>
      <c r="AD24" s="9"/>
    </row>
    <row r="25" spans="1:30" ht="16.5" thickBot="1" x14ac:dyDescent="0.3">
      <c r="A25" s="1" t="s">
        <v>60</v>
      </c>
      <c r="B25" s="13" t="s">
        <v>61</v>
      </c>
      <c r="C25" s="13"/>
      <c r="D25" s="13">
        <v>0</v>
      </c>
      <c r="E25" s="13">
        <v>0</v>
      </c>
      <c r="F25" s="13">
        <v>0</v>
      </c>
      <c r="G25" s="46">
        <f t="shared" si="2"/>
        <v>0</v>
      </c>
      <c r="H25" s="47"/>
      <c r="I25" s="57">
        <v>1.0109999999999999</v>
      </c>
      <c r="J25" s="57"/>
      <c r="K25" s="49">
        <f t="shared" si="3"/>
        <v>0</v>
      </c>
      <c r="L25" s="50">
        <f t="shared" si="4"/>
        <v>0</v>
      </c>
      <c r="N25" s="51">
        <v>5310</v>
      </c>
      <c r="O25" s="52">
        <v>300</v>
      </c>
      <c r="P25" s="53"/>
      <c r="Q25" s="54"/>
      <c r="V25" s="623" t="s">
        <v>61</v>
      </c>
      <c r="W25" s="623"/>
      <c r="X25" s="618">
        <f>IF('3413'!K$84=1,'3413'!G25,0)</f>
        <v>0</v>
      </c>
      <c r="Y25" s="618"/>
      <c r="Z25" s="624">
        <v>1</v>
      </c>
      <c r="AA25" s="624"/>
      <c r="AB25" s="55">
        <f t="shared" si="0"/>
        <v>0</v>
      </c>
      <c r="AC25" s="56">
        <f t="shared" si="1"/>
        <v>0</v>
      </c>
      <c r="AD25" s="9"/>
    </row>
    <row r="26" spans="1:30" ht="20.25" customHeight="1" thickBot="1" x14ac:dyDescent="0.3">
      <c r="B26" s="62" t="s">
        <v>62</v>
      </c>
      <c r="C26" s="62"/>
      <c r="D26" s="63">
        <f t="shared" ref="D26:E26" si="5">SUM(D10:D25)</f>
        <v>142.82999999999998</v>
      </c>
      <c r="E26" s="63">
        <f t="shared" si="5"/>
        <v>142.14000000000001</v>
      </c>
      <c r="F26" s="63"/>
      <c r="G26" s="63">
        <f>SUM(G10:G25)</f>
        <v>284.97000000000003</v>
      </c>
      <c r="H26" s="64"/>
      <c r="I26" s="64"/>
      <c r="J26" s="65"/>
      <c r="K26" s="66">
        <f>SUM(K10:K25)</f>
        <v>314.13989999999995</v>
      </c>
      <c r="L26" s="67">
        <f>SUM(L10:L25)</f>
        <v>1217174</v>
      </c>
      <c r="N26" s="54"/>
      <c r="O26" s="68"/>
      <c r="P26" s="54"/>
      <c r="Q26" s="54"/>
      <c r="V26" s="625" t="s">
        <v>62</v>
      </c>
      <c r="W26" s="625"/>
      <c r="X26" s="626">
        <f>SUM(X10:X25)</f>
        <v>0</v>
      </c>
      <c r="Y26" s="626"/>
      <c r="Z26" s="627"/>
      <c r="AA26" s="628"/>
      <c r="AB26" s="69">
        <f>SUM(AB10:AB25)</f>
        <v>0</v>
      </c>
      <c r="AC26" s="70">
        <f>SUM(AC10:AC25)</f>
        <v>0</v>
      </c>
      <c r="AD26" s="9"/>
    </row>
    <row r="27" spans="1:30" ht="51.75" customHeight="1" x14ac:dyDescent="0.25">
      <c r="B27" s="62" t="s">
        <v>63</v>
      </c>
      <c r="C27" s="62"/>
      <c r="D27" s="71" t="s">
        <v>13</v>
      </c>
      <c r="E27" s="71" t="s">
        <v>14</v>
      </c>
      <c r="F27" s="27"/>
      <c r="G27" s="72" t="s">
        <v>64</v>
      </c>
      <c r="H27" s="73"/>
      <c r="I27" s="74" t="s">
        <v>65</v>
      </c>
      <c r="J27" s="74" t="s">
        <v>66</v>
      </c>
      <c r="K27" s="75" t="s">
        <v>67</v>
      </c>
      <c r="N27" s="54"/>
      <c r="O27" s="68"/>
      <c r="P27" s="54"/>
      <c r="Q27" s="54"/>
      <c r="V27" s="629" t="s">
        <v>63</v>
      </c>
      <c r="W27" s="629"/>
      <c r="X27" s="630" t="s">
        <v>64</v>
      </c>
      <c r="Y27" s="630"/>
      <c r="Z27" s="76" t="s">
        <v>65</v>
      </c>
      <c r="AA27" s="77" t="s">
        <v>66</v>
      </c>
      <c r="AB27" s="78" t="s">
        <v>67</v>
      </c>
      <c r="AC27" s="9"/>
      <c r="AD27" s="9"/>
    </row>
    <row r="28" spans="1:30" ht="15.75" customHeight="1" x14ac:dyDescent="0.25">
      <c r="A28" s="1" t="s">
        <v>68</v>
      </c>
      <c r="B28" s="631" t="s">
        <v>69</v>
      </c>
      <c r="C28" s="632"/>
      <c r="D28" s="13">
        <v>14.49</v>
      </c>
      <c r="E28" s="13">
        <v>14.07</v>
      </c>
      <c r="F28" s="79">
        <v>12</v>
      </c>
      <c r="G28" s="46">
        <f t="shared" ref="G28:G36" si="6">D28+E28</f>
        <v>28.560000000000002</v>
      </c>
      <c r="H28" s="80"/>
      <c r="I28" s="81" t="s">
        <v>70</v>
      </c>
      <c r="J28" s="82">
        <v>251</v>
      </c>
      <c r="K28" s="83">
        <v>1047</v>
      </c>
      <c r="L28" s="84">
        <f>ROUND(G28*K28,0)</f>
        <v>29902</v>
      </c>
      <c r="N28" s="85">
        <v>5101</v>
      </c>
      <c r="O28" s="54">
        <v>251</v>
      </c>
      <c r="P28" s="86"/>
      <c r="Q28" s="87"/>
      <c r="V28" s="637" t="s">
        <v>69</v>
      </c>
      <c r="W28" s="637"/>
      <c r="X28" s="638"/>
      <c r="Y28" s="638"/>
      <c r="Z28" s="88" t="s">
        <v>70</v>
      </c>
      <c r="AA28" s="89">
        <v>251</v>
      </c>
      <c r="AB28" s="90">
        <f>+K28</f>
        <v>1047</v>
      </c>
      <c r="AC28" s="91">
        <f t="shared" ref="AC28:AC36" si="7">ROUND(X28*AB28,0)</f>
        <v>0</v>
      </c>
      <c r="AD28" s="9"/>
    </row>
    <row r="29" spans="1:30" x14ac:dyDescent="0.25">
      <c r="A29" s="1" t="s">
        <v>71</v>
      </c>
      <c r="B29" s="633"/>
      <c r="C29" s="634"/>
      <c r="D29" s="13">
        <v>0</v>
      </c>
      <c r="E29" s="13">
        <v>0</v>
      </c>
      <c r="F29" s="92">
        <v>0.5</v>
      </c>
      <c r="G29" s="46">
        <f t="shared" si="6"/>
        <v>0</v>
      </c>
      <c r="H29" s="80"/>
      <c r="I29" s="82" t="s">
        <v>70</v>
      </c>
      <c r="J29" s="82">
        <v>252</v>
      </c>
      <c r="K29" s="83">
        <v>3380</v>
      </c>
      <c r="L29" s="84">
        <f t="shared" ref="L29:L36" si="8">ROUND(G29*K29,0)</f>
        <v>0</v>
      </c>
      <c r="N29" s="85">
        <v>5101</v>
      </c>
      <c r="O29" s="54">
        <v>252</v>
      </c>
      <c r="P29" s="86"/>
      <c r="Q29" s="87"/>
      <c r="V29" s="637"/>
      <c r="W29" s="637"/>
      <c r="X29" s="638"/>
      <c r="Y29" s="638"/>
      <c r="Z29" s="89" t="s">
        <v>70</v>
      </c>
      <c r="AA29" s="89">
        <v>252</v>
      </c>
      <c r="AB29" s="90">
        <f t="shared" ref="AB29:AB36" si="9">+K29</f>
        <v>3380</v>
      </c>
      <c r="AC29" s="91">
        <f t="shared" si="7"/>
        <v>0</v>
      </c>
      <c r="AD29" s="9"/>
    </row>
    <row r="30" spans="1:30" x14ac:dyDescent="0.25">
      <c r="A30" s="1" t="s">
        <v>72</v>
      </c>
      <c r="B30" s="633"/>
      <c r="C30" s="634"/>
      <c r="D30" s="13">
        <v>0</v>
      </c>
      <c r="E30" s="13">
        <v>0</v>
      </c>
      <c r="F30" s="92">
        <v>0</v>
      </c>
      <c r="G30" s="46">
        <f t="shared" si="6"/>
        <v>0</v>
      </c>
      <c r="H30" s="80"/>
      <c r="I30" s="82" t="s">
        <v>70</v>
      </c>
      <c r="J30" s="82">
        <v>253</v>
      </c>
      <c r="K30" s="83">
        <v>6896</v>
      </c>
      <c r="L30" s="84">
        <f t="shared" si="8"/>
        <v>0</v>
      </c>
      <c r="N30" s="85">
        <v>5101</v>
      </c>
      <c r="O30" s="54">
        <v>253</v>
      </c>
      <c r="P30" s="86"/>
      <c r="Q30" s="68"/>
      <c r="V30" s="637"/>
      <c r="W30" s="637"/>
      <c r="X30" s="638"/>
      <c r="Y30" s="638"/>
      <c r="Z30" s="89" t="s">
        <v>70</v>
      </c>
      <c r="AA30" s="89">
        <v>253</v>
      </c>
      <c r="AB30" s="90">
        <f t="shared" si="9"/>
        <v>6896</v>
      </c>
      <c r="AC30" s="91">
        <f t="shared" si="7"/>
        <v>0</v>
      </c>
      <c r="AD30" s="9"/>
    </row>
    <row r="31" spans="1:30" x14ac:dyDescent="0.25">
      <c r="A31" s="1" t="s">
        <v>73</v>
      </c>
      <c r="B31" s="633"/>
      <c r="C31" s="634"/>
      <c r="D31" s="13">
        <v>8.51</v>
      </c>
      <c r="E31" s="13">
        <v>7.05</v>
      </c>
      <c r="F31" s="92">
        <v>5.5</v>
      </c>
      <c r="G31" s="46">
        <f t="shared" si="6"/>
        <v>15.559999999999999</v>
      </c>
      <c r="H31" s="80"/>
      <c r="I31" s="93" t="s">
        <v>74</v>
      </c>
      <c r="J31" s="82">
        <v>251</v>
      </c>
      <c r="K31" s="83">
        <v>1173</v>
      </c>
      <c r="L31" s="84">
        <f t="shared" si="8"/>
        <v>18252</v>
      </c>
      <c r="N31" s="85">
        <v>5102</v>
      </c>
      <c r="O31" s="54">
        <v>251</v>
      </c>
      <c r="P31" s="86"/>
      <c r="Q31" s="68"/>
      <c r="V31" s="637"/>
      <c r="W31" s="637"/>
      <c r="X31" s="638"/>
      <c r="Y31" s="638"/>
      <c r="Z31" s="94" t="s">
        <v>74</v>
      </c>
      <c r="AA31" s="89">
        <v>251</v>
      </c>
      <c r="AB31" s="90">
        <f t="shared" si="9"/>
        <v>1173</v>
      </c>
      <c r="AC31" s="91">
        <f t="shared" si="7"/>
        <v>0</v>
      </c>
      <c r="AD31" s="9"/>
    </row>
    <row r="32" spans="1:30" x14ac:dyDescent="0.25">
      <c r="A32" s="1" t="s">
        <v>75</v>
      </c>
      <c r="B32" s="633"/>
      <c r="C32" s="634"/>
      <c r="D32" s="13">
        <v>0</v>
      </c>
      <c r="E32" s="13">
        <v>0</v>
      </c>
      <c r="F32" s="92">
        <v>0.5</v>
      </c>
      <c r="G32" s="46">
        <f t="shared" si="6"/>
        <v>0</v>
      </c>
      <c r="H32" s="80"/>
      <c r="I32" s="93" t="s">
        <v>74</v>
      </c>
      <c r="J32" s="82">
        <v>252</v>
      </c>
      <c r="K32" s="83">
        <v>3506</v>
      </c>
      <c r="L32" s="84">
        <f t="shared" si="8"/>
        <v>0</v>
      </c>
      <c r="N32" s="85">
        <v>5102</v>
      </c>
      <c r="O32" s="54">
        <v>252</v>
      </c>
      <c r="P32" s="86"/>
      <c r="Q32" s="54"/>
      <c r="V32" s="637"/>
      <c r="W32" s="637"/>
      <c r="X32" s="638"/>
      <c r="Y32" s="638"/>
      <c r="Z32" s="94" t="s">
        <v>74</v>
      </c>
      <c r="AA32" s="89">
        <v>252</v>
      </c>
      <c r="AB32" s="90">
        <f t="shared" si="9"/>
        <v>3506</v>
      </c>
      <c r="AC32" s="91">
        <f t="shared" si="7"/>
        <v>0</v>
      </c>
      <c r="AD32" s="9"/>
    </row>
    <row r="33" spans="1:30" x14ac:dyDescent="0.25">
      <c r="A33" s="1" t="s">
        <v>76</v>
      </c>
      <c r="B33" s="633"/>
      <c r="C33" s="634"/>
      <c r="D33" s="13">
        <v>0</v>
      </c>
      <c r="E33" s="13">
        <v>0</v>
      </c>
      <c r="F33" s="92">
        <v>0</v>
      </c>
      <c r="G33" s="46">
        <f t="shared" si="6"/>
        <v>0</v>
      </c>
      <c r="H33" s="80"/>
      <c r="I33" s="93" t="s">
        <v>74</v>
      </c>
      <c r="J33" s="82">
        <v>253</v>
      </c>
      <c r="K33" s="83">
        <v>7023</v>
      </c>
      <c r="L33" s="84">
        <f t="shared" si="8"/>
        <v>0</v>
      </c>
      <c r="N33" s="85">
        <v>5102</v>
      </c>
      <c r="O33" s="54">
        <v>253</v>
      </c>
      <c r="P33" s="86"/>
      <c r="Q33" s="87"/>
      <c r="V33" s="637"/>
      <c r="W33" s="637"/>
      <c r="X33" s="638"/>
      <c r="Y33" s="638"/>
      <c r="Z33" s="94" t="s">
        <v>74</v>
      </c>
      <c r="AA33" s="89">
        <v>253</v>
      </c>
      <c r="AB33" s="90">
        <f t="shared" si="9"/>
        <v>7023</v>
      </c>
      <c r="AC33" s="91">
        <f t="shared" si="7"/>
        <v>0</v>
      </c>
      <c r="AD33" s="9"/>
    </row>
    <row r="34" spans="1:30" x14ac:dyDescent="0.25">
      <c r="A34" s="1" t="s">
        <v>77</v>
      </c>
      <c r="B34" s="633"/>
      <c r="C34" s="634"/>
      <c r="D34" s="13">
        <v>0</v>
      </c>
      <c r="E34" s="13">
        <v>0</v>
      </c>
      <c r="F34" s="92">
        <v>0</v>
      </c>
      <c r="G34" s="46">
        <f t="shared" si="6"/>
        <v>0</v>
      </c>
      <c r="H34" s="80"/>
      <c r="I34" s="93" t="s">
        <v>78</v>
      </c>
      <c r="J34" s="82">
        <v>251</v>
      </c>
      <c r="K34" s="83">
        <v>835</v>
      </c>
      <c r="L34" s="84">
        <f t="shared" si="8"/>
        <v>0</v>
      </c>
      <c r="N34" s="85">
        <v>5103</v>
      </c>
      <c r="O34" s="54">
        <v>251</v>
      </c>
      <c r="P34" s="86"/>
      <c r="Q34" s="87"/>
      <c r="V34" s="637"/>
      <c r="W34" s="637"/>
      <c r="X34" s="638"/>
      <c r="Y34" s="638"/>
      <c r="Z34" s="94" t="s">
        <v>78</v>
      </c>
      <c r="AA34" s="89">
        <v>251</v>
      </c>
      <c r="AB34" s="90">
        <f t="shared" si="9"/>
        <v>835</v>
      </c>
      <c r="AC34" s="91">
        <f t="shared" si="7"/>
        <v>0</v>
      </c>
      <c r="AD34" s="9"/>
    </row>
    <row r="35" spans="1:30" x14ac:dyDescent="0.25">
      <c r="A35" s="1" t="s">
        <v>79</v>
      </c>
      <c r="B35" s="633"/>
      <c r="C35" s="634"/>
      <c r="D35" s="13">
        <v>0</v>
      </c>
      <c r="E35" s="13">
        <v>0</v>
      </c>
      <c r="F35" s="92">
        <v>0</v>
      </c>
      <c r="G35" s="46">
        <f t="shared" si="6"/>
        <v>0</v>
      </c>
      <c r="H35" s="80"/>
      <c r="I35" s="93" t="s">
        <v>78</v>
      </c>
      <c r="J35" s="82">
        <v>252</v>
      </c>
      <c r="K35" s="83">
        <v>3168</v>
      </c>
      <c r="L35" s="84">
        <f t="shared" si="8"/>
        <v>0</v>
      </c>
      <c r="N35" s="85">
        <v>5103</v>
      </c>
      <c r="O35" s="54">
        <v>252</v>
      </c>
      <c r="P35" s="86"/>
      <c r="Q35" s="95"/>
      <c r="V35" s="637"/>
      <c r="W35" s="637"/>
      <c r="X35" s="638"/>
      <c r="Y35" s="638"/>
      <c r="Z35" s="94" t="s">
        <v>78</v>
      </c>
      <c r="AA35" s="89">
        <v>252</v>
      </c>
      <c r="AB35" s="90">
        <f t="shared" si="9"/>
        <v>3168</v>
      </c>
      <c r="AC35" s="91">
        <f t="shared" si="7"/>
        <v>0</v>
      </c>
      <c r="AD35" s="9"/>
    </row>
    <row r="36" spans="1:30" ht="16.5" thickBot="1" x14ac:dyDescent="0.3">
      <c r="A36" s="1" t="s">
        <v>80</v>
      </c>
      <c r="B36" s="635"/>
      <c r="C36" s="636"/>
      <c r="D36" s="13">
        <v>0</v>
      </c>
      <c r="E36" s="13">
        <v>0</v>
      </c>
      <c r="F36" s="92">
        <v>0</v>
      </c>
      <c r="G36" s="46">
        <f t="shared" si="6"/>
        <v>0</v>
      </c>
      <c r="H36" s="80"/>
      <c r="I36" s="93" t="s">
        <v>78</v>
      </c>
      <c r="J36" s="82">
        <v>253</v>
      </c>
      <c r="K36" s="83">
        <v>6685</v>
      </c>
      <c r="L36" s="96">
        <f t="shared" si="8"/>
        <v>0</v>
      </c>
      <c r="N36" s="85">
        <v>5103</v>
      </c>
      <c r="O36" s="54">
        <v>253</v>
      </c>
      <c r="P36" s="86"/>
      <c r="Q36" s="97"/>
      <c r="V36" s="637"/>
      <c r="W36" s="637"/>
      <c r="X36" s="645"/>
      <c r="Y36" s="645"/>
      <c r="Z36" s="94" t="s">
        <v>78</v>
      </c>
      <c r="AA36" s="89">
        <v>253</v>
      </c>
      <c r="AB36" s="90">
        <f t="shared" si="9"/>
        <v>6685</v>
      </c>
      <c r="AC36" s="98">
        <f t="shared" si="7"/>
        <v>0</v>
      </c>
      <c r="AD36" s="9"/>
    </row>
    <row r="37" spans="1:30" ht="18.75" customHeight="1" x14ac:dyDescent="0.25">
      <c r="B37" s="13" t="s">
        <v>81</v>
      </c>
      <c r="C37" s="13"/>
      <c r="D37" s="63">
        <f t="shared" ref="D37:E37" si="10">SUM(D28:D36)</f>
        <v>23</v>
      </c>
      <c r="E37" s="63">
        <f t="shared" si="10"/>
        <v>21.12</v>
      </c>
      <c r="F37" s="63"/>
      <c r="G37" s="63">
        <f>SUM(G28:G36)</f>
        <v>44.120000000000005</v>
      </c>
      <c r="H37" s="64"/>
      <c r="I37" s="13" t="s">
        <v>82</v>
      </c>
      <c r="J37" s="13"/>
      <c r="K37" s="13"/>
      <c r="L37" s="50">
        <f>SUM(L28:L36)</f>
        <v>48154</v>
      </c>
      <c r="N37" s="54"/>
      <c r="O37" s="68"/>
      <c r="P37" s="54"/>
      <c r="Q37" s="54"/>
      <c r="V37" s="646" t="s">
        <v>81</v>
      </c>
      <c r="W37" s="646"/>
      <c r="X37" s="626">
        <f>SUM(X28:X36)</f>
        <v>0</v>
      </c>
      <c r="Y37" s="626"/>
      <c r="Z37" s="646" t="s">
        <v>82</v>
      </c>
      <c r="AA37" s="646"/>
      <c r="AB37" s="646"/>
      <c r="AC37" s="56">
        <f>SUM(AC28:AC36)</f>
        <v>0</v>
      </c>
      <c r="AD37" s="9"/>
    </row>
    <row r="38" spans="1:30" ht="30.75" customHeight="1" x14ac:dyDescent="0.25">
      <c r="B38" s="99" t="s">
        <v>83</v>
      </c>
      <c r="C38" s="99"/>
      <c r="D38" s="99"/>
      <c r="E38" s="99"/>
      <c r="F38" s="99"/>
      <c r="G38" s="99"/>
      <c r="H38" s="100"/>
      <c r="I38" s="99"/>
      <c r="J38" s="99"/>
      <c r="K38" s="99"/>
      <c r="L38" s="99"/>
      <c r="M38" s="101"/>
      <c r="N38" s="54"/>
      <c r="O38" s="68"/>
      <c r="P38" s="54"/>
      <c r="Q38" s="54"/>
      <c r="V38" s="639" t="s">
        <v>83</v>
      </c>
      <c r="W38" s="639"/>
      <c r="X38" s="639"/>
      <c r="Y38" s="639"/>
      <c r="Z38" s="639"/>
      <c r="AA38" s="639"/>
      <c r="AB38" s="639"/>
      <c r="AC38" s="639"/>
      <c r="AD38" s="102"/>
    </row>
    <row r="39" spans="1:30" ht="15.75" customHeight="1" x14ac:dyDescent="0.25">
      <c r="B39" s="103" t="s">
        <v>84</v>
      </c>
      <c r="C39" s="103"/>
      <c r="D39" s="103"/>
      <c r="E39" s="103"/>
      <c r="F39" s="103"/>
      <c r="G39" s="104">
        <v>34389540</v>
      </c>
      <c r="H39" s="104"/>
      <c r="I39" s="13" t="s">
        <v>85</v>
      </c>
      <c r="J39" s="13"/>
      <c r="K39" s="13"/>
      <c r="L39" s="13"/>
      <c r="O39" s="1"/>
      <c r="V39" s="640" t="s">
        <v>84</v>
      </c>
      <c r="W39" s="640"/>
      <c r="X39" s="641">
        <f>+G39</f>
        <v>34389540</v>
      </c>
      <c r="Y39" s="641"/>
      <c r="Z39" s="642" t="s">
        <v>85</v>
      </c>
      <c r="AA39" s="642"/>
      <c r="AB39" s="642"/>
      <c r="AC39" s="642"/>
      <c r="AD39" s="9"/>
    </row>
    <row r="40" spans="1:30" ht="15.75" customHeight="1" x14ac:dyDescent="0.25">
      <c r="B40" s="105" t="s">
        <v>86</v>
      </c>
      <c r="C40" s="105"/>
      <c r="D40" s="105"/>
      <c r="E40" s="105"/>
      <c r="F40" s="105"/>
      <c r="G40" s="106">
        <v>180284.81</v>
      </c>
      <c r="H40" s="106"/>
      <c r="I40" s="106"/>
      <c r="J40" s="106"/>
      <c r="K40" s="50">
        <f>ROUND(G39/G40,0)</f>
        <v>191</v>
      </c>
      <c r="L40" s="50">
        <f>ROUND(K40*$G$26,0)</f>
        <v>54429</v>
      </c>
      <c r="N40" s="107"/>
      <c r="O40" s="107"/>
      <c r="P40" s="107"/>
      <c r="Q40" s="107"/>
      <c r="V40" s="643" t="s">
        <v>86</v>
      </c>
      <c r="W40" s="643"/>
      <c r="X40" s="644">
        <f>+G40</f>
        <v>180284.81</v>
      </c>
      <c r="Y40" s="644"/>
      <c r="Z40" s="644"/>
      <c r="AA40" s="644"/>
      <c r="AB40" s="56">
        <f>ROUND(X39/X40,0)</f>
        <v>191</v>
      </c>
      <c r="AC40" s="56">
        <f>ROUND(AB40*$X$26,0)</f>
        <v>0</v>
      </c>
      <c r="AD40" s="9"/>
    </row>
    <row r="41" spans="1:30" ht="15.75" customHeight="1" x14ac:dyDescent="0.25">
      <c r="B41" s="108" t="s">
        <v>87</v>
      </c>
      <c r="C41" s="108"/>
      <c r="D41" s="108"/>
      <c r="E41" s="108"/>
      <c r="F41" s="108"/>
      <c r="G41" s="108"/>
      <c r="H41" s="108"/>
      <c r="I41" s="108"/>
      <c r="J41" s="108"/>
      <c r="K41" s="108"/>
      <c r="L41" s="108"/>
      <c r="N41" s="101"/>
      <c r="O41" s="109"/>
      <c r="P41" s="101"/>
      <c r="Q41" s="101"/>
      <c r="V41" s="652" t="s">
        <v>87</v>
      </c>
      <c r="W41" s="652"/>
      <c r="X41" s="652"/>
      <c r="Y41" s="652"/>
      <c r="Z41" s="652"/>
      <c r="AA41" s="652"/>
      <c r="AB41" s="652"/>
      <c r="AC41" s="652"/>
      <c r="AD41" s="9"/>
    </row>
    <row r="42" spans="1:30" ht="28.5" customHeight="1" x14ac:dyDescent="0.25">
      <c r="B42" s="99" t="s">
        <v>88</v>
      </c>
      <c r="C42" s="99"/>
      <c r="D42" s="99"/>
      <c r="E42" s="99"/>
      <c r="F42" s="99"/>
      <c r="G42" s="99"/>
      <c r="H42" s="99"/>
      <c r="I42" s="99"/>
      <c r="J42" s="99"/>
      <c r="K42" s="99"/>
      <c r="L42" s="99"/>
      <c r="M42" s="107"/>
      <c r="O42" s="1"/>
      <c r="V42" s="639" t="s">
        <v>88</v>
      </c>
      <c r="W42" s="639"/>
      <c r="X42" s="639"/>
      <c r="Y42" s="639"/>
      <c r="Z42" s="639"/>
      <c r="AA42" s="639"/>
      <c r="AB42" s="639"/>
      <c r="AC42" s="639"/>
      <c r="AD42" s="110"/>
    </row>
    <row r="43" spans="1:30" x14ac:dyDescent="0.25">
      <c r="B43" s="111" t="s">
        <v>89</v>
      </c>
      <c r="C43" s="111"/>
      <c r="D43" s="111"/>
      <c r="E43" s="111"/>
      <c r="F43" s="111"/>
      <c r="G43" s="111"/>
      <c r="H43" s="111"/>
      <c r="I43" s="111"/>
      <c r="J43" s="111"/>
      <c r="K43" s="111"/>
      <c r="L43" s="111"/>
      <c r="M43" s="112"/>
      <c r="N43" s="101"/>
      <c r="O43" s="101"/>
      <c r="P43" s="101"/>
      <c r="Q43" s="101"/>
      <c r="V43" s="653" t="s">
        <v>89</v>
      </c>
      <c r="W43" s="653"/>
      <c r="X43" s="653"/>
      <c r="Y43" s="653"/>
      <c r="Z43" s="653"/>
      <c r="AA43" s="653"/>
      <c r="AB43" s="653"/>
      <c r="AC43" s="653"/>
      <c r="AD43" s="113"/>
    </row>
    <row r="44" spans="1:30" ht="24" customHeight="1" x14ac:dyDescent="0.25">
      <c r="B44" s="62" t="s">
        <v>90</v>
      </c>
      <c r="C44" s="62"/>
      <c r="D44" s="62"/>
      <c r="E44" s="62"/>
      <c r="F44" s="62"/>
      <c r="G44" s="62"/>
      <c r="H44" s="62"/>
      <c r="I44" s="62"/>
      <c r="J44" s="62"/>
      <c r="K44" s="62"/>
      <c r="L44" s="114">
        <f>SUM(L26,L37,L40)</f>
        <v>1319757</v>
      </c>
      <c r="O44" s="1"/>
      <c r="V44" s="654" t="s">
        <v>90</v>
      </c>
      <c r="W44" s="654"/>
      <c r="X44" s="654"/>
      <c r="Y44" s="654"/>
      <c r="Z44" s="654"/>
      <c r="AA44" s="654"/>
      <c r="AB44" s="654"/>
      <c r="AC44" s="115">
        <f>SUM(AC26,AC37,AC40)</f>
        <v>0</v>
      </c>
      <c r="AD44" s="9"/>
    </row>
    <row r="45" spans="1:30" ht="30.75" customHeight="1" x14ac:dyDescent="0.25">
      <c r="B45" s="99" t="s">
        <v>91</v>
      </c>
      <c r="C45" s="99"/>
      <c r="D45" s="99"/>
      <c r="E45" s="99"/>
      <c r="F45" s="99"/>
      <c r="G45" s="99"/>
      <c r="H45" s="99"/>
      <c r="I45" s="99"/>
      <c r="J45" s="99"/>
      <c r="K45" s="99"/>
      <c r="L45" s="99"/>
      <c r="M45" s="116"/>
      <c r="O45" s="1"/>
      <c r="V45" s="639" t="s">
        <v>91</v>
      </c>
      <c r="W45" s="639"/>
      <c r="X45" s="639"/>
      <c r="Y45" s="639"/>
      <c r="Z45" s="639"/>
      <c r="AA45" s="639"/>
      <c r="AB45" s="639"/>
      <c r="AC45" s="639"/>
      <c r="AD45" s="117"/>
    </row>
    <row r="46" spans="1:30" ht="18.75" customHeight="1" x14ac:dyDescent="0.25">
      <c r="B46" s="1"/>
      <c r="C46" s="118" t="s">
        <v>92</v>
      </c>
      <c r="D46" s="118"/>
      <c r="E46" s="118"/>
      <c r="F46" s="118"/>
      <c r="G46" s="118" t="s">
        <v>93</v>
      </c>
      <c r="H46" s="119"/>
      <c r="I46" s="120" t="s">
        <v>94</v>
      </c>
      <c r="J46" s="121"/>
      <c r="K46" s="121"/>
      <c r="L46" s="121"/>
      <c r="M46" s="122"/>
      <c r="O46" s="1"/>
      <c r="V46" s="9"/>
      <c r="W46" s="123" t="s">
        <v>92</v>
      </c>
      <c r="X46" s="655" t="s">
        <v>95</v>
      </c>
      <c r="Y46" s="655"/>
      <c r="Z46" s="656" t="s">
        <v>94</v>
      </c>
      <c r="AA46" s="656"/>
      <c r="AB46" s="656"/>
      <c r="AC46" s="656"/>
      <c r="AD46" s="124"/>
    </row>
    <row r="47" spans="1:30" ht="18.75" customHeight="1" x14ac:dyDescent="0.25">
      <c r="B47" s="107" t="s">
        <v>96</v>
      </c>
      <c r="C47" s="125">
        <f>K10+K11+K16+K19+K22</f>
        <v>261.1499</v>
      </c>
      <c r="D47" s="125"/>
      <c r="E47" s="125"/>
      <c r="F47" s="125"/>
      <c r="G47" s="126">
        <f>K7</f>
        <v>1.0326</v>
      </c>
      <c r="H47" s="126"/>
      <c r="I47" s="127">
        <v>1316.85</v>
      </c>
      <c r="J47" s="128" t="s">
        <v>97</v>
      </c>
      <c r="K47" s="129">
        <f>ROUND(C47*G47*I47,0)</f>
        <v>355106</v>
      </c>
      <c r="L47" s="130"/>
      <c r="O47" s="1"/>
      <c r="V47" s="110" t="s">
        <v>96</v>
      </c>
      <c r="W47" s="131">
        <f>AB10+AB11+AB16+AB19+AB22</f>
        <v>0</v>
      </c>
      <c r="X47" s="647">
        <f>AB7</f>
        <v>1.0326</v>
      </c>
      <c r="Y47" s="647"/>
      <c r="Z47" s="132">
        <f>+I47</f>
        <v>1316.85</v>
      </c>
      <c r="AA47" s="133" t="s">
        <v>97</v>
      </c>
      <c r="AB47" s="134">
        <f>ROUND(W47*X47*Z47,0)</f>
        <v>0</v>
      </c>
      <c r="AC47" s="135"/>
      <c r="AD47" s="9"/>
    </row>
    <row r="48" spans="1:30" ht="18" customHeight="1" x14ac:dyDescent="0.25">
      <c r="B48" s="136" t="s">
        <v>74</v>
      </c>
      <c r="C48" s="125">
        <f>K12+K13+K17+K20+K23</f>
        <v>52.99</v>
      </c>
      <c r="D48" s="125"/>
      <c r="E48" s="125"/>
      <c r="F48" s="125"/>
      <c r="G48" s="126">
        <f>K7</f>
        <v>1.0326</v>
      </c>
      <c r="H48" s="126"/>
      <c r="I48" s="127">
        <v>898.23</v>
      </c>
      <c r="J48" s="128" t="s">
        <v>97</v>
      </c>
      <c r="K48" s="129">
        <f>ROUND(C48*G48*I48,0)</f>
        <v>49149</v>
      </c>
      <c r="L48" s="62"/>
      <c r="O48" s="1"/>
      <c r="V48" s="137" t="s">
        <v>74</v>
      </c>
      <c r="W48" s="131">
        <f>AB12+AB13+AB17+AB20+AB23</f>
        <v>0</v>
      </c>
      <c r="X48" s="647">
        <f>AB7</f>
        <v>1.0326</v>
      </c>
      <c r="Y48" s="647"/>
      <c r="Z48" s="132">
        <f>+I48</f>
        <v>898.23</v>
      </c>
      <c r="AA48" s="133" t="s">
        <v>97</v>
      </c>
      <c r="AB48" s="134">
        <f>ROUND(W48*X48*Z48,0)</f>
        <v>0</v>
      </c>
      <c r="AC48" s="138"/>
      <c r="AD48" s="9"/>
    </row>
    <row r="49" spans="2:30" ht="19.5" customHeight="1" thickBot="1" x14ac:dyDescent="0.3">
      <c r="B49" s="139" t="s">
        <v>78</v>
      </c>
      <c r="C49" s="140">
        <f>K14+K15+K18+K21+K24+K25</f>
        <v>0</v>
      </c>
      <c r="D49" s="125"/>
      <c r="E49" s="125"/>
      <c r="F49" s="125"/>
      <c r="G49" s="126">
        <f>K7</f>
        <v>1.0326</v>
      </c>
      <c r="H49" s="126"/>
      <c r="I49" s="127">
        <v>900.39</v>
      </c>
      <c r="J49" s="128" t="s">
        <v>97</v>
      </c>
      <c r="K49" s="129">
        <f>ROUND(C49*G49*I49,0)</f>
        <v>0</v>
      </c>
      <c r="L49" s="62"/>
      <c r="M49" s="112"/>
      <c r="N49" s="141"/>
      <c r="O49" s="142"/>
      <c r="P49" s="101"/>
      <c r="Q49" s="143"/>
      <c r="V49" s="144" t="s">
        <v>78</v>
      </c>
      <c r="W49" s="145">
        <f>AB14+AB15+AB18+AB21+AB24+AB25</f>
        <v>0</v>
      </c>
      <c r="X49" s="647">
        <f>AB7</f>
        <v>1.0326</v>
      </c>
      <c r="Y49" s="647"/>
      <c r="Z49" s="132">
        <f>+I49</f>
        <v>900.39</v>
      </c>
      <c r="AA49" s="133" t="s">
        <v>97</v>
      </c>
      <c r="AB49" s="134">
        <f>ROUND(W49*X49*Z49,0)</f>
        <v>0</v>
      </c>
      <c r="AC49" s="138"/>
      <c r="AD49" s="113"/>
    </row>
    <row r="50" spans="2:30" ht="24" customHeight="1" thickBot="1" x14ac:dyDescent="0.3">
      <c r="B50" s="146" t="s">
        <v>98</v>
      </c>
      <c r="C50" s="147">
        <f>SUM(C47:C49)</f>
        <v>314.13990000000001</v>
      </c>
      <c r="D50" s="148"/>
      <c r="E50" s="149"/>
      <c r="F50" s="149"/>
      <c r="G50" s="150" t="s">
        <v>99</v>
      </c>
      <c r="H50" s="150"/>
      <c r="I50" s="150"/>
      <c r="J50" s="150"/>
      <c r="K50" s="150"/>
      <c r="L50" s="50">
        <f>IF(B2=75,0,K49+K48+K47)</f>
        <v>404255</v>
      </c>
      <c r="N50" s="3"/>
      <c r="O50" s="1"/>
      <c r="V50" s="151" t="s">
        <v>98</v>
      </c>
      <c r="W50" s="152">
        <f>SUM(W47:W49)</f>
        <v>0</v>
      </c>
      <c r="X50" s="648" t="s">
        <v>99</v>
      </c>
      <c r="Y50" s="649"/>
      <c r="Z50" s="649"/>
      <c r="AA50" s="649"/>
      <c r="AB50" s="649"/>
      <c r="AC50" s="56">
        <f>IF(V2=75,0,AB49+AB48+AB47)</f>
        <v>0</v>
      </c>
      <c r="AD50" s="9"/>
    </row>
    <row r="51" spans="2:30" ht="19.5" customHeight="1" x14ac:dyDescent="0.25">
      <c r="B51" s="153" t="s">
        <v>100</v>
      </c>
      <c r="C51" s="153"/>
      <c r="D51" s="153"/>
      <c r="E51" s="153"/>
      <c r="F51" s="153"/>
      <c r="G51" s="153"/>
      <c r="H51" s="153"/>
      <c r="I51" s="153"/>
      <c r="J51" s="153"/>
      <c r="K51" s="153"/>
      <c r="L51" s="153"/>
      <c r="M51" s="141"/>
      <c r="N51" s="101"/>
      <c r="O51" s="1"/>
      <c r="V51" s="650" t="s">
        <v>100</v>
      </c>
      <c r="W51" s="650"/>
      <c r="X51" s="650"/>
      <c r="Y51" s="650"/>
      <c r="Z51" s="650"/>
      <c r="AA51" s="650"/>
      <c r="AB51" s="650"/>
      <c r="AC51" s="650"/>
      <c r="AD51" s="154"/>
    </row>
    <row r="52" spans="2:30" ht="27.75" customHeight="1" x14ac:dyDescent="0.25">
      <c r="B52" s="13" t="s">
        <v>101</v>
      </c>
      <c r="C52" s="13"/>
      <c r="D52" s="13"/>
      <c r="E52" s="13"/>
      <c r="F52" s="13"/>
      <c r="G52" s="13"/>
      <c r="H52" s="13"/>
      <c r="I52" s="13"/>
      <c r="J52" s="13"/>
      <c r="K52" s="13"/>
      <c r="L52" s="13"/>
      <c r="O52" s="1"/>
      <c r="V52" s="651" t="s">
        <v>101</v>
      </c>
      <c r="W52" s="651"/>
      <c r="X52" s="651"/>
      <c r="Y52" s="651"/>
      <c r="Z52" s="651"/>
      <c r="AA52" s="651"/>
      <c r="AB52" s="651"/>
      <c r="AC52" s="651"/>
      <c r="AD52" s="9"/>
    </row>
    <row r="53" spans="2:30" x14ac:dyDescent="0.25">
      <c r="B53" s="13" t="s">
        <v>102</v>
      </c>
      <c r="C53" s="13"/>
      <c r="D53" s="13"/>
      <c r="E53" s="13"/>
      <c r="F53" s="13"/>
      <c r="G53" s="155">
        <f>K26</f>
        <v>314.13989999999995</v>
      </c>
      <c r="H53" s="57" t="s">
        <v>103</v>
      </c>
      <c r="I53" s="57"/>
      <c r="J53" s="156">
        <v>197823.77</v>
      </c>
      <c r="K53" s="156"/>
      <c r="L53" s="156"/>
      <c r="N53" s="3"/>
      <c r="O53" s="1"/>
      <c r="V53" s="657" t="s">
        <v>102</v>
      </c>
      <c r="W53" s="657"/>
      <c r="X53" s="157">
        <f>AB26</f>
        <v>0</v>
      </c>
      <c r="Y53" s="658" t="s">
        <v>103</v>
      </c>
      <c r="Z53" s="658"/>
      <c r="AA53" s="659">
        <f>+J53</f>
        <v>197823.77</v>
      </c>
      <c r="AB53" s="659"/>
      <c r="AC53" s="659"/>
      <c r="AD53" s="9"/>
    </row>
    <row r="54" spans="2:30" x14ac:dyDescent="0.25">
      <c r="B54" s="13" t="s">
        <v>104</v>
      </c>
      <c r="C54" s="13"/>
      <c r="D54" s="13"/>
      <c r="E54" s="13"/>
      <c r="F54" s="13"/>
      <c r="G54" s="13"/>
      <c r="H54" s="13"/>
      <c r="I54" s="13"/>
      <c r="J54" s="13"/>
      <c r="K54" s="158">
        <f>ROUND(G53/J53,6)</f>
        <v>1.588E-3</v>
      </c>
      <c r="L54" s="158"/>
      <c r="N54" s="101"/>
      <c r="O54" s="1"/>
      <c r="V54" s="657" t="s">
        <v>104</v>
      </c>
      <c r="W54" s="657"/>
      <c r="X54" s="657"/>
      <c r="Y54" s="657"/>
      <c r="Z54" s="657"/>
      <c r="AA54" s="657"/>
      <c r="AB54" s="660">
        <f>ROUND(X53/AA53,6)</f>
        <v>0</v>
      </c>
      <c r="AC54" s="660"/>
      <c r="AD54" s="9"/>
    </row>
    <row r="55" spans="2:30" ht="24" customHeight="1" x14ac:dyDescent="0.25">
      <c r="B55" s="13" t="s">
        <v>105</v>
      </c>
      <c r="C55" s="13"/>
      <c r="D55" s="13"/>
      <c r="E55" s="13"/>
      <c r="F55" s="13"/>
      <c r="G55" s="13"/>
      <c r="H55" s="13"/>
      <c r="I55" s="13"/>
      <c r="J55" s="13"/>
      <c r="K55" s="13"/>
      <c r="L55" s="13"/>
      <c r="O55" s="1"/>
      <c r="V55" s="651" t="s">
        <v>105</v>
      </c>
      <c r="W55" s="651"/>
      <c r="X55" s="651"/>
      <c r="Y55" s="651"/>
      <c r="Z55" s="651"/>
      <c r="AA55" s="651"/>
      <c r="AB55" s="651"/>
      <c r="AC55" s="651"/>
      <c r="AD55" s="9"/>
    </row>
    <row r="56" spans="2:30" x14ac:dyDescent="0.25">
      <c r="B56" s="13" t="s">
        <v>106</v>
      </c>
      <c r="C56" s="13"/>
      <c r="D56" s="13"/>
      <c r="E56" s="13"/>
      <c r="F56" s="13"/>
      <c r="G56" s="159">
        <f>G26</f>
        <v>284.97000000000003</v>
      </c>
      <c r="H56" s="57" t="s">
        <v>107</v>
      </c>
      <c r="I56" s="57"/>
      <c r="J56" s="156">
        <f>+G40</f>
        <v>180284.81</v>
      </c>
      <c r="K56" s="156"/>
      <c r="L56" s="156"/>
      <c r="O56" s="1"/>
      <c r="V56" s="657" t="s">
        <v>106</v>
      </c>
      <c r="W56" s="657"/>
      <c r="X56" s="160">
        <f>X26</f>
        <v>0</v>
      </c>
      <c r="Y56" s="658" t="s">
        <v>107</v>
      </c>
      <c r="Z56" s="658"/>
      <c r="AA56" s="659">
        <f>+J56</f>
        <v>180284.81</v>
      </c>
      <c r="AB56" s="659"/>
      <c r="AC56" s="659"/>
      <c r="AD56" s="9"/>
    </row>
    <row r="57" spans="2:30" x14ac:dyDescent="0.25">
      <c r="B57" s="13" t="s">
        <v>108</v>
      </c>
      <c r="C57" s="13"/>
      <c r="D57" s="13"/>
      <c r="E57" s="13"/>
      <c r="F57" s="13"/>
      <c r="G57" s="13"/>
      <c r="H57" s="13"/>
      <c r="I57" s="13"/>
      <c r="J57" s="13"/>
      <c r="K57" s="158">
        <f>ROUND(G56/J56,6)</f>
        <v>1.5809999999999999E-3</v>
      </c>
      <c r="L57" s="158"/>
      <c r="O57" s="1"/>
      <c r="V57" s="657" t="s">
        <v>108</v>
      </c>
      <c r="W57" s="657"/>
      <c r="X57" s="657"/>
      <c r="Y57" s="657"/>
      <c r="Z57" s="657"/>
      <c r="AA57" s="657"/>
      <c r="AB57" s="660">
        <f>ROUND(X56/AA56,6)</f>
        <v>0</v>
      </c>
      <c r="AC57" s="660"/>
      <c r="AD57" s="9"/>
    </row>
    <row r="58" spans="2:30" ht="20.25" customHeight="1" x14ac:dyDescent="0.25">
      <c r="B58" s="161" t="s">
        <v>109</v>
      </c>
      <c r="C58" s="161"/>
      <c r="D58" s="161"/>
      <c r="E58" s="161"/>
      <c r="F58" s="161"/>
      <c r="G58" s="161"/>
      <c r="H58" s="161"/>
      <c r="I58" s="161"/>
      <c r="J58" s="161"/>
      <c r="K58" s="161"/>
      <c r="L58" s="161"/>
      <c r="N58" s="18"/>
      <c r="O58" s="18"/>
      <c r="V58" s="629" t="s">
        <v>110</v>
      </c>
      <c r="W58" s="629"/>
      <c r="X58" s="629"/>
      <c r="Y58" s="661">
        <f>X65+X64+X62+X61+X60</f>
        <v>4123852</v>
      </c>
      <c r="Z58" s="661"/>
      <c r="AA58" s="162" t="s">
        <v>111</v>
      </c>
      <c r="AB58" s="163">
        <f>AB54</f>
        <v>0</v>
      </c>
      <c r="AC58" s="56">
        <f>ROUND(Y58*AB58,0)</f>
        <v>0</v>
      </c>
      <c r="AD58" s="9"/>
    </row>
    <row r="59" spans="2:30" x14ac:dyDescent="0.25">
      <c r="B59" s="62" t="s">
        <v>110</v>
      </c>
      <c r="C59" s="62"/>
      <c r="D59" s="62"/>
      <c r="E59" s="62"/>
      <c r="F59" s="62"/>
      <c r="G59" s="62"/>
      <c r="H59" s="164" t="s">
        <v>22</v>
      </c>
      <c r="I59" s="129">
        <v>4123852</v>
      </c>
      <c r="J59" s="165" t="s">
        <v>111</v>
      </c>
      <c r="K59" s="166">
        <f>K54</f>
        <v>1.588E-3</v>
      </c>
      <c r="L59" s="50">
        <f>ROUND(I59*K59,0)</f>
        <v>6549</v>
      </c>
      <c r="O59" s="1"/>
      <c r="P59" s="165"/>
      <c r="Q59" s="165"/>
      <c r="V59" s="662" t="s">
        <v>112</v>
      </c>
      <c r="W59" s="662"/>
      <c r="X59" s="662"/>
      <c r="Y59" s="662"/>
      <c r="Z59" s="662"/>
      <c r="AA59" s="662"/>
      <c r="AB59" s="662"/>
      <c r="AC59" s="662"/>
      <c r="AD59" s="9"/>
    </row>
    <row r="60" spans="2:30" x14ac:dyDescent="0.25">
      <c r="B60" s="62" t="s">
        <v>112</v>
      </c>
      <c r="C60" s="62"/>
      <c r="D60" s="62"/>
      <c r="E60" s="62"/>
      <c r="F60" s="62"/>
      <c r="G60" s="62"/>
      <c r="H60" s="62"/>
      <c r="I60" s="62"/>
      <c r="J60" s="62"/>
      <c r="K60" s="62"/>
      <c r="L60" s="62"/>
      <c r="O60" s="1"/>
      <c r="P60" s="165"/>
      <c r="Q60" s="165"/>
      <c r="V60" s="663" t="s">
        <v>113</v>
      </c>
      <c r="W60" s="663"/>
      <c r="X60" s="664">
        <f>+G61</f>
        <v>0</v>
      </c>
      <c r="Y60" s="664"/>
      <c r="Z60" s="664"/>
      <c r="AA60" s="664"/>
      <c r="AB60" s="664"/>
      <c r="AC60" s="664"/>
      <c r="AD60" s="9"/>
    </row>
    <row r="61" spans="2:30" ht="15" customHeight="1" x14ac:dyDescent="0.25">
      <c r="B61" s="167" t="s">
        <v>113</v>
      </c>
      <c r="C61" s="62"/>
      <c r="D61" s="62"/>
      <c r="E61" s="62"/>
      <c r="F61" s="62"/>
      <c r="G61" s="168">
        <v>0</v>
      </c>
      <c r="H61" s="168"/>
      <c r="I61" s="168"/>
      <c r="J61" s="168"/>
      <c r="K61" s="168"/>
      <c r="L61" s="168"/>
      <c r="O61" s="1"/>
      <c r="P61" s="165"/>
      <c r="Q61" s="165"/>
      <c r="V61" s="663" t="s">
        <v>114</v>
      </c>
      <c r="W61" s="663"/>
      <c r="X61" s="664">
        <f>+G62</f>
        <v>0</v>
      </c>
      <c r="Y61" s="664"/>
      <c r="Z61" s="664"/>
      <c r="AA61" s="664"/>
      <c r="AB61" s="664"/>
      <c r="AC61" s="664"/>
      <c r="AD61" s="9"/>
    </row>
    <row r="62" spans="2:30" ht="13.5" customHeight="1" x14ac:dyDescent="0.25">
      <c r="B62" s="167" t="s">
        <v>114</v>
      </c>
      <c r="C62" s="62"/>
      <c r="D62" s="62"/>
      <c r="E62" s="62"/>
      <c r="F62" s="62"/>
      <c r="G62" s="168">
        <v>0</v>
      </c>
      <c r="H62" s="168"/>
      <c r="I62" s="168"/>
      <c r="J62" s="168"/>
      <c r="K62" s="168"/>
      <c r="L62" s="168"/>
      <c r="N62" s="165"/>
      <c r="O62" s="165"/>
      <c r="P62" s="165"/>
      <c r="Q62" s="165"/>
      <c r="V62" s="663" t="s">
        <v>115</v>
      </c>
      <c r="W62" s="663"/>
      <c r="X62" s="664">
        <v>0</v>
      </c>
      <c r="Y62" s="664"/>
      <c r="Z62" s="664"/>
      <c r="AA62" s="664"/>
      <c r="AB62" s="664"/>
      <c r="AC62" s="664"/>
      <c r="AD62" s="9"/>
    </row>
    <row r="63" spans="2:30" ht="13.5" hidden="1" customHeight="1" x14ac:dyDescent="0.25">
      <c r="B63" s="62" t="s">
        <v>115</v>
      </c>
      <c r="C63" s="62"/>
      <c r="D63" s="62"/>
      <c r="E63" s="62"/>
      <c r="F63" s="62"/>
      <c r="G63" s="168">
        <v>0</v>
      </c>
      <c r="H63" s="168"/>
      <c r="I63" s="168"/>
      <c r="J63" s="168"/>
      <c r="K63" s="168"/>
      <c r="L63" s="168"/>
      <c r="O63" s="1"/>
      <c r="P63" s="165"/>
      <c r="Q63" s="165"/>
      <c r="V63" s="662" t="s">
        <v>116</v>
      </c>
      <c r="W63" s="662"/>
      <c r="X63" s="662"/>
      <c r="Y63" s="662"/>
      <c r="Z63" s="662"/>
      <c r="AA63" s="662"/>
      <c r="AB63" s="662"/>
      <c r="AC63" s="662"/>
      <c r="AD63" s="117"/>
    </row>
    <row r="64" spans="2:30" ht="13.5" customHeight="1" x14ac:dyDescent="0.25">
      <c r="B64" s="62" t="s">
        <v>116</v>
      </c>
      <c r="C64" s="62"/>
      <c r="D64" s="62"/>
      <c r="E64" s="62"/>
      <c r="F64" s="62"/>
      <c r="G64" s="62"/>
      <c r="H64" s="62"/>
      <c r="I64" s="62"/>
      <c r="J64" s="62"/>
      <c r="K64" s="62"/>
      <c r="L64" s="62"/>
      <c r="M64" s="116"/>
      <c r="N64" s="18"/>
      <c r="O64" s="1"/>
      <c r="V64" s="663" t="s">
        <v>117</v>
      </c>
      <c r="W64" s="663"/>
      <c r="X64" s="664">
        <f>+G65</f>
        <v>4123852</v>
      </c>
      <c r="Y64" s="664"/>
      <c r="Z64" s="664"/>
      <c r="AA64" s="664"/>
      <c r="AB64" s="664"/>
      <c r="AC64" s="664"/>
      <c r="AD64" s="9"/>
    </row>
    <row r="65" spans="1:30" ht="12.75" customHeight="1" x14ac:dyDescent="0.25">
      <c r="B65" s="167" t="s">
        <v>117</v>
      </c>
      <c r="C65" s="62"/>
      <c r="D65" s="62"/>
      <c r="E65" s="62"/>
      <c r="F65" s="62"/>
      <c r="G65" s="168">
        <f>+I59</f>
        <v>4123852</v>
      </c>
      <c r="H65" s="168"/>
      <c r="I65" s="168"/>
      <c r="J65" s="168"/>
      <c r="K65" s="168"/>
      <c r="L65" s="168"/>
      <c r="O65" s="1"/>
      <c r="V65" s="663" t="s">
        <v>118</v>
      </c>
      <c r="W65" s="663"/>
      <c r="X65" s="664">
        <f>+G66</f>
        <v>0</v>
      </c>
      <c r="Y65" s="664"/>
      <c r="Z65" s="664"/>
      <c r="AA65" s="664"/>
      <c r="AB65" s="664"/>
      <c r="AC65" s="664"/>
      <c r="AD65" s="20"/>
    </row>
    <row r="66" spans="1:30" ht="15" customHeight="1" x14ac:dyDescent="0.25">
      <c r="B66" s="167" t="s">
        <v>118</v>
      </c>
      <c r="C66" s="62"/>
      <c r="D66" s="62"/>
      <c r="E66" s="62"/>
      <c r="F66" s="62"/>
      <c r="G66" s="168">
        <v>0</v>
      </c>
      <c r="H66" s="168"/>
      <c r="I66" s="168"/>
      <c r="J66" s="168"/>
      <c r="K66" s="168"/>
      <c r="L66" s="168"/>
      <c r="M66" s="18"/>
      <c r="N66" s="3"/>
      <c r="O66" s="169"/>
      <c r="P66" s="169"/>
      <c r="Q66" s="169"/>
      <c r="V66" s="651" t="s">
        <v>119</v>
      </c>
      <c r="W66" s="651"/>
      <c r="X66" s="651"/>
      <c r="Y66" s="661">
        <f>+I67</f>
        <v>96774526</v>
      </c>
      <c r="Z66" s="661"/>
      <c r="AA66" s="162" t="s">
        <v>111</v>
      </c>
      <c r="AB66" s="163">
        <f>AB54</f>
        <v>0</v>
      </c>
      <c r="AC66" s="56">
        <f>ROUND(Y66*AB66,0)</f>
        <v>0</v>
      </c>
      <c r="AD66" s="9"/>
    </row>
    <row r="67" spans="1:30" ht="20.25" customHeight="1" x14ac:dyDescent="0.25">
      <c r="B67" s="13" t="s">
        <v>119</v>
      </c>
      <c r="C67" s="13"/>
      <c r="D67" s="13"/>
      <c r="E67" s="13"/>
      <c r="F67" s="13"/>
      <c r="H67" s="164" t="s">
        <v>25</v>
      </c>
      <c r="I67" s="129">
        <v>96774526</v>
      </c>
      <c r="J67" s="165" t="s">
        <v>111</v>
      </c>
      <c r="K67" s="166">
        <f>K54</f>
        <v>1.588E-3</v>
      </c>
      <c r="L67" s="50">
        <f>ROUND(I67*K67,0)</f>
        <v>153678</v>
      </c>
      <c r="O67" s="1"/>
      <c r="V67" s="651" t="s">
        <v>120</v>
      </c>
      <c r="W67" s="651"/>
      <c r="X67" s="651"/>
      <c r="Y67" s="651"/>
      <c r="Z67" s="651"/>
      <c r="AA67" s="651"/>
      <c r="AB67" s="651"/>
      <c r="AC67" s="651"/>
      <c r="AD67" s="9"/>
    </row>
    <row r="68" spans="1:30" ht="20.25" customHeight="1" x14ac:dyDescent="0.25">
      <c r="B68" s="13" t="s">
        <v>120</v>
      </c>
      <c r="C68" s="13"/>
      <c r="D68" s="13"/>
      <c r="E68" s="13"/>
      <c r="F68" s="13"/>
      <c r="H68" s="13"/>
      <c r="I68" s="13"/>
      <c r="J68" s="82"/>
      <c r="K68" s="13"/>
      <c r="L68" s="13"/>
      <c r="O68" s="1"/>
      <c r="V68" s="667" t="s">
        <v>121</v>
      </c>
      <c r="W68" s="667"/>
      <c r="X68" s="667"/>
      <c r="Y68" s="661">
        <f>+I69</f>
        <v>0</v>
      </c>
      <c r="Z68" s="661"/>
      <c r="AA68" s="162" t="s">
        <v>111</v>
      </c>
      <c r="AB68" s="163">
        <f>AB57</f>
        <v>0</v>
      </c>
      <c r="AC68" s="56">
        <f>ROUND(Y68*AB68,0)</f>
        <v>0</v>
      </c>
      <c r="AD68" s="9"/>
    </row>
    <row r="69" spans="1:30" ht="15" customHeight="1" x14ac:dyDescent="0.25">
      <c r="B69" s="170" t="s">
        <v>121</v>
      </c>
      <c r="C69" s="13"/>
      <c r="D69" s="13"/>
      <c r="E69" s="13"/>
      <c r="F69" s="13"/>
      <c r="H69" s="164" t="s">
        <v>23</v>
      </c>
      <c r="I69" s="129">
        <v>0</v>
      </c>
      <c r="J69" s="165" t="s">
        <v>111</v>
      </c>
      <c r="K69" s="166">
        <f>K57</f>
        <v>1.5809999999999999E-3</v>
      </c>
      <c r="L69" s="50">
        <f>ROUND(I69*K69,0)</f>
        <v>0</v>
      </c>
      <c r="O69" s="1"/>
      <c r="V69" s="651" t="s">
        <v>122</v>
      </c>
      <c r="W69" s="651"/>
      <c r="X69" s="651"/>
      <c r="Y69" s="668">
        <f>+I70</f>
        <v>-3460775</v>
      </c>
      <c r="Z69" s="668"/>
      <c r="AA69" s="162" t="s">
        <v>111</v>
      </c>
      <c r="AB69" s="163">
        <f>AB54</f>
        <v>0</v>
      </c>
      <c r="AC69" s="56">
        <f>ROUND(Y69*AB69,0)</f>
        <v>0</v>
      </c>
      <c r="AD69" s="9"/>
    </row>
    <row r="70" spans="1:30" ht="20.25" customHeight="1" x14ac:dyDescent="0.25">
      <c r="B70" s="13" t="s">
        <v>122</v>
      </c>
      <c r="C70" s="13"/>
      <c r="D70" s="13"/>
      <c r="E70" s="13"/>
      <c r="F70" s="13"/>
      <c r="H70" s="164" t="s">
        <v>22</v>
      </c>
      <c r="I70" s="129">
        <v>-3460775</v>
      </c>
      <c r="J70" s="165" t="s">
        <v>111</v>
      </c>
      <c r="K70" s="166">
        <f>K54</f>
        <v>1.588E-3</v>
      </c>
      <c r="L70" s="50">
        <f>ROUND(I70*K70,0)</f>
        <v>-5496</v>
      </c>
      <c r="O70" s="1"/>
      <c r="V70" s="651" t="s">
        <v>123</v>
      </c>
      <c r="W70" s="651"/>
      <c r="X70" s="651"/>
      <c r="Y70" s="665">
        <f>+I71</f>
        <v>1874788</v>
      </c>
      <c r="Z70" s="665"/>
      <c r="AA70" s="162" t="s">
        <v>111</v>
      </c>
      <c r="AB70" s="163">
        <f>AB54</f>
        <v>0</v>
      </c>
      <c r="AC70" s="56">
        <f>ROUND(Y70*AB70,0)</f>
        <v>0</v>
      </c>
      <c r="AD70" s="9"/>
    </row>
    <row r="71" spans="1:30" ht="20.25" customHeight="1" x14ac:dyDescent="0.25">
      <c r="B71" s="13" t="s">
        <v>123</v>
      </c>
      <c r="C71" s="13"/>
      <c r="D71" s="13"/>
      <c r="E71" s="13"/>
      <c r="F71" s="13"/>
      <c r="H71" s="164" t="s">
        <v>22</v>
      </c>
      <c r="I71" s="129">
        <v>1874788</v>
      </c>
      <c r="J71" s="165" t="s">
        <v>111</v>
      </c>
      <c r="K71" s="166">
        <f>K54</f>
        <v>1.588E-3</v>
      </c>
      <c r="L71" s="50">
        <f>ROUND(I71*K71,0)</f>
        <v>2977</v>
      </c>
      <c r="O71" s="1"/>
      <c r="V71" s="651" t="s">
        <v>124</v>
      </c>
      <c r="W71" s="651"/>
      <c r="X71" s="651"/>
      <c r="Y71" s="665">
        <f>+I72</f>
        <v>14223298</v>
      </c>
      <c r="Z71" s="665"/>
      <c r="AA71" s="162" t="s">
        <v>111</v>
      </c>
      <c r="AB71" s="163">
        <f>AB57</f>
        <v>0</v>
      </c>
      <c r="AC71" s="56">
        <f>ROUND(Y71*AB71,0)</f>
        <v>0</v>
      </c>
      <c r="AD71" s="9"/>
    </row>
    <row r="72" spans="1:30" ht="21" customHeight="1" x14ac:dyDescent="0.25">
      <c r="B72" s="13" t="s">
        <v>124</v>
      </c>
      <c r="C72" s="13"/>
      <c r="D72" s="13"/>
      <c r="E72" s="13"/>
      <c r="F72" s="13"/>
      <c r="H72" s="164" t="s">
        <v>23</v>
      </c>
      <c r="I72" s="171">
        <v>14223298</v>
      </c>
      <c r="J72" s="165" t="s">
        <v>111</v>
      </c>
      <c r="K72" s="166">
        <f>K57</f>
        <v>1.5809999999999999E-3</v>
      </c>
      <c r="L72" s="50">
        <f>ROUND(I72*K72,0)</f>
        <v>22487</v>
      </c>
      <c r="O72" s="1"/>
      <c r="V72" s="623" t="s">
        <v>125</v>
      </c>
      <c r="W72" s="623"/>
      <c r="X72" s="623"/>
      <c r="Y72" s="623"/>
      <c r="Z72" s="623"/>
      <c r="AA72" s="623"/>
      <c r="AB72" s="623"/>
      <c r="AC72" s="60"/>
      <c r="AD72" s="9"/>
    </row>
    <row r="73" spans="1:30" ht="17.25" customHeight="1" x14ac:dyDescent="0.25">
      <c r="B73" s="13" t="s">
        <v>125</v>
      </c>
      <c r="C73" s="13"/>
      <c r="D73" s="13"/>
      <c r="E73" s="13"/>
      <c r="F73" s="13"/>
      <c r="H73" s="13"/>
      <c r="I73" s="13"/>
      <c r="J73" s="82"/>
      <c r="K73" s="13"/>
      <c r="L73" s="59"/>
      <c r="O73" s="1"/>
      <c r="V73" s="651" t="s">
        <v>126</v>
      </c>
      <c r="W73" s="651"/>
      <c r="X73" s="651"/>
      <c r="Y73" s="651"/>
      <c r="Z73" s="651"/>
      <c r="AA73" s="651"/>
      <c r="AB73" s="651"/>
      <c r="AC73" s="651"/>
      <c r="AD73" s="9"/>
    </row>
    <row r="74" spans="1:30" ht="31.5" x14ac:dyDescent="0.25">
      <c r="B74" s="13" t="s">
        <v>126</v>
      </c>
      <c r="C74" s="13"/>
      <c r="D74" s="27" t="s">
        <v>13</v>
      </c>
      <c r="E74" s="27" t="s">
        <v>14</v>
      </c>
      <c r="F74" s="27"/>
      <c r="H74" s="164" t="s">
        <v>26</v>
      </c>
      <c r="I74" s="172"/>
      <c r="J74" s="164"/>
      <c r="K74" s="172"/>
      <c r="L74" s="112"/>
      <c r="O74" s="1"/>
      <c r="V74" s="666" t="s">
        <v>127</v>
      </c>
      <c r="W74" s="666"/>
      <c r="X74" s="173" t="s">
        <v>128</v>
      </c>
      <c r="Y74" s="174"/>
      <c r="Z74" s="175">
        <f>+I75</f>
        <v>0</v>
      </c>
      <c r="AA74" s="176" t="s">
        <v>129</v>
      </c>
      <c r="AB74" s="177">
        <f>+K75</f>
        <v>361</v>
      </c>
      <c r="AC74" s="56">
        <f>ROUND(AB74*Z74,0)</f>
        <v>0</v>
      </c>
      <c r="AD74" s="9"/>
    </row>
    <row r="75" spans="1:30" ht="19.5" customHeight="1" x14ac:dyDescent="0.25">
      <c r="A75" s="1" t="s">
        <v>130</v>
      </c>
      <c r="B75" s="178" t="s">
        <v>127</v>
      </c>
      <c r="C75" s="179" t="s">
        <v>128</v>
      </c>
      <c r="D75" s="178">
        <v>0</v>
      </c>
      <c r="E75" s="178">
        <v>0</v>
      </c>
      <c r="F75" s="178">
        <v>0</v>
      </c>
      <c r="G75" s="180">
        <f>IF(E75=0,D75,E75)</f>
        <v>0</v>
      </c>
      <c r="H75" s="181"/>
      <c r="I75" s="182">
        <f>AVERAGE(G75,D75)</f>
        <v>0</v>
      </c>
      <c r="J75" s="183" t="s">
        <v>129</v>
      </c>
      <c r="K75" s="184">
        <v>361</v>
      </c>
      <c r="L75" s="50">
        <f>ROUND(K75*I75,0)</f>
        <v>0</v>
      </c>
      <c r="N75" s="1">
        <v>7802</v>
      </c>
      <c r="O75" s="1">
        <v>0</v>
      </c>
      <c r="V75" s="666" t="s">
        <v>127</v>
      </c>
      <c r="W75" s="666"/>
      <c r="X75" s="173" t="s">
        <v>131</v>
      </c>
      <c r="Y75" s="185"/>
      <c r="Z75" s="186">
        <f>+I76</f>
        <v>0</v>
      </c>
      <c r="AA75" s="176" t="s">
        <v>129</v>
      </c>
      <c r="AB75" s="187">
        <f>+K76</f>
        <v>1358</v>
      </c>
      <c r="AC75" s="56">
        <f>ROUND(AB75*Z75,0)</f>
        <v>0</v>
      </c>
      <c r="AD75" s="9"/>
    </row>
    <row r="76" spans="1:30" ht="19.5" customHeight="1" x14ac:dyDescent="0.25">
      <c r="A76" s="1" t="s">
        <v>132</v>
      </c>
      <c r="B76" s="178" t="s">
        <v>127</v>
      </c>
      <c r="C76" s="179" t="s">
        <v>131</v>
      </c>
      <c r="D76" s="178">
        <v>0</v>
      </c>
      <c r="E76" s="178">
        <v>0</v>
      </c>
      <c r="F76" s="178">
        <v>0</v>
      </c>
      <c r="G76" s="180">
        <f>IF(E76=0,D76,E76)</f>
        <v>0</v>
      </c>
      <c r="H76" s="181"/>
      <c r="I76" s="182">
        <f>AVERAGE(G76,D76)</f>
        <v>0</v>
      </c>
      <c r="J76" s="183" t="s">
        <v>129</v>
      </c>
      <c r="K76" s="188">
        <v>1358</v>
      </c>
      <c r="L76" s="50">
        <f>ROUND(K76*I76,0)</f>
        <v>0</v>
      </c>
      <c r="N76" s="1">
        <v>7802</v>
      </c>
      <c r="O76" s="1">
        <v>110</v>
      </c>
      <c r="V76" s="651" t="s">
        <v>133</v>
      </c>
      <c r="W76" s="651"/>
      <c r="X76" s="651"/>
      <c r="Y76" s="661">
        <f>+I77</f>
        <v>33305823</v>
      </c>
      <c r="Z76" s="661"/>
      <c r="AA76" s="176" t="s">
        <v>129</v>
      </c>
      <c r="AB76" s="163">
        <f>AB54</f>
        <v>0</v>
      </c>
      <c r="AC76" s="56">
        <f>ROUND(Y76*AB76,0)</f>
        <v>0</v>
      </c>
      <c r="AD76" s="9"/>
    </row>
    <row r="77" spans="1:30" ht="26.25" customHeight="1" x14ac:dyDescent="0.25">
      <c r="B77" s="13" t="s">
        <v>133</v>
      </c>
      <c r="C77" s="13"/>
      <c r="D77" s="13"/>
      <c r="E77" s="13"/>
      <c r="F77" s="13"/>
      <c r="H77" s="164" t="s">
        <v>134</v>
      </c>
      <c r="I77" s="189">
        <v>33305823</v>
      </c>
      <c r="J77" s="165" t="s">
        <v>111</v>
      </c>
      <c r="K77" s="166">
        <f>K54</f>
        <v>1.588E-3</v>
      </c>
      <c r="L77" s="50">
        <f>ROUND(I77*K77,0)</f>
        <v>52890</v>
      </c>
      <c r="O77" s="1"/>
      <c r="V77" s="651" t="str">
        <f>+B78</f>
        <v>15.  Additional Allocation (WFTE share)</v>
      </c>
      <c r="W77" s="651"/>
      <c r="X77" s="651"/>
      <c r="Y77" s="661">
        <f>+I78</f>
        <v>680688</v>
      </c>
      <c r="Z77" s="661"/>
      <c r="AA77" s="176" t="s">
        <v>129</v>
      </c>
      <c r="AB77" s="163">
        <f>AB54</f>
        <v>0</v>
      </c>
      <c r="AC77" s="56">
        <f>ROUND(Y77*AB77,0)</f>
        <v>0</v>
      </c>
      <c r="AD77" s="9"/>
    </row>
    <row r="78" spans="1:30" ht="26.25" customHeight="1" x14ac:dyDescent="0.25">
      <c r="B78" s="669" t="s">
        <v>135</v>
      </c>
      <c r="C78" s="669"/>
      <c r="D78" s="669"/>
      <c r="E78" s="13"/>
      <c r="F78" s="13"/>
      <c r="H78" s="164" t="s">
        <v>136</v>
      </c>
      <c r="I78" s="190">
        <v>680688</v>
      </c>
      <c r="J78" s="165" t="s">
        <v>111</v>
      </c>
      <c r="K78" s="166">
        <f>K54</f>
        <v>1.588E-3</v>
      </c>
      <c r="L78" s="50">
        <f>ROUND(I78*K78,0)</f>
        <v>1081</v>
      </c>
      <c r="O78" s="1"/>
      <c r="V78" s="651" t="str">
        <f t="shared" ref="V78:V79" si="11">+B79</f>
        <v>16.  Florida Teachers Lead Program Stipend</v>
      </c>
      <c r="W78" s="651"/>
      <c r="X78" s="651"/>
      <c r="Y78" s="191"/>
      <c r="Z78" s="191"/>
      <c r="AA78" s="191"/>
      <c r="AB78" s="191"/>
      <c r="AC78" s="134"/>
      <c r="AD78" s="9"/>
    </row>
    <row r="79" spans="1:30" ht="21" customHeight="1" x14ac:dyDescent="0.25">
      <c r="B79" s="669" t="s">
        <v>137</v>
      </c>
      <c r="C79" s="669"/>
      <c r="D79" s="669"/>
      <c r="E79" s="13"/>
      <c r="F79" s="13"/>
      <c r="H79" s="164"/>
      <c r="I79" s="172"/>
      <c r="J79" s="172"/>
      <c r="K79" s="172"/>
      <c r="L79" s="129"/>
      <c r="N79" s="192"/>
      <c r="O79" s="1"/>
      <c r="Q79" s="164"/>
      <c r="V79" s="651" t="str">
        <f t="shared" si="11"/>
        <v>17.  Food Service Allocation</v>
      </c>
      <c r="W79" s="651"/>
      <c r="X79" s="651"/>
      <c r="Y79" s="191"/>
      <c r="Z79" s="191"/>
      <c r="AA79" s="191"/>
      <c r="AB79" s="191"/>
      <c r="AC79" s="193"/>
      <c r="AD79" s="9"/>
    </row>
    <row r="80" spans="1:30" ht="21" customHeight="1" x14ac:dyDescent="0.25">
      <c r="B80" s="669" t="s">
        <v>138</v>
      </c>
      <c r="C80" s="669"/>
      <c r="D80" s="669"/>
      <c r="E80" s="13"/>
      <c r="F80" s="13"/>
      <c r="H80" s="194" t="s">
        <v>139</v>
      </c>
      <c r="I80" s="195"/>
      <c r="J80" s="195"/>
      <c r="K80" s="195"/>
      <c r="L80" s="196"/>
      <c r="N80" s="197"/>
      <c r="O80" s="1"/>
      <c r="Q80" s="164"/>
      <c r="V80" s="191"/>
      <c r="W80" s="191"/>
      <c r="X80" s="191"/>
      <c r="Y80" s="191"/>
      <c r="Z80" s="191"/>
      <c r="AA80" s="191"/>
      <c r="AB80" s="191"/>
      <c r="AC80" s="193"/>
      <c r="AD80" s="9"/>
    </row>
    <row r="81" spans="1:30" ht="21" customHeight="1" thickBot="1" x14ac:dyDescent="0.3">
      <c r="B81" s="13"/>
      <c r="C81" s="13"/>
      <c r="D81" s="13"/>
      <c r="E81" s="13"/>
      <c r="F81" s="13"/>
      <c r="G81" s="13"/>
      <c r="H81" s="13"/>
      <c r="I81" s="13"/>
      <c r="J81" s="13"/>
      <c r="K81" s="13"/>
      <c r="L81" s="196"/>
      <c r="M81" s="198"/>
      <c r="N81" s="197"/>
      <c r="O81" s="1"/>
      <c r="Q81" s="164"/>
      <c r="V81" s="191" t="s">
        <v>140</v>
      </c>
      <c r="W81" s="191"/>
      <c r="X81" s="191"/>
      <c r="Y81" s="191"/>
      <c r="Z81" s="191"/>
      <c r="AA81" s="191"/>
      <c r="AB81" s="191"/>
      <c r="AC81" s="199">
        <f>SUM(AC44:AC80)</f>
        <v>0</v>
      </c>
      <c r="AD81" s="200"/>
    </row>
    <row r="82" spans="1:30" ht="22.5" customHeight="1" thickTop="1" thickBot="1" x14ac:dyDescent="0.3">
      <c r="B82" s="13" t="s">
        <v>141</v>
      </c>
      <c r="C82" s="13"/>
      <c r="D82" s="13"/>
      <c r="E82" s="13"/>
      <c r="F82" s="13"/>
      <c r="G82" s="13"/>
      <c r="H82" s="13"/>
      <c r="I82" s="13"/>
      <c r="J82" s="13"/>
      <c r="K82" s="13"/>
      <c r="L82" s="201">
        <f>SUM(L44:L81)</f>
        <v>1958178</v>
      </c>
      <c r="M82" s="202"/>
      <c r="N82" s="203"/>
      <c r="O82" s="1"/>
      <c r="Q82" s="164"/>
      <c r="V82" s="191"/>
      <c r="W82" s="191"/>
      <c r="X82" s="191"/>
      <c r="Y82" s="191"/>
      <c r="Z82" s="191"/>
      <c r="AA82" s="191"/>
      <c r="AB82" s="191"/>
      <c r="AC82" s="204"/>
      <c r="AD82" s="200"/>
    </row>
    <row r="83" spans="1:30" ht="27.75" customHeight="1" thickTop="1" x14ac:dyDescent="0.25">
      <c r="B83" s="13" t="s">
        <v>142</v>
      </c>
      <c r="C83" s="13"/>
      <c r="D83" s="13"/>
      <c r="E83" s="13"/>
      <c r="F83" s="13"/>
      <c r="G83" s="13"/>
      <c r="H83" s="13"/>
      <c r="I83" s="13"/>
      <c r="J83" s="13"/>
      <c r="K83" s="82" t="s">
        <v>143</v>
      </c>
      <c r="L83" s="205" t="s">
        <v>144</v>
      </c>
      <c r="M83" s="202"/>
      <c r="N83" s="203"/>
      <c r="O83" s="1"/>
      <c r="Q83" s="164"/>
      <c r="V83" s="9" t="s">
        <v>145</v>
      </c>
      <c r="W83" s="9"/>
      <c r="X83" s="9"/>
      <c r="Y83" s="9"/>
      <c r="Z83" s="9"/>
      <c r="AA83" s="9"/>
      <c r="AB83" s="9"/>
      <c r="AC83" s="9"/>
      <c r="AD83" s="206"/>
    </row>
    <row r="84" spans="1:30" ht="18.75" customHeight="1" thickBot="1" x14ac:dyDescent="0.3">
      <c r="B84" s="13" t="s">
        <v>146</v>
      </c>
      <c r="C84" s="13"/>
      <c r="D84" s="13"/>
      <c r="E84" s="13"/>
      <c r="F84" s="13"/>
      <c r="G84" s="13"/>
      <c r="H84" s="13"/>
      <c r="I84" s="13"/>
      <c r="J84" s="13"/>
      <c r="K84" s="207" t="str">
        <f>IF(G26=0,"",IF((G11+G13+SUM(G15:G21))/G26&gt;0.75,1,""))</f>
        <v/>
      </c>
      <c r="L84" s="201">
        <f>'3413'!AC81</f>
        <v>0</v>
      </c>
      <c r="M84" s="202"/>
      <c r="N84" s="203"/>
      <c r="O84" s="1"/>
      <c r="Q84" s="164"/>
      <c r="V84" s="208" t="s">
        <v>147</v>
      </c>
      <c r="W84" s="208"/>
      <c r="X84" s="208"/>
      <c r="Y84" s="208"/>
      <c r="Z84" s="208"/>
      <c r="AA84" s="208"/>
      <c r="AB84" s="208"/>
      <c r="AC84" s="208"/>
      <c r="AD84" s="9"/>
    </row>
    <row r="85" spans="1:30" ht="18.75" customHeight="1" thickTop="1" x14ac:dyDescent="0.25">
      <c r="B85" s="13"/>
      <c r="C85" s="13"/>
      <c r="D85" s="13"/>
      <c r="E85" s="13"/>
      <c r="F85" s="13"/>
      <c r="G85" s="13"/>
      <c r="H85" s="13"/>
      <c r="I85" s="13"/>
      <c r="J85" s="13"/>
      <c r="M85" s="202"/>
      <c r="N85" s="203"/>
      <c r="O85" s="1"/>
      <c r="Q85" s="164"/>
      <c r="V85" s="208" t="s">
        <v>148</v>
      </c>
      <c r="W85" s="208"/>
      <c r="X85" s="208"/>
      <c r="Y85" s="208"/>
      <c r="Z85" s="208"/>
      <c r="AA85" s="208"/>
      <c r="AB85" s="208"/>
      <c r="AC85" s="208"/>
      <c r="AD85" s="206"/>
    </row>
    <row r="86" spans="1:30" ht="18.75" customHeight="1" x14ac:dyDescent="0.25">
      <c r="B86" s="2" t="s">
        <v>149</v>
      </c>
      <c r="C86" s="13"/>
      <c r="D86" s="13"/>
      <c r="E86" s="13"/>
      <c r="F86" s="13"/>
      <c r="G86" s="13"/>
      <c r="H86" s="13"/>
      <c r="I86" s="13"/>
      <c r="J86" s="209" t="s">
        <v>150</v>
      </c>
      <c r="K86" s="210">
        <f>IF(K84=1,L84,L82)</f>
        <v>1958178</v>
      </c>
      <c r="L86" s="211">
        <f>IF(G26=0,0,IF(G26&gt;250,-(((250/G26)*K86)*IF(M86="H",0.02,0.05)),IF(M86="H",-0.02*K86,-0.05*K86)))</f>
        <v>-85894.04147805032</v>
      </c>
      <c r="M86" s="212" t="str">
        <f>IF(B123="2801","H",IF(B123="2911","H",IF(B123="3382","H"," ")))</f>
        <v xml:space="preserve"> </v>
      </c>
      <c r="N86" s="203"/>
      <c r="O86" s="1"/>
      <c r="Q86" s="164"/>
      <c r="V86" s="208" t="s">
        <v>151</v>
      </c>
      <c r="W86" s="208"/>
      <c r="X86" s="208"/>
      <c r="Y86" s="208"/>
      <c r="Z86" s="208"/>
      <c r="AA86" s="208"/>
      <c r="AB86" s="208"/>
      <c r="AC86" s="208"/>
      <c r="AD86" s="206"/>
    </row>
    <row r="87" spans="1:30" ht="18.75" customHeight="1" x14ac:dyDescent="0.25">
      <c r="B87" s="2" t="s">
        <v>152</v>
      </c>
      <c r="C87" s="13"/>
      <c r="D87" s="13"/>
      <c r="E87" s="13"/>
      <c r="F87" s="13"/>
      <c r="G87" s="13"/>
      <c r="H87" s="13"/>
      <c r="I87" s="13"/>
      <c r="J87" s="13"/>
      <c r="K87" s="213"/>
      <c r="L87" s="205">
        <f>L82+L86</f>
        <v>1872283.9585219496</v>
      </c>
      <c r="M87" s="202"/>
      <c r="N87" s="203"/>
      <c r="O87" s="1"/>
      <c r="Q87" s="164"/>
      <c r="V87" s="198"/>
      <c r="W87" s="198"/>
      <c r="X87" s="198"/>
      <c r="Y87" s="198"/>
      <c r="Z87" s="198"/>
      <c r="AA87" s="198"/>
      <c r="AB87" s="198"/>
      <c r="AC87" s="198"/>
      <c r="AD87" s="214"/>
    </row>
    <row r="88" spans="1:30" x14ac:dyDescent="0.25">
      <c r="V88" s="198"/>
      <c r="W88" s="198"/>
      <c r="X88" s="198"/>
      <c r="Y88" s="198"/>
      <c r="Z88" s="198"/>
      <c r="AA88" s="198"/>
      <c r="AB88" s="198"/>
      <c r="AC88" s="198"/>
      <c r="AD88" s="215"/>
    </row>
    <row r="89" spans="1:30" ht="18.75" customHeight="1" x14ac:dyDescent="0.25">
      <c r="A89" s="1" t="s">
        <v>153</v>
      </c>
      <c r="B89" s="13" t="s">
        <v>154</v>
      </c>
      <c r="C89" s="13"/>
      <c r="D89" s="13">
        <v>804794</v>
      </c>
      <c r="E89" s="13">
        <v>181141</v>
      </c>
      <c r="F89" s="13">
        <v>1529360</v>
      </c>
      <c r="G89" s="13"/>
      <c r="H89" s="13"/>
      <c r="I89" s="13"/>
      <c r="J89" s="13"/>
      <c r="K89" s="213"/>
      <c r="L89" s="84">
        <f>-F89-171462</f>
        <v>-1700822</v>
      </c>
      <c r="M89" s="202"/>
      <c r="N89" s="203"/>
      <c r="O89" s="1"/>
      <c r="Q89" s="164"/>
      <c r="V89" s="198">
        <v>2801</v>
      </c>
      <c r="W89" s="198"/>
      <c r="X89" s="198"/>
      <c r="Y89" s="198"/>
      <c r="Z89" s="198"/>
      <c r="AA89" s="198"/>
      <c r="AB89" s="198"/>
      <c r="AC89" s="198"/>
      <c r="AD89" s="214"/>
    </row>
    <row r="90" spans="1:30" ht="18.75" customHeight="1" x14ac:dyDescent="0.25">
      <c r="B90" s="13" t="s">
        <v>155</v>
      </c>
      <c r="C90" s="13"/>
      <c r="D90" s="13"/>
      <c r="E90" s="13"/>
      <c r="F90" s="13"/>
      <c r="G90" s="13"/>
      <c r="H90" s="13"/>
      <c r="I90" s="13"/>
      <c r="J90" s="13"/>
      <c r="K90" s="213"/>
      <c r="L90" s="205">
        <f>L87+L89</f>
        <v>171461.95852194959</v>
      </c>
      <c r="M90" s="202"/>
      <c r="N90" s="203"/>
      <c r="O90" s="1"/>
      <c r="Q90" s="164"/>
      <c r="V90" s="198">
        <v>2911</v>
      </c>
      <c r="W90" s="216"/>
      <c r="X90" s="216"/>
      <c r="Y90" s="216"/>
      <c r="Z90" s="216"/>
      <c r="AA90" s="216"/>
      <c r="AB90" s="216"/>
      <c r="AC90" s="216"/>
      <c r="AD90" s="214"/>
    </row>
    <row r="91" spans="1:30" ht="18.75" customHeight="1" x14ac:dyDescent="0.25">
      <c r="B91" s="13" t="s">
        <v>156</v>
      </c>
      <c r="C91" s="13"/>
      <c r="D91" s="13"/>
      <c r="E91" s="13"/>
      <c r="F91" s="13"/>
      <c r="G91" s="13"/>
      <c r="H91" s="13"/>
      <c r="I91" s="13"/>
      <c r="J91" s="13"/>
      <c r="K91" s="213"/>
      <c r="L91" s="205">
        <v>1</v>
      </c>
      <c r="M91" s="202"/>
      <c r="N91" s="203"/>
      <c r="O91" s="1"/>
      <c r="Q91" s="164"/>
      <c r="V91" s="198">
        <v>3382</v>
      </c>
      <c r="W91" s="216"/>
      <c r="X91" s="216"/>
      <c r="Y91" s="216"/>
      <c r="Z91" s="216"/>
      <c r="AA91" s="216"/>
      <c r="AB91" s="216"/>
      <c r="AC91" s="216"/>
      <c r="AD91" s="214"/>
    </row>
    <row r="92" spans="1:30" ht="18.75" customHeight="1" thickBot="1" x14ac:dyDescent="0.3">
      <c r="B92" s="13" t="s">
        <v>157</v>
      </c>
      <c r="C92" s="13"/>
      <c r="D92" s="13"/>
      <c r="E92" s="13"/>
      <c r="F92" s="13"/>
      <c r="G92" s="13"/>
      <c r="H92" s="13"/>
      <c r="I92" s="13"/>
      <c r="J92" s="13"/>
      <c r="K92" s="213"/>
      <c r="L92" s="217">
        <f>L90/L91</f>
        <v>171461.95852194959</v>
      </c>
      <c r="M92" s="202"/>
      <c r="N92" s="203"/>
      <c r="O92" s="1"/>
      <c r="Q92" s="164"/>
      <c r="V92" s="218"/>
      <c r="W92" s="218"/>
      <c r="X92" s="218"/>
      <c r="Y92" s="218"/>
      <c r="Z92" s="218"/>
      <c r="AA92" s="218"/>
      <c r="AB92" s="218"/>
      <c r="AC92" s="218"/>
      <c r="AD92" s="219"/>
    </row>
    <row r="93" spans="1:30" ht="18.75" customHeight="1" thickTop="1" x14ac:dyDescent="0.25">
      <c r="N93" s="219"/>
      <c r="O93" s="220"/>
      <c r="P93" s="219"/>
      <c r="Q93" s="219"/>
      <c r="V93" s="218"/>
      <c r="W93" s="218"/>
      <c r="X93" s="218"/>
      <c r="Y93" s="218"/>
      <c r="Z93" s="218"/>
      <c r="AA93" s="218"/>
      <c r="AB93" s="218"/>
      <c r="AC93" s="218"/>
      <c r="AD93" s="214"/>
    </row>
    <row r="94" spans="1:30" ht="18.75" customHeight="1" thickBot="1" x14ac:dyDescent="0.3">
      <c r="B94" s="221" t="s">
        <v>158</v>
      </c>
      <c r="C94" s="13"/>
      <c r="D94" s="13"/>
      <c r="E94" s="13"/>
      <c r="G94" s="13"/>
      <c r="H94" s="13"/>
      <c r="I94" s="13"/>
      <c r="J94" s="13"/>
      <c r="L94" s="222">
        <f>IF(M86="H",(K86*0.02)+L86,(K86*0.05)+L86)</f>
        <v>12014.858521949689</v>
      </c>
      <c r="M94" s="202"/>
      <c r="V94" s="223"/>
      <c r="W94" s="223"/>
      <c r="X94" s="223"/>
      <c r="Y94" s="223"/>
      <c r="Z94" s="223"/>
      <c r="AA94" s="223"/>
      <c r="AB94" s="223"/>
      <c r="AC94" s="223"/>
      <c r="AD94" s="214"/>
    </row>
    <row r="95" spans="1:30" ht="21.75" customHeight="1" thickTop="1" x14ac:dyDescent="0.25">
      <c r="B95" s="224" t="s">
        <v>159</v>
      </c>
      <c r="C95" s="224"/>
      <c r="D95" s="224"/>
      <c r="E95" s="224"/>
      <c r="F95" s="224"/>
      <c r="G95" s="224"/>
      <c r="H95" s="224"/>
      <c r="I95" s="224"/>
      <c r="J95" s="224"/>
      <c r="K95" s="224"/>
      <c r="L95" s="224"/>
      <c r="M95" s="219"/>
      <c r="V95" s="223"/>
      <c r="W95" s="223"/>
      <c r="X95" s="223"/>
      <c r="Y95" s="223"/>
      <c r="Z95" s="223"/>
      <c r="AA95" s="223"/>
      <c r="AB95" s="223"/>
      <c r="AC95" s="223"/>
      <c r="AD95" s="214"/>
    </row>
    <row r="96" spans="1:30" x14ac:dyDescent="0.25">
      <c r="B96" s="225"/>
      <c r="V96" s="223"/>
      <c r="W96" s="223"/>
      <c r="X96" s="223"/>
      <c r="Y96" s="223"/>
      <c r="Z96" s="223"/>
      <c r="AA96" s="223"/>
      <c r="AB96" s="223"/>
      <c r="AC96" s="223"/>
      <c r="AD96" s="219"/>
    </row>
    <row r="97" spans="2:30" x14ac:dyDescent="0.25">
      <c r="B97" s="225"/>
      <c r="V97" s="223"/>
      <c r="W97" s="223"/>
      <c r="X97" s="223"/>
      <c r="Y97" s="223"/>
      <c r="Z97" s="223"/>
      <c r="AA97" s="223"/>
      <c r="AB97" s="223"/>
      <c r="AC97" s="223"/>
      <c r="AD97" s="219"/>
    </row>
    <row r="98" spans="2:30" hidden="1" x14ac:dyDescent="0.25">
      <c r="B98" s="226" t="s">
        <v>160</v>
      </c>
      <c r="C98" s="227"/>
      <c r="V98" s="228"/>
      <c r="W98" s="228"/>
      <c r="X98" s="228"/>
      <c r="Y98" s="228"/>
      <c r="Z98" s="228"/>
      <c r="AA98" s="228"/>
      <c r="AB98" s="228"/>
      <c r="AC98" s="228"/>
    </row>
    <row r="99" spans="2:30" hidden="1" x14ac:dyDescent="0.25">
      <c r="B99" s="229"/>
      <c r="C99" s="227"/>
      <c r="V99" s="225"/>
      <c r="W99" s="13"/>
      <c r="X99" s="13"/>
      <c r="Y99" s="13"/>
      <c r="Z99" s="13"/>
      <c r="AA99" s="13"/>
      <c r="AB99" s="13"/>
      <c r="AC99" s="13"/>
    </row>
    <row r="100" spans="2:30" hidden="1" x14ac:dyDescent="0.25">
      <c r="B100" s="230" t="s">
        <v>161</v>
      </c>
      <c r="C100" s="226" t="s">
        <v>162</v>
      </c>
      <c r="V100" s="225"/>
    </row>
    <row r="101" spans="2:30" hidden="1" x14ac:dyDescent="0.25">
      <c r="B101" s="230" t="s">
        <v>163</v>
      </c>
      <c r="C101" s="226" t="s">
        <v>164</v>
      </c>
      <c r="V101" s="225"/>
    </row>
    <row r="102" spans="2:30" hidden="1" x14ac:dyDescent="0.25">
      <c r="B102" s="230" t="s">
        <v>165</v>
      </c>
      <c r="C102" s="226" t="s">
        <v>166</v>
      </c>
      <c r="V102" s="225"/>
      <c r="W102" s="231"/>
      <c r="X102" s="231"/>
      <c r="Y102" s="231"/>
      <c r="Z102" s="231"/>
      <c r="AA102" s="231"/>
      <c r="AB102" s="231"/>
      <c r="AC102" s="231"/>
      <c r="AD102" s="231"/>
    </row>
    <row r="103" spans="2:30" hidden="1" x14ac:dyDescent="0.25">
      <c r="B103" s="230" t="s">
        <v>167</v>
      </c>
      <c r="C103" s="226" t="s">
        <v>168</v>
      </c>
      <c r="V103" s="225"/>
    </row>
    <row r="104" spans="2:30" hidden="1" x14ac:dyDescent="0.25">
      <c r="B104" s="232"/>
      <c r="C104" s="226" t="s">
        <v>169</v>
      </c>
      <c r="V104" s="225"/>
    </row>
    <row r="105" spans="2:30" hidden="1" x14ac:dyDescent="0.25">
      <c r="B105" s="230" t="s">
        <v>170</v>
      </c>
      <c r="C105" s="226" t="s">
        <v>171</v>
      </c>
      <c r="V105" s="225"/>
    </row>
    <row r="106" spans="2:30" hidden="1" x14ac:dyDescent="0.25">
      <c r="B106" s="230" t="s">
        <v>172</v>
      </c>
      <c r="C106" s="226" t="s">
        <v>173</v>
      </c>
      <c r="V106" s="225"/>
    </row>
    <row r="107" spans="2:30" hidden="1" x14ac:dyDescent="0.25">
      <c r="B107" s="230" t="s">
        <v>301</v>
      </c>
      <c r="C107" s="226" t="s">
        <v>175</v>
      </c>
      <c r="V107" s="225"/>
    </row>
    <row r="108" spans="2:30" hidden="1" x14ac:dyDescent="0.25">
      <c r="B108" s="230" t="s">
        <v>176</v>
      </c>
      <c r="C108" s="226" t="s">
        <v>177</v>
      </c>
      <c r="V108" s="225"/>
    </row>
    <row r="109" spans="2:30" hidden="1" x14ac:dyDescent="0.25">
      <c r="B109" s="230" t="s">
        <v>178</v>
      </c>
      <c r="C109" s="226" t="s">
        <v>179</v>
      </c>
      <c r="V109" s="225"/>
    </row>
    <row r="110" spans="2:30" hidden="1" x14ac:dyDescent="0.25">
      <c r="B110" s="232"/>
      <c r="C110" s="226"/>
      <c r="V110" s="225"/>
    </row>
    <row r="111" spans="2:30" hidden="1" x14ac:dyDescent="0.25">
      <c r="B111" s="230" t="s">
        <v>180</v>
      </c>
      <c r="C111" s="226" t="s">
        <v>181</v>
      </c>
      <c r="V111" s="225"/>
    </row>
    <row r="112" spans="2:30" hidden="1" x14ac:dyDescent="0.25">
      <c r="B112" s="230" t="s">
        <v>180</v>
      </c>
      <c r="C112" s="226" t="s">
        <v>182</v>
      </c>
    </row>
    <row r="113" spans="2:3" hidden="1" x14ac:dyDescent="0.25">
      <c r="B113" s="230" t="s">
        <v>183</v>
      </c>
      <c r="C113" s="226" t="s">
        <v>184</v>
      </c>
    </row>
    <row r="114" spans="2:3" hidden="1" x14ac:dyDescent="0.25">
      <c r="B114" s="230" t="s">
        <v>185</v>
      </c>
      <c r="C114" s="226" t="s">
        <v>186</v>
      </c>
    </row>
    <row r="115" spans="2:3" hidden="1" x14ac:dyDescent="0.25">
      <c r="B115" s="230" t="s">
        <v>183</v>
      </c>
      <c r="C115" s="226" t="s">
        <v>187</v>
      </c>
    </row>
    <row r="116" spans="2:3" hidden="1" x14ac:dyDescent="0.25">
      <c r="B116" s="230" t="s">
        <v>188</v>
      </c>
      <c r="C116" s="226" t="s">
        <v>189</v>
      </c>
    </row>
    <row r="117" spans="2:3" hidden="1" x14ac:dyDescent="0.25">
      <c r="B117" s="230" t="s">
        <v>190</v>
      </c>
      <c r="C117" s="226" t="s">
        <v>191</v>
      </c>
    </row>
    <row r="118" spans="2:3" hidden="1" x14ac:dyDescent="0.25">
      <c r="B118" s="232" t="s">
        <v>192</v>
      </c>
      <c r="C118" s="226" t="s">
        <v>193</v>
      </c>
    </row>
    <row r="119" spans="2:3" hidden="1" x14ac:dyDescent="0.25">
      <c r="B119" s="232"/>
      <c r="C119" s="226"/>
    </row>
    <row r="120" spans="2:3" hidden="1" x14ac:dyDescent="0.25">
      <c r="B120" s="230" t="s">
        <v>161</v>
      </c>
      <c r="C120" s="226" t="s">
        <v>194</v>
      </c>
    </row>
    <row r="121" spans="2:3" hidden="1" x14ac:dyDescent="0.25">
      <c r="B121" s="230" t="s">
        <v>195</v>
      </c>
      <c r="C121" s="226" t="s">
        <v>196</v>
      </c>
    </row>
    <row r="122" spans="2:3" hidden="1" x14ac:dyDescent="0.25">
      <c r="B122" s="230" t="s">
        <v>197</v>
      </c>
      <c r="C122" s="226" t="s">
        <v>198</v>
      </c>
    </row>
    <row r="123" spans="2:3" hidden="1" x14ac:dyDescent="0.25">
      <c r="B123" s="230" t="s">
        <v>302</v>
      </c>
      <c r="C123" s="226" t="s">
        <v>200</v>
      </c>
    </row>
    <row r="124" spans="2:3" hidden="1" x14ac:dyDescent="0.25">
      <c r="B124" s="230" t="s">
        <v>303</v>
      </c>
      <c r="C124" s="226" t="s">
        <v>202</v>
      </c>
    </row>
    <row r="125" spans="2:3" hidden="1" x14ac:dyDescent="0.25">
      <c r="B125" s="230" t="s">
        <v>203</v>
      </c>
      <c r="C125" s="226" t="s">
        <v>204</v>
      </c>
    </row>
    <row r="126" spans="2:3" hidden="1" x14ac:dyDescent="0.25">
      <c r="B126" s="230" t="s">
        <v>203</v>
      </c>
      <c r="C126" s="226" t="s">
        <v>205</v>
      </c>
    </row>
    <row r="127" spans="2:3" hidden="1" x14ac:dyDescent="0.25">
      <c r="B127" s="230" t="s">
        <v>203</v>
      </c>
      <c r="C127" s="226" t="s">
        <v>206</v>
      </c>
    </row>
    <row r="128" spans="2:3" hidden="1" x14ac:dyDescent="0.25">
      <c r="B128" s="230" t="s">
        <v>203</v>
      </c>
      <c r="C128" s="226" t="s">
        <v>207</v>
      </c>
    </row>
    <row r="129" spans="2:3" hidden="1" x14ac:dyDescent="0.25">
      <c r="B129" s="230" t="s">
        <v>167</v>
      </c>
      <c r="C129" s="226" t="s">
        <v>208</v>
      </c>
    </row>
    <row r="130" spans="2:3" hidden="1" x14ac:dyDescent="0.25">
      <c r="B130" s="230" t="s">
        <v>209</v>
      </c>
      <c r="C130" s="226" t="s">
        <v>210</v>
      </c>
    </row>
    <row r="131" spans="2:3" hidden="1" x14ac:dyDescent="0.25">
      <c r="B131" s="230" t="s">
        <v>203</v>
      </c>
      <c r="C131" s="226" t="s">
        <v>211</v>
      </c>
    </row>
    <row r="132" spans="2:3" hidden="1" x14ac:dyDescent="0.25">
      <c r="B132" s="226"/>
      <c r="C132" s="226"/>
    </row>
    <row r="133" spans="2:3" hidden="1" x14ac:dyDescent="0.25">
      <c r="B133" s="226"/>
      <c r="C133" s="226"/>
    </row>
    <row r="134" spans="2:3" hidden="1" x14ac:dyDescent="0.25">
      <c r="B134" s="232"/>
      <c r="C134" s="232"/>
    </row>
    <row r="135" spans="2:3" hidden="1" x14ac:dyDescent="0.25">
      <c r="B135" s="232">
        <f>NvsElapsedTime</f>
        <v>1.15740695036948E-5</v>
      </c>
      <c r="C135" s="232"/>
    </row>
    <row r="136" spans="2:3" hidden="1" x14ac:dyDescent="0.25">
      <c r="B136" s="233">
        <f>NvsEndTime</f>
        <v>41754.488032407397</v>
      </c>
      <c r="C136" s="233" t="s">
        <v>212</v>
      </c>
    </row>
    <row r="137" spans="2:3" x14ac:dyDescent="0.25">
      <c r="B137" s="226"/>
      <c r="C137" s="234"/>
    </row>
    <row r="138" spans="2:3" x14ac:dyDescent="0.25">
      <c r="B138" s="226"/>
      <c r="C138" s="226"/>
    </row>
    <row r="139" spans="2:3" x14ac:dyDescent="0.25">
      <c r="B139" s="226"/>
      <c r="C139" s="226"/>
    </row>
    <row r="140" spans="2:3" x14ac:dyDescent="0.25">
      <c r="B140" s="226"/>
      <c r="C140" s="226"/>
    </row>
    <row r="141" spans="2:3" x14ac:dyDescent="0.25">
      <c r="B141" s="226"/>
      <c r="C141" s="226"/>
    </row>
    <row r="142" spans="2:3" x14ac:dyDescent="0.25">
      <c r="B142" s="226"/>
      <c r="C142" s="226"/>
    </row>
    <row r="143" spans="2:3" x14ac:dyDescent="0.25">
      <c r="B143" s="226"/>
      <c r="C143" s="226"/>
    </row>
    <row r="144" spans="2:3" x14ac:dyDescent="0.25">
      <c r="B144" s="226"/>
      <c r="C144" s="226"/>
    </row>
    <row r="145" spans="2:3" x14ac:dyDescent="0.25">
      <c r="B145" s="226"/>
      <c r="C145" s="226"/>
    </row>
    <row r="146" spans="2:3" x14ac:dyDescent="0.25">
      <c r="B146" s="226"/>
      <c r="C146" s="226"/>
    </row>
    <row r="147" spans="2:3" x14ac:dyDescent="0.25">
      <c r="B147" s="226"/>
      <c r="C147" s="226"/>
    </row>
    <row r="148" spans="2:3" x14ac:dyDescent="0.25">
      <c r="B148" s="226"/>
      <c r="C148" s="226"/>
    </row>
    <row r="149" spans="2:3" x14ac:dyDescent="0.25">
      <c r="B149" s="226"/>
      <c r="C149" s="226"/>
    </row>
    <row r="150" spans="2:3" x14ac:dyDescent="0.25">
      <c r="B150" s="226"/>
      <c r="C150" s="226"/>
    </row>
    <row r="151" spans="2:3" x14ac:dyDescent="0.25">
      <c r="B151" s="226"/>
      <c r="C151" s="226"/>
    </row>
  </sheetData>
  <mergeCells count="151">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9:W9"/>
    <mergeCell ref="X9:Y9"/>
    <mergeCell ref="Z9:AA9"/>
    <mergeCell ref="V10:W10"/>
    <mergeCell ref="X10:Y10"/>
    <mergeCell ref="Z10:AA10"/>
    <mergeCell ref="V7:W7"/>
    <mergeCell ref="X7:Y7"/>
    <mergeCell ref="Z7:AA7"/>
    <mergeCell ref="AB7:AC7"/>
    <mergeCell ref="V8:W8"/>
    <mergeCell ref="X8:Y8"/>
    <mergeCell ref="Z8:AA8"/>
    <mergeCell ref="W2:AC2"/>
    <mergeCell ref="V3:AC3"/>
    <mergeCell ref="V4:AC4"/>
    <mergeCell ref="V5:W5"/>
    <mergeCell ref="X5:Y5"/>
    <mergeCell ref="V6:AC6"/>
  </mergeCells>
  <printOptions horizontalCentered="1"/>
  <pageMargins left="0" right="0" top="0.67" bottom="0.2" header="0.25" footer="0.196850393700787"/>
  <pageSetup scale="63" fitToWidth="2" fitToHeight="2" orientation="portrait" horizontalDpi="4294967295" verticalDpi="4294967295" r:id="rId1"/>
  <headerFooter alignWithMargins="0">
    <oddHeader>&amp;L&amp;8&amp;F
&amp;D &amp;T</oddHeader>
    <oddFooter>&amp;C&amp;P</oddFooter>
  </headerFooter>
  <rowBreaks count="1" manualBreakCount="1">
    <brk id="51" max="16383" man="1"/>
  </rowBreaks>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D151"/>
  <sheetViews>
    <sheetView topLeftCell="B2" zoomScale="70" zoomScaleNormal="70" workbookViewId="0">
      <selection activeCell="E22" sqref="E22:E23"/>
    </sheetView>
  </sheetViews>
  <sheetFormatPr defaultColWidth="8.85546875" defaultRowHeight="15.75" x14ac:dyDescent="0.25"/>
  <cols>
    <col min="1" max="1" width="11.28515625" style="1" hidden="1" customWidth="1"/>
    <col min="2" max="2" width="10.28515625" style="2" customWidth="1"/>
    <col min="3" max="3" width="29" style="1" customWidth="1"/>
    <col min="4" max="5" width="12.28515625" style="1" customWidth="1"/>
    <col min="6" max="6" width="12.28515625" style="1" hidden="1" customWidth="1"/>
    <col min="7" max="7" width="17" style="1" customWidth="1"/>
    <col min="8" max="8" width="6.7109375" style="1" customWidth="1"/>
    <col min="9" max="9" width="14.140625" style="1" customWidth="1"/>
    <col min="10" max="10" width="12.85546875" style="1" customWidth="1"/>
    <col min="11" max="11" width="17.42578125" style="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28515625" style="1" customWidth="1"/>
    <col min="18" max="18" width="8.85546875" style="1"/>
    <col min="19" max="21" width="0" style="1" hidden="1" customWidth="1"/>
    <col min="22" max="23" width="8.85546875" style="1"/>
    <col min="24" max="24" width="12.7109375" style="1" customWidth="1"/>
    <col min="25" max="27" width="8.85546875" style="1"/>
    <col min="28" max="28" width="13.140625" style="1" bestFit="1" customWidth="1"/>
    <col min="29" max="16384" width="8.85546875" style="1"/>
  </cols>
  <sheetData>
    <row r="1" spans="1:30" ht="15.6"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7"/>
      <c r="N2" s="3"/>
      <c r="O2" s="1"/>
      <c r="V2" s="8">
        <f>'3413 June Final'!B2</f>
        <v>50</v>
      </c>
      <c r="W2" s="606" t="s">
        <v>4</v>
      </c>
      <c r="X2" s="607"/>
      <c r="Y2" s="608"/>
      <c r="Z2" s="608"/>
      <c r="AA2" s="608"/>
      <c r="AB2" s="608"/>
      <c r="AC2" s="608"/>
      <c r="AD2" s="9"/>
    </row>
    <row r="3" spans="1:30" ht="20.25" x14ac:dyDescent="0.3">
      <c r="B3" s="10" t="str">
        <f>"Revenue Estimate Worksheet for "&amp;B124</f>
        <v>Revenue Estimate Worksheet for Somerset Academy Boca East</v>
      </c>
      <c r="C3" s="11"/>
      <c r="D3" s="11"/>
      <c r="E3" s="11"/>
      <c r="F3" s="11"/>
      <c r="G3" s="11"/>
      <c r="H3" s="11"/>
      <c r="I3" s="11"/>
      <c r="J3" s="11"/>
      <c r="K3" s="11"/>
      <c r="L3" s="11"/>
      <c r="M3" s="10"/>
      <c r="N3" s="10"/>
      <c r="O3" s="10"/>
      <c r="P3" s="10"/>
      <c r="Q3" s="10"/>
      <c r="V3" s="609" t="s">
        <v>5</v>
      </c>
      <c r="W3" s="609"/>
      <c r="X3" s="609"/>
      <c r="Y3" s="609"/>
      <c r="Z3" s="609"/>
      <c r="AA3" s="609"/>
      <c r="AB3" s="609"/>
      <c r="AC3" s="609"/>
      <c r="AD3" s="12"/>
    </row>
    <row r="4" spans="1:30" ht="18.75" x14ac:dyDescent="0.3">
      <c r="B4" s="2" t="s">
        <v>6</v>
      </c>
      <c r="C4" s="13"/>
      <c r="D4" s="13"/>
      <c r="E4" s="13"/>
      <c r="F4" s="13"/>
      <c r="G4" s="13"/>
      <c r="H4" s="13"/>
      <c r="I4" s="13"/>
      <c r="J4" s="13"/>
      <c r="K4" s="13"/>
      <c r="L4" s="13"/>
      <c r="M4" s="14"/>
      <c r="N4" s="14"/>
      <c r="O4" s="14"/>
      <c r="P4" s="14"/>
      <c r="Q4" s="14"/>
      <c r="V4" s="610" t="str">
        <f>+Based_on_the_Second_Calculation_of_the_FEFP_2010_11</f>
        <v>Based on the Fourth Calculation of the FEFP 2013-14</v>
      </c>
      <c r="W4" s="610"/>
      <c r="X4" s="610"/>
      <c r="Y4" s="610"/>
      <c r="Z4" s="610"/>
      <c r="AA4" s="610"/>
      <c r="AB4" s="610"/>
      <c r="AC4" s="610"/>
      <c r="AD4" s="15"/>
    </row>
    <row r="5" spans="1:30" ht="18.75" customHeight="1" x14ac:dyDescent="0.25">
      <c r="B5" s="16" t="s">
        <v>7</v>
      </c>
      <c r="C5" s="16"/>
      <c r="D5" s="16"/>
      <c r="E5" s="16"/>
      <c r="F5" s="16"/>
      <c r="G5" s="17" t="s">
        <v>8</v>
      </c>
      <c r="H5" s="17"/>
      <c r="I5" s="17"/>
      <c r="J5" s="17"/>
      <c r="K5" s="17"/>
      <c r="L5" s="17"/>
      <c r="M5" s="18"/>
      <c r="N5" s="18"/>
      <c r="O5" s="18"/>
      <c r="P5" s="18"/>
      <c r="Q5" s="18"/>
      <c r="V5" s="611" t="s">
        <v>7</v>
      </c>
      <c r="W5" s="611"/>
      <c r="X5" s="612" t="s">
        <v>8</v>
      </c>
      <c r="Y5" s="612"/>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613" t="s">
        <v>9</v>
      </c>
      <c r="W6" s="613"/>
      <c r="X6" s="613"/>
      <c r="Y6" s="613"/>
      <c r="Z6" s="613"/>
      <c r="AA6" s="613"/>
      <c r="AB6" s="613"/>
      <c r="AC6" s="613"/>
      <c r="AD6" s="22"/>
    </row>
    <row r="7" spans="1:30" ht="18" customHeight="1" x14ac:dyDescent="0.25">
      <c r="B7" s="23" t="s">
        <v>10</v>
      </c>
      <c r="C7" s="23"/>
      <c r="D7" s="23"/>
      <c r="E7" s="23"/>
      <c r="F7" s="23"/>
      <c r="G7" s="24">
        <v>3752.3</v>
      </c>
      <c r="H7" s="24"/>
      <c r="I7" s="23" t="s">
        <v>11</v>
      </c>
      <c r="J7" s="23"/>
      <c r="K7" s="25">
        <v>1.0326</v>
      </c>
      <c r="L7" s="25"/>
      <c r="O7" s="1"/>
      <c r="V7" s="620" t="s">
        <v>10</v>
      </c>
      <c r="W7" s="620"/>
      <c r="X7" s="621">
        <f>'3413 June Final'!G7</f>
        <v>3752.3</v>
      </c>
      <c r="Y7" s="621"/>
      <c r="Z7" s="622" t="s">
        <v>11</v>
      </c>
      <c r="AA7" s="622"/>
      <c r="AB7" s="602">
        <f>+K7</f>
        <v>1.0326</v>
      </c>
      <c r="AC7" s="602"/>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603" t="s">
        <v>12</v>
      </c>
      <c r="W8" s="603"/>
      <c r="X8" s="604" t="s">
        <v>15</v>
      </c>
      <c r="Y8" s="604"/>
      <c r="Z8" s="605" t="s">
        <v>16</v>
      </c>
      <c r="AA8" s="605"/>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614" t="s">
        <v>22</v>
      </c>
      <c r="W9" s="614"/>
      <c r="X9" s="615" t="s">
        <v>23</v>
      </c>
      <c r="Y9" s="615"/>
      <c r="Z9" s="616" t="s">
        <v>24</v>
      </c>
      <c r="AA9" s="616"/>
      <c r="AB9" s="43" t="s">
        <v>25</v>
      </c>
      <c r="AC9" s="44" t="s">
        <v>26</v>
      </c>
      <c r="AD9" s="9"/>
    </row>
    <row r="10" spans="1:30" x14ac:dyDescent="0.25">
      <c r="A10" s="1" t="s">
        <v>27</v>
      </c>
      <c r="B10" s="45" t="s">
        <v>28</v>
      </c>
      <c r="C10" s="45"/>
      <c r="D10" s="45">
        <v>97.88</v>
      </c>
      <c r="E10" s="45">
        <v>96.91</v>
      </c>
      <c r="F10" s="45">
        <v>108.55</v>
      </c>
      <c r="G10" s="46">
        <f t="shared" ref="G10:G25" si="0">D10+E10</f>
        <v>194.79</v>
      </c>
      <c r="H10" s="47"/>
      <c r="I10" s="48">
        <v>1.125</v>
      </c>
      <c r="J10" s="48"/>
      <c r="K10" s="49">
        <f t="shared" ref="K10:K25" si="1">ROUND(G10*I10,4)</f>
        <v>219.1388</v>
      </c>
      <c r="L10" s="50">
        <f t="shared" ref="L10:L25" si="2">ROUND(ROUND(K10*$G$7,4)*($K$7),0)</f>
        <v>849081</v>
      </c>
      <c r="N10" s="51">
        <v>5101</v>
      </c>
      <c r="O10" s="52">
        <v>101</v>
      </c>
      <c r="P10" s="53"/>
      <c r="Q10" s="54"/>
      <c r="V10" s="617" t="s">
        <v>28</v>
      </c>
      <c r="W10" s="617"/>
      <c r="X10" s="618">
        <f>IF('3413 June Final'!K$84=1,'3413 June Final'!G10,0)</f>
        <v>0</v>
      </c>
      <c r="Y10" s="618"/>
      <c r="Z10" s="619">
        <v>1</v>
      </c>
      <c r="AA10" s="619"/>
      <c r="AB10" s="55">
        <f t="shared" ref="AB10:AB25" si="3">ROUND(X10*Z10,4)</f>
        <v>0</v>
      </c>
      <c r="AC10" s="56">
        <f t="shared" ref="AC10:AC25" si="4">ROUND(ROUND(AB10*$X$7,4)*($AB$7),0)</f>
        <v>0</v>
      </c>
      <c r="AD10" s="9">
        <v>1</v>
      </c>
    </row>
    <row r="11" spans="1:30" x14ac:dyDescent="0.25">
      <c r="A11" s="1" t="s">
        <v>29</v>
      </c>
      <c r="B11" s="13" t="s">
        <v>30</v>
      </c>
      <c r="C11" s="13"/>
      <c r="D11" s="13">
        <v>14.49</v>
      </c>
      <c r="E11" s="13">
        <v>14.07</v>
      </c>
      <c r="F11" s="13">
        <v>16.68</v>
      </c>
      <c r="G11" s="46">
        <f t="shared" si="0"/>
        <v>28.560000000000002</v>
      </c>
      <c r="H11" s="47"/>
      <c r="I11" s="57">
        <f>I10</f>
        <v>1.125</v>
      </c>
      <c r="J11" s="57"/>
      <c r="K11" s="49">
        <f t="shared" si="1"/>
        <v>32.130000000000003</v>
      </c>
      <c r="L11" s="50">
        <f t="shared" si="2"/>
        <v>124492</v>
      </c>
      <c r="M11" s="1" t="str">
        <f>IF(ROUND(G11,2)=ROUND(SUM(G28:G30),2)," ","CHECK 2. PK-3 Lines Below")</f>
        <v xml:space="preserve"> </v>
      </c>
      <c r="N11" s="51">
        <v>5101</v>
      </c>
      <c r="O11" s="58" t="s">
        <v>31</v>
      </c>
      <c r="P11" s="53"/>
      <c r="Q11" s="54"/>
      <c r="V11" s="623" t="s">
        <v>30</v>
      </c>
      <c r="W11" s="623"/>
      <c r="X11" s="618">
        <f>IF('3413 June Final'!K$84=1,'3413 June Final'!G11,0)</f>
        <v>0</v>
      </c>
      <c r="Y11" s="618"/>
      <c r="Z11" s="624">
        <v>1</v>
      </c>
      <c r="AA11" s="624"/>
      <c r="AB11" s="55">
        <f t="shared" si="3"/>
        <v>0</v>
      </c>
      <c r="AC11" s="56">
        <f t="shared" si="4"/>
        <v>0</v>
      </c>
      <c r="AD11" s="9"/>
    </row>
    <row r="12" spans="1:30" x14ac:dyDescent="0.25">
      <c r="A12" s="1" t="s">
        <v>32</v>
      </c>
      <c r="B12" s="13" t="s">
        <v>33</v>
      </c>
      <c r="C12" s="13"/>
      <c r="D12" s="13">
        <v>17.41</v>
      </c>
      <c r="E12" s="13">
        <v>20.02</v>
      </c>
      <c r="F12" s="13">
        <v>20.58</v>
      </c>
      <c r="G12" s="46">
        <f t="shared" si="0"/>
        <v>37.43</v>
      </c>
      <c r="H12" s="47"/>
      <c r="I12" s="57">
        <v>1</v>
      </c>
      <c r="J12" s="57"/>
      <c r="K12" s="49">
        <f t="shared" si="1"/>
        <v>37.43</v>
      </c>
      <c r="L12" s="50">
        <f t="shared" si="2"/>
        <v>145027</v>
      </c>
      <c r="N12" s="51">
        <v>5102</v>
      </c>
      <c r="O12" s="52">
        <v>102</v>
      </c>
      <c r="P12" s="53"/>
      <c r="Q12" s="54"/>
      <c r="V12" s="623" t="s">
        <v>33</v>
      </c>
      <c r="W12" s="623"/>
      <c r="X12" s="618">
        <f>IF('3413 June Final'!K$84=1,'3413 June Final'!G12,0)</f>
        <v>0</v>
      </c>
      <c r="Y12" s="618"/>
      <c r="Z12" s="624">
        <v>1</v>
      </c>
      <c r="AA12" s="624"/>
      <c r="AB12" s="55">
        <f t="shared" si="3"/>
        <v>0</v>
      </c>
      <c r="AC12" s="56">
        <f t="shared" si="4"/>
        <v>0</v>
      </c>
      <c r="AD12" s="9"/>
    </row>
    <row r="13" spans="1:30" x14ac:dyDescent="0.25">
      <c r="A13" s="1" t="s">
        <v>34</v>
      </c>
      <c r="B13" s="13" t="s">
        <v>35</v>
      </c>
      <c r="C13" s="13"/>
      <c r="D13" s="13">
        <v>8.51</v>
      </c>
      <c r="E13" s="13">
        <v>7.05</v>
      </c>
      <c r="F13" s="13">
        <v>10.34</v>
      </c>
      <c r="G13" s="46">
        <f t="shared" si="0"/>
        <v>15.559999999999999</v>
      </c>
      <c r="H13" s="47"/>
      <c r="I13" s="57">
        <f>I12</f>
        <v>1</v>
      </c>
      <c r="J13" s="57"/>
      <c r="K13" s="49">
        <f t="shared" si="1"/>
        <v>15.56</v>
      </c>
      <c r="L13" s="50">
        <f t="shared" si="2"/>
        <v>60289</v>
      </c>
      <c r="M13" s="1" t="str">
        <f>IF(ROUND(G13,2)=ROUND(SUM(G31:G33),2)," ","CHECK 2. PK-3 Lines Below")</f>
        <v xml:space="preserve"> </v>
      </c>
      <c r="N13" s="51">
        <v>5102</v>
      </c>
      <c r="O13" s="58" t="s">
        <v>36</v>
      </c>
      <c r="P13" s="53"/>
      <c r="Q13" s="54"/>
      <c r="V13" s="623" t="s">
        <v>35</v>
      </c>
      <c r="W13" s="623"/>
      <c r="X13" s="618">
        <f>IF('3413 June Final'!K$84=1,'3413 June Final'!G13,0)</f>
        <v>0</v>
      </c>
      <c r="Y13" s="618"/>
      <c r="Z13" s="624">
        <v>1</v>
      </c>
      <c r="AA13" s="624"/>
      <c r="AB13" s="55">
        <f t="shared" si="3"/>
        <v>0</v>
      </c>
      <c r="AC13" s="56">
        <f t="shared" si="4"/>
        <v>0</v>
      </c>
      <c r="AD13" s="9"/>
    </row>
    <row r="14" spans="1:30" x14ac:dyDescent="0.25">
      <c r="A14" s="1" t="s">
        <v>37</v>
      </c>
      <c r="B14" s="13" t="s">
        <v>38</v>
      </c>
      <c r="C14" s="13"/>
      <c r="D14" s="13">
        <v>0</v>
      </c>
      <c r="E14" s="13">
        <v>0</v>
      </c>
      <c r="F14" s="13">
        <v>0</v>
      </c>
      <c r="G14" s="46">
        <f t="shared" si="0"/>
        <v>0</v>
      </c>
      <c r="H14" s="47"/>
      <c r="I14" s="57">
        <v>1.0109999999999999</v>
      </c>
      <c r="J14" s="57"/>
      <c r="K14" s="49">
        <f t="shared" si="1"/>
        <v>0</v>
      </c>
      <c r="L14" s="50">
        <f t="shared" si="2"/>
        <v>0</v>
      </c>
      <c r="N14" s="51">
        <v>5103</v>
      </c>
      <c r="O14" s="52">
        <v>103</v>
      </c>
      <c r="P14" s="53"/>
      <c r="Q14" s="54"/>
      <c r="V14" s="623" t="s">
        <v>38</v>
      </c>
      <c r="W14" s="623"/>
      <c r="X14" s="618">
        <f>IF('3413 June Final'!K$84=1,'3413 June Final'!G14,0)</f>
        <v>0</v>
      </c>
      <c r="Y14" s="618"/>
      <c r="Z14" s="624">
        <v>1</v>
      </c>
      <c r="AA14" s="624"/>
      <c r="AB14" s="55">
        <f t="shared" si="3"/>
        <v>0</v>
      </c>
      <c r="AC14" s="56">
        <f t="shared" si="4"/>
        <v>0</v>
      </c>
      <c r="AD14" s="9"/>
    </row>
    <row r="15" spans="1:30" x14ac:dyDescent="0.25">
      <c r="A15" s="1" t="s">
        <v>39</v>
      </c>
      <c r="B15" s="13" t="s">
        <v>40</v>
      </c>
      <c r="C15" s="13"/>
      <c r="D15" s="13">
        <v>0</v>
      </c>
      <c r="E15" s="13">
        <v>0</v>
      </c>
      <c r="F15" s="13">
        <v>0</v>
      </c>
      <c r="G15" s="46">
        <f t="shared" si="0"/>
        <v>0</v>
      </c>
      <c r="H15" s="47"/>
      <c r="I15" s="57">
        <f>I14</f>
        <v>1.0109999999999999</v>
      </c>
      <c r="J15" s="57"/>
      <c r="K15" s="49">
        <f t="shared" si="1"/>
        <v>0</v>
      </c>
      <c r="L15" s="59">
        <f t="shared" si="2"/>
        <v>0</v>
      </c>
      <c r="M15" s="1" t="str">
        <f>IF(ROUND(G15,2)=ROUND(SUM(G34:G36),2)," ","CHECK 2. PK-3 Lines Below")</f>
        <v xml:space="preserve"> </v>
      </c>
      <c r="N15" s="51">
        <v>5103</v>
      </c>
      <c r="O15" s="58" t="s">
        <v>41</v>
      </c>
      <c r="P15" s="53"/>
      <c r="Q15" s="54"/>
      <c r="V15" s="623" t="s">
        <v>40</v>
      </c>
      <c r="W15" s="623"/>
      <c r="X15" s="618">
        <f>IF('3413 June Final'!K$84=1,'3413 June Final'!G15,0)</f>
        <v>0</v>
      </c>
      <c r="Y15" s="618"/>
      <c r="Z15" s="624">
        <v>1</v>
      </c>
      <c r="AA15" s="624"/>
      <c r="AB15" s="55">
        <f t="shared" si="3"/>
        <v>0</v>
      </c>
      <c r="AC15" s="60">
        <f t="shared" si="4"/>
        <v>0</v>
      </c>
      <c r="AD15" s="9"/>
    </row>
    <row r="16" spans="1:30" x14ac:dyDescent="0.25">
      <c r="A16" s="1" t="s">
        <v>42</v>
      </c>
      <c r="B16" s="13" t="s">
        <v>43</v>
      </c>
      <c r="C16" s="13"/>
      <c r="D16" s="13">
        <v>0</v>
      </c>
      <c r="E16" s="13">
        <v>0</v>
      </c>
      <c r="F16" s="13">
        <v>0</v>
      </c>
      <c r="G16" s="46">
        <f t="shared" si="0"/>
        <v>0</v>
      </c>
      <c r="H16" s="47"/>
      <c r="I16" s="57">
        <v>3.5579999999999998</v>
      </c>
      <c r="J16" s="57"/>
      <c r="K16" s="49">
        <f t="shared" si="1"/>
        <v>0</v>
      </c>
      <c r="L16" s="50">
        <f t="shared" si="2"/>
        <v>0</v>
      </c>
      <c r="N16" s="51">
        <v>5101</v>
      </c>
      <c r="O16" s="53">
        <v>254</v>
      </c>
      <c r="P16" s="53"/>
      <c r="Q16" s="54"/>
      <c r="V16" s="623" t="s">
        <v>43</v>
      </c>
      <c r="W16" s="623"/>
      <c r="X16" s="618">
        <f>IF('3413 June Final'!K$84=1,'3413 June Final'!G16,0)</f>
        <v>0</v>
      </c>
      <c r="Y16" s="618"/>
      <c r="Z16" s="624">
        <v>1</v>
      </c>
      <c r="AA16" s="624"/>
      <c r="AB16" s="55">
        <f t="shared" si="3"/>
        <v>0</v>
      </c>
      <c r="AC16" s="56">
        <f t="shared" si="4"/>
        <v>0</v>
      </c>
      <c r="AD16" s="9"/>
    </row>
    <row r="17" spans="1:30" x14ac:dyDescent="0.25">
      <c r="A17" s="1" t="s">
        <v>44</v>
      </c>
      <c r="B17" s="13" t="s">
        <v>45</v>
      </c>
      <c r="C17" s="13"/>
      <c r="D17" s="13">
        <v>0</v>
      </c>
      <c r="E17" s="13">
        <v>0</v>
      </c>
      <c r="F17" s="13">
        <v>0</v>
      </c>
      <c r="G17" s="46">
        <f t="shared" si="0"/>
        <v>0</v>
      </c>
      <c r="H17" s="47"/>
      <c r="I17" s="57">
        <f>I16</f>
        <v>3.5579999999999998</v>
      </c>
      <c r="J17" s="57"/>
      <c r="K17" s="49">
        <f t="shared" si="1"/>
        <v>0</v>
      </c>
      <c r="L17" s="50">
        <f t="shared" si="2"/>
        <v>0</v>
      </c>
      <c r="N17" s="51">
        <v>5102</v>
      </c>
      <c r="O17" s="54">
        <v>254</v>
      </c>
      <c r="P17" s="53"/>
      <c r="Q17" s="54"/>
      <c r="V17" s="623" t="s">
        <v>45</v>
      </c>
      <c r="W17" s="623"/>
      <c r="X17" s="618">
        <f>IF('3413 June Final'!K$84=1,'3413 June Final'!G17,0)</f>
        <v>0</v>
      </c>
      <c r="Y17" s="618"/>
      <c r="Z17" s="624">
        <v>1</v>
      </c>
      <c r="AA17" s="624"/>
      <c r="AB17" s="55">
        <f t="shared" si="3"/>
        <v>0</v>
      </c>
      <c r="AC17" s="56">
        <f t="shared" si="4"/>
        <v>0</v>
      </c>
      <c r="AD17" s="9"/>
    </row>
    <row r="18" spans="1:30" x14ac:dyDescent="0.25">
      <c r="A18" s="1" t="s">
        <v>46</v>
      </c>
      <c r="B18" s="13" t="s">
        <v>47</v>
      </c>
      <c r="C18" s="13"/>
      <c r="D18" s="13">
        <v>0</v>
      </c>
      <c r="E18" s="13">
        <v>0</v>
      </c>
      <c r="F18" s="13">
        <v>0</v>
      </c>
      <c r="G18" s="46">
        <f t="shared" si="0"/>
        <v>0</v>
      </c>
      <c r="H18" s="47"/>
      <c r="I18" s="57">
        <f>I17</f>
        <v>3.5579999999999998</v>
      </c>
      <c r="J18" s="57"/>
      <c r="K18" s="49">
        <f t="shared" si="1"/>
        <v>0</v>
      </c>
      <c r="L18" s="50">
        <f t="shared" si="2"/>
        <v>0</v>
      </c>
      <c r="N18" s="51">
        <v>5103</v>
      </c>
      <c r="O18" s="54">
        <v>254</v>
      </c>
      <c r="P18" s="53"/>
      <c r="Q18" s="54"/>
      <c r="V18" s="623" t="s">
        <v>47</v>
      </c>
      <c r="W18" s="623"/>
      <c r="X18" s="618">
        <f>IF('3413 June Final'!K$84=1,'3413 June Final'!G18,0)</f>
        <v>0</v>
      </c>
      <c r="Y18" s="618"/>
      <c r="Z18" s="624">
        <v>1</v>
      </c>
      <c r="AA18" s="624"/>
      <c r="AB18" s="55">
        <f t="shared" si="3"/>
        <v>0</v>
      </c>
      <c r="AC18" s="56">
        <f t="shared" si="4"/>
        <v>0</v>
      </c>
      <c r="AD18" s="9"/>
    </row>
    <row r="19" spans="1:30" ht="15" customHeight="1" x14ac:dyDescent="0.25">
      <c r="A19" s="1" t="s">
        <v>48</v>
      </c>
      <c r="B19" s="13" t="s">
        <v>49</v>
      </c>
      <c r="C19" s="13"/>
      <c r="D19" s="13">
        <v>0</v>
      </c>
      <c r="E19" s="13">
        <v>0</v>
      </c>
      <c r="F19" s="13">
        <v>0</v>
      </c>
      <c r="G19" s="46">
        <f t="shared" si="0"/>
        <v>0</v>
      </c>
      <c r="H19" s="47"/>
      <c r="I19" s="57">
        <v>5.0890000000000004</v>
      </c>
      <c r="J19" s="57"/>
      <c r="K19" s="49">
        <f t="shared" si="1"/>
        <v>0</v>
      </c>
      <c r="L19" s="50">
        <f t="shared" si="2"/>
        <v>0</v>
      </c>
      <c r="N19" s="51">
        <v>5101</v>
      </c>
      <c r="O19" s="53">
        <v>255</v>
      </c>
      <c r="P19" s="53"/>
      <c r="Q19" s="54"/>
      <c r="V19" s="623" t="s">
        <v>49</v>
      </c>
      <c r="W19" s="623"/>
      <c r="X19" s="618">
        <f>IF('3413 June Final'!K$84=1,'3413 June Final'!G19,0)</f>
        <v>0</v>
      </c>
      <c r="Y19" s="618"/>
      <c r="Z19" s="624">
        <v>1</v>
      </c>
      <c r="AA19" s="624"/>
      <c r="AB19" s="55">
        <f t="shared" si="3"/>
        <v>0</v>
      </c>
      <c r="AC19" s="56">
        <f t="shared" si="4"/>
        <v>0</v>
      </c>
      <c r="AD19" s="9"/>
    </row>
    <row r="20" spans="1:30" ht="15" customHeight="1" x14ac:dyDescent="0.25">
      <c r="A20" s="1" t="s">
        <v>50</v>
      </c>
      <c r="B20" s="13" t="s">
        <v>51</v>
      </c>
      <c r="C20" s="13"/>
      <c r="D20" s="13">
        <v>0</v>
      </c>
      <c r="E20" s="13">
        <v>0</v>
      </c>
      <c r="F20" s="13">
        <v>0</v>
      </c>
      <c r="G20" s="46">
        <f t="shared" si="0"/>
        <v>0</v>
      </c>
      <c r="H20" s="47"/>
      <c r="I20" s="57">
        <f>I19</f>
        <v>5.0890000000000004</v>
      </c>
      <c r="J20" s="57"/>
      <c r="K20" s="49">
        <f t="shared" si="1"/>
        <v>0</v>
      </c>
      <c r="L20" s="50">
        <f t="shared" si="2"/>
        <v>0</v>
      </c>
      <c r="N20" s="51">
        <v>5102</v>
      </c>
      <c r="O20" s="54">
        <v>255</v>
      </c>
      <c r="P20" s="53"/>
      <c r="Q20" s="54"/>
      <c r="V20" s="623" t="s">
        <v>51</v>
      </c>
      <c r="W20" s="623"/>
      <c r="X20" s="618">
        <f>IF('3413 June Final'!K$84=1,'3413 June Final'!G20,0)</f>
        <v>0</v>
      </c>
      <c r="Y20" s="618"/>
      <c r="Z20" s="624">
        <v>1</v>
      </c>
      <c r="AA20" s="624"/>
      <c r="AB20" s="55">
        <f t="shared" si="3"/>
        <v>0</v>
      </c>
      <c r="AC20" s="56">
        <f t="shared" si="4"/>
        <v>0</v>
      </c>
      <c r="AD20" s="9"/>
    </row>
    <row r="21" spans="1:30" ht="15" customHeight="1" x14ac:dyDescent="0.25">
      <c r="A21" s="1" t="s">
        <v>52</v>
      </c>
      <c r="B21" s="13" t="s">
        <v>53</v>
      </c>
      <c r="C21" s="13"/>
      <c r="D21" s="13">
        <v>0</v>
      </c>
      <c r="E21" s="13">
        <v>0</v>
      </c>
      <c r="F21" s="13">
        <v>0</v>
      </c>
      <c r="G21" s="46">
        <f t="shared" si="0"/>
        <v>0</v>
      </c>
      <c r="H21" s="47"/>
      <c r="I21" s="57">
        <f>I20</f>
        <v>5.0890000000000004</v>
      </c>
      <c r="J21" s="57"/>
      <c r="K21" s="49">
        <f t="shared" si="1"/>
        <v>0</v>
      </c>
      <c r="L21" s="50">
        <f t="shared" si="2"/>
        <v>0</v>
      </c>
      <c r="N21" s="51">
        <v>5103</v>
      </c>
      <c r="O21" s="54">
        <v>255</v>
      </c>
      <c r="P21" s="53"/>
      <c r="Q21" s="54"/>
      <c r="V21" s="623" t="s">
        <v>53</v>
      </c>
      <c r="W21" s="623"/>
      <c r="X21" s="618">
        <f>IF('3413 June Final'!K$84=1,'3413 June Final'!G21,0)</f>
        <v>0</v>
      </c>
      <c r="Y21" s="618"/>
      <c r="Z21" s="624">
        <v>1</v>
      </c>
      <c r="AA21" s="624"/>
      <c r="AB21" s="55">
        <f t="shared" si="3"/>
        <v>0</v>
      </c>
      <c r="AC21" s="56">
        <f t="shared" si="4"/>
        <v>0</v>
      </c>
      <c r="AD21" s="9"/>
    </row>
    <row r="22" spans="1:30" x14ac:dyDescent="0.25">
      <c r="A22" s="1" t="s">
        <v>54</v>
      </c>
      <c r="B22" s="13" t="s">
        <v>55</v>
      </c>
      <c r="C22" s="13"/>
      <c r="D22" s="13">
        <v>4.08</v>
      </c>
      <c r="E22" s="13">
        <v>3.64</v>
      </c>
      <c r="F22" s="13">
        <v>5.09</v>
      </c>
      <c r="G22" s="46">
        <f t="shared" si="0"/>
        <v>7.7200000000000006</v>
      </c>
      <c r="H22" s="47"/>
      <c r="I22" s="57">
        <v>1.145</v>
      </c>
      <c r="J22" s="57"/>
      <c r="K22" s="49">
        <f t="shared" si="1"/>
        <v>8.8393999999999995</v>
      </c>
      <c r="L22" s="50">
        <f t="shared" si="2"/>
        <v>34249</v>
      </c>
      <c r="N22" s="51">
        <v>5101</v>
      </c>
      <c r="O22" s="52">
        <v>130</v>
      </c>
      <c r="P22" s="53"/>
      <c r="Q22" s="54"/>
      <c r="V22" s="623" t="s">
        <v>55</v>
      </c>
      <c r="W22" s="623"/>
      <c r="X22" s="618">
        <f>IF('3413 June Final'!K$84=1,'3413 June Final'!G22,0)</f>
        <v>0</v>
      </c>
      <c r="Y22" s="618"/>
      <c r="Z22" s="624">
        <v>1</v>
      </c>
      <c r="AA22" s="624"/>
      <c r="AB22" s="55">
        <f t="shared" si="3"/>
        <v>0</v>
      </c>
      <c r="AC22" s="56">
        <f t="shared" si="4"/>
        <v>0</v>
      </c>
      <c r="AD22" s="9"/>
    </row>
    <row r="23" spans="1:30" x14ac:dyDescent="0.25">
      <c r="A23" s="1" t="s">
        <v>56</v>
      </c>
      <c r="B23" s="13" t="s">
        <v>57</v>
      </c>
      <c r="C23" s="13"/>
      <c r="D23" s="13">
        <v>0.45</v>
      </c>
      <c r="E23" s="13">
        <v>0.45</v>
      </c>
      <c r="F23" s="13">
        <v>0</v>
      </c>
      <c r="G23" s="46">
        <f t="shared" si="0"/>
        <v>0.9</v>
      </c>
      <c r="H23" s="47"/>
      <c r="I23" s="57">
        <f>I22</f>
        <v>1.145</v>
      </c>
      <c r="J23" s="57"/>
      <c r="K23" s="49">
        <f t="shared" si="1"/>
        <v>1.0305</v>
      </c>
      <c r="L23" s="50">
        <f t="shared" si="2"/>
        <v>3993</v>
      </c>
      <c r="N23" s="51">
        <v>5102</v>
      </c>
      <c r="O23" s="52">
        <v>130</v>
      </c>
      <c r="P23" s="53"/>
      <c r="Q23" s="54"/>
      <c r="V23" s="623" t="s">
        <v>57</v>
      </c>
      <c r="W23" s="623"/>
      <c r="X23" s="618">
        <f>IF('3413 June Final'!K$84=1,'3413 June Final'!G23,0)</f>
        <v>0</v>
      </c>
      <c r="Y23" s="618"/>
      <c r="Z23" s="624">
        <v>1</v>
      </c>
      <c r="AA23" s="624"/>
      <c r="AB23" s="55">
        <f t="shared" si="3"/>
        <v>0</v>
      </c>
      <c r="AC23" s="56">
        <f t="shared" si="4"/>
        <v>0</v>
      </c>
      <c r="AD23" s="9"/>
    </row>
    <row r="24" spans="1:30" x14ac:dyDescent="0.25">
      <c r="A24" s="1" t="s">
        <v>58</v>
      </c>
      <c r="B24" s="13" t="s">
        <v>59</v>
      </c>
      <c r="C24" s="13"/>
      <c r="D24" s="13">
        <v>0</v>
      </c>
      <c r="E24" s="13">
        <v>0</v>
      </c>
      <c r="F24" s="13">
        <v>0</v>
      </c>
      <c r="G24" s="46">
        <f t="shared" si="0"/>
        <v>0</v>
      </c>
      <c r="H24" s="47"/>
      <c r="I24" s="57">
        <f>I23</f>
        <v>1.145</v>
      </c>
      <c r="J24" s="57"/>
      <c r="K24" s="49">
        <f t="shared" si="1"/>
        <v>0</v>
      </c>
      <c r="L24" s="50">
        <f t="shared" si="2"/>
        <v>0</v>
      </c>
      <c r="N24" s="51">
        <v>5103</v>
      </c>
      <c r="O24" s="52">
        <v>130</v>
      </c>
      <c r="P24" s="53"/>
      <c r="Q24" s="54"/>
      <c r="V24" s="623" t="s">
        <v>59</v>
      </c>
      <c r="W24" s="623"/>
      <c r="X24" s="618">
        <f>IF('3413 June Final'!K$84=1,'3413 June Final'!G24,0)</f>
        <v>0</v>
      </c>
      <c r="Y24" s="618"/>
      <c r="Z24" s="624">
        <v>1</v>
      </c>
      <c r="AA24" s="624"/>
      <c r="AB24" s="55">
        <f t="shared" si="3"/>
        <v>0</v>
      </c>
      <c r="AC24" s="56">
        <f t="shared" si="4"/>
        <v>0</v>
      </c>
      <c r="AD24" s="9"/>
    </row>
    <row r="25" spans="1:30" ht="16.5" thickBot="1" x14ac:dyDescent="0.3">
      <c r="A25" s="1" t="s">
        <v>60</v>
      </c>
      <c r="B25" s="13" t="s">
        <v>61</v>
      </c>
      <c r="C25" s="13"/>
      <c r="D25" s="13">
        <v>0</v>
      </c>
      <c r="E25" s="13">
        <v>0</v>
      </c>
      <c r="F25" s="13">
        <v>0</v>
      </c>
      <c r="G25" s="46">
        <f t="shared" si="0"/>
        <v>0</v>
      </c>
      <c r="H25" s="47"/>
      <c r="I25" s="57">
        <v>1.0109999999999999</v>
      </c>
      <c r="J25" s="57"/>
      <c r="K25" s="49">
        <f t="shared" si="1"/>
        <v>0</v>
      </c>
      <c r="L25" s="50">
        <f t="shared" si="2"/>
        <v>0</v>
      </c>
      <c r="N25" s="51">
        <v>5310</v>
      </c>
      <c r="O25" s="52">
        <v>300</v>
      </c>
      <c r="P25" s="53"/>
      <c r="Q25" s="54"/>
      <c r="V25" s="623" t="s">
        <v>61</v>
      </c>
      <c r="W25" s="623"/>
      <c r="X25" s="618">
        <f>IF('3413 June Final'!K$84=1,'3413 June Final'!G25,0)</f>
        <v>0</v>
      </c>
      <c r="Y25" s="618"/>
      <c r="Z25" s="624">
        <v>1</v>
      </c>
      <c r="AA25" s="624"/>
      <c r="AB25" s="55">
        <f t="shared" si="3"/>
        <v>0</v>
      </c>
      <c r="AC25" s="56">
        <f t="shared" si="4"/>
        <v>0</v>
      </c>
      <c r="AD25" s="9"/>
    </row>
    <row r="26" spans="1:30" ht="20.25" customHeight="1" thickBot="1" x14ac:dyDescent="0.3">
      <c r="B26" s="62" t="s">
        <v>62</v>
      </c>
      <c r="C26" s="62"/>
      <c r="D26" s="63">
        <f>SUM(D10:D25)</f>
        <v>142.82</v>
      </c>
      <c r="E26" s="63">
        <f>SUM(E10:E25)</f>
        <v>142.13999999999999</v>
      </c>
      <c r="F26" s="63"/>
      <c r="G26" s="63">
        <f>SUM(G10:G25)</f>
        <v>284.95999999999998</v>
      </c>
      <c r="H26" s="64"/>
      <c r="I26" s="64"/>
      <c r="J26" s="65"/>
      <c r="K26" s="66">
        <f>SUM(K10:K25)</f>
        <v>314.12870000000004</v>
      </c>
      <c r="L26" s="67">
        <f>SUM(L10:L25)</f>
        <v>1217131</v>
      </c>
      <c r="N26" s="54"/>
      <c r="O26" s="68"/>
      <c r="P26" s="54"/>
      <c r="Q26" s="54"/>
      <c r="V26" s="625" t="s">
        <v>62</v>
      </c>
      <c r="W26" s="625"/>
      <c r="X26" s="626">
        <f>SUM(X10:X25)</f>
        <v>0</v>
      </c>
      <c r="Y26" s="626"/>
      <c r="Z26" s="627"/>
      <c r="AA26" s="628"/>
      <c r="AB26" s="69">
        <f>SUM(AB10:AB25)</f>
        <v>0</v>
      </c>
      <c r="AC26" s="70">
        <f>SUM(AC10:AC25)</f>
        <v>0</v>
      </c>
      <c r="AD26" s="9"/>
    </row>
    <row r="27" spans="1:30" ht="51.75" customHeight="1" x14ac:dyDescent="0.25">
      <c r="B27" s="62" t="s">
        <v>63</v>
      </c>
      <c r="C27" s="62"/>
      <c r="D27" s="71" t="s">
        <v>13</v>
      </c>
      <c r="E27" s="71" t="s">
        <v>14</v>
      </c>
      <c r="F27" s="27"/>
      <c r="G27" s="72" t="s">
        <v>64</v>
      </c>
      <c r="H27" s="73"/>
      <c r="I27" s="74" t="s">
        <v>65</v>
      </c>
      <c r="J27" s="74" t="s">
        <v>66</v>
      </c>
      <c r="K27" s="75" t="s">
        <v>67</v>
      </c>
      <c r="N27" s="54"/>
      <c r="O27" s="68"/>
      <c r="P27" s="54"/>
      <c r="Q27" s="54"/>
      <c r="V27" s="629" t="s">
        <v>63</v>
      </c>
      <c r="W27" s="629"/>
      <c r="X27" s="630" t="s">
        <v>64</v>
      </c>
      <c r="Y27" s="630"/>
      <c r="Z27" s="76" t="s">
        <v>65</v>
      </c>
      <c r="AA27" s="77" t="s">
        <v>66</v>
      </c>
      <c r="AB27" s="78" t="s">
        <v>67</v>
      </c>
      <c r="AC27" s="9"/>
      <c r="AD27" s="9"/>
    </row>
    <row r="28" spans="1:30" ht="15.75" customHeight="1" x14ac:dyDescent="0.25">
      <c r="A28" s="1" t="s">
        <v>68</v>
      </c>
      <c r="B28" s="631" t="s">
        <v>69</v>
      </c>
      <c r="C28" s="632"/>
      <c r="D28" s="13">
        <v>14.49</v>
      </c>
      <c r="E28" s="13">
        <v>14.07</v>
      </c>
      <c r="F28" s="79">
        <v>12</v>
      </c>
      <c r="G28" s="46">
        <f t="shared" ref="G28:G36" si="5">D28+E28</f>
        <v>28.560000000000002</v>
      </c>
      <c r="H28" s="80"/>
      <c r="I28" s="81" t="s">
        <v>70</v>
      </c>
      <c r="J28" s="82">
        <v>251</v>
      </c>
      <c r="K28" s="83">
        <v>1047</v>
      </c>
      <c r="L28" s="84">
        <f t="shared" ref="L28:L36" si="6">ROUND(G28*K28,0)</f>
        <v>29902</v>
      </c>
      <c r="N28" s="337">
        <v>5101</v>
      </c>
      <c r="O28" s="54">
        <v>251</v>
      </c>
      <c r="P28" s="86"/>
      <c r="Q28" s="87"/>
      <c r="V28" s="637" t="s">
        <v>69</v>
      </c>
      <c r="W28" s="637"/>
      <c r="X28" s="638"/>
      <c r="Y28" s="638"/>
      <c r="Z28" s="88" t="s">
        <v>70</v>
      </c>
      <c r="AA28" s="330">
        <v>251</v>
      </c>
      <c r="AB28" s="90">
        <f t="shared" ref="AB28:AB36" si="7">+K28</f>
        <v>1047</v>
      </c>
      <c r="AC28" s="91">
        <f t="shared" ref="AC28:AC36" si="8">ROUND(X28*AB28,0)</f>
        <v>0</v>
      </c>
      <c r="AD28" s="9"/>
    </row>
    <row r="29" spans="1:30" x14ac:dyDescent="0.25">
      <c r="A29" s="1" t="s">
        <v>71</v>
      </c>
      <c r="B29" s="633"/>
      <c r="C29" s="634"/>
      <c r="D29" s="13">
        <v>0</v>
      </c>
      <c r="E29" s="13">
        <v>0</v>
      </c>
      <c r="F29" s="92">
        <v>0.5</v>
      </c>
      <c r="G29" s="46">
        <f t="shared" si="5"/>
        <v>0</v>
      </c>
      <c r="H29" s="80"/>
      <c r="I29" s="82" t="s">
        <v>70</v>
      </c>
      <c r="J29" s="82">
        <v>252</v>
      </c>
      <c r="K29" s="83">
        <v>3380</v>
      </c>
      <c r="L29" s="84">
        <f t="shared" si="6"/>
        <v>0</v>
      </c>
      <c r="N29" s="337">
        <v>5101</v>
      </c>
      <c r="O29" s="54">
        <v>252</v>
      </c>
      <c r="P29" s="86"/>
      <c r="Q29" s="87"/>
      <c r="V29" s="637"/>
      <c r="W29" s="637"/>
      <c r="X29" s="638"/>
      <c r="Y29" s="638"/>
      <c r="Z29" s="330" t="s">
        <v>70</v>
      </c>
      <c r="AA29" s="330">
        <v>252</v>
      </c>
      <c r="AB29" s="90">
        <f t="shared" si="7"/>
        <v>3380</v>
      </c>
      <c r="AC29" s="91">
        <f t="shared" si="8"/>
        <v>0</v>
      </c>
      <c r="AD29" s="9"/>
    </row>
    <row r="30" spans="1:30" x14ac:dyDescent="0.25">
      <c r="A30" s="1" t="s">
        <v>72</v>
      </c>
      <c r="B30" s="633"/>
      <c r="C30" s="634"/>
      <c r="D30" s="13">
        <v>0</v>
      </c>
      <c r="E30" s="13">
        <v>0</v>
      </c>
      <c r="F30" s="92">
        <v>0</v>
      </c>
      <c r="G30" s="46">
        <f t="shared" si="5"/>
        <v>0</v>
      </c>
      <c r="H30" s="80"/>
      <c r="I30" s="82" t="s">
        <v>70</v>
      </c>
      <c r="J30" s="82">
        <v>253</v>
      </c>
      <c r="K30" s="83">
        <v>6896</v>
      </c>
      <c r="L30" s="84">
        <f t="shared" si="6"/>
        <v>0</v>
      </c>
      <c r="N30" s="337">
        <v>5101</v>
      </c>
      <c r="O30" s="54">
        <v>253</v>
      </c>
      <c r="P30" s="86"/>
      <c r="Q30" s="68"/>
      <c r="V30" s="637"/>
      <c r="W30" s="637"/>
      <c r="X30" s="638"/>
      <c r="Y30" s="638"/>
      <c r="Z30" s="330" t="s">
        <v>70</v>
      </c>
      <c r="AA30" s="330">
        <v>253</v>
      </c>
      <c r="AB30" s="90">
        <f t="shared" si="7"/>
        <v>6896</v>
      </c>
      <c r="AC30" s="91">
        <f t="shared" si="8"/>
        <v>0</v>
      </c>
      <c r="AD30" s="9"/>
    </row>
    <row r="31" spans="1:30" x14ac:dyDescent="0.25">
      <c r="A31" s="1" t="s">
        <v>73</v>
      </c>
      <c r="B31" s="633"/>
      <c r="C31" s="634"/>
      <c r="D31" s="13">
        <v>8.51</v>
      </c>
      <c r="E31" s="13">
        <v>7.05</v>
      </c>
      <c r="F31" s="92">
        <v>5.5</v>
      </c>
      <c r="G31" s="46">
        <f t="shared" si="5"/>
        <v>15.559999999999999</v>
      </c>
      <c r="H31" s="80"/>
      <c r="I31" s="93" t="s">
        <v>74</v>
      </c>
      <c r="J31" s="82">
        <v>251</v>
      </c>
      <c r="K31" s="83">
        <v>1173</v>
      </c>
      <c r="L31" s="84">
        <f t="shared" si="6"/>
        <v>18252</v>
      </c>
      <c r="N31" s="337">
        <v>5102</v>
      </c>
      <c r="O31" s="54">
        <v>251</v>
      </c>
      <c r="P31" s="86"/>
      <c r="Q31" s="68"/>
      <c r="V31" s="637"/>
      <c r="W31" s="637"/>
      <c r="X31" s="638"/>
      <c r="Y31" s="638"/>
      <c r="Z31" s="94" t="s">
        <v>74</v>
      </c>
      <c r="AA31" s="330">
        <v>251</v>
      </c>
      <c r="AB31" s="90">
        <f t="shared" si="7"/>
        <v>1173</v>
      </c>
      <c r="AC31" s="91">
        <f t="shared" si="8"/>
        <v>0</v>
      </c>
      <c r="AD31" s="9"/>
    </row>
    <row r="32" spans="1:30" x14ac:dyDescent="0.25">
      <c r="A32" s="1" t="s">
        <v>75</v>
      </c>
      <c r="B32" s="633"/>
      <c r="C32" s="634"/>
      <c r="D32" s="13">
        <v>0</v>
      </c>
      <c r="E32" s="13">
        <v>0</v>
      </c>
      <c r="F32" s="92">
        <v>0.5</v>
      </c>
      <c r="G32" s="46">
        <f t="shared" si="5"/>
        <v>0</v>
      </c>
      <c r="H32" s="80"/>
      <c r="I32" s="93" t="s">
        <v>74</v>
      </c>
      <c r="J32" s="82">
        <v>252</v>
      </c>
      <c r="K32" s="83">
        <v>3506</v>
      </c>
      <c r="L32" s="84">
        <f t="shared" si="6"/>
        <v>0</v>
      </c>
      <c r="N32" s="337">
        <v>5102</v>
      </c>
      <c r="O32" s="54">
        <v>252</v>
      </c>
      <c r="P32" s="86"/>
      <c r="Q32" s="54"/>
      <c r="V32" s="637"/>
      <c r="W32" s="637"/>
      <c r="X32" s="638"/>
      <c r="Y32" s="638"/>
      <c r="Z32" s="94" t="s">
        <v>74</v>
      </c>
      <c r="AA32" s="330">
        <v>252</v>
      </c>
      <c r="AB32" s="90">
        <f t="shared" si="7"/>
        <v>3506</v>
      </c>
      <c r="AC32" s="91">
        <f t="shared" si="8"/>
        <v>0</v>
      </c>
      <c r="AD32" s="9"/>
    </row>
    <row r="33" spans="1:30" x14ac:dyDescent="0.25">
      <c r="A33" s="1" t="s">
        <v>76</v>
      </c>
      <c r="B33" s="633"/>
      <c r="C33" s="634"/>
      <c r="D33" s="13">
        <v>0</v>
      </c>
      <c r="E33" s="13">
        <v>0</v>
      </c>
      <c r="F33" s="92">
        <v>0</v>
      </c>
      <c r="G33" s="46">
        <f t="shared" si="5"/>
        <v>0</v>
      </c>
      <c r="H33" s="80"/>
      <c r="I33" s="93" t="s">
        <v>74</v>
      </c>
      <c r="J33" s="82">
        <v>253</v>
      </c>
      <c r="K33" s="83">
        <v>7023</v>
      </c>
      <c r="L33" s="84">
        <f t="shared" si="6"/>
        <v>0</v>
      </c>
      <c r="N33" s="337">
        <v>5102</v>
      </c>
      <c r="O33" s="54">
        <v>253</v>
      </c>
      <c r="P33" s="86"/>
      <c r="Q33" s="87"/>
      <c r="V33" s="637"/>
      <c r="W33" s="637"/>
      <c r="X33" s="638"/>
      <c r="Y33" s="638"/>
      <c r="Z33" s="94" t="s">
        <v>74</v>
      </c>
      <c r="AA33" s="330">
        <v>253</v>
      </c>
      <c r="AB33" s="90">
        <f t="shared" si="7"/>
        <v>7023</v>
      </c>
      <c r="AC33" s="91">
        <f t="shared" si="8"/>
        <v>0</v>
      </c>
      <c r="AD33" s="9"/>
    </row>
    <row r="34" spans="1:30" x14ac:dyDescent="0.25">
      <c r="A34" s="1" t="s">
        <v>77</v>
      </c>
      <c r="B34" s="633"/>
      <c r="C34" s="634"/>
      <c r="D34" s="13">
        <v>0</v>
      </c>
      <c r="E34" s="13">
        <v>0</v>
      </c>
      <c r="F34" s="92">
        <v>0</v>
      </c>
      <c r="G34" s="46">
        <f t="shared" si="5"/>
        <v>0</v>
      </c>
      <c r="H34" s="80"/>
      <c r="I34" s="93" t="s">
        <v>78</v>
      </c>
      <c r="J34" s="82">
        <v>251</v>
      </c>
      <c r="K34" s="83">
        <v>835</v>
      </c>
      <c r="L34" s="84">
        <f t="shared" si="6"/>
        <v>0</v>
      </c>
      <c r="N34" s="337">
        <v>5103</v>
      </c>
      <c r="O34" s="54">
        <v>251</v>
      </c>
      <c r="P34" s="86"/>
      <c r="Q34" s="87"/>
      <c r="V34" s="637"/>
      <c r="W34" s="637"/>
      <c r="X34" s="638"/>
      <c r="Y34" s="638"/>
      <c r="Z34" s="94" t="s">
        <v>78</v>
      </c>
      <c r="AA34" s="330">
        <v>251</v>
      </c>
      <c r="AB34" s="90">
        <f t="shared" si="7"/>
        <v>835</v>
      </c>
      <c r="AC34" s="91">
        <f t="shared" si="8"/>
        <v>0</v>
      </c>
      <c r="AD34" s="9"/>
    </row>
    <row r="35" spans="1:30" x14ac:dyDescent="0.25">
      <c r="A35" s="1" t="s">
        <v>79</v>
      </c>
      <c r="B35" s="633"/>
      <c r="C35" s="634"/>
      <c r="D35" s="13">
        <v>0</v>
      </c>
      <c r="E35" s="13">
        <v>0</v>
      </c>
      <c r="F35" s="92">
        <v>0</v>
      </c>
      <c r="G35" s="46">
        <f t="shared" si="5"/>
        <v>0</v>
      </c>
      <c r="H35" s="80"/>
      <c r="I35" s="93" t="s">
        <v>78</v>
      </c>
      <c r="J35" s="82">
        <v>252</v>
      </c>
      <c r="K35" s="83">
        <v>3168</v>
      </c>
      <c r="L35" s="84">
        <f t="shared" si="6"/>
        <v>0</v>
      </c>
      <c r="N35" s="337">
        <v>5103</v>
      </c>
      <c r="O35" s="54">
        <v>252</v>
      </c>
      <c r="P35" s="86"/>
      <c r="Q35" s="95"/>
      <c r="V35" s="637"/>
      <c r="W35" s="637"/>
      <c r="X35" s="638"/>
      <c r="Y35" s="638"/>
      <c r="Z35" s="94" t="s">
        <v>78</v>
      </c>
      <c r="AA35" s="330">
        <v>252</v>
      </c>
      <c r="AB35" s="90">
        <f t="shared" si="7"/>
        <v>3168</v>
      </c>
      <c r="AC35" s="91">
        <f t="shared" si="8"/>
        <v>0</v>
      </c>
      <c r="AD35" s="9"/>
    </row>
    <row r="36" spans="1:30" ht="16.5" thickBot="1" x14ac:dyDescent="0.3">
      <c r="A36" s="1" t="s">
        <v>80</v>
      </c>
      <c r="B36" s="635"/>
      <c r="C36" s="636"/>
      <c r="D36" s="13">
        <v>0</v>
      </c>
      <c r="E36" s="13">
        <v>0</v>
      </c>
      <c r="F36" s="92">
        <v>0</v>
      </c>
      <c r="G36" s="46">
        <f t="shared" si="5"/>
        <v>0</v>
      </c>
      <c r="H36" s="80"/>
      <c r="I36" s="93" t="s">
        <v>78</v>
      </c>
      <c r="J36" s="82">
        <v>253</v>
      </c>
      <c r="K36" s="83">
        <v>6685</v>
      </c>
      <c r="L36" s="96">
        <f t="shared" si="6"/>
        <v>0</v>
      </c>
      <c r="N36" s="337">
        <v>5103</v>
      </c>
      <c r="O36" s="54">
        <v>253</v>
      </c>
      <c r="P36" s="86"/>
      <c r="Q36" s="97"/>
      <c r="V36" s="637"/>
      <c r="W36" s="637"/>
      <c r="X36" s="645"/>
      <c r="Y36" s="645"/>
      <c r="Z36" s="94" t="s">
        <v>78</v>
      </c>
      <c r="AA36" s="330">
        <v>253</v>
      </c>
      <c r="AB36" s="90">
        <f t="shared" si="7"/>
        <v>6685</v>
      </c>
      <c r="AC36" s="98">
        <f t="shared" si="8"/>
        <v>0</v>
      </c>
      <c r="AD36" s="9"/>
    </row>
    <row r="37" spans="1:30" ht="18.75" customHeight="1" x14ac:dyDescent="0.25">
      <c r="B37" s="13" t="s">
        <v>81</v>
      </c>
      <c r="C37" s="13"/>
      <c r="D37" s="63">
        <f>SUM(D28:D36)</f>
        <v>23</v>
      </c>
      <c r="E37" s="63">
        <f>SUM(E28:E36)</f>
        <v>21.12</v>
      </c>
      <c r="F37" s="63"/>
      <c r="G37" s="63">
        <f>SUM(G28:G36)</f>
        <v>44.120000000000005</v>
      </c>
      <c r="H37" s="64"/>
      <c r="I37" s="13" t="s">
        <v>82</v>
      </c>
      <c r="J37" s="13"/>
      <c r="K37" s="13"/>
      <c r="L37" s="50">
        <f>SUM(L28:L36)</f>
        <v>48154</v>
      </c>
      <c r="N37" s="54"/>
      <c r="O37" s="68"/>
      <c r="P37" s="54"/>
      <c r="Q37" s="54"/>
      <c r="V37" s="646" t="s">
        <v>81</v>
      </c>
      <c r="W37" s="646"/>
      <c r="X37" s="626">
        <f>SUM(X28:X36)</f>
        <v>0</v>
      </c>
      <c r="Y37" s="626"/>
      <c r="Z37" s="646" t="s">
        <v>82</v>
      </c>
      <c r="AA37" s="646"/>
      <c r="AB37" s="646"/>
      <c r="AC37" s="56">
        <f>SUM(AC28:AC36)</f>
        <v>0</v>
      </c>
      <c r="AD37" s="9"/>
    </row>
    <row r="38" spans="1:30" ht="30.75" customHeight="1" x14ac:dyDescent="0.25">
      <c r="B38" s="99" t="s">
        <v>83</v>
      </c>
      <c r="C38" s="99"/>
      <c r="D38" s="99"/>
      <c r="E38" s="99"/>
      <c r="F38" s="99"/>
      <c r="G38" s="99"/>
      <c r="H38" s="100"/>
      <c r="I38" s="99"/>
      <c r="J38" s="99"/>
      <c r="K38" s="99"/>
      <c r="L38" s="99"/>
      <c r="M38" s="101"/>
      <c r="N38" s="54"/>
      <c r="O38" s="68"/>
      <c r="P38" s="54"/>
      <c r="Q38" s="54"/>
      <c r="V38" s="639" t="s">
        <v>83</v>
      </c>
      <c r="W38" s="639"/>
      <c r="X38" s="639"/>
      <c r="Y38" s="639"/>
      <c r="Z38" s="639"/>
      <c r="AA38" s="639"/>
      <c r="AB38" s="639"/>
      <c r="AC38" s="639"/>
      <c r="AD38" s="102"/>
    </row>
    <row r="39" spans="1:30" ht="15.75" customHeight="1" x14ac:dyDescent="0.25">
      <c r="B39" s="103" t="s">
        <v>84</v>
      </c>
      <c r="C39" s="103"/>
      <c r="D39" s="103"/>
      <c r="E39" s="103"/>
      <c r="F39" s="103"/>
      <c r="G39" s="104">
        <v>34389540</v>
      </c>
      <c r="H39" s="104"/>
      <c r="I39" s="13" t="s">
        <v>85</v>
      </c>
      <c r="J39" s="13"/>
      <c r="K39" s="13"/>
      <c r="L39" s="13"/>
      <c r="O39" s="1"/>
      <c r="V39" s="640" t="s">
        <v>84</v>
      </c>
      <c r="W39" s="640"/>
      <c r="X39" s="641">
        <f>+G39</f>
        <v>34389540</v>
      </c>
      <c r="Y39" s="641"/>
      <c r="Z39" s="642" t="s">
        <v>85</v>
      </c>
      <c r="AA39" s="642"/>
      <c r="AB39" s="642"/>
      <c r="AC39" s="642"/>
      <c r="AD39" s="9"/>
    </row>
    <row r="40" spans="1:30" ht="15.75" customHeight="1" x14ac:dyDescent="0.25">
      <c r="B40" s="105" t="s">
        <v>86</v>
      </c>
      <c r="C40" s="105"/>
      <c r="D40" s="105"/>
      <c r="E40" s="105"/>
      <c r="F40" s="105"/>
      <c r="G40" s="106">
        <v>180284.81</v>
      </c>
      <c r="H40" s="106"/>
      <c r="I40" s="106"/>
      <c r="J40" s="106"/>
      <c r="K40" s="50">
        <f>ROUND(G39/G40,0)</f>
        <v>191</v>
      </c>
      <c r="L40" s="50">
        <f>ROUND(K40*$G$26,0)</f>
        <v>54427</v>
      </c>
      <c r="N40" s="107"/>
      <c r="O40" s="107"/>
      <c r="P40" s="107"/>
      <c r="Q40" s="107"/>
      <c r="V40" s="643" t="s">
        <v>86</v>
      </c>
      <c r="W40" s="643"/>
      <c r="X40" s="644">
        <f>+G40</f>
        <v>180284.81</v>
      </c>
      <c r="Y40" s="644"/>
      <c r="Z40" s="644"/>
      <c r="AA40" s="644"/>
      <c r="AB40" s="56">
        <f>ROUND(X39/X40,0)</f>
        <v>191</v>
      </c>
      <c r="AC40" s="56">
        <f>ROUND(AB40*$X$26,0)</f>
        <v>0</v>
      </c>
      <c r="AD40" s="9"/>
    </row>
    <row r="41" spans="1:30" ht="15.75" customHeight="1" x14ac:dyDescent="0.25">
      <c r="B41" s="108" t="s">
        <v>87</v>
      </c>
      <c r="C41" s="108"/>
      <c r="D41" s="108"/>
      <c r="E41" s="108"/>
      <c r="F41" s="108"/>
      <c r="G41" s="108"/>
      <c r="H41" s="108"/>
      <c r="I41" s="108"/>
      <c r="J41" s="108"/>
      <c r="K41" s="108"/>
      <c r="L41" s="108"/>
      <c r="N41" s="101"/>
      <c r="O41" s="109"/>
      <c r="P41" s="101"/>
      <c r="Q41" s="101"/>
      <c r="V41" s="652" t="s">
        <v>87</v>
      </c>
      <c r="W41" s="652"/>
      <c r="X41" s="652"/>
      <c r="Y41" s="652"/>
      <c r="Z41" s="652"/>
      <c r="AA41" s="652"/>
      <c r="AB41" s="652"/>
      <c r="AC41" s="652"/>
      <c r="AD41" s="9"/>
    </row>
    <row r="42" spans="1:30" ht="28.5" customHeight="1" x14ac:dyDescent="0.25">
      <c r="B42" s="99" t="s">
        <v>88</v>
      </c>
      <c r="C42" s="99"/>
      <c r="D42" s="99"/>
      <c r="E42" s="99"/>
      <c r="F42" s="99"/>
      <c r="G42" s="99"/>
      <c r="H42" s="99"/>
      <c r="I42" s="99"/>
      <c r="J42" s="99"/>
      <c r="K42" s="99"/>
      <c r="L42" s="99"/>
      <c r="M42" s="107"/>
      <c r="O42" s="1"/>
      <c r="V42" s="639" t="s">
        <v>88</v>
      </c>
      <c r="W42" s="639"/>
      <c r="X42" s="639"/>
      <c r="Y42" s="639"/>
      <c r="Z42" s="639"/>
      <c r="AA42" s="639"/>
      <c r="AB42" s="639"/>
      <c r="AC42" s="639"/>
      <c r="AD42" s="334"/>
    </row>
    <row r="43" spans="1:30" x14ac:dyDescent="0.25">
      <c r="B43" s="111" t="s">
        <v>89</v>
      </c>
      <c r="C43" s="111"/>
      <c r="D43" s="111"/>
      <c r="E43" s="111"/>
      <c r="F43" s="111"/>
      <c r="G43" s="111"/>
      <c r="H43" s="111"/>
      <c r="I43" s="111"/>
      <c r="J43" s="111"/>
      <c r="K43" s="111"/>
      <c r="L43" s="111"/>
      <c r="M43" s="112"/>
      <c r="N43" s="101"/>
      <c r="O43" s="101"/>
      <c r="P43" s="101"/>
      <c r="Q43" s="101"/>
      <c r="V43" s="653" t="s">
        <v>89</v>
      </c>
      <c r="W43" s="653"/>
      <c r="X43" s="653"/>
      <c r="Y43" s="653"/>
      <c r="Z43" s="653"/>
      <c r="AA43" s="653"/>
      <c r="AB43" s="653"/>
      <c r="AC43" s="653"/>
      <c r="AD43" s="113"/>
    </row>
    <row r="44" spans="1:30" ht="24" customHeight="1" x14ac:dyDescent="0.25">
      <c r="B44" s="62" t="s">
        <v>90</v>
      </c>
      <c r="C44" s="62"/>
      <c r="D44" s="62"/>
      <c r="E44" s="62"/>
      <c r="F44" s="62"/>
      <c r="G44" s="62"/>
      <c r="H44" s="62"/>
      <c r="I44" s="62"/>
      <c r="J44" s="62"/>
      <c r="K44" s="62"/>
      <c r="L44" s="114">
        <f>SUM(L26,L37,L40)</f>
        <v>1319712</v>
      </c>
      <c r="O44" s="1"/>
      <c r="V44" s="654" t="s">
        <v>90</v>
      </c>
      <c r="W44" s="654"/>
      <c r="X44" s="654"/>
      <c r="Y44" s="654"/>
      <c r="Z44" s="654"/>
      <c r="AA44" s="654"/>
      <c r="AB44" s="654"/>
      <c r="AC44" s="115">
        <f>SUM(AC26,AC37,AC40)</f>
        <v>0</v>
      </c>
      <c r="AD44" s="9"/>
    </row>
    <row r="45" spans="1:30" ht="30.75" customHeight="1" x14ac:dyDescent="0.25">
      <c r="B45" s="99" t="s">
        <v>91</v>
      </c>
      <c r="C45" s="99"/>
      <c r="D45" s="99"/>
      <c r="E45" s="99"/>
      <c r="F45" s="99"/>
      <c r="G45" s="99"/>
      <c r="H45" s="99"/>
      <c r="I45" s="99"/>
      <c r="J45" s="99"/>
      <c r="K45" s="99"/>
      <c r="L45" s="99"/>
      <c r="M45" s="116"/>
      <c r="O45" s="1"/>
      <c r="V45" s="639" t="s">
        <v>91</v>
      </c>
      <c r="W45" s="639"/>
      <c r="X45" s="639"/>
      <c r="Y45" s="639"/>
      <c r="Z45" s="639"/>
      <c r="AA45" s="639"/>
      <c r="AB45" s="639"/>
      <c r="AC45" s="639"/>
      <c r="AD45" s="333"/>
    </row>
    <row r="46" spans="1:30" ht="18.75" customHeight="1" x14ac:dyDescent="0.25">
      <c r="B46" s="1"/>
      <c r="C46" s="118" t="s">
        <v>92</v>
      </c>
      <c r="D46" s="118"/>
      <c r="E46" s="118"/>
      <c r="F46" s="118"/>
      <c r="G46" s="118" t="s">
        <v>93</v>
      </c>
      <c r="H46" s="119"/>
      <c r="I46" s="120" t="s">
        <v>94</v>
      </c>
      <c r="J46" s="121"/>
      <c r="K46" s="121"/>
      <c r="L46" s="121"/>
      <c r="M46" s="122"/>
      <c r="O46" s="1"/>
      <c r="V46" s="9"/>
      <c r="W46" s="336" t="s">
        <v>92</v>
      </c>
      <c r="X46" s="655" t="s">
        <v>95</v>
      </c>
      <c r="Y46" s="655"/>
      <c r="Z46" s="656" t="s">
        <v>94</v>
      </c>
      <c r="AA46" s="656"/>
      <c r="AB46" s="656"/>
      <c r="AC46" s="656"/>
      <c r="AD46" s="124"/>
    </row>
    <row r="47" spans="1:30" ht="18.75" customHeight="1" x14ac:dyDescent="0.25">
      <c r="B47" s="107" t="s">
        <v>96</v>
      </c>
      <c r="C47" s="125">
        <f>K10+K11+K16+K19+K22</f>
        <v>260.10820000000001</v>
      </c>
      <c r="D47" s="125"/>
      <c r="E47" s="125"/>
      <c r="F47" s="125"/>
      <c r="G47" s="126">
        <f>K7</f>
        <v>1.0326</v>
      </c>
      <c r="H47" s="126"/>
      <c r="I47" s="127">
        <v>1316.85</v>
      </c>
      <c r="J47" s="128" t="s">
        <v>97</v>
      </c>
      <c r="K47" s="129">
        <f>ROUND(C47*G47*I47,0)</f>
        <v>353690</v>
      </c>
      <c r="L47" s="130"/>
      <c r="O47" s="1"/>
      <c r="V47" s="334" t="s">
        <v>96</v>
      </c>
      <c r="W47" s="131">
        <f>AB10+AB11+AB16+AB19+AB22</f>
        <v>0</v>
      </c>
      <c r="X47" s="647">
        <f>AB7</f>
        <v>1.0326</v>
      </c>
      <c r="Y47" s="647"/>
      <c r="Z47" s="132">
        <f>+I47</f>
        <v>1316.85</v>
      </c>
      <c r="AA47" s="133" t="s">
        <v>97</v>
      </c>
      <c r="AB47" s="134">
        <f>ROUND(W47*X47*Z47,0)</f>
        <v>0</v>
      </c>
      <c r="AC47" s="135"/>
      <c r="AD47" s="9"/>
    </row>
    <row r="48" spans="1:30" ht="18" customHeight="1" x14ac:dyDescent="0.25">
      <c r="B48" s="136" t="s">
        <v>74</v>
      </c>
      <c r="C48" s="125">
        <f>K12+K13+K17+K20+K23</f>
        <v>54.020499999999998</v>
      </c>
      <c r="D48" s="125"/>
      <c r="E48" s="125"/>
      <c r="F48" s="125"/>
      <c r="G48" s="126">
        <f>K7</f>
        <v>1.0326</v>
      </c>
      <c r="H48" s="126"/>
      <c r="I48" s="127">
        <v>898.23</v>
      </c>
      <c r="J48" s="128" t="s">
        <v>97</v>
      </c>
      <c r="K48" s="129">
        <f>ROUND(C48*G48*I48,0)</f>
        <v>50105</v>
      </c>
      <c r="L48" s="62"/>
      <c r="O48" s="1"/>
      <c r="V48" s="137" t="s">
        <v>74</v>
      </c>
      <c r="W48" s="131">
        <f>AB12+AB13+AB17+AB20+AB23</f>
        <v>0</v>
      </c>
      <c r="X48" s="647">
        <f>AB7</f>
        <v>1.0326</v>
      </c>
      <c r="Y48" s="647"/>
      <c r="Z48" s="132">
        <f>+I48</f>
        <v>898.23</v>
      </c>
      <c r="AA48" s="133" t="s">
        <v>97</v>
      </c>
      <c r="AB48" s="134">
        <f>ROUND(W48*X48*Z48,0)</f>
        <v>0</v>
      </c>
      <c r="AC48" s="138"/>
      <c r="AD48" s="9"/>
    </row>
    <row r="49" spans="2:30" ht="19.5" customHeight="1" thickBot="1" x14ac:dyDescent="0.3">
      <c r="B49" s="139" t="s">
        <v>78</v>
      </c>
      <c r="C49" s="140">
        <f>K14+K15+K18+K21+K24+K25</f>
        <v>0</v>
      </c>
      <c r="D49" s="125"/>
      <c r="E49" s="125"/>
      <c r="F49" s="125"/>
      <c r="G49" s="126">
        <f>K7</f>
        <v>1.0326</v>
      </c>
      <c r="H49" s="126"/>
      <c r="I49" s="127">
        <v>900.39</v>
      </c>
      <c r="J49" s="128" t="s">
        <v>97</v>
      </c>
      <c r="K49" s="129">
        <f>ROUND(C49*G49*I49,0)</f>
        <v>0</v>
      </c>
      <c r="L49" s="62"/>
      <c r="M49" s="112"/>
      <c r="N49" s="141"/>
      <c r="O49" s="142"/>
      <c r="P49" s="101"/>
      <c r="Q49" s="143"/>
      <c r="V49" s="144" t="s">
        <v>78</v>
      </c>
      <c r="W49" s="145">
        <f>AB14+AB15+AB18+AB21+AB24+AB25</f>
        <v>0</v>
      </c>
      <c r="X49" s="647">
        <f>AB7</f>
        <v>1.0326</v>
      </c>
      <c r="Y49" s="647"/>
      <c r="Z49" s="132">
        <f>+I49</f>
        <v>900.39</v>
      </c>
      <c r="AA49" s="133" t="s">
        <v>97</v>
      </c>
      <c r="AB49" s="134">
        <f>ROUND(W49*X49*Z49,0)</f>
        <v>0</v>
      </c>
      <c r="AC49" s="138"/>
      <c r="AD49" s="113"/>
    </row>
    <row r="50" spans="2:30" ht="24" customHeight="1" thickBot="1" x14ac:dyDescent="0.3">
      <c r="B50" s="146" t="s">
        <v>98</v>
      </c>
      <c r="C50" s="147">
        <f>SUM(C47:C49)</f>
        <v>314.12869999999998</v>
      </c>
      <c r="D50" s="148"/>
      <c r="E50" s="149"/>
      <c r="F50" s="149"/>
      <c r="G50" s="150" t="s">
        <v>99</v>
      </c>
      <c r="H50" s="150"/>
      <c r="I50" s="150"/>
      <c r="J50" s="150"/>
      <c r="K50" s="150"/>
      <c r="L50" s="50">
        <f>IF(B2=75,0,K49+K48+K47)</f>
        <v>403795</v>
      </c>
      <c r="N50" s="3"/>
      <c r="O50" s="1"/>
      <c r="V50" s="335" t="s">
        <v>98</v>
      </c>
      <c r="W50" s="152">
        <f>SUM(W47:W49)</f>
        <v>0</v>
      </c>
      <c r="X50" s="648" t="s">
        <v>99</v>
      </c>
      <c r="Y50" s="649"/>
      <c r="Z50" s="649"/>
      <c r="AA50" s="649"/>
      <c r="AB50" s="649"/>
      <c r="AC50" s="56">
        <f>IF(V2=75,0,AB49+AB48+AB47)</f>
        <v>0</v>
      </c>
      <c r="AD50" s="9"/>
    </row>
    <row r="51" spans="2:30" ht="19.5" customHeight="1" x14ac:dyDescent="0.25">
      <c r="B51" s="153" t="s">
        <v>100</v>
      </c>
      <c r="C51" s="153"/>
      <c r="D51" s="153"/>
      <c r="E51" s="153"/>
      <c r="F51" s="153"/>
      <c r="G51" s="153"/>
      <c r="H51" s="153"/>
      <c r="I51" s="153"/>
      <c r="J51" s="153"/>
      <c r="K51" s="153"/>
      <c r="L51" s="153"/>
      <c r="M51" s="141"/>
      <c r="N51" s="101"/>
      <c r="O51" s="1"/>
      <c r="V51" s="650" t="s">
        <v>100</v>
      </c>
      <c r="W51" s="650"/>
      <c r="X51" s="650"/>
      <c r="Y51" s="650"/>
      <c r="Z51" s="650"/>
      <c r="AA51" s="650"/>
      <c r="AB51" s="650"/>
      <c r="AC51" s="650"/>
      <c r="AD51" s="154"/>
    </row>
    <row r="52" spans="2:30" ht="27.75" customHeight="1" x14ac:dyDescent="0.25">
      <c r="B52" s="13" t="s">
        <v>101</v>
      </c>
      <c r="C52" s="13"/>
      <c r="D52" s="13"/>
      <c r="E52" s="13"/>
      <c r="F52" s="13"/>
      <c r="G52" s="13"/>
      <c r="H52" s="13"/>
      <c r="I52" s="13"/>
      <c r="J52" s="13"/>
      <c r="K52" s="13"/>
      <c r="L52" s="13"/>
      <c r="O52" s="1"/>
      <c r="V52" s="651" t="s">
        <v>101</v>
      </c>
      <c r="W52" s="651"/>
      <c r="X52" s="651"/>
      <c r="Y52" s="651"/>
      <c r="Z52" s="651"/>
      <c r="AA52" s="651"/>
      <c r="AB52" s="651"/>
      <c r="AC52" s="651"/>
      <c r="AD52" s="9"/>
    </row>
    <row r="53" spans="2:30" x14ac:dyDescent="0.25">
      <c r="B53" s="13" t="s">
        <v>102</v>
      </c>
      <c r="C53" s="13"/>
      <c r="D53" s="13"/>
      <c r="E53" s="13"/>
      <c r="F53" s="13"/>
      <c r="G53" s="155">
        <f>K26</f>
        <v>314.12870000000004</v>
      </c>
      <c r="H53" s="57" t="s">
        <v>103</v>
      </c>
      <c r="I53" s="57"/>
      <c r="J53" s="156">
        <v>197823.77</v>
      </c>
      <c r="K53" s="156"/>
      <c r="L53" s="156"/>
      <c r="N53" s="3"/>
      <c r="O53" s="1"/>
      <c r="V53" s="657" t="s">
        <v>102</v>
      </c>
      <c r="W53" s="657"/>
      <c r="X53" s="157">
        <f>AB26</f>
        <v>0</v>
      </c>
      <c r="Y53" s="658" t="s">
        <v>103</v>
      </c>
      <c r="Z53" s="658"/>
      <c r="AA53" s="659">
        <f>+J53</f>
        <v>197823.77</v>
      </c>
      <c r="AB53" s="659"/>
      <c r="AC53" s="659"/>
      <c r="AD53" s="9"/>
    </row>
    <row r="54" spans="2:30" x14ac:dyDescent="0.25">
      <c r="B54" s="13" t="s">
        <v>104</v>
      </c>
      <c r="C54" s="13"/>
      <c r="D54" s="13"/>
      <c r="E54" s="13"/>
      <c r="F54" s="13"/>
      <c r="G54" s="13"/>
      <c r="H54" s="13"/>
      <c r="I54" s="13"/>
      <c r="J54" s="13"/>
      <c r="K54" s="158">
        <f>ROUND(G53/J53,6)</f>
        <v>1.588E-3</v>
      </c>
      <c r="L54" s="158"/>
      <c r="N54" s="101"/>
      <c r="O54" s="1"/>
      <c r="V54" s="657" t="s">
        <v>104</v>
      </c>
      <c r="W54" s="657"/>
      <c r="X54" s="657"/>
      <c r="Y54" s="657"/>
      <c r="Z54" s="657"/>
      <c r="AA54" s="657"/>
      <c r="AB54" s="660">
        <f>ROUND(X53/AA53,6)</f>
        <v>0</v>
      </c>
      <c r="AC54" s="660"/>
      <c r="AD54" s="9"/>
    </row>
    <row r="55" spans="2:30" ht="24" customHeight="1" x14ac:dyDescent="0.25">
      <c r="B55" s="13" t="s">
        <v>105</v>
      </c>
      <c r="C55" s="13"/>
      <c r="D55" s="13"/>
      <c r="E55" s="13"/>
      <c r="F55" s="13"/>
      <c r="G55" s="13"/>
      <c r="H55" s="13"/>
      <c r="I55" s="13"/>
      <c r="J55" s="13"/>
      <c r="K55" s="13"/>
      <c r="L55" s="13"/>
      <c r="O55" s="1"/>
      <c r="V55" s="651" t="s">
        <v>105</v>
      </c>
      <c r="W55" s="651"/>
      <c r="X55" s="651"/>
      <c r="Y55" s="651"/>
      <c r="Z55" s="651"/>
      <c r="AA55" s="651"/>
      <c r="AB55" s="651"/>
      <c r="AC55" s="651"/>
      <c r="AD55" s="9"/>
    </row>
    <row r="56" spans="2:30" x14ac:dyDescent="0.25">
      <c r="B56" s="13" t="s">
        <v>106</v>
      </c>
      <c r="C56" s="13"/>
      <c r="D56" s="13"/>
      <c r="E56" s="13"/>
      <c r="F56" s="13"/>
      <c r="G56" s="159">
        <f>G26</f>
        <v>284.95999999999998</v>
      </c>
      <c r="H56" s="57" t="s">
        <v>107</v>
      </c>
      <c r="I56" s="57"/>
      <c r="J56" s="156">
        <f>+G40</f>
        <v>180284.81</v>
      </c>
      <c r="K56" s="156"/>
      <c r="L56" s="156"/>
      <c r="O56" s="1"/>
      <c r="V56" s="657" t="s">
        <v>106</v>
      </c>
      <c r="W56" s="657"/>
      <c r="X56" s="160">
        <f>X26</f>
        <v>0</v>
      </c>
      <c r="Y56" s="658" t="s">
        <v>107</v>
      </c>
      <c r="Z56" s="658"/>
      <c r="AA56" s="659">
        <f>+J56</f>
        <v>180284.81</v>
      </c>
      <c r="AB56" s="659"/>
      <c r="AC56" s="659"/>
      <c r="AD56" s="9"/>
    </row>
    <row r="57" spans="2:30" x14ac:dyDescent="0.25">
      <c r="B57" s="13" t="s">
        <v>108</v>
      </c>
      <c r="C57" s="13"/>
      <c r="D57" s="13"/>
      <c r="E57" s="13"/>
      <c r="F57" s="13"/>
      <c r="G57" s="13"/>
      <c r="H57" s="13"/>
      <c r="I57" s="13"/>
      <c r="J57" s="13"/>
      <c r="K57" s="158">
        <f>ROUND(G56/J56,6)</f>
        <v>1.5809999999999999E-3</v>
      </c>
      <c r="L57" s="158"/>
      <c r="O57" s="1"/>
      <c r="V57" s="657" t="s">
        <v>108</v>
      </c>
      <c r="W57" s="657"/>
      <c r="X57" s="657"/>
      <c r="Y57" s="657"/>
      <c r="Z57" s="657"/>
      <c r="AA57" s="657"/>
      <c r="AB57" s="660">
        <f>ROUND(X56/AA56,6)</f>
        <v>0</v>
      </c>
      <c r="AC57" s="660"/>
      <c r="AD57" s="9"/>
    </row>
    <row r="58" spans="2:30" ht="20.25" customHeight="1" x14ac:dyDescent="0.25">
      <c r="B58" s="161" t="s">
        <v>109</v>
      </c>
      <c r="C58" s="161"/>
      <c r="D58" s="161"/>
      <c r="E58" s="161"/>
      <c r="F58" s="161"/>
      <c r="G58" s="161"/>
      <c r="H58" s="161"/>
      <c r="I58" s="161"/>
      <c r="J58" s="161"/>
      <c r="K58" s="161"/>
      <c r="L58" s="161"/>
      <c r="N58" s="18"/>
      <c r="O58" s="18"/>
      <c r="V58" s="629" t="s">
        <v>110</v>
      </c>
      <c r="W58" s="629"/>
      <c r="X58" s="629"/>
      <c r="Y58" s="661">
        <f>X65+X64+X62+X61+X60</f>
        <v>4123852</v>
      </c>
      <c r="Z58" s="661"/>
      <c r="AA58" s="332" t="s">
        <v>111</v>
      </c>
      <c r="AB58" s="163">
        <f>AB54</f>
        <v>0</v>
      </c>
      <c r="AC58" s="56">
        <f>ROUND(Y58*AB58,0)</f>
        <v>0</v>
      </c>
      <c r="AD58" s="9"/>
    </row>
    <row r="59" spans="2:30" x14ac:dyDescent="0.25">
      <c r="B59" s="62" t="s">
        <v>110</v>
      </c>
      <c r="C59" s="62"/>
      <c r="D59" s="62"/>
      <c r="E59" s="62"/>
      <c r="F59" s="62"/>
      <c r="G59" s="62"/>
      <c r="H59" s="164" t="s">
        <v>22</v>
      </c>
      <c r="I59" s="129">
        <v>4123852</v>
      </c>
      <c r="J59" s="165" t="s">
        <v>111</v>
      </c>
      <c r="K59" s="166">
        <f>K54</f>
        <v>1.588E-3</v>
      </c>
      <c r="L59" s="50">
        <f>ROUND(I59*K59,0)</f>
        <v>6549</v>
      </c>
      <c r="O59" s="1"/>
      <c r="P59" s="165"/>
      <c r="Q59" s="165"/>
      <c r="V59" s="662" t="s">
        <v>112</v>
      </c>
      <c r="W59" s="662"/>
      <c r="X59" s="662"/>
      <c r="Y59" s="662"/>
      <c r="Z59" s="662"/>
      <c r="AA59" s="662"/>
      <c r="AB59" s="662"/>
      <c r="AC59" s="662"/>
      <c r="AD59" s="9"/>
    </row>
    <row r="60" spans="2:30" x14ac:dyDescent="0.25">
      <c r="B60" s="62" t="s">
        <v>112</v>
      </c>
      <c r="C60" s="62"/>
      <c r="D60" s="62"/>
      <c r="E60" s="62"/>
      <c r="F60" s="62"/>
      <c r="G60" s="62"/>
      <c r="H60" s="62"/>
      <c r="I60" s="62"/>
      <c r="J60" s="62"/>
      <c r="K60" s="62"/>
      <c r="L60" s="62"/>
      <c r="O60" s="1"/>
      <c r="P60" s="165"/>
      <c r="Q60" s="165"/>
      <c r="V60" s="663" t="s">
        <v>113</v>
      </c>
      <c r="W60" s="663"/>
      <c r="X60" s="664">
        <f>+G61</f>
        <v>0</v>
      </c>
      <c r="Y60" s="664"/>
      <c r="Z60" s="664"/>
      <c r="AA60" s="664"/>
      <c r="AB60" s="664"/>
      <c r="AC60" s="664"/>
      <c r="AD60" s="9"/>
    </row>
    <row r="61" spans="2:30" ht="15" customHeight="1" x14ac:dyDescent="0.25">
      <c r="B61" s="167" t="s">
        <v>113</v>
      </c>
      <c r="C61" s="62"/>
      <c r="D61" s="62"/>
      <c r="E61" s="62"/>
      <c r="F61" s="62"/>
      <c r="G61" s="168">
        <v>0</v>
      </c>
      <c r="H61" s="168"/>
      <c r="I61" s="168"/>
      <c r="J61" s="168"/>
      <c r="K61" s="168"/>
      <c r="L61" s="168"/>
      <c r="O61" s="1"/>
      <c r="P61" s="165"/>
      <c r="Q61" s="165"/>
      <c r="V61" s="663" t="s">
        <v>114</v>
      </c>
      <c r="W61" s="663"/>
      <c r="X61" s="664">
        <f>+G62</f>
        <v>0</v>
      </c>
      <c r="Y61" s="664"/>
      <c r="Z61" s="664"/>
      <c r="AA61" s="664"/>
      <c r="AB61" s="664"/>
      <c r="AC61" s="664"/>
      <c r="AD61" s="9"/>
    </row>
    <row r="62" spans="2:30" ht="13.5" customHeight="1" x14ac:dyDescent="0.25">
      <c r="B62" s="167" t="s">
        <v>114</v>
      </c>
      <c r="C62" s="62"/>
      <c r="D62" s="62"/>
      <c r="E62" s="62"/>
      <c r="F62" s="62"/>
      <c r="G62" s="168">
        <v>0</v>
      </c>
      <c r="H62" s="168"/>
      <c r="I62" s="168"/>
      <c r="J62" s="168"/>
      <c r="K62" s="168"/>
      <c r="L62" s="168"/>
      <c r="N62" s="165"/>
      <c r="O62" s="165"/>
      <c r="P62" s="165"/>
      <c r="Q62" s="165"/>
      <c r="V62" s="663" t="s">
        <v>115</v>
      </c>
      <c r="W62" s="663"/>
      <c r="X62" s="664">
        <v>0</v>
      </c>
      <c r="Y62" s="664"/>
      <c r="Z62" s="664"/>
      <c r="AA62" s="664"/>
      <c r="AB62" s="664"/>
      <c r="AC62" s="664"/>
      <c r="AD62" s="9"/>
    </row>
    <row r="63" spans="2:30" ht="13.5" hidden="1" customHeight="1" x14ac:dyDescent="0.25">
      <c r="B63" s="62" t="s">
        <v>115</v>
      </c>
      <c r="C63" s="62"/>
      <c r="D63" s="62"/>
      <c r="E63" s="62"/>
      <c r="F63" s="62"/>
      <c r="G63" s="168">
        <v>0</v>
      </c>
      <c r="H63" s="168"/>
      <c r="I63" s="168"/>
      <c r="J63" s="168"/>
      <c r="K63" s="168"/>
      <c r="L63" s="168"/>
      <c r="O63" s="1"/>
      <c r="P63" s="165"/>
      <c r="Q63" s="165"/>
      <c r="V63" s="662" t="s">
        <v>116</v>
      </c>
      <c r="W63" s="662"/>
      <c r="X63" s="662"/>
      <c r="Y63" s="662"/>
      <c r="Z63" s="662"/>
      <c r="AA63" s="662"/>
      <c r="AB63" s="662"/>
      <c r="AC63" s="662"/>
      <c r="AD63" s="333"/>
    </row>
    <row r="64" spans="2:30" ht="13.5" customHeight="1" x14ac:dyDescent="0.25">
      <c r="B64" s="62" t="s">
        <v>116</v>
      </c>
      <c r="C64" s="62"/>
      <c r="D64" s="62"/>
      <c r="E64" s="62"/>
      <c r="F64" s="62"/>
      <c r="G64" s="62"/>
      <c r="H64" s="62"/>
      <c r="I64" s="62"/>
      <c r="J64" s="62"/>
      <c r="K64" s="62"/>
      <c r="L64" s="62"/>
      <c r="M64" s="116"/>
      <c r="N64" s="18"/>
      <c r="O64" s="1"/>
      <c r="V64" s="663" t="s">
        <v>117</v>
      </c>
      <c r="W64" s="663"/>
      <c r="X64" s="664">
        <f>+G65</f>
        <v>4123852</v>
      </c>
      <c r="Y64" s="664"/>
      <c r="Z64" s="664"/>
      <c r="AA64" s="664"/>
      <c r="AB64" s="664"/>
      <c r="AC64" s="664"/>
      <c r="AD64" s="9"/>
    </row>
    <row r="65" spans="1:30" ht="12.75" customHeight="1" x14ac:dyDescent="0.25">
      <c r="B65" s="167" t="s">
        <v>117</v>
      </c>
      <c r="C65" s="62"/>
      <c r="D65" s="62"/>
      <c r="E65" s="62"/>
      <c r="F65" s="62"/>
      <c r="G65" s="168">
        <f>+I59</f>
        <v>4123852</v>
      </c>
      <c r="H65" s="168"/>
      <c r="I65" s="168"/>
      <c r="J65" s="168"/>
      <c r="K65" s="168"/>
      <c r="L65" s="168"/>
      <c r="O65" s="1"/>
      <c r="V65" s="663" t="s">
        <v>118</v>
      </c>
      <c r="W65" s="663"/>
      <c r="X65" s="664">
        <f>+G66</f>
        <v>0</v>
      </c>
      <c r="Y65" s="664"/>
      <c r="Z65" s="664"/>
      <c r="AA65" s="664"/>
      <c r="AB65" s="664"/>
      <c r="AC65" s="664"/>
      <c r="AD65" s="20"/>
    </row>
    <row r="66" spans="1:30" ht="15" customHeight="1" x14ac:dyDescent="0.25">
      <c r="B66" s="167" t="s">
        <v>118</v>
      </c>
      <c r="C66" s="62"/>
      <c r="D66" s="62"/>
      <c r="E66" s="62"/>
      <c r="F66" s="62"/>
      <c r="G66" s="168">
        <v>0</v>
      </c>
      <c r="H66" s="168"/>
      <c r="I66" s="168"/>
      <c r="J66" s="168"/>
      <c r="K66" s="168"/>
      <c r="L66" s="168"/>
      <c r="M66" s="18"/>
      <c r="N66" s="3"/>
      <c r="O66" s="169"/>
      <c r="P66" s="169"/>
      <c r="Q66" s="169"/>
      <c r="V66" s="651" t="s">
        <v>119</v>
      </c>
      <c r="W66" s="651"/>
      <c r="X66" s="651"/>
      <c r="Y66" s="661">
        <f>+I67</f>
        <v>96774526</v>
      </c>
      <c r="Z66" s="661"/>
      <c r="AA66" s="332" t="s">
        <v>111</v>
      </c>
      <c r="AB66" s="163">
        <f>AB54</f>
        <v>0</v>
      </c>
      <c r="AC66" s="56">
        <f>ROUND(Y66*AB66,0)</f>
        <v>0</v>
      </c>
      <c r="AD66" s="9"/>
    </row>
    <row r="67" spans="1:30" ht="20.25" customHeight="1" x14ac:dyDescent="0.25">
      <c r="B67" s="13" t="s">
        <v>119</v>
      </c>
      <c r="C67" s="13"/>
      <c r="D67" s="13"/>
      <c r="E67" s="13"/>
      <c r="F67" s="13"/>
      <c r="H67" s="164" t="s">
        <v>25</v>
      </c>
      <c r="I67" s="129">
        <v>96774526</v>
      </c>
      <c r="J67" s="165" t="s">
        <v>111</v>
      </c>
      <c r="K67" s="166">
        <f>K54</f>
        <v>1.588E-3</v>
      </c>
      <c r="L67" s="50">
        <f>ROUND(I67*K67,0)</f>
        <v>153678</v>
      </c>
      <c r="O67" s="1"/>
      <c r="V67" s="651" t="s">
        <v>120</v>
      </c>
      <c r="W67" s="651"/>
      <c r="X67" s="651"/>
      <c r="Y67" s="651"/>
      <c r="Z67" s="651"/>
      <c r="AA67" s="651"/>
      <c r="AB67" s="651"/>
      <c r="AC67" s="651"/>
      <c r="AD67" s="9"/>
    </row>
    <row r="68" spans="1:30" ht="20.25" customHeight="1" x14ac:dyDescent="0.25">
      <c r="B68" s="13" t="s">
        <v>120</v>
      </c>
      <c r="C68" s="13"/>
      <c r="D68" s="13"/>
      <c r="E68" s="13"/>
      <c r="F68" s="13"/>
      <c r="H68" s="13"/>
      <c r="I68" s="13"/>
      <c r="J68" s="82"/>
      <c r="K68" s="13"/>
      <c r="L68" s="13"/>
      <c r="O68" s="1"/>
      <c r="V68" s="667" t="s">
        <v>121</v>
      </c>
      <c r="W68" s="667"/>
      <c r="X68" s="667"/>
      <c r="Y68" s="661">
        <f>+I69</f>
        <v>0</v>
      </c>
      <c r="Z68" s="661"/>
      <c r="AA68" s="332" t="s">
        <v>111</v>
      </c>
      <c r="AB68" s="163">
        <f>AB57</f>
        <v>0</v>
      </c>
      <c r="AC68" s="56">
        <f>ROUND(Y68*AB68,0)</f>
        <v>0</v>
      </c>
      <c r="AD68" s="9"/>
    </row>
    <row r="69" spans="1:30" ht="15" customHeight="1" x14ac:dyDescent="0.25">
      <c r="B69" s="170" t="s">
        <v>121</v>
      </c>
      <c r="C69" s="13"/>
      <c r="D69" s="13"/>
      <c r="E69" s="13"/>
      <c r="F69" s="13"/>
      <c r="H69" s="164" t="s">
        <v>23</v>
      </c>
      <c r="I69" s="129">
        <v>0</v>
      </c>
      <c r="J69" s="165" t="s">
        <v>111</v>
      </c>
      <c r="K69" s="166">
        <f>K57</f>
        <v>1.5809999999999999E-3</v>
      </c>
      <c r="L69" s="50">
        <f>ROUND(I69*K69,0)</f>
        <v>0</v>
      </c>
      <c r="O69" s="1"/>
      <c r="V69" s="651" t="s">
        <v>122</v>
      </c>
      <c r="W69" s="651"/>
      <c r="X69" s="651"/>
      <c r="Y69" s="668">
        <f>+I70</f>
        <v>-3460775</v>
      </c>
      <c r="Z69" s="668"/>
      <c r="AA69" s="332" t="s">
        <v>111</v>
      </c>
      <c r="AB69" s="163">
        <f>AB54</f>
        <v>0</v>
      </c>
      <c r="AC69" s="56">
        <f>ROUND(Y69*AB69,0)</f>
        <v>0</v>
      </c>
      <c r="AD69" s="9"/>
    </row>
    <row r="70" spans="1:30" ht="20.25" customHeight="1" x14ac:dyDescent="0.25">
      <c r="B70" s="13" t="s">
        <v>122</v>
      </c>
      <c r="C70" s="13"/>
      <c r="D70" s="13"/>
      <c r="E70" s="13"/>
      <c r="F70" s="13"/>
      <c r="H70" s="164" t="s">
        <v>22</v>
      </c>
      <c r="I70" s="129">
        <v>-3460775</v>
      </c>
      <c r="J70" s="165" t="s">
        <v>111</v>
      </c>
      <c r="K70" s="166">
        <f>K54</f>
        <v>1.588E-3</v>
      </c>
      <c r="L70" s="50">
        <f>ROUND(I70*K70,0)</f>
        <v>-5496</v>
      </c>
      <c r="O70" s="1"/>
      <c r="V70" s="651" t="s">
        <v>123</v>
      </c>
      <c r="W70" s="651"/>
      <c r="X70" s="651"/>
      <c r="Y70" s="665">
        <f>+I71</f>
        <v>1874788</v>
      </c>
      <c r="Z70" s="665"/>
      <c r="AA70" s="332" t="s">
        <v>111</v>
      </c>
      <c r="AB70" s="163">
        <f>AB54</f>
        <v>0</v>
      </c>
      <c r="AC70" s="56">
        <f>ROUND(Y70*AB70,0)</f>
        <v>0</v>
      </c>
      <c r="AD70" s="9"/>
    </row>
    <row r="71" spans="1:30" ht="20.25" customHeight="1" x14ac:dyDescent="0.25">
      <c r="B71" s="13" t="s">
        <v>123</v>
      </c>
      <c r="C71" s="13"/>
      <c r="D71" s="13"/>
      <c r="E71" s="13"/>
      <c r="F71" s="13"/>
      <c r="H71" s="164" t="s">
        <v>22</v>
      </c>
      <c r="I71" s="129">
        <v>1874788</v>
      </c>
      <c r="J71" s="165" t="s">
        <v>111</v>
      </c>
      <c r="K71" s="166">
        <f>K54</f>
        <v>1.588E-3</v>
      </c>
      <c r="L71" s="50">
        <f>ROUND(I71*K71,0)</f>
        <v>2977</v>
      </c>
      <c r="O71" s="1"/>
      <c r="V71" s="651" t="s">
        <v>124</v>
      </c>
      <c r="W71" s="651"/>
      <c r="X71" s="651"/>
      <c r="Y71" s="665">
        <f>+I72</f>
        <v>14223298</v>
      </c>
      <c r="Z71" s="665"/>
      <c r="AA71" s="332" t="s">
        <v>111</v>
      </c>
      <c r="AB71" s="163">
        <f>AB57</f>
        <v>0</v>
      </c>
      <c r="AC71" s="56">
        <f>ROUND(Y71*AB71,0)</f>
        <v>0</v>
      </c>
      <c r="AD71" s="9"/>
    </row>
    <row r="72" spans="1:30" ht="21" customHeight="1" x14ac:dyDescent="0.25">
      <c r="B72" s="13" t="s">
        <v>124</v>
      </c>
      <c r="C72" s="13"/>
      <c r="D72" s="13"/>
      <c r="E72" s="13"/>
      <c r="F72" s="13"/>
      <c r="H72" s="164" t="s">
        <v>23</v>
      </c>
      <c r="I72" s="171">
        <v>14223298</v>
      </c>
      <c r="J72" s="165" t="s">
        <v>111</v>
      </c>
      <c r="K72" s="166">
        <f>K57</f>
        <v>1.5809999999999999E-3</v>
      </c>
      <c r="L72" s="50">
        <f>ROUND(I72*K72,0)</f>
        <v>22487</v>
      </c>
      <c r="O72" s="1"/>
      <c r="V72" s="623" t="s">
        <v>125</v>
      </c>
      <c r="W72" s="623"/>
      <c r="X72" s="623"/>
      <c r="Y72" s="623"/>
      <c r="Z72" s="623"/>
      <c r="AA72" s="623"/>
      <c r="AB72" s="623"/>
      <c r="AC72" s="60"/>
      <c r="AD72" s="9"/>
    </row>
    <row r="73" spans="1:30" ht="17.25" customHeight="1" x14ac:dyDescent="0.25">
      <c r="B73" s="13" t="s">
        <v>125</v>
      </c>
      <c r="C73" s="13"/>
      <c r="D73" s="13"/>
      <c r="E73" s="13"/>
      <c r="F73" s="13"/>
      <c r="H73" s="13"/>
      <c r="I73" s="13"/>
      <c r="J73" s="82"/>
      <c r="K73" s="13"/>
      <c r="L73" s="59"/>
      <c r="O73" s="1"/>
      <c r="V73" s="651" t="s">
        <v>126</v>
      </c>
      <c r="W73" s="651"/>
      <c r="X73" s="651"/>
      <c r="Y73" s="651"/>
      <c r="Z73" s="651"/>
      <c r="AA73" s="651"/>
      <c r="AB73" s="651"/>
      <c r="AC73" s="651"/>
      <c r="AD73" s="9"/>
    </row>
    <row r="74" spans="1:30" ht="31.5" x14ac:dyDescent="0.25">
      <c r="B74" s="13" t="s">
        <v>126</v>
      </c>
      <c r="C74" s="13"/>
      <c r="D74" s="27" t="s">
        <v>13</v>
      </c>
      <c r="E74" s="27" t="s">
        <v>14</v>
      </c>
      <c r="F74" s="27"/>
      <c r="H74" s="164" t="s">
        <v>26</v>
      </c>
      <c r="I74" s="172"/>
      <c r="J74" s="164"/>
      <c r="K74" s="172"/>
      <c r="L74" s="112"/>
      <c r="O74" s="1"/>
      <c r="V74" s="666" t="s">
        <v>127</v>
      </c>
      <c r="W74" s="666"/>
      <c r="X74" s="173" t="s">
        <v>128</v>
      </c>
      <c r="Y74" s="174"/>
      <c r="Z74" s="175">
        <f>+I75</f>
        <v>0</v>
      </c>
      <c r="AA74" s="331" t="s">
        <v>129</v>
      </c>
      <c r="AB74" s="177">
        <f>+K75</f>
        <v>361</v>
      </c>
      <c r="AC74" s="56">
        <f>ROUND(AB74*Z74,0)</f>
        <v>0</v>
      </c>
      <c r="AD74" s="9"/>
    </row>
    <row r="75" spans="1:30" ht="19.5" customHeight="1" x14ac:dyDescent="0.25">
      <c r="A75" s="1" t="s">
        <v>130</v>
      </c>
      <c r="B75" s="178" t="s">
        <v>127</v>
      </c>
      <c r="C75" s="179" t="s">
        <v>128</v>
      </c>
      <c r="D75" s="178">
        <v>0</v>
      </c>
      <c r="E75" s="178">
        <v>0</v>
      </c>
      <c r="F75" s="178">
        <v>0</v>
      </c>
      <c r="G75" s="180">
        <f>IF(E75=0,D75,E75)</f>
        <v>0</v>
      </c>
      <c r="H75" s="181"/>
      <c r="I75" s="182">
        <f>AVERAGE(G75,D75)</f>
        <v>0</v>
      </c>
      <c r="J75" s="183" t="s">
        <v>129</v>
      </c>
      <c r="K75" s="184">
        <v>361</v>
      </c>
      <c r="L75" s="50">
        <f>ROUND(K75*I75,0)</f>
        <v>0</v>
      </c>
      <c r="N75" s="1">
        <v>7802</v>
      </c>
      <c r="O75" s="1">
        <v>0</v>
      </c>
      <c r="V75" s="666" t="s">
        <v>127</v>
      </c>
      <c r="W75" s="666"/>
      <c r="X75" s="173" t="s">
        <v>131</v>
      </c>
      <c r="Y75" s="185"/>
      <c r="Z75" s="186">
        <f>+I76</f>
        <v>0</v>
      </c>
      <c r="AA75" s="331" t="s">
        <v>129</v>
      </c>
      <c r="AB75" s="187">
        <f>+K76</f>
        <v>1358</v>
      </c>
      <c r="AC75" s="56">
        <f>ROUND(AB75*Z75,0)</f>
        <v>0</v>
      </c>
      <c r="AD75" s="9"/>
    </row>
    <row r="76" spans="1:30" ht="19.5" customHeight="1" x14ac:dyDescent="0.25">
      <c r="A76" s="1" t="s">
        <v>132</v>
      </c>
      <c r="B76" s="178" t="s">
        <v>127</v>
      </c>
      <c r="C76" s="179" t="s">
        <v>131</v>
      </c>
      <c r="D76" s="178">
        <v>0</v>
      </c>
      <c r="E76" s="178">
        <v>0</v>
      </c>
      <c r="F76" s="178">
        <v>0</v>
      </c>
      <c r="G76" s="180">
        <f>IF(E76=0,D76,E76)</f>
        <v>0</v>
      </c>
      <c r="H76" s="181"/>
      <c r="I76" s="182">
        <f>AVERAGE(G76,D76)</f>
        <v>0</v>
      </c>
      <c r="J76" s="183" t="s">
        <v>129</v>
      </c>
      <c r="K76" s="188">
        <v>1358</v>
      </c>
      <c r="L76" s="50">
        <f>ROUND(K76*I76,0)</f>
        <v>0</v>
      </c>
      <c r="N76" s="1">
        <v>7802</v>
      </c>
      <c r="O76" s="1">
        <v>110</v>
      </c>
      <c r="V76" s="651" t="s">
        <v>133</v>
      </c>
      <c r="W76" s="651"/>
      <c r="X76" s="651"/>
      <c r="Y76" s="661">
        <f>+I77</f>
        <v>33305823</v>
      </c>
      <c r="Z76" s="661"/>
      <c r="AA76" s="331" t="s">
        <v>129</v>
      </c>
      <c r="AB76" s="163">
        <f>AB54</f>
        <v>0</v>
      </c>
      <c r="AC76" s="56">
        <f>ROUND(Y76*AB76,0)</f>
        <v>0</v>
      </c>
      <c r="AD76" s="9"/>
    </row>
    <row r="77" spans="1:30" ht="26.25" customHeight="1" x14ac:dyDescent="0.25">
      <c r="B77" s="13" t="s">
        <v>133</v>
      </c>
      <c r="C77" s="13"/>
      <c r="D77" s="13"/>
      <c r="E77" s="13"/>
      <c r="F77" s="13"/>
      <c r="H77" s="164" t="s">
        <v>134</v>
      </c>
      <c r="I77" s="189">
        <v>33305823</v>
      </c>
      <c r="J77" s="165" t="s">
        <v>111</v>
      </c>
      <c r="K77" s="166">
        <f>K54</f>
        <v>1.588E-3</v>
      </c>
      <c r="L77" s="50">
        <f>ROUND(I77*K77,0)</f>
        <v>52890</v>
      </c>
      <c r="O77" s="1"/>
      <c r="V77" s="651" t="str">
        <f>+B78</f>
        <v>15.  Additional Allocation (WFTE share)</v>
      </c>
      <c r="W77" s="651"/>
      <c r="X77" s="651"/>
      <c r="Y77" s="661">
        <f>+I78</f>
        <v>680688</v>
      </c>
      <c r="Z77" s="661"/>
      <c r="AA77" s="331" t="s">
        <v>129</v>
      </c>
      <c r="AB77" s="163">
        <f>AB54</f>
        <v>0</v>
      </c>
      <c r="AC77" s="56">
        <f>ROUND(Y77*AB77,0)</f>
        <v>0</v>
      </c>
      <c r="AD77" s="9"/>
    </row>
    <row r="78" spans="1:30" ht="26.25" customHeight="1" x14ac:dyDescent="0.25">
      <c r="B78" s="669" t="s">
        <v>135</v>
      </c>
      <c r="C78" s="669"/>
      <c r="D78" s="669"/>
      <c r="E78" s="13"/>
      <c r="F78" s="13"/>
      <c r="H78" s="164" t="s">
        <v>136</v>
      </c>
      <c r="I78" s="190">
        <v>680688</v>
      </c>
      <c r="J78" s="165" t="s">
        <v>111</v>
      </c>
      <c r="K78" s="166">
        <f>K54</f>
        <v>1.588E-3</v>
      </c>
      <c r="L78" s="50">
        <f>ROUND(I78*K78,0)</f>
        <v>1081</v>
      </c>
      <c r="O78" s="1"/>
      <c r="V78" s="651" t="str">
        <f>+B79</f>
        <v>16.  Florida Teachers Lead Program Stipend</v>
      </c>
      <c r="W78" s="651"/>
      <c r="X78" s="651"/>
      <c r="Y78" s="191"/>
      <c r="Z78" s="191"/>
      <c r="AA78" s="191"/>
      <c r="AB78" s="191"/>
      <c r="AC78" s="134"/>
      <c r="AD78" s="9"/>
    </row>
    <row r="79" spans="1:30" ht="21" customHeight="1" x14ac:dyDescent="0.25">
      <c r="B79" s="669" t="s">
        <v>137</v>
      </c>
      <c r="C79" s="669"/>
      <c r="D79" s="669"/>
      <c r="E79" s="13"/>
      <c r="F79" s="13"/>
      <c r="H79" s="164"/>
      <c r="I79" s="172"/>
      <c r="J79" s="172"/>
      <c r="K79" s="172"/>
      <c r="L79" s="129"/>
      <c r="N79" s="192"/>
      <c r="O79" s="1"/>
      <c r="Q79" s="164"/>
      <c r="V79" s="651" t="str">
        <f>+B80</f>
        <v>17.  Food Service Allocation</v>
      </c>
      <c r="W79" s="651"/>
      <c r="X79" s="651"/>
      <c r="Y79" s="191"/>
      <c r="Z79" s="191"/>
      <c r="AA79" s="191"/>
      <c r="AB79" s="191"/>
      <c r="AC79" s="193"/>
      <c r="AD79" s="9"/>
    </row>
    <row r="80" spans="1:30" ht="21" customHeight="1" x14ac:dyDescent="0.25">
      <c r="B80" s="669" t="s">
        <v>138</v>
      </c>
      <c r="C80" s="669"/>
      <c r="D80" s="669"/>
      <c r="E80" s="13"/>
      <c r="F80" s="13"/>
      <c r="H80" s="194" t="s">
        <v>139</v>
      </c>
      <c r="I80" s="195"/>
      <c r="J80" s="195"/>
      <c r="K80" s="195"/>
      <c r="L80" s="196"/>
      <c r="N80" s="197"/>
      <c r="O80" s="1"/>
      <c r="Q80" s="164"/>
      <c r="V80" s="191"/>
      <c r="W80" s="191"/>
      <c r="X80" s="191"/>
      <c r="Y80" s="191"/>
      <c r="Z80" s="191"/>
      <c r="AA80" s="191"/>
      <c r="AB80" s="191"/>
      <c r="AC80" s="193"/>
      <c r="AD80" s="9"/>
    </row>
    <row r="81" spans="1:30" ht="21" customHeight="1" thickBot="1" x14ac:dyDescent="0.3">
      <c r="B81" s="13"/>
      <c r="C81" s="13"/>
      <c r="D81" s="13"/>
      <c r="E81" s="13"/>
      <c r="F81" s="13"/>
      <c r="G81" s="13"/>
      <c r="H81" s="13"/>
      <c r="I81" s="13"/>
      <c r="J81" s="13"/>
      <c r="K81" s="13"/>
      <c r="L81" s="196"/>
      <c r="M81" s="198"/>
      <c r="N81" s="197"/>
      <c r="O81" s="1"/>
      <c r="Q81" s="164"/>
      <c r="V81" s="191" t="s">
        <v>140</v>
      </c>
      <c r="W81" s="191"/>
      <c r="X81" s="191"/>
      <c r="Y81" s="191"/>
      <c r="Z81" s="191"/>
      <c r="AA81" s="191"/>
      <c r="AB81" s="191"/>
      <c r="AC81" s="199">
        <f>SUM(AC44:AC80)</f>
        <v>0</v>
      </c>
      <c r="AD81" s="200"/>
    </row>
    <row r="82" spans="1:30" ht="22.5" customHeight="1" thickTop="1" thickBot="1" x14ac:dyDescent="0.3">
      <c r="B82" s="13" t="s">
        <v>141</v>
      </c>
      <c r="C82" s="13"/>
      <c r="D82" s="13"/>
      <c r="E82" s="13"/>
      <c r="F82" s="13"/>
      <c r="G82" s="13"/>
      <c r="H82" s="13"/>
      <c r="I82" s="13"/>
      <c r="J82" s="13"/>
      <c r="K82" s="13"/>
      <c r="L82" s="201">
        <f>SUM(L44:L81)</f>
        <v>1957673</v>
      </c>
      <c r="M82" s="202"/>
      <c r="N82" s="203"/>
      <c r="O82" s="1"/>
      <c r="Q82" s="164"/>
      <c r="V82" s="191"/>
      <c r="W82" s="191"/>
      <c r="X82" s="191"/>
      <c r="Y82" s="191"/>
      <c r="Z82" s="191"/>
      <c r="AA82" s="191"/>
      <c r="AB82" s="191"/>
      <c r="AC82" s="204"/>
      <c r="AD82" s="200"/>
    </row>
    <row r="83" spans="1:30" ht="27.75" customHeight="1" thickTop="1" x14ac:dyDescent="0.25">
      <c r="B83" s="13" t="s">
        <v>142</v>
      </c>
      <c r="C83" s="13"/>
      <c r="D83" s="13"/>
      <c r="E83" s="13"/>
      <c r="F83" s="13"/>
      <c r="G83" s="13"/>
      <c r="H83" s="13"/>
      <c r="I83" s="13"/>
      <c r="J83" s="13"/>
      <c r="K83" s="82" t="s">
        <v>143</v>
      </c>
      <c r="L83" s="205" t="s">
        <v>144</v>
      </c>
      <c r="M83" s="202"/>
      <c r="N83" s="203"/>
      <c r="O83" s="1"/>
      <c r="Q83" s="164"/>
      <c r="V83" s="9" t="s">
        <v>145</v>
      </c>
      <c r="W83" s="9"/>
      <c r="X83" s="9"/>
      <c r="Y83" s="9"/>
      <c r="Z83" s="9"/>
      <c r="AA83" s="9"/>
      <c r="AB83" s="9"/>
      <c r="AC83" s="9"/>
      <c r="AD83" s="206"/>
    </row>
    <row r="84" spans="1:30" ht="18.75" customHeight="1" thickBot="1" x14ac:dyDescent="0.3">
      <c r="B84" s="13" t="s">
        <v>146</v>
      </c>
      <c r="C84" s="13"/>
      <c r="D84" s="13"/>
      <c r="E84" s="13"/>
      <c r="F84" s="13"/>
      <c r="G84" s="13"/>
      <c r="H84" s="13"/>
      <c r="I84" s="13"/>
      <c r="J84" s="13"/>
      <c r="K84" s="207" t="str">
        <f>IF(G26=0,"",IF((G11+G13+SUM(G15:G21))/G26&gt;0.75,1,""))</f>
        <v/>
      </c>
      <c r="L84" s="201">
        <f>'3413 June Final'!AC81</f>
        <v>0</v>
      </c>
      <c r="M84" s="202"/>
      <c r="N84" s="203"/>
      <c r="O84" s="1"/>
      <c r="Q84" s="164"/>
      <c r="V84" s="208" t="s">
        <v>147</v>
      </c>
      <c r="W84" s="208"/>
      <c r="X84" s="208"/>
      <c r="Y84" s="208"/>
      <c r="Z84" s="208"/>
      <c r="AA84" s="208"/>
      <c r="AB84" s="208"/>
      <c r="AC84" s="208"/>
      <c r="AD84" s="9"/>
    </row>
    <row r="85" spans="1:30" ht="18.75" customHeight="1" thickTop="1" x14ac:dyDescent="0.25">
      <c r="B85" s="13"/>
      <c r="C85" s="13"/>
      <c r="D85" s="13"/>
      <c r="E85" s="13"/>
      <c r="F85" s="13"/>
      <c r="G85" s="13"/>
      <c r="H85" s="13"/>
      <c r="I85" s="13"/>
      <c r="J85" s="13"/>
      <c r="M85" s="202"/>
      <c r="N85" s="203"/>
      <c r="O85" s="1"/>
      <c r="Q85" s="164"/>
      <c r="V85" s="208" t="s">
        <v>148</v>
      </c>
      <c r="W85" s="208"/>
      <c r="X85" s="208"/>
      <c r="Y85" s="208"/>
      <c r="Z85" s="208"/>
      <c r="AA85" s="208"/>
      <c r="AB85" s="208"/>
      <c r="AC85" s="208"/>
      <c r="AD85" s="206"/>
    </row>
    <row r="86" spans="1:30" ht="18.75" customHeight="1" x14ac:dyDescent="0.25">
      <c r="B86" s="2" t="s">
        <v>149</v>
      </c>
      <c r="C86" s="13"/>
      <c r="D86" s="13"/>
      <c r="E86" s="13"/>
      <c r="F86" s="13"/>
      <c r="G86" s="13"/>
      <c r="H86" s="13"/>
      <c r="I86" s="13"/>
      <c r="J86" s="209" t="s">
        <v>150</v>
      </c>
      <c r="K86" s="210">
        <f>IF(K84=1,L84,L82)</f>
        <v>1957673</v>
      </c>
      <c r="L86" s="211">
        <f>IF(G26=0,0,IF(G26&gt;250,-(((250/G26)*K86)*IF(M86="H",0.02,0.05)),IF(M86="H",-0.02*K86,-0.05*K86)))</f>
        <v>-85874.903495227409</v>
      </c>
      <c r="M86" s="212" t="str">
        <f>IF(B123="2801","H",IF(B123="2911","H",IF(B123="3382","H"," ")))</f>
        <v xml:space="preserve"> </v>
      </c>
      <c r="N86" s="203"/>
      <c r="O86" s="1"/>
      <c r="Q86" s="164"/>
      <c r="V86" s="208" t="s">
        <v>151</v>
      </c>
      <c r="W86" s="208"/>
      <c r="X86" s="208"/>
      <c r="Y86" s="208"/>
      <c r="Z86" s="208"/>
      <c r="AA86" s="208"/>
      <c r="AB86" s="208"/>
      <c r="AC86" s="208"/>
      <c r="AD86" s="206"/>
    </row>
    <row r="87" spans="1:30" ht="18.75" customHeight="1" x14ac:dyDescent="0.25">
      <c r="B87" s="2" t="s">
        <v>152</v>
      </c>
      <c r="C87" s="13"/>
      <c r="D87" s="13"/>
      <c r="E87" s="13"/>
      <c r="F87" s="13"/>
      <c r="G87" s="13"/>
      <c r="H87" s="13"/>
      <c r="I87" s="13"/>
      <c r="J87" s="13"/>
      <c r="K87" s="213"/>
      <c r="L87" s="205">
        <f>L82+L86</f>
        <v>1871798.0965047725</v>
      </c>
      <c r="M87" s="202"/>
      <c r="N87" s="203"/>
      <c r="O87" s="1"/>
      <c r="Q87" s="164"/>
      <c r="V87" s="198"/>
      <c r="W87" s="198"/>
      <c r="X87" s="198"/>
      <c r="Y87" s="198"/>
      <c r="Z87" s="198"/>
      <c r="AA87" s="198"/>
      <c r="AB87" s="198"/>
      <c r="AC87" s="198"/>
      <c r="AD87" s="214"/>
    </row>
    <row r="88" spans="1:30" x14ac:dyDescent="0.25">
      <c r="V88" s="198"/>
      <c r="W88" s="198"/>
      <c r="X88" s="198"/>
      <c r="Y88" s="198"/>
      <c r="Z88" s="198"/>
      <c r="AA88" s="198"/>
      <c r="AB88" s="198"/>
      <c r="AC88" s="198"/>
      <c r="AD88" s="215"/>
    </row>
    <row r="89" spans="1:30" ht="18.75" customHeight="1" x14ac:dyDescent="0.25">
      <c r="A89" s="1" t="s">
        <v>153</v>
      </c>
      <c r="B89" s="13" t="s">
        <v>154</v>
      </c>
      <c r="C89" s="13"/>
      <c r="D89" s="13">
        <v>804794</v>
      </c>
      <c r="E89" s="13">
        <v>181141</v>
      </c>
      <c r="F89" s="13">
        <v>1529360</v>
      </c>
      <c r="G89" s="13"/>
      <c r="H89" s="13"/>
      <c r="I89" s="13"/>
      <c r="J89" s="13"/>
      <c r="K89" s="213"/>
      <c r="L89" s="84">
        <v>-1872283.9585219501</v>
      </c>
      <c r="M89" s="202"/>
      <c r="N89" s="203"/>
      <c r="O89" s="1"/>
      <c r="Q89" s="164"/>
      <c r="V89" s="198">
        <v>2801</v>
      </c>
      <c r="W89" s="198"/>
      <c r="X89" s="198"/>
      <c r="Y89" s="198"/>
      <c r="Z89" s="198"/>
      <c r="AA89" s="198"/>
      <c r="AB89" s="198"/>
      <c r="AC89" s="198"/>
      <c r="AD89" s="214"/>
    </row>
    <row r="90" spans="1:30" ht="18.75" customHeight="1" x14ac:dyDescent="0.25">
      <c r="B90" s="13" t="s">
        <v>155</v>
      </c>
      <c r="C90" s="13"/>
      <c r="D90" s="13"/>
      <c r="E90" s="13"/>
      <c r="F90" s="13"/>
      <c r="G90" s="13"/>
      <c r="H90" s="13"/>
      <c r="I90" s="13"/>
      <c r="J90" s="13"/>
      <c r="K90" s="213"/>
      <c r="L90" s="205">
        <f>L87+L89</f>
        <v>-485.86201717751101</v>
      </c>
      <c r="M90" s="202"/>
      <c r="N90" s="203"/>
      <c r="O90" s="1"/>
      <c r="Q90" s="164"/>
      <c r="V90" s="198">
        <v>2911</v>
      </c>
      <c r="W90" s="216"/>
      <c r="X90" s="216"/>
      <c r="Y90" s="216"/>
      <c r="Z90" s="216"/>
      <c r="AA90" s="216"/>
      <c r="AB90" s="216"/>
      <c r="AC90" s="216"/>
      <c r="AD90" s="214"/>
    </row>
    <row r="91" spans="1:30" ht="18.75" customHeight="1" x14ac:dyDescent="0.25">
      <c r="B91" s="13" t="s">
        <v>156</v>
      </c>
      <c r="C91" s="13"/>
      <c r="D91" s="13"/>
      <c r="E91" s="13"/>
      <c r="F91" s="13"/>
      <c r="G91" s="13"/>
      <c r="H91" s="13"/>
      <c r="I91" s="13"/>
      <c r="J91" s="13"/>
      <c r="K91" s="213"/>
      <c r="L91" s="205">
        <v>1</v>
      </c>
      <c r="M91" s="202"/>
      <c r="N91" s="203"/>
      <c r="O91" s="1"/>
      <c r="Q91" s="164"/>
      <c r="V91" s="198">
        <v>3382</v>
      </c>
      <c r="W91" s="216"/>
      <c r="X91" s="216"/>
      <c r="Y91" s="216"/>
      <c r="Z91" s="216"/>
      <c r="AA91" s="216"/>
      <c r="AB91" s="216"/>
      <c r="AC91" s="216"/>
      <c r="AD91" s="214"/>
    </row>
    <row r="92" spans="1:30" ht="18.75" customHeight="1" thickBot="1" x14ac:dyDescent="0.3">
      <c r="B92" s="13" t="s">
        <v>434</v>
      </c>
      <c r="C92" s="13"/>
      <c r="D92" s="13"/>
      <c r="E92" s="13"/>
      <c r="F92" s="13"/>
      <c r="G92" s="13"/>
      <c r="H92" s="13"/>
      <c r="I92" s="13"/>
      <c r="J92" s="13"/>
      <c r="K92" s="213"/>
      <c r="L92" s="217">
        <f>L90/L91</f>
        <v>-485.86201717751101</v>
      </c>
      <c r="M92" s="202"/>
      <c r="N92" s="203"/>
      <c r="O92" s="1"/>
      <c r="Q92" s="164"/>
      <c r="V92" s="218"/>
      <c r="W92" s="218"/>
      <c r="X92" s="218"/>
      <c r="Y92" s="218"/>
      <c r="Z92" s="218"/>
      <c r="AA92" s="218"/>
      <c r="AB92" s="218"/>
      <c r="AC92" s="218"/>
      <c r="AD92" s="219"/>
    </row>
    <row r="93" spans="1:30" ht="18.75" customHeight="1" thickTop="1" x14ac:dyDescent="0.25">
      <c r="N93" s="219"/>
      <c r="O93" s="220"/>
      <c r="P93" s="219"/>
      <c r="Q93" s="219"/>
      <c r="V93" s="218"/>
      <c r="W93" s="218"/>
      <c r="X93" s="218"/>
      <c r="Y93" s="218"/>
      <c r="Z93" s="218"/>
      <c r="AA93" s="218"/>
      <c r="AB93" s="218"/>
      <c r="AC93" s="218"/>
      <c r="AD93" s="214"/>
    </row>
    <row r="94" spans="1:30" ht="18.75" customHeight="1" thickBot="1" x14ac:dyDescent="0.3">
      <c r="B94" s="221" t="s">
        <v>158</v>
      </c>
      <c r="C94" s="13"/>
      <c r="D94" s="13"/>
      <c r="E94" s="13"/>
      <c r="G94" s="13"/>
      <c r="H94" s="13"/>
      <c r="I94" s="13"/>
      <c r="J94" s="13"/>
      <c r="L94" s="222">
        <f>IF(M86="H",(K86*0.02)+L86,(K86*0.05)+L86)</f>
        <v>12008.7465047726</v>
      </c>
      <c r="M94" s="202"/>
      <c r="V94" s="223"/>
      <c r="W94" s="223"/>
      <c r="X94" s="223"/>
      <c r="Y94" s="223"/>
      <c r="Z94" s="223"/>
      <c r="AA94" s="223"/>
      <c r="AB94" s="223"/>
      <c r="AC94" s="223"/>
      <c r="AD94" s="214"/>
    </row>
    <row r="95" spans="1:30" ht="21.75" customHeight="1" thickTop="1" x14ac:dyDescent="0.25">
      <c r="B95" s="224" t="s">
        <v>159</v>
      </c>
      <c r="C95" s="224"/>
      <c r="D95" s="224"/>
      <c r="E95" s="224"/>
      <c r="F95" s="224"/>
      <c r="G95" s="224"/>
      <c r="H95" s="224"/>
      <c r="I95" s="224"/>
      <c r="J95" s="224"/>
      <c r="K95" s="224"/>
      <c r="L95" s="224"/>
      <c r="M95" s="219"/>
      <c r="V95" s="223"/>
      <c r="W95" s="223"/>
      <c r="X95" s="223"/>
      <c r="Y95" s="223"/>
      <c r="Z95" s="223"/>
      <c r="AA95" s="223"/>
      <c r="AB95" s="223"/>
      <c r="AC95" s="223"/>
      <c r="AD95" s="214"/>
    </row>
    <row r="96" spans="1:30" x14ac:dyDescent="0.25">
      <c r="B96" s="225"/>
      <c r="V96" s="223"/>
      <c r="W96" s="223"/>
      <c r="X96" s="223"/>
      <c r="Y96" s="223"/>
      <c r="Z96" s="223"/>
      <c r="AA96" s="223"/>
      <c r="AB96" s="223"/>
      <c r="AC96" s="223"/>
      <c r="AD96" s="219"/>
    </row>
    <row r="97" spans="2:30" x14ac:dyDescent="0.25">
      <c r="B97" s="225"/>
      <c r="V97" s="223"/>
      <c r="W97" s="223"/>
      <c r="X97" s="223"/>
      <c r="Y97" s="223"/>
      <c r="Z97" s="223"/>
      <c r="AA97" s="223"/>
      <c r="AB97" s="223"/>
      <c r="AC97" s="223"/>
      <c r="AD97" s="219"/>
    </row>
    <row r="98" spans="2:30" hidden="1" x14ac:dyDescent="0.25">
      <c r="B98" s="226" t="s">
        <v>160</v>
      </c>
      <c r="C98" s="227"/>
      <c r="V98" s="228"/>
      <c r="W98" s="228"/>
      <c r="X98" s="228"/>
      <c r="Y98" s="228"/>
      <c r="Z98" s="228"/>
      <c r="AA98" s="228"/>
      <c r="AB98" s="228"/>
      <c r="AC98" s="228"/>
    </row>
    <row r="99" spans="2:30" hidden="1" x14ac:dyDescent="0.25">
      <c r="B99" s="229"/>
      <c r="C99" s="227"/>
      <c r="V99" s="225"/>
      <c r="W99" s="13"/>
      <c r="X99" s="13"/>
      <c r="Y99" s="13"/>
      <c r="Z99" s="13"/>
      <c r="AA99" s="13"/>
      <c r="AB99" s="13"/>
      <c r="AC99" s="13"/>
    </row>
    <row r="100" spans="2:30" hidden="1" x14ac:dyDescent="0.25">
      <c r="B100" s="230" t="s">
        <v>161</v>
      </c>
      <c r="C100" s="226" t="s">
        <v>162</v>
      </c>
      <c r="V100" s="225"/>
    </row>
    <row r="101" spans="2:30" hidden="1" x14ac:dyDescent="0.25">
      <c r="B101" s="230" t="s">
        <v>163</v>
      </c>
      <c r="C101" s="226" t="s">
        <v>164</v>
      </c>
      <c r="V101" s="225"/>
    </row>
    <row r="102" spans="2:30" hidden="1" x14ac:dyDescent="0.25">
      <c r="B102" s="230" t="s">
        <v>165</v>
      </c>
      <c r="C102" s="226" t="s">
        <v>166</v>
      </c>
      <c r="V102" s="225"/>
      <c r="W102" s="231"/>
      <c r="X102" s="231"/>
      <c r="Y102" s="231"/>
      <c r="Z102" s="231"/>
      <c r="AA102" s="231"/>
      <c r="AB102" s="231"/>
      <c r="AC102" s="231"/>
      <c r="AD102" s="231"/>
    </row>
    <row r="103" spans="2:30" hidden="1" x14ac:dyDescent="0.25">
      <c r="B103" s="230" t="s">
        <v>167</v>
      </c>
      <c r="C103" s="226" t="s">
        <v>168</v>
      </c>
      <c r="V103" s="225"/>
    </row>
    <row r="104" spans="2:30" hidden="1" x14ac:dyDescent="0.25">
      <c r="B104" s="232"/>
      <c r="C104" s="226" t="s">
        <v>169</v>
      </c>
      <c r="V104" s="225"/>
    </row>
    <row r="105" spans="2:30" hidden="1" x14ac:dyDescent="0.25">
      <c r="B105" s="230" t="s">
        <v>170</v>
      </c>
      <c r="C105" s="226" t="s">
        <v>171</v>
      </c>
      <c r="V105" s="225"/>
    </row>
    <row r="106" spans="2:30" hidden="1" x14ac:dyDescent="0.25">
      <c r="B106" s="230" t="s">
        <v>172</v>
      </c>
      <c r="C106" s="226" t="s">
        <v>173</v>
      </c>
      <c r="V106" s="225"/>
    </row>
    <row r="107" spans="2:30" hidden="1" x14ac:dyDescent="0.25">
      <c r="B107" s="230" t="s">
        <v>301</v>
      </c>
      <c r="C107" s="226" t="s">
        <v>175</v>
      </c>
      <c r="V107" s="225"/>
    </row>
    <row r="108" spans="2:30" hidden="1" x14ac:dyDescent="0.25">
      <c r="B108" s="230" t="s">
        <v>176</v>
      </c>
      <c r="C108" s="226" t="s">
        <v>177</v>
      </c>
      <c r="V108" s="225"/>
    </row>
    <row r="109" spans="2:30" hidden="1" x14ac:dyDescent="0.25">
      <c r="B109" s="230" t="s">
        <v>178</v>
      </c>
      <c r="C109" s="226" t="s">
        <v>179</v>
      </c>
      <c r="V109" s="225"/>
    </row>
    <row r="110" spans="2:30" hidden="1" x14ac:dyDescent="0.25">
      <c r="B110" s="232"/>
      <c r="C110" s="226"/>
      <c r="V110" s="225"/>
    </row>
    <row r="111" spans="2:30" hidden="1" x14ac:dyDescent="0.25">
      <c r="B111" s="230" t="s">
        <v>180</v>
      </c>
      <c r="C111" s="226" t="s">
        <v>181</v>
      </c>
      <c r="V111" s="225"/>
    </row>
    <row r="112" spans="2:30" hidden="1" x14ac:dyDescent="0.25">
      <c r="B112" s="230" t="s">
        <v>180</v>
      </c>
      <c r="C112" s="226" t="s">
        <v>182</v>
      </c>
    </row>
    <row r="113" spans="2:3" hidden="1" x14ac:dyDescent="0.25">
      <c r="B113" s="230" t="s">
        <v>183</v>
      </c>
      <c r="C113" s="226" t="s">
        <v>184</v>
      </c>
    </row>
    <row r="114" spans="2:3" hidden="1" x14ac:dyDescent="0.25">
      <c r="B114" s="230" t="s">
        <v>185</v>
      </c>
      <c r="C114" s="226" t="s">
        <v>186</v>
      </c>
    </row>
    <row r="115" spans="2:3" hidden="1" x14ac:dyDescent="0.25">
      <c r="B115" s="230" t="s">
        <v>183</v>
      </c>
      <c r="C115" s="226" t="s">
        <v>187</v>
      </c>
    </row>
    <row r="116" spans="2:3" hidden="1" x14ac:dyDescent="0.25">
      <c r="B116" s="230" t="s">
        <v>188</v>
      </c>
      <c r="C116" s="226" t="s">
        <v>189</v>
      </c>
    </row>
    <row r="117" spans="2:3" hidden="1" x14ac:dyDescent="0.25">
      <c r="B117" s="230" t="s">
        <v>190</v>
      </c>
      <c r="C117" s="226" t="s">
        <v>191</v>
      </c>
    </row>
    <row r="118" spans="2:3" hidden="1" x14ac:dyDescent="0.25">
      <c r="B118" s="232" t="s">
        <v>192</v>
      </c>
      <c r="C118" s="226" t="s">
        <v>193</v>
      </c>
    </row>
    <row r="119" spans="2:3" hidden="1" x14ac:dyDescent="0.25">
      <c r="B119" s="232"/>
      <c r="C119" s="226"/>
    </row>
    <row r="120" spans="2:3" hidden="1" x14ac:dyDescent="0.25">
      <c r="B120" s="230" t="s">
        <v>161</v>
      </c>
      <c r="C120" s="226" t="s">
        <v>194</v>
      </c>
    </row>
    <row r="121" spans="2:3" hidden="1" x14ac:dyDescent="0.25">
      <c r="B121" s="230" t="s">
        <v>195</v>
      </c>
      <c r="C121" s="226" t="s">
        <v>196</v>
      </c>
    </row>
    <row r="122" spans="2:3" hidden="1" x14ac:dyDescent="0.25">
      <c r="B122" s="230" t="s">
        <v>197</v>
      </c>
      <c r="C122" s="226" t="s">
        <v>198</v>
      </c>
    </row>
    <row r="123" spans="2:3" hidden="1" x14ac:dyDescent="0.25">
      <c r="B123" s="230" t="s">
        <v>302</v>
      </c>
      <c r="C123" s="226" t="s">
        <v>200</v>
      </c>
    </row>
    <row r="124" spans="2:3" hidden="1" x14ac:dyDescent="0.25">
      <c r="B124" s="230" t="s">
        <v>303</v>
      </c>
      <c r="C124" s="226" t="s">
        <v>202</v>
      </c>
    </row>
    <row r="125" spans="2:3" hidden="1" x14ac:dyDescent="0.25">
      <c r="B125" s="230" t="s">
        <v>203</v>
      </c>
      <c r="C125" s="226" t="s">
        <v>204</v>
      </c>
    </row>
    <row r="126" spans="2:3" hidden="1" x14ac:dyDescent="0.25">
      <c r="B126" s="230" t="s">
        <v>203</v>
      </c>
      <c r="C126" s="226" t="s">
        <v>205</v>
      </c>
    </row>
    <row r="127" spans="2:3" hidden="1" x14ac:dyDescent="0.25">
      <c r="B127" s="230" t="s">
        <v>203</v>
      </c>
      <c r="C127" s="226" t="s">
        <v>206</v>
      </c>
    </row>
    <row r="128" spans="2:3" hidden="1" x14ac:dyDescent="0.25">
      <c r="B128" s="230" t="s">
        <v>203</v>
      </c>
      <c r="C128" s="226" t="s">
        <v>207</v>
      </c>
    </row>
    <row r="129" spans="2:3" hidden="1" x14ac:dyDescent="0.25">
      <c r="B129" s="230" t="s">
        <v>167</v>
      </c>
      <c r="C129" s="226" t="s">
        <v>208</v>
      </c>
    </row>
    <row r="130" spans="2:3" hidden="1" x14ac:dyDescent="0.25">
      <c r="B130" s="230" t="s">
        <v>209</v>
      </c>
      <c r="C130" s="226" t="s">
        <v>210</v>
      </c>
    </row>
    <row r="131" spans="2:3" hidden="1" x14ac:dyDescent="0.25">
      <c r="B131" s="230" t="s">
        <v>203</v>
      </c>
      <c r="C131" s="226" t="s">
        <v>211</v>
      </c>
    </row>
    <row r="132" spans="2:3" hidden="1" x14ac:dyDescent="0.25">
      <c r="B132" s="226"/>
      <c r="C132" s="226"/>
    </row>
    <row r="133" spans="2:3" hidden="1" x14ac:dyDescent="0.25">
      <c r="B133" s="226"/>
      <c r="C133" s="226"/>
    </row>
    <row r="134" spans="2:3" hidden="1" x14ac:dyDescent="0.25">
      <c r="B134" s="232"/>
      <c r="C134" s="232"/>
    </row>
    <row r="135" spans="2:3" hidden="1" x14ac:dyDescent="0.25">
      <c r="B135" s="232">
        <f>NvsElapsedTime</f>
        <v>1.15740695036948E-5</v>
      </c>
      <c r="C135" s="232"/>
    </row>
    <row r="136" spans="2:3" hidden="1" x14ac:dyDescent="0.25">
      <c r="B136" s="233">
        <f>NvsEndTime</f>
        <v>41754.488032407397</v>
      </c>
      <c r="C136" s="233" t="s">
        <v>212</v>
      </c>
    </row>
    <row r="137" spans="2:3" x14ac:dyDescent="0.25">
      <c r="B137" s="226"/>
      <c r="C137" s="234"/>
    </row>
    <row r="138" spans="2:3" x14ac:dyDescent="0.25">
      <c r="B138" s="226"/>
      <c r="C138" s="226"/>
    </row>
    <row r="139" spans="2:3" x14ac:dyDescent="0.25">
      <c r="B139" s="226"/>
      <c r="C139" s="226"/>
    </row>
    <row r="140" spans="2:3" x14ac:dyDescent="0.25">
      <c r="B140" s="226"/>
      <c r="C140" s="226"/>
    </row>
    <row r="141" spans="2:3" x14ac:dyDescent="0.25">
      <c r="B141" s="226"/>
      <c r="C141" s="226"/>
    </row>
    <row r="142" spans="2:3" x14ac:dyDescent="0.25">
      <c r="B142" s="226"/>
      <c r="C142" s="226"/>
    </row>
    <row r="143" spans="2:3" x14ac:dyDescent="0.25">
      <c r="B143" s="226"/>
      <c r="C143" s="226"/>
    </row>
    <row r="144" spans="2:3" x14ac:dyDescent="0.25">
      <c r="B144" s="226"/>
      <c r="C144" s="226"/>
    </row>
    <row r="145" spans="2:3" x14ac:dyDescent="0.25">
      <c r="B145" s="226"/>
      <c r="C145" s="226"/>
    </row>
    <row r="146" spans="2:3" x14ac:dyDescent="0.25">
      <c r="B146" s="226"/>
      <c r="C146" s="226"/>
    </row>
    <row r="147" spans="2:3" x14ac:dyDescent="0.25">
      <c r="B147" s="226"/>
      <c r="C147" s="226"/>
    </row>
    <row r="148" spans="2:3" x14ac:dyDescent="0.25">
      <c r="B148" s="226"/>
      <c r="C148" s="226"/>
    </row>
    <row r="149" spans="2:3" x14ac:dyDescent="0.25">
      <c r="B149" s="226"/>
      <c r="C149" s="226"/>
    </row>
    <row r="150" spans="2:3" x14ac:dyDescent="0.25">
      <c r="B150" s="226"/>
      <c r="C150" s="226"/>
    </row>
    <row r="151" spans="2:3" x14ac:dyDescent="0.25">
      <c r="B151" s="226"/>
      <c r="C151" s="226"/>
    </row>
  </sheetData>
  <mergeCells count="151">
    <mergeCell ref="B80:D80"/>
    <mergeCell ref="V76:X76"/>
    <mergeCell ref="Y76:Z76"/>
    <mergeCell ref="V77:X77"/>
    <mergeCell ref="Y77:Z77"/>
    <mergeCell ref="B78:D78"/>
    <mergeCell ref="V78:X78"/>
    <mergeCell ref="V70:X70"/>
    <mergeCell ref="Y70:Z70"/>
    <mergeCell ref="V71:X71"/>
    <mergeCell ref="Y71:Z71"/>
    <mergeCell ref="V72:AB72"/>
    <mergeCell ref="V73:AC73"/>
    <mergeCell ref="V74:W74"/>
    <mergeCell ref="V75:W75"/>
    <mergeCell ref="B79:D79"/>
    <mergeCell ref="V79:X79"/>
    <mergeCell ref="V65:W65"/>
    <mergeCell ref="X65:AC65"/>
    <mergeCell ref="V66:X66"/>
    <mergeCell ref="Y66:Z66"/>
    <mergeCell ref="V67:AC67"/>
    <mergeCell ref="V68:X68"/>
    <mergeCell ref="Y68:Z68"/>
    <mergeCell ref="V69:X69"/>
    <mergeCell ref="Y69:Z69"/>
    <mergeCell ref="V60:W60"/>
    <mergeCell ref="X60:AC60"/>
    <mergeCell ref="V61:W61"/>
    <mergeCell ref="X61:AC61"/>
    <mergeCell ref="V62:W62"/>
    <mergeCell ref="X62:AC62"/>
    <mergeCell ref="V63:AC63"/>
    <mergeCell ref="V64:W64"/>
    <mergeCell ref="X64:AC64"/>
    <mergeCell ref="V55:AC55"/>
    <mergeCell ref="V56:W56"/>
    <mergeCell ref="Y56:Z56"/>
    <mergeCell ref="AA56:AC56"/>
    <mergeCell ref="V57:AA57"/>
    <mergeCell ref="AB57:AC57"/>
    <mergeCell ref="V58:X58"/>
    <mergeCell ref="Y58:Z58"/>
    <mergeCell ref="V59:AC59"/>
    <mergeCell ref="X49:Y49"/>
    <mergeCell ref="X50:AB50"/>
    <mergeCell ref="V51:AC51"/>
    <mergeCell ref="V52:AC52"/>
    <mergeCell ref="V53:W53"/>
    <mergeCell ref="Y53:Z53"/>
    <mergeCell ref="AA53:AC53"/>
    <mergeCell ref="V54:AA54"/>
    <mergeCell ref="AB54:AC54"/>
    <mergeCell ref="V41:AC41"/>
    <mergeCell ref="V42:AC42"/>
    <mergeCell ref="V43:AC43"/>
    <mergeCell ref="V44:AB44"/>
    <mergeCell ref="V45:AC45"/>
    <mergeCell ref="X46:Y46"/>
    <mergeCell ref="Z46:AC46"/>
    <mergeCell ref="X47:Y47"/>
    <mergeCell ref="X48:Y48"/>
    <mergeCell ref="V37:W37"/>
    <mergeCell ref="X37:Y37"/>
    <mergeCell ref="Z37:AB37"/>
    <mergeCell ref="V38:AC38"/>
    <mergeCell ref="V39:W39"/>
    <mergeCell ref="X39:Y39"/>
    <mergeCell ref="Z39:AC39"/>
    <mergeCell ref="V40:W40"/>
    <mergeCell ref="X40:AA40"/>
    <mergeCell ref="V26:W26"/>
    <mergeCell ref="X26:Y26"/>
    <mergeCell ref="Z26:AA26"/>
    <mergeCell ref="V27:W27"/>
    <mergeCell ref="X27:Y27"/>
    <mergeCell ref="B28:C36"/>
    <mergeCell ref="V28:W36"/>
    <mergeCell ref="X28:Y28"/>
    <mergeCell ref="X29:Y29"/>
    <mergeCell ref="X30:Y30"/>
    <mergeCell ref="X31:Y31"/>
    <mergeCell ref="X32:Y32"/>
    <mergeCell ref="X33:Y33"/>
    <mergeCell ref="X34:Y34"/>
    <mergeCell ref="X35:Y35"/>
    <mergeCell ref="X36:Y36"/>
    <mergeCell ref="V23:W23"/>
    <mergeCell ref="X23:Y23"/>
    <mergeCell ref="Z23:AA23"/>
    <mergeCell ref="V24:W24"/>
    <mergeCell ref="X24:Y24"/>
    <mergeCell ref="Z24:AA24"/>
    <mergeCell ref="V25:W25"/>
    <mergeCell ref="X25:Y25"/>
    <mergeCell ref="Z25:AA25"/>
    <mergeCell ref="V20:W20"/>
    <mergeCell ref="X20:Y20"/>
    <mergeCell ref="Z20:AA20"/>
    <mergeCell ref="V21:W21"/>
    <mergeCell ref="X21:Y21"/>
    <mergeCell ref="Z21:AA21"/>
    <mergeCell ref="V22:W22"/>
    <mergeCell ref="X22:Y22"/>
    <mergeCell ref="Z22:AA22"/>
    <mergeCell ref="V17:W17"/>
    <mergeCell ref="X17:Y17"/>
    <mergeCell ref="Z17:AA17"/>
    <mergeCell ref="V18:W18"/>
    <mergeCell ref="X18:Y18"/>
    <mergeCell ref="Z18:AA18"/>
    <mergeCell ref="V19:W19"/>
    <mergeCell ref="X19:Y19"/>
    <mergeCell ref="Z19:AA19"/>
    <mergeCell ref="V14:W14"/>
    <mergeCell ref="X14:Y14"/>
    <mergeCell ref="Z14:AA14"/>
    <mergeCell ref="V15:W15"/>
    <mergeCell ref="X15:Y15"/>
    <mergeCell ref="Z15:AA15"/>
    <mergeCell ref="V16:W16"/>
    <mergeCell ref="X16:Y16"/>
    <mergeCell ref="Z16:AA16"/>
    <mergeCell ref="V11:W11"/>
    <mergeCell ref="X11:Y11"/>
    <mergeCell ref="Z11:AA11"/>
    <mergeCell ref="V12:W12"/>
    <mergeCell ref="X12:Y12"/>
    <mergeCell ref="Z12:AA12"/>
    <mergeCell ref="V13:W13"/>
    <mergeCell ref="X13:Y13"/>
    <mergeCell ref="Z13:AA13"/>
    <mergeCell ref="V8:W8"/>
    <mergeCell ref="X8:Y8"/>
    <mergeCell ref="Z8:AA8"/>
    <mergeCell ref="V9:W9"/>
    <mergeCell ref="X9:Y9"/>
    <mergeCell ref="Z9:AA9"/>
    <mergeCell ref="V10:W10"/>
    <mergeCell ref="X10:Y10"/>
    <mergeCell ref="Z10:AA10"/>
    <mergeCell ref="W2:AC2"/>
    <mergeCell ref="V3:AC3"/>
    <mergeCell ref="V4:AC4"/>
    <mergeCell ref="V5:W5"/>
    <mergeCell ref="X5:Y5"/>
    <mergeCell ref="V6:AC6"/>
    <mergeCell ref="V7:W7"/>
    <mergeCell ref="X7:Y7"/>
    <mergeCell ref="Z7:AA7"/>
    <mergeCell ref="AB7:AC7"/>
  </mergeCells>
  <printOptions horizontalCentered="1"/>
  <pageMargins left="0" right="0" top="0.67" bottom="0.2" header="0.25" footer="0.196850393700787"/>
  <pageSetup scale="63" fitToWidth="2" fitToHeight="2" orientation="portrait" horizontalDpi="4294967295" verticalDpi="4294967295" r:id="rId1"/>
  <headerFooter alignWithMargins="0">
    <oddHeader>&amp;L&amp;8&amp;F
&amp;D &amp;T</oddHeader>
    <oddFooter>&amp;C&amp;P</oddFooter>
  </headerFooter>
  <rowBreaks count="1" manualBreakCount="1">
    <brk id="51" max="16383" man="1"/>
  </rowBreaks>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dimension ref="A1:AD151"/>
  <sheetViews>
    <sheetView topLeftCell="B59" zoomScale="70" zoomScaleNormal="70" workbookViewId="0">
      <selection activeCell="B2" sqref="B2"/>
    </sheetView>
  </sheetViews>
  <sheetFormatPr defaultColWidth="8.85546875" defaultRowHeight="15.75" x14ac:dyDescent="0.25"/>
  <cols>
    <col min="1" max="1" width="11.28515625" style="1" hidden="1" customWidth="1"/>
    <col min="2" max="2" width="10.28515625" style="2" customWidth="1"/>
    <col min="3" max="3" width="29" style="1" customWidth="1"/>
    <col min="4" max="5" width="12.28515625" style="1" customWidth="1"/>
    <col min="6" max="6" width="12.28515625" style="1" hidden="1" customWidth="1"/>
    <col min="7" max="7" width="15.28515625" style="1" customWidth="1"/>
    <col min="8" max="8" width="6.7109375" style="1" customWidth="1"/>
    <col min="9" max="9" width="12.5703125" style="1" customWidth="1"/>
    <col min="10" max="10" width="12.85546875" style="1" customWidth="1"/>
    <col min="11" max="11" width="13" style="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28515625" style="1" customWidth="1"/>
    <col min="18" max="18" width="8.85546875" style="1"/>
    <col min="19" max="21" width="0" style="1" hidden="1" customWidth="1"/>
    <col min="22" max="23" width="8.85546875" style="1"/>
    <col min="24" max="24" width="12.7109375" style="1" customWidth="1"/>
    <col min="25" max="27" width="8.85546875" style="1"/>
    <col min="28" max="28" width="13.140625" style="1" bestFit="1" customWidth="1"/>
    <col min="29" max="16384" width="8.85546875" style="1"/>
  </cols>
  <sheetData>
    <row r="1" spans="1:30" ht="15.6"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7"/>
      <c r="N2" s="3"/>
      <c r="O2" s="1"/>
      <c r="V2" s="8">
        <f>'3421'!B2</f>
        <v>50</v>
      </c>
      <c r="W2" s="606" t="s">
        <v>4</v>
      </c>
      <c r="X2" s="607"/>
      <c r="Y2" s="608"/>
      <c r="Z2" s="608"/>
      <c r="AA2" s="608"/>
      <c r="AB2" s="608"/>
      <c r="AC2" s="608"/>
      <c r="AD2" s="9"/>
    </row>
    <row r="3" spans="1:30" ht="20.25" x14ac:dyDescent="0.3">
      <c r="B3" s="10" t="str">
        <f>"Revenue Estimate Worksheet for "&amp;B124</f>
        <v>Revenue Estimate Worksheet for Worthington High School</v>
      </c>
      <c r="C3" s="11"/>
      <c r="D3" s="11"/>
      <c r="E3" s="11"/>
      <c r="F3" s="11"/>
      <c r="G3" s="11"/>
      <c r="H3" s="11"/>
      <c r="I3" s="11"/>
      <c r="J3" s="11"/>
      <c r="K3" s="11"/>
      <c r="L3" s="11"/>
      <c r="M3" s="10"/>
      <c r="N3" s="10"/>
      <c r="O3" s="10"/>
      <c r="P3" s="10"/>
      <c r="Q3" s="10"/>
      <c r="V3" s="609" t="s">
        <v>5</v>
      </c>
      <c r="W3" s="609"/>
      <c r="X3" s="609"/>
      <c r="Y3" s="609"/>
      <c r="Z3" s="609"/>
      <c r="AA3" s="609"/>
      <c r="AB3" s="609"/>
      <c r="AC3" s="609"/>
      <c r="AD3" s="12"/>
    </row>
    <row r="4" spans="1:30" ht="18.75" x14ac:dyDescent="0.3">
      <c r="B4" s="2" t="s">
        <v>6</v>
      </c>
      <c r="C4" s="13"/>
      <c r="D4" s="13"/>
      <c r="E4" s="13"/>
      <c r="F4" s="13"/>
      <c r="G4" s="13"/>
      <c r="H4" s="13"/>
      <c r="I4" s="13"/>
      <c r="J4" s="13"/>
      <c r="K4" s="13"/>
      <c r="L4" s="13"/>
      <c r="M4" s="14"/>
      <c r="N4" s="14"/>
      <c r="O4" s="14"/>
      <c r="P4" s="14"/>
      <c r="Q4" s="14"/>
      <c r="V4" s="610" t="str">
        <f>+Based_on_the_Second_Calculation_of_the_FEFP_2010_11</f>
        <v>Based on the Fourth Calculation of the FEFP 2013-14</v>
      </c>
      <c r="W4" s="610"/>
      <c r="X4" s="610"/>
      <c r="Y4" s="610"/>
      <c r="Z4" s="610"/>
      <c r="AA4" s="610"/>
      <c r="AB4" s="610"/>
      <c r="AC4" s="610"/>
      <c r="AD4" s="15"/>
    </row>
    <row r="5" spans="1:30" ht="18.75" customHeight="1" x14ac:dyDescent="0.25">
      <c r="B5" s="16" t="s">
        <v>7</v>
      </c>
      <c r="C5" s="16"/>
      <c r="D5" s="16"/>
      <c r="E5" s="16"/>
      <c r="F5" s="16"/>
      <c r="G5" s="17" t="s">
        <v>8</v>
      </c>
      <c r="H5" s="17"/>
      <c r="I5" s="17"/>
      <c r="J5" s="17"/>
      <c r="K5" s="17"/>
      <c r="L5" s="17"/>
      <c r="M5" s="18"/>
      <c r="N5" s="18"/>
      <c r="O5" s="18"/>
      <c r="P5" s="18"/>
      <c r="Q5" s="18"/>
      <c r="V5" s="611" t="s">
        <v>7</v>
      </c>
      <c r="W5" s="611"/>
      <c r="X5" s="612" t="s">
        <v>8</v>
      </c>
      <c r="Y5" s="612"/>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613" t="s">
        <v>9</v>
      </c>
      <c r="W6" s="613"/>
      <c r="X6" s="613"/>
      <c r="Y6" s="613"/>
      <c r="Z6" s="613"/>
      <c r="AA6" s="613"/>
      <c r="AB6" s="613"/>
      <c r="AC6" s="613"/>
      <c r="AD6" s="22"/>
    </row>
    <row r="7" spans="1:30" ht="18" customHeight="1" x14ac:dyDescent="0.25">
      <c r="B7" s="23" t="s">
        <v>10</v>
      </c>
      <c r="C7" s="23"/>
      <c r="D7" s="23"/>
      <c r="E7" s="23"/>
      <c r="F7" s="23"/>
      <c r="G7" s="24">
        <v>3752.3</v>
      </c>
      <c r="H7" s="24"/>
      <c r="I7" s="23" t="s">
        <v>11</v>
      </c>
      <c r="J7" s="23"/>
      <c r="K7" s="25">
        <v>1.0326</v>
      </c>
      <c r="L7" s="25"/>
      <c r="O7" s="1"/>
      <c r="V7" s="620" t="s">
        <v>10</v>
      </c>
      <c r="W7" s="620"/>
      <c r="X7" s="621">
        <f>'3421'!G7</f>
        <v>3752.3</v>
      </c>
      <c r="Y7" s="621"/>
      <c r="Z7" s="622" t="s">
        <v>11</v>
      </c>
      <c r="AA7" s="622"/>
      <c r="AB7" s="602">
        <f>+K7</f>
        <v>1.0326</v>
      </c>
      <c r="AC7" s="602"/>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603" t="s">
        <v>12</v>
      </c>
      <c r="W8" s="603"/>
      <c r="X8" s="604" t="s">
        <v>15</v>
      </c>
      <c r="Y8" s="604"/>
      <c r="Z8" s="605" t="s">
        <v>16</v>
      </c>
      <c r="AA8" s="605"/>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614" t="s">
        <v>22</v>
      </c>
      <c r="W9" s="614"/>
      <c r="X9" s="615" t="s">
        <v>23</v>
      </c>
      <c r="Y9" s="615"/>
      <c r="Z9" s="616" t="s">
        <v>24</v>
      </c>
      <c r="AA9" s="616"/>
      <c r="AB9" s="43" t="s">
        <v>25</v>
      </c>
      <c r="AC9" s="44" t="s">
        <v>26</v>
      </c>
      <c r="AD9" s="9"/>
    </row>
    <row r="10" spans="1:30" x14ac:dyDescent="0.25">
      <c r="A10" s="1" t="s">
        <v>27</v>
      </c>
      <c r="B10" s="45" t="s">
        <v>28</v>
      </c>
      <c r="C10" s="45"/>
      <c r="D10" s="45">
        <v>0</v>
      </c>
      <c r="E10" s="45">
        <v>0</v>
      </c>
      <c r="F10" s="45">
        <v>0</v>
      </c>
      <c r="G10" s="46">
        <f>D10+E10</f>
        <v>0</v>
      </c>
      <c r="H10" s="47"/>
      <c r="I10" s="48">
        <v>1.125</v>
      </c>
      <c r="J10" s="48"/>
      <c r="K10" s="49">
        <f>ROUND(G10*I10,4)</f>
        <v>0</v>
      </c>
      <c r="L10" s="50">
        <f>ROUND(ROUND(K10*$G$7,4)*($K$7),0)</f>
        <v>0</v>
      </c>
      <c r="N10" s="51">
        <v>5101</v>
      </c>
      <c r="O10" s="52">
        <v>101</v>
      </c>
      <c r="P10" s="53"/>
      <c r="Q10" s="54"/>
      <c r="V10" s="617" t="s">
        <v>28</v>
      </c>
      <c r="W10" s="617"/>
      <c r="X10" s="618">
        <f>IF('3421'!K$84=1,'3421'!G10,0)</f>
        <v>0</v>
      </c>
      <c r="Y10" s="618"/>
      <c r="Z10" s="619">
        <v>1</v>
      </c>
      <c r="AA10" s="619"/>
      <c r="AB10" s="55">
        <f t="shared" ref="AB10:AB25" si="0">ROUND(X10*Z10,4)</f>
        <v>0</v>
      </c>
      <c r="AC10" s="56">
        <f t="shared" ref="AC10:AC25" si="1">ROUND(ROUND(AB10*$X$7,4)*($AB$7),0)</f>
        <v>0</v>
      </c>
      <c r="AD10" s="9">
        <v>1</v>
      </c>
    </row>
    <row r="11" spans="1:30" x14ac:dyDescent="0.25">
      <c r="A11" s="1" t="s">
        <v>29</v>
      </c>
      <c r="B11" s="13" t="s">
        <v>30</v>
      </c>
      <c r="C11" s="13"/>
      <c r="D11" s="13">
        <v>0</v>
      </c>
      <c r="E11" s="13">
        <v>0</v>
      </c>
      <c r="F11" s="13">
        <v>0</v>
      </c>
      <c r="G11" s="46">
        <f t="shared" ref="G11:G25" si="2">D11+E11</f>
        <v>0</v>
      </c>
      <c r="H11" s="47"/>
      <c r="I11" s="57">
        <f>I10</f>
        <v>1.125</v>
      </c>
      <c r="J11" s="57"/>
      <c r="K11" s="49">
        <f t="shared" ref="K11:K25" si="3">ROUND(G11*I11,4)</f>
        <v>0</v>
      </c>
      <c r="L11" s="50">
        <f t="shared" ref="L11:L25" si="4">ROUND(ROUND(K11*$G$7,4)*($K$7),0)</f>
        <v>0</v>
      </c>
      <c r="M11" s="1" t="str">
        <f>IF(ROUND(G11,2)=ROUND(SUM(G28:G30),2)," ","CHECK 2. PK-3 Lines Below")</f>
        <v xml:space="preserve"> </v>
      </c>
      <c r="N11" s="51">
        <v>5101</v>
      </c>
      <c r="O11" s="58" t="s">
        <v>31</v>
      </c>
      <c r="P11" s="53"/>
      <c r="Q11" s="54"/>
      <c r="V11" s="623" t="s">
        <v>30</v>
      </c>
      <c r="W11" s="623"/>
      <c r="X11" s="618">
        <f>IF('3421'!K$84=1,'3421'!G11,0)</f>
        <v>0</v>
      </c>
      <c r="Y11" s="618"/>
      <c r="Z11" s="624">
        <v>1</v>
      </c>
      <c r="AA11" s="624"/>
      <c r="AB11" s="55">
        <f t="shared" si="0"/>
        <v>0</v>
      </c>
      <c r="AC11" s="56">
        <f t="shared" si="1"/>
        <v>0</v>
      </c>
      <c r="AD11" s="9"/>
    </row>
    <row r="12" spans="1:30" x14ac:dyDescent="0.25">
      <c r="A12" s="1" t="s">
        <v>32</v>
      </c>
      <c r="B12" s="13" t="s">
        <v>33</v>
      </c>
      <c r="C12" s="13"/>
      <c r="D12" s="13">
        <v>0</v>
      </c>
      <c r="E12" s="13">
        <v>0</v>
      </c>
      <c r="F12" s="13">
        <v>0</v>
      </c>
      <c r="G12" s="46">
        <f t="shared" si="2"/>
        <v>0</v>
      </c>
      <c r="H12" s="47"/>
      <c r="I12" s="57">
        <v>1</v>
      </c>
      <c r="J12" s="57"/>
      <c r="K12" s="49">
        <f t="shared" si="3"/>
        <v>0</v>
      </c>
      <c r="L12" s="50">
        <f t="shared" si="4"/>
        <v>0</v>
      </c>
      <c r="N12" s="51">
        <v>5102</v>
      </c>
      <c r="O12" s="52">
        <v>102</v>
      </c>
      <c r="P12" s="53"/>
      <c r="Q12" s="54"/>
      <c r="V12" s="623" t="s">
        <v>33</v>
      </c>
      <c r="W12" s="623"/>
      <c r="X12" s="618">
        <f>IF('3421'!K$84=1,'3421'!G12,0)</f>
        <v>0</v>
      </c>
      <c r="Y12" s="618"/>
      <c r="Z12" s="624">
        <v>1</v>
      </c>
      <c r="AA12" s="624"/>
      <c r="AB12" s="55">
        <f t="shared" si="0"/>
        <v>0</v>
      </c>
      <c r="AC12" s="56">
        <f t="shared" si="1"/>
        <v>0</v>
      </c>
      <c r="AD12" s="9"/>
    </row>
    <row r="13" spans="1:30" x14ac:dyDescent="0.25">
      <c r="A13" s="1" t="s">
        <v>34</v>
      </c>
      <c r="B13" s="13" t="s">
        <v>35</v>
      </c>
      <c r="C13" s="13"/>
      <c r="D13" s="13">
        <v>0</v>
      </c>
      <c r="E13" s="13">
        <v>0</v>
      </c>
      <c r="F13" s="13">
        <v>0</v>
      </c>
      <c r="G13" s="46">
        <f t="shared" si="2"/>
        <v>0</v>
      </c>
      <c r="H13" s="47"/>
      <c r="I13" s="57">
        <f>I12</f>
        <v>1</v>
      </c>
      <c r="J13" s="57"/>
      <c r="K13" s="49">
        <f t="shared" si="3"/>
        <v>0</v>
      </c>
      <c r="L13" s="50">
        <f t="shared" si="4"/>
        <v>0</v>
      </c>
      <c r="M13" s="1" t="str">
        <f>IF(ROUND(G13,2)=ROUND(SUM(G31:G33),2)," ","CHECK 2. PK-3 Lines Below")</f>
        <v xml:space="preserve"> </v>
      </c>
      <c r="N13" s="51">
        <v>5102</v>
      </c>
      <c r="O13" s="58" t="s">
        <v>36</v>
      </c>
      <c r="P13" s="53"/>
      <c r="Q13" s="54"/>
      <c r="V13" s="623" t="s">
        <v>35</v>
      </c>
      <c r="W13" s="623"/>
      <c r="X13" s="618">
        <f>IF('3421'!K$84=1,'3421'!G13,0)</f>
        <v>0</v>
      </c>
      <c r="Y13" s="618"/>
      <c r="Z13" s="624">
        <v>1</v>
      </c>
      <c r="AA13" s="624"/>
      <c r="AB13" s="55">
        <f t="shared" si="0"/>
        <v>0</v>
      </c>
      <c r="AC13" s="56">
        <f t="shared" si="1"/>
        <v>0</v>
      </c>
      <c r="AD13" s="9"/>
    </row>
    <row r="14" spans="1:30" x14ac:dyDescent="0.25">
      <c r="A14" s="1" t="s">
        <v>37</v>
      </c>
      <c r="B14" s="13" t="s">
        <v>38</v>
      </c>
      <c r="C14" s="13"/>
      <c r="D14" s="13">
        <v>139.15</v>
      </c>
      <c r="E14" s="13">
        <v>149.69999999999999</v>
      </c>
      <c r="F14" s="13">
        <v>139.9</v>
      </c>
      <c r="G14" s="46">
        <f t="shared" si="2"/>
        <v>288.85000000000002</v>
      </c>
      <c r="H14" s="47"/>
      <c r="I14" s="57">
        <v>1.0109999999999999</v>
      </c>
      <c r="J14" s="57"/>
      <c r="K14" s="49">
        <f t="shared" si="3"/>
        <v>292.0274</v>
      </c>
      <c r="L14" s="50">
        <f t="shared" si="4"/>
        <v>1131497</v>
      </c>
      <c r="N14" s="51">
        <v>5103</v>
      </c>
      <c r="O14" s="52">
        <v>103</v>
      </c>
      <c r="P14" s="53"/>
      <c r="Q14" s="54"/>
      <c r="V14" s="623" t="s">
        <v>38</v>
      </c>
      <c r="W14" s="623"/>
      <c r="X14" s="618">
        <f>IF('3421'!K$84=1,'3421'!G14,0)</f>
        <v>0</v>
      </c>
      <c r="Y14" s="618"/>
      <c r="Z14" s="624">
        <v>1</v>
      </c>
      <c r="AA14" s="624"/>
      <c r="AB14" s="55">
        <f t="shared" si="0"/>
        <v>0</v>
      </c>
      <c r="AC14" s="56">
        <f t="shared" si="1"/>
        <v>0</v>
      </c>
      <c r="AD14" s="9"/>
    </row>
    <row r="15" spans="1:30" x14ac:dyDescent="0.25">
      <c r="A15" s="1" t="s">
        <v>39</v>
      </c>
      <c r="B15" s="13" t="s">
        <v>40</v>
      </c>
      <c r="C15" s="13"/>
      <c r="D15" s="13">
        <v>24.26</v>
      </c>
      <c r="E15" s="13">
        <v>28.16</v>
      </c>
      <c r="F15" s="13">
        <v>24.5</v>
      </c>
      <c r="G15" s="46">
        <f t="shared" si="2"/>
        <v>52.42</v>
      </c>
      <c r="H15" s="47"/>
      <c r="I15" s="57">
        <f>I14</f>
        <v>1.0109999999999999</v>
      </c>
      <c r="J15" s="57"/>
      <c r="K15" s="49">
        <f t="shared" si="3"/>
        <v>52.996600000000001</v>
      </c>
      <c r="L15" s="59">
        <f t="shared" si="4"/>
        <v>205342</v>
      </c>
      <c r="M15" s="1" t="str">
        <f>IF(ROUND(G15,2)=ROUND(SUM(G34:G36),2)," ","CHECK 2. PK-3 Lines Below")</f>
        <v xml:space="preserve"> </v>
      </c>
      <c r="N15" s="51">
        <v>5103</v>
      </c>
      <c r="O15" s="58" t="s">
        <v>41</v>
      </c>
      <c r="P15" s="53"/>
      <c r="Q15" s="54"/>
      <c r="V15" s="623" t="s">
        <v>40</v>
      </c>
      <c r="W15" s="623"/>
      <c r="X15" s="618">
        <f>IF('3421'!K$84=1,'3421'!G15,0)</f>
        <v>0</v>
      </c>
      <c r="Y15" s="618"/>
      <c r="Z15" s="624">
        <v>1</v>
      </c>
      <c r="AA15" s="624"/>
      <c r="AB15" s="55">
        <f t="shared" si="0"/>
        <v>0</v>
      </c>
      <c r="AC15" s="60">
        <f t="shared" si="1"/>
        <v>0</v>
      </c>
      <c r="AD15" s="9"/>
    </row>
    <row r="16" spans="1:30" x14ac:dyDescent="0.25">
      <c r="A16" s="1" t="s">
        <v>42</v>
      </c>
      <c r="B16" s="13" t="s">
        <v>43</v>
      </c>
      <c r="C16" s="13"/>
      <c r="D16" s="13">
        <v>0</v>
      </c>
      <c r="E16" s="13">
        <v>0</v>
      </c>
      <c r="F16" s="13">
        <v>0</v>
      </c>
      <c r="G16" s="46">
        <f t="shared" si="2"/>
        <v>0</v>
      </c>
      <c r="H16" s="47"/>
      <c r="I16" s="57">
        <v>3.5579999999999998</v>
      </c>
      <c r="J16" s="57"/>
      <c r="K16" s="49">
        <f t="shared" si="3"/>
        <v>0</v>
      </c>
      <c r="L16" s="50">
        <f t="shared" si="4"/>
        <v>0</v>
      </c>
      <c r="N16" s="51">
        <v>5101</v>
      </c>
      <c r="O16" s="53">
        <v>254</v>
      </c>
      <c r="P16" s="53"/>
      <c r="Q16" s="54"/>
      <c r="V16" s="623" t="s">
        <v>43</v>
      </c>
      <c r="W16" s="623"/>
      <c r="X16" s="618">
        <f>IF('3421'!K$84=1,'3421'!G16,0)</f>
        <v>0</v>
      </c>
      <c r="Y16" s="618"/>
      <c r="Z16" s="624">
        <v>1</v>
      </c>
      <c r="AA16" s="624"/>
      <c r="AB16" s="55">
        <f t="shared" si="0"/>
        <v>0</v>
      </c>
      <c r="AC16" s="56">
        <f t="shared" si="1"/>
        <v>0</v>
      </c>
      <c r="AD16" s="9"/>
    </row>
    <row r="17" spans="1:30" x14ac:dyDescent="0.25">
      <c r="A17" s="1" t="s">
        <v>44</v>
      </c>
      <c r="B17" s="13" t="s">
        <v>45</v>
      </c>
      <c r="C17" s="13"/>
      <c r="D17" s="13">
        <v>0</v>
      </c>
      <c r="E17" s="13">
        <v>0</v>
      </c>
      <c r="F17" s="13">
        <v>0</v>
      </c>
      <c r="G17" s="46">
        <f t="shared" si="2"/>
        <v>0</v>
      </c>
      <c r="H17" s="47"/>
      <c r="I17" s="57">
        <f>I16</f>
        <v>3.5579999999999998</v>
      </c>
      <c r="J17" s="57"/>
      <c r="K17" s="49">
        <f t="shared" si="3"/>
        <v>0</v>
      </c>
      <c r="L17" s="50">
        <f t="shared" si="4"/>
        <v>0</v>
      </c>
      <c r="N17" s="51">
        <v>5102</v>
      </c>
      <c r="O17" s="54">
        <v>254</v>
      </c>
      <c r="P17" s="53"/>
      <c r="Q17" s="54"/>
      <c r="V17" s="623" t="s">
        <v>45</v>
      </c>
      <c r="W17" s="623"/>
      <c r="X17" s="618">
        <f>IF('3421'!K$84=1,'3421'!G17,0)</f>
        <v>0</v>
      </c>
      <c r="Y17" s="618"/>
      <c r="Z17" s="624">
        <v>1</v>
      </c>
      <c r="AA17" s="624"/>
      <c r="AB17" s="55">
        <f t="shared" si="0"/>
        <v>0</v>
      </c>
      <c r="AC17" s="56">
        <f t="shared" si="1"/>
        <v>0</v>
      </c>
      <c r="AD17" s="9"/>
    </row>
    <row r="18" spans="1:30" x14ac:dyDescent="0.25">
      <c r="A18" s="1" t="s">
        <v>46</v>
      </c>
      <c r="B18" s="13" t="s">
        <v>47</v>
      </c>
      <c r="C18" s="13"/>
      <c r="D18" s="13">
        <v>0</v>
      </c>
      <c r="E18" s="13">
        <v>0</v>
      </c>
      <c r="F18" s="13">
        <v>0</v>
      </c>
      <c r="G18" s="46">
        <f t="shared" si="2"/>
        <v>0</v>
      </c>
      <c r="H18" s="47"/>
      <c r="I18" s="57">
        <f>I17</f>
        <v>3.5579999999999998</v>
      </c>
      <c r="J18" s="57"/>
      <c r="K18" s="49">
        <f t="shared" si="3"/>
        <v>0</v>
      </c>
      <c r="L18" s="50">
        <f t="shared" si="4"/>
        <v>0</v>
      </c>
      <c r="N18" s="51">
        <v>5103</v>
      </c>
      <c r="O18" s="54">
        <v>254</v>
      </c>
      <c r="P18" s="53"/>
      <c r="Q18" s="54"/>
      <c r="V18" s="623" t="s">
        <v>47</v>
      </c>
      <c r="W18" s="623"/>
      <c r="X18" s="618">
        <f>IF('3421'!K$84=1,'3421'!G18,0)</f>
        <v>0</v>
      </c>
      <c r="Y18" s="618"/>
      <c r="Z18" s="624">
        <v>1</v>
      </c>
      <c r="AA18" s="624"/>
      <c r="AB18" s="55">
        <f t="shared" si="0"/>
        <v>0</v>
      </c>
      <c r="AC18" s="56">
        <f t="shared" si="1"/>
        <v>0</v>
      </c>
      <c r="AD18" s="9"/>
    </row>
    <row r="19" spans="1:30" ht="15" customHeight="1" x14ac:dyDescent="0.25">
      <c r="A19" s="1" t="s">
        <v>48</v>
      </c>
      <c r="B19" s="13" t="s">
        <v>49</v>
      </c>
      <c r="C19" s="13"/>
      <c r="D19" s="13">
        <v>0</v>
      </c>
      <c r="E19" s="13">
        <v>0</v>
      </c>
      <c r="F19" s="13">
        <v>0</v>
      </c>
      <c r="G19" s="46">
        <f t="shared" si="2"/>
        <v>0</v>
      </c>
      <c r="H19" s="47"/>
      <c r="I19" s="57">
        <v>5.0890000000000004</v>
      </c>
      <c r="J19" s="57"/>
      <c r="K19" s="49">
        <f t="shared" si="3"/>
        <v>0</v>
      </c>
      <c r="L19" s="50">
        <f t="shared" si="4"/>
        <v>0</v>
      </c>
      <c r="N19" s="51">
        <v>5101</v>
      </c>
      <c r="O19" s="53">
        <v>255</v>
      </c>
      <c r="P19" s="53"/>
      <c r="Q19" s="54"/>
      <c r="V19" s="623" t="s">
        <v>49</v>
      </c>
      <c r="W19" s="623"/>
      <c r="X19" s="618">
        <f>IF('3421'!K$84=1,'3421'!G19,0)</f>
        <v>0</v>
      </c>
      <c r="Y19" s="618"/>
      <c r="Z19" s="624">
        <v>1</v>
      </c>
      <c r="AA19" s="624"/>
      <c r="AB19" s="55">
        <f t="shared" si="0"/>
        <v>0</v>
      </c>
      <c r="AC19" s="56">
        <f t="shared" si="1"/>
        <v>0</v>
      </c>
      <c r="AD19" s="9"/>
    </row>
    <row r="20" spans="1:30" ht="15" customHeight="1" x14ac:dyDescent="0.25">
      <c r="A20" s="1" t="s">
        <v>50</v>
      </c>
      <c r="B20" s="13" t="s">
        <v>51</v>
      </c>
      <c r="C20" s="13"/>
      <c r="D20" s="13">
        <v>0</v>
      </c>
      <c r="E20" s="13">
        <v>0</v>
      </c>
      <c r="F20" s="13">
        <v>0</v>
      </c>
      <c r="G20" s="46">
        <f t="shared" si="2"/>
        <v>0</v>
      </c>
      <c r="H20" s="47"/>
      <c r="I20" s="57">
        <f>I19</f>
        <v>5.0890000000000004</v>
      </c>
      <c r="J20" s="57"/>
      <c r="K20" s="49">
        <f t="shared" si="3"/>
        <v>0</v>
      </c>
      <c r="L20" s="50">
        <f t="shared" si="4"/>
        <v>0</v>
      </c>
      <c r="N20" s="51">
        <v>5102</v>
      </c>
      <c r="O20" s="54">
        <v>255</v>
      </c>
      <c r="P20" s="53"/>
      <c r="Q20" s="54"/>
      <c r="V20" s="623" t="s">
        <v>51</v>
      </c>
      <c r="W20" s="623"/>
      <c r="X20" s="618">
        <f>IF('3421'!K$84=1,'3421'!G20,0)</f>
        <v>0</v>
      </c>
      <c r="Y20" s="618"/>
      <c r="Z20" s="624">
        <v>1</v>
      </c>
      <c r="AA20" s="624"/>
      <c r="AB20" s="55">
        <f t="shared" si="0"/>
        <v>0</v>
      </c>
      <c r="AC20" s="56">
        <f t="shared" si="1"/>
        <v>0</v>
      </c>
      <c r="AD20" s="9"/>
    </row>
    <row r="21" spans="1:30" ht="15" customHeight="1" x14ac:dyDescent="0.25">
      <c r="A21" s="1" t="s">
        <v>52</v>
      </c>
      <c r="B21" s="13" t="s">
        <v>53</v>
      </c>
      <c r="C21" s="13"/>
      <c r="D21" s="13">
        <v>0</v>
      </c>
      <c r="E21" s="13">
        <v>0</v>
      </c>
      <c r="F21" s="13">
        <v>0</v>
      </c>
      <c r="G21" s="46">
        <f t="shared" si="2"/>
        <v>0</v>
      </c>
      <c r="H21" s="47"/>
      <c r="I21" s="57">
        <f>I20</f>
        <v>5.0890000000000004</v>
      </c>
      <c r="J21" s="57"/>
      <c r="K21" s="49">
        <f t="shared" si="3"/>
        <v>0</v>
      </c>
      <c r="L21" s="50">
        <f t="shared" si="4"/>
        <v>0</v>
      </c>
      <c r="N21" s="51">
        <v>5103</v>
      </c>
      <c r="O21" s="54">
        <v>255</v>
      </c>
      <c r="P21" s="53"/>
      <c r="Q21" s="54"/>
      <c r="V21" s="623" t="s">
        <v>53</v>
      </c>
      <c r="W21" s="623"/>
      <c r="X21" s="618">
        <f>IF('3421'!K$84=1,'3421'!G21,0)</f>
        <v>0</v>
      </c>
      <c r="Y21" s="618"/>
      <c r="Z21" s="624">
        <v>1</v>
      </c>
      <c r="AA21" s="624"/>
      <c r="AB21" s="55">
        <f t="shared" si="0"/>
        <v>0</v>
      </c>
      <c r="AC21" s="56">
        <f t="shared" si="1"/>
        <v>0</v>
      </c>
      <c r="AD21" s="9"/>
    </row>
    <row r="22" spans="1:30" x14ac:dyDescent="0.25">
      <c r="A22" s="1" t="s">
        <v>54</v>
      </c>
      <c r="B22" s="13" t="s">
        <v>55</v>
      </c>
      <c r="C22" s="13"/>
      <c r="D22" s="13">
        <v>0</v>
      </c>
      <c r="E22" s="13">
        <v>0</v>
      </c>
      <c r="F22" s="13">
        <v>0</v>
      </c>
      <c r="G22" s="46">
        <f t="shared" si="2"/>
        <v>0</v>
      </c>
      <c r="H22" s="47"/>
      <c r="I22" s="57">
        <v>1.145</v>
      </c>
      <c r="J22" s="57"/>
      <c r="K22" s="49">
        <f t="shared" si="3"/>
        <v>0</v>
      </c>
      <c r="L22" s="50">
        <f t="shared" si="4"/>
        <v>0</v>
      </c>
      <c r="N22" s="51">
        <v>5101</v>
      </c>
      <c r="O22" s="52">
        <v>130</v>
      </c>
      <c r="P22" s="53"/>
      <c r="Q22" s="54"/>
      <c r="V22" s="623" t="s">
        <v>55</v>
      </c>
      <c r="W22" s="623"/>
      <c r="X22" s="618">
        <f>IF('3421'!K$84=1,'3421'!G22,0)</f>
        <v>0</v>
      </c>
      <c r="Y22" s="618"/>
      <c r="Z22" s="624">
        <v>1</v>
      </c>
      <c r="AA22" s="624"/>
      <c r="AB22" s="55">
        <f t="shared" si="0"/>
        <v>0</v>
      </c>
      <c r="AC22" s="56">
        <f t="shared" si="1"/>
        <v>0</v>
      </c>
      <c r="AD22" s="9"/>
    </row>
    <row r="23" spans="1:30" x14ac:dyDescent="0.25">
      <c r="A23" s="1" t="s">
        <v>56</v>
      </c>
      <c r="B23" s="13" t="s">
        <v>57</v>
      </c>
      <c r="C23" s="13"/>
      <c r="D23" s="13">
        <v>0</v>
      </c>
      <c r="E23" s="13">
        <v>0</v>
      </c>
      <c r="F23" s="13">
        <v>0</v>
      </c>
      <c r="G23" s="46">
        <f t="shared" si="2"/>
        <v>0</v>
      </c>
      <c r="H23" s="47"/>
      <c r="I23" s="57">
        <f>I22</f>
        <v>1.145</v>
      </c>
      <c r="J23" s="57"/>
      <c r="K23" s="49">
        <f t="shared" si="3"/>
        <v>0</v>
      </c>
      <c r="L23" s="50">
        <f t="shared" si="4"/>
        <v>0</v>
      </c>
      <c r="N23" s="51">
        <v>5102</v>
      </c>
      <c r="O23" s="52">
        <v>130</v>
      </c>
      <c r="P23" s="53"/>
      <c r="Q23" s="54"/>
      <c r="V23" s="623" t="s">
        <v>57</v>
      </c>
      <c r="W23" s="623"/>
      <c r="X23" s="618">
        <f>IF('3421'!K$84=1,'3421'!G23,0)</f>
        <v>0</v>
      </c>
      <c r="Y23" s="618"/>
      <c r="Z23" s="624">
        <v>1</v>
      </c>
      <c r="AA23" s="624"/>
      <c r="AB23" s="55">
        <f t="shared" si="0"/>
        <v>0</v>
      </c>
      <c r="AC23" s="56">
        <f t="shared" si="1"/>
        <v>0</v>
      </c>
      <c r="AD23" s="9"/>
    </row>
    <row r="24" spans="1:30" x14ac:dyDescent="0.25">
      <c r="A24" s="1" t="s">
        <v>58</v>
      </c>
      <c r="B24" s="13" t="s">
        <v>59</v>
      </c>
      <c r="C24" s="13"/>
      <c r="D24" s="13">
        <v>3.6</v>
      </c>
      <c r="E24" s="13">
        <v>5.75</v>
      </c>
      <c r="F24" s="13">
        <v>3.6</v>
      </c>
      <c r="G24" s="46">
        <f t="shared" si="2"/>
        <v>9.35</v>
      </c>
      <c r="H24" s="47"/>
      <c r="I24" s="57">
        <f>I23</f>
        <v>1.145</v>
      </c>
      <c r="J24" s="57"/>
      <c r="K24" s="49">
        <f t="shared" si="3"/>
        <v>10.7058</v>
      </c>
      <c r="L24" s="50">
        <f t="shared" si="4"/>
        <v>41481</v>
      </c>
      <c r="N24" s="51">
        <v>5103</v>
      </c>
      <c r="O24" s="52">
        <v>130</v>
      </c>
      <c r="P24" s="53"/>
      <c r="Q24" s="54"/>
      <c r="V24" s="623" t="s">
        <v>59</v>
      </c>
      <c r="W24" s="623"/>
      <c r="X24" s="618">
        <f>IF('3421'!K$84=1,'3421'!G24,0)</f>
        <v>0</v>
      </c>
      <c r="Y24" s="618"/>
      <c r="Z24" s="624">
        <v>1</v>
      </c>
      <c r="AA24" s="624"/>
      <c r="AB24" s="55">
        <f t="shared" si="0"/>
        <v>0</v>
      </c>
      <c r="AC24" s="56">
        <f t="shared" si="1"/>
        <v>0</v>
      </c>
      <c r="AD24" s="9"/>
    </row>
    <row r="25" spans="1:30" ht="16.5" thickBot="1" x14ac:dyDescent="0.3">
      <c r="A25" s="1" t="s">
        <v>60</v>
      </c>
      <c r="B25" s="13" t="s">
        <v>61</v>
      </c>
      <c r="C25" s="13"/>
      <c r="D25" s="13">
        <v>0</v>
      </c>
      <c r="E25" s="13">
        <v>0</v>
      </c>
      <c r="F25" s="13">
        <v>0</v>
      </c>
      <c r="G25" s="46">
        <f t="shared" si="2"/>
        <v>0</v>
      </c>
      <c r="H25" s="47"/>
      <c r="I25" s="57">
        <v>1.0109999999999999</v>
      </c>
      <c r="J25" s="57"/>
      <c r="K25" s="49">
        <f t="shared" si="3"/>
        <v>0</v>
      </c>
      <c r="L25" s="50">
        <f t="shared" si="4"/>
        <v>0</v>
      </c>
      <c r="N25" s="51">
        <v>5310</v>
      </c>
      <c r="O25" s="52">
        <v>300</v>
      </c>
      <c r="P25" s="53"/>
      <c r="Q25" s="54"/>
      <c r="V25" s="623" t="s">
        <v>61</v>
      </c>
      <c r="W25" s="623"/>
      <c r="X25" s="618">
        <f>IF('3421'!K$84=1,'3421'!G25,0)</f>
        <v>0</v>
      </c>
      <c r="Y25" s="618"/>
      <c r="Z25" s="624">
        <v>1</v>
      </c>
      <c r="AA25" s="624"/>
      <c r="AB25" s="55">
        <f t="shared" si="0"/>
        <v>0</v>
      </c>
      <c r="AC25" s="56">
        <f t="shared" si="1"/>
        <v>0</v>
      </c>
      <c r="AD25" s="9"/>
    </row>
    <row r="26" spans="1:30" ht="20.25" customHeight="1" thickBot="1" x14ac:dyDescent="0.3">
      <c r="B26" s="62" t="s">
        <v>62</v>
      </c>
      <c r="C26" s="62"/>
      <c r="D26" s="63">
        <f t="shared" ref="D26:E26" si="5">SUM(D10:D25)</f>
        <v>167.01</v>
      </c>
      <c r="E26" s="63">
        <f t="shared" si="5"/>
        <v>183.60999999999999</v>
      </c>
      <c r="F26" s="63"/>
      <c r="G26" s="63">
        <f>SUM(G10:G25)</f>
        <v>350.62000000000006</v>
      </c>
      <c r="H26" s="64"/>
      <c r="I26" s="64"/>
      <c r="J26" s="65"/>
      <c r="K26" s="66">
        <f>SUM(K10:K25)</f>
        <v>355.72980000000001</v>
      </c>
      <c r="L26" s="67">
        <f>SUM(L10:L25)</f>
        <v>1378320</v>
      </c>
      <c r="N26" s="54"/>
      <c r="O26" s="68"/>
      <c r="P26" s="54"/>
      <c r="Q26" s="54"/>
      <c r="V26" s="625" t="s">
        <v>62</v>
      </c>
      <c r="W26" s="625"/>
      <c r="X26" s="626">
        <f>SUM(X10:X25)</f>
        <v>0</v>
      </c>
      <c r="Y26" s="626"/>
      <c r="Z26" s="627"/>
      <c r="AA26" s="628"/>
      <c r="AB26" s="69">
        <f>SUM(AB10:AB25)</f>
        <v>0</v>
      </c>
      <c r="AC26" s="70">
        <f>SUM(AC10:AC25)</f>
        <v>0</v>
      </c>
      <c r="AD26" s="9"/>
    </row>
    <row r="27" spans="1:30" ht="51.75" customHeight="1" x14ac:dyDescent="0.25">
      <c r="B27" s="62" t="s">
        <v>63</v>
      </c>
      <c r="C27" s="62"/>
      <c r="D27" s="71" t="s">
        <v>13</v>
      </c>
      <c r="E27" s="71" t="s">
        <v>14</v>
      </c>
      <c r="F27" s="27"/>
      <c r="G27" s="72" t="s">
        <v>64</v>
      </c>
      <c r="H27" s="73"/>
      <c r="I27" s="74" t="s">
        <v>65</v>
      </c>
      <c r="J27" s="74" t="s">
        <v>66</v>
      </c>
      <c r="K27" s="75" t="s">
        <v>67</v>
      </c>
      <c r="N27" s="54"/>
      <c r="O27" s="68"/>
      <c r="P27" s="54"/>
      <c r="Q27" s="54"/>
      <c r="V27" s="629" t="s">
        <v>63</v>
      </c>
      <c r="W27" s="629"/>
      <c r="X27" s="630" t="s">
        <v>64</v>
      </c>
      <c r="Y27" s="630"/>
      <c r="Z27" s="76" t="s">
        <v>65</v>
      </c>
      <c r="AA27" s="77" t="s">
        <v>66</v>
      </c>
      <c r="AB27" s="78" t="s">
        <v>67</v>
      </c>
      <c r="AC27" s="9"/>
      <c r="AD27" s="9"/>
    </row>
    <row r="28" spans="1:30" ht="15.75" customHeight="1" x14ac:dyDescent="0.25">
      <c r="A28" s="1" t="s">
        <v>68</v>
      </c>
      <c r="B28" s="631" t="s">
        <v>69</v>
      </c>
      <c r="C28" s="632"/>
      <c r="D28" s="13">
        <v>0</v>
      </c>
      <c r="E28" s="13">
        <v>0</v>
      </c>
      <c r="F28" s="79">
        <v>0</v>
      </c>
      <c r="G28" s="46">
        <f t="shared" ref="G28:G36" si="6">D28+E28</f>
        <v>0</v>
      </c>
      <c r="H28" s="80"/>
      <c r="I28" s="81" t="s">
        <v>70</v>
      </c>
      <c r="J28" s="82">
        <v>251</v>
      </c>
      <c r="K28" s="83">
        <v>1047</v>
      </c>
      <c r="L28" s="84">
        <f>ROUND(G28*K28,0)</f>
        <v>0</v>
      </c>
      <c r="N28" s="85">
        <v>5101</v>
      </c>
      <c r="O28" s="54">
        <v>251</v>
      </c>
      <c r="P28" s="86"/>
      <c r="Q28" s="87"/>
      <c r="V28" s="637" t="s">
        <v>69</v>
      </c>
      <c r="W28" s="637"/>
      <c r="X28" s="638"/>
      <c r="Y28" s="638"/>
      <c r="Z28" s="88" t="s">
        <v>70</v>
      </c>
      <c r="AA28" s="89">
        <v>251</v>
      </c>
      <c r="AB28" s="90">
        <f>+K28</f>
        <v>1047</v>
      </c>
      <c r="AC28" s="91">
        <f t="shared" ref="AC28:AC36" si="7">ROUND(X28*AB28,0)</f>
        <v>0</v>
      </c>
      <c r="AD28" s="9"/>
    </row>
    <row r="29" spans="1:30" x14ac:dyDescent="0.25">
      <c r="A29" s="1" t="s">
        <v>71</v>
      </c>
      <c r="B29" s="633"/>
      <c r="C29" s="634"/>
      <c r="D29" s="13">
        <v>0</v>
      </c>
      <c r="E29" s="13">
        <v>0</v>
      </c>
      <c r="F29" s="92">
        <v>0</v>
      </c>
      <c r="G29" s="46">
        <f t="shared" si="6"/>
        <v>0</v>
      </c>
      <c r="H29" s="80"/>
      <c r="I29" s="82" t="s">
        <v>70</v>
      </c>
      <c r="J29" s="82">
        <v>252</v>
      </c>
      <c r="K29" s="83">
        <v>3380</v>
      </c>
      <c r="L29" s="84">
        <f t="shared" ref="L29:L36" si="8">ROUND(G29*K29,0)</f>
        <v>0</v>
      </c>
      <c r="N29" s="85">
        <v>5101</v>
      </c>
      <c r="O29" s="54">
        <v>252</v>
      </c>
      <c r="P29" s="86"/>
      <c r="Q29" s="87"/>
      <c r="V29" s="637"/>
      <c r="W29" s="637"/>
      <c r="X29" s="638"/>
      <c r="Y29" s="638"/>
      <c r="Z29" s="89" t="s">
        <v>70</v>
      </c>
      <c r="AA29" s="89">
        <v>252</v>
      </c>
      <c r="AB29" s="90">
        <f t="shared" ref="AB29:AB36" si="9">+K29</f>
        <v>3380</v>
      </c>
      <c r="AC29" s="91">
        <f t="shared" si="7"/>
        <v>0</v>
      </c>
      <c r="AD29" s="9"/>
    </row>
    <row r="30" spans="1:30" x14ac:dyDescent="0.25">
      <c r="A30" s="1" t="s">
        <v>72</v>
      </c>
      <c r="B30" s="633"/>
      <c r="C30" s="634"/>
      <c r="D30" s="13">
        <v>0</v>
      </c>
      <c r="E30" s="13">
        <v>0</v>
      </c>
      <c r="F30" s="92">
        <v>0</v>
      </c>
      <c r="G30" s="46">
        <f t="shared" si="6"/>
        <v>0</v>
      </c>
      <c r="H30" s="80"/>
      <c r="I30" s="82" t="s">
        <v>70</v>
      </c>
      <c r="J30" s="82">
        <v>253</v>
      </c>
      <c r="K30" s="83">
        <v>6896</v>
      </c>
      <c r="L30" s="84">
        <f t="shared" si="8"/>
        <v>0</v>
      </c>
      <c r="N30" s="85">
        <v>5101</v>
      </c>
      <c r="O30" s="54">
        <v>253</v>
      </c>
      <c r="P30" s="86"/>
      <c r="Q30" s="68"/>
      <c r="V30" s="637"/>
      <c r="W30" s="637"/>
      <c r="X30" s="638"/>
      <c r="Y30" s="638"/>
      <c r="Z30" s="89" t="s">
        <v>70</v>
      </c>
      <c r="AA30" s="89">
        <v>253</v>
      </c>
      <c r="AB30" s="90">
        <f t="shared" si="9"/>
        <v>6896</v>
      </c>
      <c r="AC30" s="91">
        <f t="shared" si="7"/>
        <v>0</v>
      </c>
      <c r="AD30" s="9"/>
    </row>
    <row r="31" spans="1:30" x14ac:dyDescent="0.25">
      <c r="A31" s="1" t="s">
        <v>73</v>
      </c>
      <c r="B31" s="633"/>
      <c r="C31" s="634"/>
      <c r="D31" s="13">
        <v>0</v>
      </c>
      <c r="E31" s="13">
        <v>0</v>
      </c>
      <c r="F31" s="92">
        <v>0</v>
      </c>
      <c r="G31" s="46">
        <f t="shared" si="6"/>
        <v>0</v>
      </c>
      <c r="H31" s="80"/>
      <c r="I31" s="93" t="s">
        <v>74</v>
      </c>
      <c r="J31" s="82">
        <v>251</v>
      </c>
      <c r="K31" s="83">
        <v>1173</v>
      </c>
      <c r="L31" s="84">
        <f t="shared" si="8"/>
        <v>0</v>
      </c>
      <c r="N31" s="85">
        <v>5102</v>
      </c>
      <c r="O31" s="54">
        <v>251</v>
      </c>
      <c r="P31" s="86"/>
      <c r="Q31" s="68"/>
      <c r="V31" s="637"/>
      <c r="W31" s="637"/>
      <c r="X31" s="638"/>
      <c r="Y31" s="638"/>
      <c r="Z31" s="94" t="s">
        <v>74</v>
      </c>
      <c r="AA31" s="89">
        <v>251</v>
      </c>
      <c r="AB31" s="90">
        <f t="shared" si="9"/>
        <v>1173</v>
      </c>
      <c r="AC31" s="91">
        <f t="shared" si="7"/>
        <v>0</v>
      </c>
      <c r="AD31" s="9"/>
    </row>
    <row r="32" spans="1:30" x14ac:dyDescent="0.25">
      <c r="A32" s="1" t="s">
        <v>75</v>
      </c>
      <c r="B32" s="633"/>
      <c r="C32" s="634"/>
      <c r="D32" s="13">
        <v>0</v>
      </c>
      <c r="E32" s="13">
        <v>0</v>
      </c>
      <c r="F32" s="92">
        <v>0</v>
      </c>
      <c r="G32" s="46">
        <f t="shared" si="6"/>
        <v>0</v>
      </c>
      <c r="H32" s="80"/>
      <c r="I32" s="93" t="s">
        <v>74</v>
      </c>
      <c r="J32" s="82">
        <v>252</v>
      </c>
      <c r="K32" s="83">
        <v>3506</v>
      </c>
      <c r="L32" s="84">
        <f t="shared" si="8"/>
        <v>0</v>
      </c>
      <c r="N32" s="85">
        <v>5102</v>
      </c>
      <c r="O32" s="54">
        <v>252</v>
      </c>
      <c r="P32" s="86"/>
      <c r="Q32" s="54"/>
      <c r="V32" s="637"/>
      <c r="W32" s="637"/>
      <c r="X32" s="638"/>
      <c r="Y32" s="638"/>
      <c r="Z32" s="94" t="s">
        <v>74</v>
      </c>
      <c r="AA32" s="89">
        <v>252</v>
      </c>
      <c r="AB32" s="90">
        <f t="shared" si="9"/>
        <v>3506</v>
      </c>
      <c r="AC32" s="91">
        <f t="shared" si="7"/>
        <v>0</v>
      </c>
      <c r="AD32" s="9"/>
    </row>
    <row r="33" spans="1:30" x14ac:dyDescent="0.25">
      <c r="A33" s="1" t="s">
        <v>76</v>
      </c>
      <c r="B33" s="633"/>
      <c r="C33" s="634"/>
      <c r="D33" s="13">
        <v>0</v>
      </c>
      <c r="E33" s="13">
        <v>0</v>
      </c>
      <c r="F33" s="92">
        <v>0</v>
      </c>
      <c r="G33" s="46">
        <f t="shared" si="6"/>
        <v>0</v>
      </c>
      <c r="H33" s="80"/>
      <c r="I33" s="93" t="s">
        <v>74</v>
      </c>
      <c r="J33" s="82">
        <v>253</v>
      </c>
      <c r="K33" s="83">
        <v>7023</v>
      </c>
      <c r="L33" s="84">
        <f t="shared" si="8"/>
        <v>0</v>
      </c>
      <c r="N33" s="85">
        <v>5102</v>
      </c>
      <c r="O33" s="54">
        <v>253</v>
      </c>
      <c r="P33" s="86"/>
      <c r="Q33" s="87"/>
      <c r="V33" s="637"/>
      <c r="W33" s="637"/>
      <c r="X33" s="638"/>
      <c r="Y33" s="638"/>
      <c r="Z33" s="94" t="s">
        <v>74</v>
      </c>
      <c r="AA33" s="89">
        <v>253</v>
      </c>
      <c r="AB33" s="90">
        <f t="shared" si="9"/>
        <v>7023</v>
      </c>
      <c r="AC33" s="91">
        <f t="shared" si="7"/>
        <v>0</v>
      </c>
      <c r="AD33" s="9"/>
    </row>
    <row r="34" spans="1:30" x14ac:dyDescent="0.25">
      <c r="A34" s="1" t="s">
        <v>77</v>
      </c>
      <c r="B34" s="633"/>
      <c r="C34" s="634"/>
      <c r="D34" s="13">
        <v>22.31</v>
      </c>
      <c r="E34" s="13">
        <v>20.54</v>
      </c>
      <c r="F34" s="92">
        <v>23.5</v>
      </c>
      <c r="G34" s="46">
        <f t="shared" si="6"/>
        <v>42.849999999999994</v>
      </c>
      <c r="H34" s="80"/>
      <c r="I34" s="93" t="s">
        <v>78</v>
      </c>
      <c r="J34" s="82">
        <v>251</v>
      </c>
      <c r="K34" s="83">
        <v>835</v>
      </c>
      <c r="L34" s="84">
        <f t="shared" si="8"/>
        <v>35780</v>
      </c>
      <c r="N34" s="85">
        <v>5103</v>
      </c>
      <c r="O34" s="54">
        <v>251</v>
      </c>
      <c r="P34" s="86"/>
      <c r="Q34" s="87"/>
      <c r="V34" s="637"/>
      <c r="W34" s="637"/>
      <c r="X34" s="638"/>
      <c r="Y34" s="638"/>
      <c r="Z34" s="94" t="s">
        <v>78</v>
      </c>
      <c r="AA34" s="89">
        <v>251</v>
      </c>
      <c r="AB34" s="90">
        <f t="shared" si="9"/>
        <v>835</v>
      </c>
      <c r="AC34" s="91">
        <f t="shared" si="7"/>
        <v>0</v>
      </c>
      <c r="AD34" s="9"/>
    </row>
    <row r="35" spans="1:30" x14ac:dyDescent="0.25">
      <c r="A35" s="1" t="s">
        <v>79</v>
      </c>
      <c r="B35" s="633"/>
      <c r="C35" s="634"/>
      <c r="D35" s="13">
        <v>1.95</v>
      </c>
      <c r="E35" s="13">
        <v>7.18</v>
      </c>
      <c r="F35" s="92">
        <v>0</v>
      </c>
      <c r="G35" s="46">
        <f t="shared" si="6"/>
        <v>9.129999999999999</v>
      </c>
      <c r="H35" s="80"/>
      <c r="I35" s="93" t="s">
        <v>78</v>
      </c>
      <c r="J35" s="82">
        <v>252</v>
      </c>
      <c r="K35" s="83">
        <v>3168</v>
      </c>
      <c r="L35" s="84">
        <f t="shared" si="8"/>
        <v>28924</v>
      </c>
      <c r="N35" s="85">
        <v>5103</v>
      </c>
      <c r="O35" s="54">
        <v>252</v>
      </c>
      <c r="P35" s="86"/>
      <c r="Q35" s="95"/>
      <c r="V35" s="637"/>
      <c r="W35" s="637"/>
      <c r="X35" s="638"/>
      <c r="Y35" s="638"/>
      <c r="Z35" s="94" t="s">
        <v>78</v>
      </c>
      <c r="AA35" s="89">
        <v>252</v>
      </c>
      <c r="AB35" s="90">
        <f t="shared" si="9"/>
        <v>3168</v>
      </c>
      <c r="AC35" s="91">
        <f t="shared" si="7"/>
        <v>0</v>
      </c>
      <c r="AD35" s="9"/>
    </row>
    <row r="36" spans="1:30" ht="16.5" thickBot="1" x14ac:dyDescent="0.3">
      <c r="A36" s="1" t="s">
        <v>80</v>
      </c>
      <c r="B36" s="635"/>
      <c r="C36" s="636"/>
      <c r="D36" s="13">
        <v>0</v>
      </c>
      <c r="E36" s="13">
        <v>0.44</v>
      </c>
      <c r="F36" s="92">
        <v>0</v>
      </c>
      <c r="G36" s="46">
        <f t="shared" si="6"/>
        <v>0.44</v>
      </c>
      <c r="H36" s="80"/>
      <c r="I36" s="93" t="s">
        <v>78</v>
      </c>
      <c r="J36" s="82">
        <v>253</v>
      </c>
      <c r="K36" s="83">
        <v>6685</v>
      </c>
      <c r="L36" s="96">
        <f t="shared" si="8"/>
        <v>2941</v>
      </c>
      <c r="N36" s="85">
        <v>5103</v>
      </c>
      <c r="O36" s="54">
        <v>253</v>
      </c>
      <c r="P36" s="86"/>
      <c r="Q36" s="97"/>
      <c r="V36" s="637"/>
      <c r="W36" s="637"/>
      <c r="X36" s="645"/>
      <c r="Y36" s="645"/>
      <c r="Z36" s="94" t="s">
        <v>78</v>
      </c>
      <c r="AA36" s="89">
        <v>253</v>
      </c>
      <c r="AB36" s="90">
        <f t="shared" si="9"/>
        <v>6685</v>
      </c>
      <c r="AC36" s="98">
        <f t="shared" si="7"/>
        <v>0</v>
      </c>
      <c r="AD36" s="9"/>
    </row>
    <row r="37" spans="1:30" ht="18.75" customHeight="1" x14ac:dyDescent="0.25">
      <c r="B37" s="13" t="s">
        <v>81</v>
      </c>
      <c r="C37" s="13"/>
      <c r="D37" s="63">
        <f t="shared" ref="D37:E37" si="10">SUM(D28:D36)</f>
        <v>24.259999999999998</v>
      </c>
      <c r="E37" s="63">
        <f t="shared" si="10"/>
        <v>28.16</v>
      </c>
      <c r="F37" s="63"/>
      <c r="G37" s="63">
        <f>SUM(G28:G36)</f>
        <v>52.419999999999987</v>
      </c>
      <c r="H37" s="64"/>
      <c r="I37" s="13" t="s">
        <v>82</v>
      </c>
      <c r="J37" s="13"/>
      <c r="K37" s="13"/>
      <c r="L37" s="50">
        <f>SUM(L28:L36)</f>
        <v>67645</v>
      </c>
      <c r="N37" s="54"/>
      <c r="O37" s="68"/>
      <c r="P37" s="54"/>
      <c r="Q37" s="54"/>
      <c r="V37" s="646" t="s">
        <v>81</v>
      </c>
      <c r="W37" s="646"/>
      <c r="X37" s="626">
        <f>SUM(X28:X36)</f>
        <v>0</v>
      </c>
      <c r="Y37" s="626"/>
      <c r="Z37" s="646" t="s">
        <v>82</v>
      </c>
      <c r="AA37" s="646"/>
      <c r="AB37" s="646"/>
      <c r="AC37" s="56">
        <f>SUM(AC28:AC36)</f>
        <v>0</v>
      </c>
      <c r="AD37" s="9"/>
    </row>
    <row r="38" spans="1:30" ht="30.75" customHeight="1" x14ac:dyDescent="0.25">
      <c r="B38" s="99" t="s">
        <v>83</v>
      </c>
      <c r="C38" s="99"/>
      <c r="D38" s="99"/>
      <c r="E38" s="99"/>
      <c r="F38" s="99"/>
      <c r="G38" s="99"/>
      <c r="H38" s="100"/>
      <c r="I38" s="99"/>
      <c r="J38" s="99"/>
      <c r="K38" s="99"/>
      <c r="L38" s="99"/>
      <c r="M38" s="101"/>
      <c r="N38" s="54"/>
      <c r="O38" s="68"/>
      <c r="P38" s="54"/>
      <c r="Q38" s="54"/>
      <c r="V38" s="639" t="s">
        <v>83</v>
      </c>
      <c r="W38" s="639"/>
      <c r="X38" s="639"/>
      <c r="Y38" s="639"/>
      <c r="Z38" s="639"/>
      <c r="AA38" s="639"/>
      <c r="AB38" s="639"/>
      <c r="AC38" s="639"/>
      <c r="AD38" s="102"/>
    </row>
    <row r="39" spans="1:30" ht="15.75" customHeight="1" x14ac:dyDescent="0.25">
      <c r="B39" s="103" t="s">
        <v>84</v>
      </c>
      <c r="C39" s="103"/>
      <c r="D39" s="103"/>
      <c r="E39" s="103"/>
      <c r="F39" s="103"/>
      <c r="G39" s="104">
        <v>34389540</v>
      </c>
      <c r="H39" s="104"/>
      <c r="I39" s="13" t="s">
        <v>85</v>
      </c>
      <c r="J39" s="13"/>
      <c r="K39" s="13"/>
      <c r="L39" s="13"/>
      <c r="O39" s="1"/>
      <c r="V39" s="640" t="s">
        <v>84</v>
      </c>
      <c r="W39" s="640"/>
      <c r="X39" s="641">
        <f>+G39</f>
        <v>34389540</v>
      </c>
      <c r="Y39" s="641"/>
      <c r="Z39" s="642" t="s">
        <v>85</v>
      </c>
      <c r="AA39" s="642"/>
      <c r="AB39" s="642"/>
      <c r="AC39" s="642"/>
      <c r="AD39" s="9"/>
    </row>
    <row r="40" spans="1:30" ht="15.75" customHeight="1" x14ac:dyDescent="0.25">
      <c r="B40" s="105" t="s">
        <v>86</v>
      </c>
      <c r="C40" s="105"/>
      <c r="D40" s="105"/>
      <c r="E40" s="105"/>
      <c r="F40" s="105"/>
      <c r="G40" s="106">
        <v>180284.81</v>
      </c>
      <c r="H40" s="106"/>
      <c r="I40" s="106"/>
      <c r="J40" s="106"/>
      <c r="K40" s="50">
        <f>ROUND(G39/G40,0)</f>
        <v>191</v>
      </c>
      <c r="L40" s="50">
        <f>ROUND(K40*$G$26,0)</f>
        <v>66968</v>
      </c>
      <c r="N40" s="107"/>
      <c r="O40" s="107"/>
      <c r="P40" s="107"/>
      <c r="Q40" s="107"/>
      <c r="V40" s="643" t="s">
        <v>86</v>
      </c>
      <c r="W40" s="643"/>
      <c r="X40" s="644">
        <f>+G40</f>
        <v>180284.81</v>
      </c>
      <c r="Y40" s="644"/>
      <c r="Z40" s="644"/>
      <c r="AA40" s="644"/>
      <c r="AB40" s="56">
        <f>ROUND(X39/X40,0)</f>
        <v>191</v>
      </c>
      <c r="AC40" s="56">
        <f>ROUND(AB40*$X$26,0)</f>
        <v>0</v>
      </c>
      <c r="AD40" s="9"/>
    </row>
    <row r="41" spans="1:30" ht="15.75" customHeight="1" x14ac:dyDescent="0.25">
      <c r="B41" s="108" t="s">
        <v>87</v>
      </c>
      <c r="C41" s="108"/>
      <c r="D41" s="108"/>
      <c r="E41" s="108"/>
      <c r="F41" s="108"/>
      <c r="G41" s="108"/>
      <c r="H41" s="108"/>
      <c r="I41" s="108"/>
      <c r="J41" s="108"/>
      <c r="K41" s="108"/>
      <c r="L41" s="108"/>
      <c r="N41" s="101"/>
      <c r="O41" s="109"/>
      <c r="P41" s="101"/>
      <c r="Q41" s="101"/>
      <c r="V41" s="652" t="s">
        <v>87</v>
      </c>
      <c r="W41" s="652"/>
      <c r="X41" s="652"/>
      <c r="Y41" s="652"/>
      <c r="Z41" s="652"/>
      <c r="AA41" s="652"/>
      <c r="AB41" s="652"/>
      <c r="AC41" s="652"/>
      <c r="AD41" s="9"/>
    </row>
    <row r="42" spans="1:30" ht="28.5" customHeight="1" x14ac:dyDescent="0.25">
      <c r="B42" s="99" t="s">
        <v>88</v>
      </c>
      <c r="C42" s="99"/>
      <c r="D42" s="99"/>
      <c r="E42" s="99"/>
      <c r="F42" s="99"/>
      <c r="G42" s="99"/>
      <c r="H42" s="99"/>
      <c r="I42" s="99"/>
      <c r="J42" s="99"/>
      <c r="K42" s="99"/>
      <c r="L42" s="99"/>
      <c r="M42" s="107"/>
      <c r="O42" s="1"/>
      <c r="V42" s="639" t="s">
        <v>88</v>
      </c>
      <c r="W42" s="639"/>
      <c r="X42" s="639"/>
      <c r="Y42" s="639"/>
      <c r="Z42" s="639"/>
      <c r="AA42" s="639"/>
      <c r="AB42" s="639"/>
      <c r="AC42" s="639"/>
      <c r="AD42" s="110"/>
    </row>
    <row r="43" spans="1:30" x14ac:dyDescent="0.25">
      <c r="B43" s="111" t="s">
        <v>89</v>
      </c>
      <c r="C43" s="111"/>
      <c r="D43" s="111"/>
      <c r="E43" s="111"/>
      <c r="F43" s="111"/>
      <c r="G43" s="111"/>
      <c r="H43" s="111"/>
      <c r="I43" s="111"/>
      <c r="J43" s="111"/>
      <c r="K43" s="111"/>
      <c r="L43" s="111"/>
      <c r="M43" s="112"/>
      <c r="N43" s="101"/>
      <c r="O43" s="101"/>
      <c r="P43" s="101"/>
      <c r="Q43" s="101"/>
      <c r="V43" s="653" t="s">
        <v>89</v>
      </c>
      <c r="W43" s="653"/>
      <c r="X43" s="653"/>
      <c r="Y43" s="653"/>
      <c r="Z43" s="653"/>
      <c r="AA43" s="653"/>
      <c r="AB43" s="653"/>
      <c r="AC43" s="653"/>
      <c r="AD43" s="113"/>
    </row>
    <row r="44" spans="1:30" ht="24" customHeight="1" x14ac:dyDescent="0.25">
      <c r="B44" s="62" t="s">
        <v>90</v>
      </c>
      <c r="C44" s="62"/>
      <c r="D44" s="62"/>
      <c r="E44" s="62"/>
      <c r="F44" s="62"/>
      <c r="G44" s="62"/>
      <c r="H44" s="62"/>
      <c r="I44" s="62"/>
      <c r="J44" s="62"/>
      <c r="K44" s="62"/>
      <c r="L44" s="114">
        <f>SUM(L26,L37,L40)</f>
        <v>1512933</v>
      </c>
      <c r="O44" s="1"/>
      <c r="V44" s="654" t="s">
        <v>90</v>
      </c>
      <c r="W44" s="654"/>
      <c r="X44" s="654"/>
      <c r="Y44" s="654"/>
      <c r="Z44" s="654"/>
      <c r="AA44" s="654"/>
      <c r="AB44" s="654"/>
      <c r="AC44" s="115">
        <f>SUM(AC26,AC37,AC40)</f>
        <v>0</v>
      </c>
      <c r="AD44" s="9"/>
    </row>
    <row r="45" spans="1:30" ht="30.75" customHeight="1" x14ac:dyDescent="0.25">
      <c r="B45" s="99" t="s">
        <v>91</v>
      </c>
      <c r="C45" s="99"/>
      <c r="D45" s="99"/>
      <c r="E45" s="99"/>
      <c r="F45" s="99"/>
      <c r="G45" s="99"/>
      <c r="H45" s="99"/>
      <c r="I45" s="99"/>
      <c r="J45" s="99"/>
      <c r="K45" s="99"/>
      <c r="L45" s="99"/>
      <c r="M45" s="116"/>
      <c r="O45" s="1"/>
      <c r="V45" s="639" t="s">
        <v>91</v>
      </c>
      <c r="W45" s="639"/>
      <c r="X45" s="639"/>
      <c r="Y45" s="639"/>
      <c r="Z45" s="639"/>
      <c r="AA45" s="639"/>
      <c r="AB45" s="639"/>
      <c r="AC45" s="639"/>
      <c r="AD45" s="117"/>
    </row>
    <row r="46" spans="1:30" ht="18.75" customHeight="1" x14ac:dyDescent="0.25">
      <c r="B46" s="1"/>
      <c r="C46" s="118" t="s">
        <v>92</v>
      </c>
      <c r="D46" s="118"/>
      <c r="E46" s="118"/>
      <c r="F46" s="118"/>
      <c r="G46" s="118" t="s">
        <v>93</v>
      </c>
      <c r="H46" s="119"/>
      <c r="I46" s="120" t="s">
        <v>94</v>
      </c>
      <c r="J46" s="121"/>
      <c r="K46" s="121"/>
      <c r="L46" s="121"/>
      <c r="M46" s="122"/>
      <c r="O46" s="1"/>
      <c r="V46" s="9"/>
      <c r="W46" s="123" t="s">
        <v>92</v>
      </c>
      <c r="X46" s="655" t="s">
        <v>95</v>
      </c>
      <c r="Y46" s="655"/>
      <c r="Z46" s="656" t="s">
        <v>94</v>
      </c>
      <c r="AA46" s="656"/>
      <c r="AB46" s="656"/>
      <c r="AC46" s="656"/>
      <c r="AD46" s="124"/>
    </row>
    <row r="47" spans="1:30" ht="18.75" customHeight="1" x14ac:dyDescent="0.25">
      <c r="B47" s="107" t="s">
        <v>96</v>
      </c>
      <c r="C47" s="125">
        <f>K10+K11+K16+K19+K22</f>
        <v>0</v>
      </c>
      <c r="D47" s="125"/>
      <c r="E47" s="125"/>
      <c r="F47" s="125"/>
      <c r="G47" s="126">
        <f>K7</f>
        <v>1.0326</v>
      </c>
      <c r="H47" s="126"/>
      <c r="I47" s="127">
        <v>1316.85</v>
      </c>
      <c r="J47" s="128" t="s">
        <v>97</v>
      </c>
      <c r="K47" s="129">
        <f>ROUND(C47*G47*I47,0)</f>
        <v>0</v>
      </c>
      <c r="L47" s="130"/>
      <c r="O47" s="1"/>
      <c r="V47" s="110" t="s">
        <v>96</v>
      </c>
      <c r="W47" s="131">
        <f>AB10+AB11+AB16+AB19+AB22</f>
        <v>0</v>
      </c>
      <c r="X47" s="647">
        <f>AB7</f>
        <v>1.0326</v>
      </c>
      <c r="Y47" s="647"/>
      <c r="Z47" s="132">
        <f>+I47</f>
        <v>1316.85</v>
      </c>
      <c r="AA47" s="133" t="s">
        <v>97</v>
      </c>
      <c r="AB47" s="134">
        <f>ROUND(W47*X47*Z47,0)</f>
        <v>0</v>
      </c>
      <c r="AC47" s="135"/>
      <c r="AD47" s="9"/>
    </row>
    <row r="48" spans="1:30" ht="18" customHeight="1" x14ac:dyDescent="0.25">
      <c r="B48" s="136" t="s">
        <v>74</v>
      </c>
      <c r="C48" s="125">
        <f>K12+K13+K17+K20+K23</f>
        <v>0</v>
      </c>
      <c r="D48" s="125"/>
      <c r="E48" s="125"/>
      <c r="F48" s="125"/>
      <c r="G48" s="126">
        <f>K7</f>
        <v>1.0326</v>
      </c>
      <c r="H48" s="126"/>
      <c r="I48" s="127">
        <v>898.23</v>
      </c>
      <c r="J48" s="128" t="s">
        <v>97</v>
      </c>
      <c r="K48" s="129">
        <f>ROUND(C48*G48*I48,0)</f>
        <v>0</v>
      </c>
      <c r="L48" s="62"/>
      <c r="O48" s="1"/>
      <c r="V48" s="137" t="s">
        <v>74</v>
      </c>
      <c r="W48" s="131">
        <f>AB12+AB13+AB17+AB20+AB23</f>
        <v>0</v>
      </c>
      <c r="X48" s="647">
        <f>AB7</f>
        <v>1.0326</v>
      </c>
      <c r="Y48" s="647"/>
      <c r="Z48" s="132">
        <f>+I48</f>
        <v>898.23</v>
      </c>
      <c r="AA48" s="133" t="s">
        <v>97</v>
      </c>
      <c r="AB48" s="134">
        <f>ROUND(W48*X48*Z48,0)</f>
        <v>0</v>
      </c>
      <c r="AC48" s="138"/>
      <c r="AD48" s="9"/>
    </row>
    <row r="49" spans="2:30" ht="19.5" customHeight="1" thickBot="1" x14ac:dyDescent="0.3">
      <c r="B49" s="139" t="s">
        <v>78</v>
      </c>
      <c r="C49" s="140">
        <f>K14+K15+K18+K21+K24+K25</f>
        <v>355.72980000000001</v>
      </c>
      <c r="D49" s="125"/>
      <c r="E49" s="125"/>
      <c r="F49" s="125"/>
      <c r="G49" s="126">
        <f>K7</f>
        <v>1.0326</v>
      </c>
      <c r="H49" s="126"/>
      <c r="I49" s="127">
        <v>900.39</v>
      </c>
      <c r="J49" s="128" t="s">
        <v>97</v>
      </c>
      <c r="K49" s="129">
        <f>ROUND(C49*G49*I49,0)</f>
        <v>330737</v>
      </c>
      <c r="L49" s="62"/>
      <c r="M49" s="112"/>
      <c r="N49" s="141"/>
      <c r="O49" s="142"/>
      <c r="P49" s="101"/>
      <c r="Q49" s="143"/>
      <c r="V49" s="144" t="s">
        <v>78</v>
      </c>
      <c r="W49" s="145">
        <f>AB14+AB15+AB18+AB21+AB24+AB25</f>
        <v>0</v>
      </c>
      <c r="X49" s="647">
        <f>AB7</f>
        <v>1.0326</v>
      </c>
      <c r="Y49" s="647"/>
      <c r="Z49" s="132">
        <f>+I49</f>
        <v>900.39</v>
      </c>
      <c r="AA49" s="133" t="s">
        <v>97</v>
      </c>
      <c r="AB49" s="134">
        <f>ROUND(W49*X49*Z49,0)</f>
        <v>0</v>
      </c>
      <c r="AC49" s="138"/>
      <c r="AD49" s="113"/>
    </row>
    <row r="50" spans="2:30" ht="24" customHeight="1" thickBot="1" x14ac:dyDescent="0.3">
      <c r="B50" s="146" t="s">
        <v>98</v>
      </c>
      <c r="C50" s="147">
        <f>SUM(C47:C49)</f>
        <v>355.72980000000001</v>
      </c>
      <c r="D50" s="148"/>
      <c r="E50" s="149"/>
      <c r="F50" s="149"/>
      <c r="G50" s="150" t="s">
        <v>99</v>
      </c>
      <c r="H50" s="150"/>
      <c r="I50" s="150"/>
      <c r="J50" s="150"/>
      <c r="K50" s="150"/>
      <c r="L50" s="50">
        <f>IF(B2=75,0,K49+K48+K47)</f>
        <v>330737</v>
      </c>
      <c r="N50" s="3"/>
      <c r="O50" s="1"/>
      <c r="V50" s="151" t="s">
        <v>98</v>
      </c>
      <c r="W50" s="152">
        <f>SUM(W47:W49)</f>
        <v>0</v>
      </c>
      <c r="X50" s="648" t="s">
        <v>99</v>
      </c>
      <c r="Y50" s="649"/>
      <c r="Z50" s="649"/>
      <c r="AA50" s="649"/>
      <c r="AB50" s="649"/>
      <c r="AC50" s="56">
        <f>IF(V2=75,0,AB49+AB48+AB47)</f>
        <v>0</v>
      </c>
      <c r="AD50" s="9"/>
    </row>
    <row r="51" spans="2:30" ht="19.5" customHeight="1" x14ac:dyDescent="0.25">
      <c r="B51" s="153" t="s">
        <v>100</v>
      </c>
      <c r="C51" s="153"/>
      <c r="D51" s="153"/>
      <c r="E51" s="153"/>
      <c r="F51" s="153"/>
      <c r="G51" s="153"/>
      <c r="H51" s="153"/>
      <c r="I51" s="153"/>
      <c r="J51" s="153"/>
      <c r="K51" s="153"/>
      <c r="L51" s="153"/>
      <c r="M51" s="141"/>
      <c r="N51" s="101"/>
      <c r="O51" s="1"/>
      <c r="V51" s="650" t="s">
        <v>100</v>
      </c>
      <c r="W51" s="650"/>
      <c r="X51" s="650"/>
      <c r="Y51" s="650"/>
      <c r="Z51" s="650"/>
      <c r="AA51" s="650"/>
      <c r="AB51" s="650"/>
      <c r="AC51" s="650"/>
      <c r="AD51" s="154"/>
    </row>
    <row r="52" spans="2:30" ht="27.75" customHeight="1" x14ac:dyDescent="0.25">
      <c r="B52" s="13" t="s">
        <v>101</v>
      </c>
      <c r="C52" s="13"/>
      <c r="D52" s="13"/>
      <c r="E52" s="13"/>
      <c r="F52" s="13"/>
      <c r="G52" s="13"/>
      <c r="H52" s="13"/>
      <c r="I52" s="13"/>
      <c r="J52" s="13"/>
      <c r="K52" s="13"/>
      <c r="L52" s="13"/>
      <c r="O52" s="1"/>
      <c r="V52" s="651" t="s">
        <v>101</v>
      </c>
      <c r="W52" s="651"/>
      <c r="X52" s="651"/>
      <c r="Y52" s="651"/>
      <c r="Z52" s="651"/>
      <c r="AA52" s="651"/>
      <c r="AB52" s="651"/>
      <c r="AC52" s="651"/>
      <c r="AD52" s="9"/>
    </row>
    <row r="53" spans="2:30" x14ac:dyDescent="0.25">
      <c r="B53" s="13" t="s">
        <v>102</v>
      </c>
      <c r="C53" s="13"/>
      <c r="D53" s="13"/>
      <c r="E53" s="13"/>
      <c r="F53" s="13"/>
      <c r="G53" s="155">
        <f>K26</f>
        <v>355.72980000000001</v>
      </c>
      <c r="H53" s="57" t="s">
        <v>103</v>
      </c>
      <c r="I53" s="57"/>
      <c r="J53" s="156">
        <v>197823.77</v>
      </c>
      <c r="K53" s="156"/>
      <c r="L53" s="156"/>
      <c r="N53" s="3"/>
      <c r="O53" s="1"/>
      <c r="V53" s="657" t="s">
        <v>102</v>
      </c>
      <c r="W53" s="657"/>
      <c r="X53" s="157">
        <f>AB26</f>
        <v>0</v>
      </c>
      <c r="Y53" s="658" t="s">
        <v>103</v>
      </c>
      <c r="Z53" s="658"/>
      <c r="AA53" s="659">
        <f>+J53</f>
        <v>197823.77</v>
      </c>
      <c r="AB53" s="659"/>
      <c r="AC53" s="659"/>
      <c r="AD53" s="9"/>
    </row>
    <row r="54" spans="2:30" x14ac:dyDescent="0.25">
      <c r="B54" s="13" t="s">
        <v>104</v>
      </c>
      <c r="C54" s="13"/>
      <c r="D54" s="13"/>
      <c r="E54" s="13"/>
      <c r="F54" s="13"/>
      <c r="G54" s="13"/>
      <c r="H54" s="13"/>
      <c r="I54" s="13"/>
      <c r="J54" s="13"/>
      <c r="K54" s="158">
        <f>ROUND(G53/J53,6)</f>
        <v>1.7979999999999999E-3</v>
      </c>
      <c r="L54" s="158"/>
      <c r="N54" s="101"/>
      <c r="O54" s="1"/>
      <c r="V54" s="657" t="s">
        <v>104</v>
      </c>
      <c r="W54" s="657"/>
      <c r="X54" s="657"/>
      <c r="Y54" s="657"/>
      <c r="Z54" s="657"/>
      <c r="AA54" s="657"/>
      <c r="AB54" s="660">
        <f>ROUND(X53/AA53,6)</f>
        <v>0</v>
      </c>
      <c r="AC54" s="660"/>
      <c r="AD54" s="9"/>
    </row>
    <row r="55" spans="2:30" ht="24" customHeight="1" x14ac:dyDescent="0.25">
      <c r="B55" s="13" t="s">
        <v>105</v>
      </c>
      <c r="C55" s="13"/>
      <c r="D55" s="13"/>
      <c r="E55" s="13"/>
      <c r="F55" s="13"/>
      <c r="G55" s="13"/>
      <c r="H55" s="13"/>
      <c r="I55" s="13"/>
      <c r="J55" s="13"/>
      <c r="K55" s="13"/>
      <c r="L55" s="13"/>
      <c r="O55" s="1"/>
      <c r="V55" s="651" t="s">
        <v>105</v>
      </c>
      <c r="W55" s="651"/>
      <c r="X55" s="651"/>
      <c r="Y55" s="651"/>
      <c r="Z55" s="651"/>
      <c r="AA55" s="651"/>
      <c r="AB55" s="651"/>
      <c r="AC55" s="651"/>
      <c r="AD55" s="9"/>
    </row>
    <row r="56" spans="2:30" x14ac:dyDescent="0.25">
      <c r="B56" s="13" t="s">
        <v>106</v>
      </c>
      <c r="C56" s="13"/>
      <c r="D56" s="13"/>
      <c r="E56" s="13"/>
      <c r="F56" s="13"/>
      <c r="G56" s="159">
        <f>G26</f>
        <v>350.62000000000006</v>
      </c>
      <c r="H56" s="57" t="s">
        <v>107</v>
      </c>
      <c r="I56" s="57"/>
      <c r="J56" s="156">
        <f>+G40</f>
        <v>180284.81</v>
      </c>
      <c r="K56" s="156"/>
      <c r="L56" s="156"/>
      <c r="O56" s="1"/>
      <c r="V56" s="657" t="s">
        <v>106</v>
      </c>
      <c r="W56" s="657"/>
      <c r="X56" s="160">
        <f>X26</f>
        <v>0</v>
      </c>
      <c r="Y56" s="658" t="s">
        <v>107</v>
      </c>
      <c r="Z56" s="658"/>
      <c r="AA56" s="659">
        <f>+J56</f>
        <v>180284.81</v>
      </c>
      <c r="AB56" s="659"/>
      <c r="AC56" s="659"/>
      <c r="AD56" s="9"/>
    </row>
    <row r="57" spans="2:30" x14ac:dyDescent="0.25">
      <c r="B57" s="13" t="s">
        <v>108</v>
      </c>
      <c r="C57" s="13"/>
      <c r="D57" s="13"/>
      <c r="E57" s="13"/>
      <c r="F57" s="13"/>
      <c r="G57" s="13"/>
      <c r="H57" s="13"/>
      <c r="I57" s="13"/>
      <c r="J57" s="13"/>
      <c r="K57" s="158">
        <f>ROUND(G56/J56,6)</f>
        <v>1.9449999999999999E-3</v>
      </c>
      <c r="L57" s="158"/>
      <c r="O57" s="1"/>
      <c r="V57" s="657" t="s">
        <v>108</v>
      </c>
      <c r="W57" s="657"/>
      <c r="X57" s="657"/>
      <c r="Y57" s="657"/>
      <c r="Z57" s="657"/>
      <c r="AA57" s="657"/>
      <c r="AB57" s="660">
        <f>ROUND(X56/AA56,6)</f>
        <v>0</v>
      </c>
      <c r="AC57" s="660"/>
      <c r="AD57" s="9"/>
    </row>
    <row r="58" spans="2:30" ht="20.25" customHeight="1" x14ac:dyDescent="0.25">
      <c r="B58" s="161" t="s">
        <v>109</v>
      </c>
      <c r="C58" s="161"/>
      <c r="D58" s="161"/>
      <c r="E58" s="161"/>
      <c r="F58" s="161"/>
      <c r="G58" s="161"/>
      <c r="H58" s="161"/>
      <c r="I58" s="161"/>
      <c r="J58" s="161"/>
      <c r="K58" s="161"/>
      <c r="L58" s="161"/>
      <c r="N58" s="18"/>
      <c r="O58" s="18"/>
      <c r="V58" s="629" t="s">
        <v>110</v>
      </c>
      <c r="W58" s="629"/>
      <c r="X58" s="629"/>
      <c r="Y58" s="661">
        <f>X65+X64+X62+X61+X60</f>
        <v>4123852</v>
      </c>
      <c r="Z58" s="661"/>
      <c r="AA58" s="162" t="s">
        <v>111</v>
      </c>
      <c r="AB58" s="163">
        <f>AB54</f>
        <v>0</v>
      </c>
      <c r="AC58" s="56">
        <f>ROUND(Y58*AB58,0)</f>
        <v>0</v>
      </c>
      <c r="AD58" s="9"/>
    </row>
    <row r="59" spans="2:30" x14ac:dyDescent="0.25">
      <c r="B59" s="62" t="s">
        <v>110</v>
      </c>
      <c r="C59" s="62"/>
      <c r="D59" s="62"/>
      <c r="E59" s="62"/>
      <c r="F59" s="62"/>
      <c r="G59" s="62"/>
      <c r="H59" s="164" t="s">
        <v>22</v>
      </c>
      <c r="I59" s="129">
        <v>4123852</v>
      </c>
      <c r="J59" s="165" t="s">
        <v>111</v>
      </c>
      <c r="K59" s="166">
        <f>K54</f>
        <v>1.7979999999999999E-3</v>
      </c>
      <c r="L59" s="50">
        <f>ROUND(I59*K59,0)</f>
        <v>7415</v>
      </c>
      <c r="O59" s="1"/>
      <c r="P59" s="165"/>
      <c r="Q59" s="165"/>
      <c r="V59" s="662" t="s">
        <v>112</v>
      </c>
      <c r="W59" s="662"/>
      <c r="X59" s="662"/>
      <c r="Y59" s="662"/>
      <c r="Z59" s="662"/>
      <c r="AA59" s="662"/>
      <c r="AB59" s="662"/>
      <c r="AC59" s="662"/>
      <c r="AD59" s="9"/>
    </row>
    <row r="60" spans="2:30" x14ac:dyDescent="0.25">
      <c r="B60" s="62" t="s">
        <v>112</v>
      </c>
      <c r="C60" s="62"/>
      <c r="D60" s="62"/>
      <c r="E60" s="62"/>
      <c r="F60" s="62"/>
      <c r="G60" s="62"/>
      <c r="H60" s="62"/>
      <c r="I60" s="62"/>
      <c r="J60" s="62"/>
      <c r="K60" s="62"/>
      <c r="L60" s="62"/>
      <c r="O60" s="1"/>
      <c r="P60" s="165"/>
      <c r="Q60" s="165"/>
      <c r="V60" s="663" t="s">
        <v>113</v>
      </c>
      <c r="W60" s="663"/>
      <c r="X60" s="664">
        <f>+G61</f>
        <v>0</v>
      </c>
      <c r="Y60" s="664"/>
      <c r="Z60" s="664"/>
      <c r="AA60" s="664"/>
      <c r="AB60" s="664"/>
      <c r="AC60" s="664"/>
      <c r="AD60" s="9"/>
    </row>
    <row r="61" spans="2:30" ht="15" customHeight="1" x14ac:dyDescent="0.25">
      <c r="B61" s="167" t="s">
        <v>113</v>
      </c>
      <c r="C61" s="62"/>
      <c r="D61" s="62"/>
      <c r="E61" s="62"/>
      <c r="F61" s="62"/>
      <c r="G61" s="168">
        <v>0</v>
      </c>
      <c r="H61" s="168"/>
      <c r="I61" s="168"/>
      <c r="J61" s="168"/>
      <c r="K61" s="168"/>
      <c r="L61" s="168"/>
      <c r="O61" s="1"/>
      <c r="P61" s="165"/>
      <c r="Q61" s="165"/>
      <c r="V61" s="663" t="s">
        <v>114</v>
      </c>
      <c r="W61" s="663"/>
      <c r="X61" s="664">
        <f>+G62</f>
        <v>0</v>
      </c>
      <c r="Y61" s="664"/>
      <c r="Z61" s="664"/>
      <c r="AA61" s="664"/>
      <c r="AB61" s="664"/>
      <c r="AC61" s="664"/>
      <c r="AD61" s="9"/>
    </row>
    <row r="62" spans="2:30" ht="13.5" customHeight="1" x14ac:dyDescent="0.25">
      <c r="B62" s="167" t="s">
        <v>114</v>
      </c>
      <c r="C62" s="62"/>
      <c r="D62" s="62"/>
      <c r="E62" s="62"/>
      <c r="F62" s="62"/>
      <c r="G62" s="168">
        <v>0</v>
      </c>
      <c r="H62" s="168"/>
      <c r="I62" s="168"/>
      <c r="J62" s="168"/>
      <c r="K62" s="168"/>
      <c r="L62" s="168"/>
      <c r="N62" s="165"/>
      <c r="O62" s="165"/>
      <c r="P62" s="165"/>
      <c r="Q62" s="165"/>
      <c r="V62" s="663" t="s">
        <v>115</v>
      </c>
      <c r="W62" s="663"/>
      <c r="X62" s="664">
        <v>0</v>
      </c>
      <c r="Y62" s="664"/>
      <c r="Z62" s="664"/>
      <c r="AA62" s="664"/>
      <c r="AB62" s="664"/>
      <c r="AC62" s="664"/>
      <c r="AD62" s="9"/>
    </row>
    <row r="63" spans="2:30" ht="13.5" hidden="1" customHeight="1" x14ac:dyDescent="0.25">
      <c r="B63" s="62" t="s">
        <v>115</v>
      </c>
      <c r="C63" s="62"/>
      <c r="D63" s="62"/>
      <c r="E63" s="62"/>
      <c r="F63" s="62"/>
      <c r="G63" s="168">
        <v>0</v>
      </c>
      <c r="H63" s="168"/>
      <c r="I63" s="168"/>
      <c r="J63" s="168"/>
      <c r="K63" s="168"/>
      <c r="L63" s="168"/>
      <c r="O63" s="1"/>
      <c r="P63" s="165"/>
      <c r="Q63" s="165"/>
      <c r="V63" s="662" t="s">
        <v>116</v>
      </c>
      <c r="W63" s="662"/>
      <c r="X63" s="662"/>
      <c r="Y63" s="662"/>
      <c r="Z63" s="662"/>
      <c r="AA63" s="662"/>
      <c r="AB63" s="662"/>
      <c r="AC63" s="662"/>
      <c r="AD63" s="117"/>
    </row>
    <row r="64" spans="2:30" ht="13.5" customHeight="1" x14ac:dyDescent="0.25">
      <c r="B64" s="62" t="s">
        <v>116</v>
      </c>
      <c r="C64" s="62"/>
      <c r="D64" s="62"/>
      <c r="E64" s="62"/>
      <c r="F64" s="62"/>
      <c r="G64" s="62"/>
      <c r="H64" s="62"/>
      <c r="I64" s="62"/>
      <c r="J64" s="62"/>
      <c r="K64" s="62"/>
      <c r="L64" s="62"/>
      <c r="M64" s="116"/>
      <c r="N64" s="18"/>
      <c r="O64" s="1"/>
      <c r="V64" s="663" t="s">
        <v>117</v>
      </c>
      <c r="W64" s="663"/>
      <c r="X64" s="664">
        <f>+G65</f>
        <v>4123852</v>
      </c>
      <c r="Y64" s="664"/>
      <c r="Z64" s="664"/>
      <c r="AA64" s="664"/>
      <c r="AB64" s="664"/>
      <c r="AC64" s="664"/>
      <c r="AD64" s="9"/>
    </row>
    <row r="65" spans="1:30" ht="12.75" customHeight="1" x14ac:dyDescent="0.25">
      <c r="B65" s="167" t="s">
        <v>117</v>
      </c>
      <c r="C65" s="62"/>
      <c r="D65" s="62"/>
      <c r="E65" s="62"/>
      <c r="F65" s="62"/>
      <c r="G65" s="168">
        <f>+I59</f>
        <v>4123852</v>
      </c>
      <c r="H65" s="168"/>
      <c r="I65" s="168"/>
      <c r="J65" s="168"/>
      <c r="K65" s="168"/>
      <c r="L65" s="168"/>
      <c r="O65" s="1"/>
      <c r="V65" s="663" t="s">
        <v>118</v>
      </c>
      <c r="W65" s="663"/>
      <c r="X65" s="664">
        <f>+G66</f>
        <v>0</v>
      </c>
      <c r="Y65" s="664"/>
      <c r="Z65" s="664"/>
      <c r="AA65" s="664"/>
      <c r="AB65" s="664"/>
      <c r="AC65" s="664"/>
      <c r="AD65" s="20"/>
    </row>
    <row r="66" spans="1:30" ht="15" customHeight="1" x14ac:dyDescent="0.25">
      <c r="B66" s="167" t="s">
        <v>118</v>
      </c>
      <c r="C66" s="62"/>
      <c r="D66" s="62"/>
      <c r="E66" s="62"/>
      <c r="F66" s="62"/>
      <c r="G66" s="168">
        <v>0</v>
      </c>
      <c r="H66" s="168"/>
      <c r="I66" s="168"/>
      <c r="J66" s="168"/>
      <c r="K66" s="168"/>
      <c r="L66" s="168"/>
      <c r="M66" s="18"/>
      <c r="N66" s="3"/>
      <c r="O66" s="169"/>
      <c r="P66" s="169"/>
      <c r="Q66" s="169"/>
      <c r="V66" s="651" t="s">
        <v>119</v>
      </c>
      <c r="W66" s="651"/>
      <c r="X66" s="651"/>
      <c r="Y66" s="661">
        <f>+I67</f>
        <v>96774526</v>
      </c>
      <c r="Z66" s="661"/>
      <c r="AA66" s="162" t="s">
        <v>111</v>
      </c>
      <c r="AB66" s="163">
        <f>AB54</f>
        <v>0</v>
      </c>
      <c r="AC66" s="56">
        <f>ROUND(Y66*AB66,0)</f>
        <v>0</v>
      </c>
      <c r="AD66" s="9"/>
    </row>
    <row r="67" spans="1:30" ht="20.25" customHeight="1" x14ac:dyDescent="0.25">
      <c r="B67" s="13" t="s">
        <v>119</v>
      </c>
      <c r="C67" s="13"/>
      <c r="D67" s="13"/>
      <c r="E67" s="13"/>
      <c r="F67" s="13"/>
      <c r="H67" s="164" t="s">
        <v>25</v>
      </c>
      <c r="I67" s="129">
        <v>96774526</v>
      </c>
      <c r="J67" s="165" t="s">
        <v>111</v>
      </c>
      <c r="K67" s="166">
        <f>K54</f>
        <v>1.7979999999999999E-3</v>
      </c>
      <c r="L67" s="50">
        <f>ROUND(I67*K67,0)</f>
        <v>174001</v>
      </c>
      <c r="O67" s="1"/>
      <c r="V67" s="651" t="s">
        <v>120</v>
      </c>
      <c r="W67" s="651"/>
      <c r="X67" s="651"/>
      <c r="Y67" s="651"/>
      <c r="Z67" s="651"/>
      <c r="AA67" s="651"/>
      <c r="AB67" s="651"/>
      <c r="AC67" s="651"/>
      <c r="AD67" s="9"/>
    </row>
    <row r="68" spans="1:30" ht="20.25" customHeight="1" x14ac:dyDescent="0.25">
      <c r="B68" s="13" t="s">
        <v>120</v>
      </c>
      <c r="C68" s="13"/>
      <c r="D68" s="13"/>
      <c r="E68" s="13"/>
      <c r="F68" s="13"/>
      <c r="H68" s="13"/>
      <c r="I68" s="13"/>
      <c r="J68" s="82"/>
      <c r="K68" s="13"/>
      <c r="L68" s="13"/>
      <c r="O68" s="1"/>
      <c r="V68" s="667" t="s">
        <v>121</v>
      </c>
      <c r="W68" s="667"/>
      <c r="X68" s="667"/>
      <c r="Y68" s="661">
        <f>+I69</f>
        <v>0</v>
      </c>
      <c r="Z68" s="661"/>
      <c r="AA68" s="162" t="s">
        <v>111</v>
      </c>
      <c r="AB68" s="163">
        <f>AB57</f>
        <v>0</v>
      </c>
      <c r="AC68" s="56">
        <f>ROUND(Y68*AB68,0)</f>
        <v>0</v>
      </c>
      <c r="AD68" s="9"/>
    </row>
    <row r="69" spans="1:30" ht="15" customHeight="1" x14ac:dyDescent="0.25">
      <c r="B69" s="170" t="s">
        <v>121</v>
      </c>
      <c r="C69" s="13"/>
      <c r="D69" s="13"/>
      <c r="E69" s="13"/>
      <c r="F69" s="13"/>
      <c r="H69" s="164" t="s">
        <v>23</v>
      </c>
      <c r="I69" s="129">
        <v>0</v>
      </c>
      <c r="J69" s="165" t="s">
        <v>111</v>
      </c>
      <c r="K69" s="166">
        <f>K57</f>
        <v>1.9449999999999999E-3</v>
      </c>
      <c r="L69" s="50">
        <f>ROUND(I69*K69,0)</f>
        <v>0</v>
      </c>
      <c r="O69" s="1"/>
      <c r="V69" s="651" t="s">
        <v>122</v>
      </c>
      <c r="W69" s="651"/>
      <c r="X69" s="651"/>
      <c r="Y69" s="668">
        <f>+I70</f>
        <v>-3460775</v>
      </c>
      <c r="Z69" s="668"/>
      <c r="AA69" s="162" t="s">
        <v>111</v>
      </c>
      <c r="AB69" s="163">
        <f>AB54</f>
        <v>0</v>
      </c>
      <c r="AC69" s="56">
        <f>ROUND(Y69*AB69,0)</f>
        <v>0</v>
      </c>
      <c r="AD69" s="9"/>
    </row>
    <row r="70" spans="1:30" ht="20.25" customHeight="1" x14ac:dyDescent="0.25">
      <c r="B70" s="13" t="s">
        <v>122</v>
      </c>
      <c r="C70" s="13"/>
      <c r="D70" s="13"/>
      <c r="E70" s="13"/>
      <c r="F70" s="13"/>
      <c r="H70" s="164" t="s">
        <v>22</v>
      </c>
      <c r="I70" s="129">
        <v>-3460775</v>
      </c>
      <c r="J70" s="165" t="s">
        <v>111</v>
      </c>
      <c r="K70" s="166">
        <f>K54</f>
        <v>1.7979999999999999E-3</v>
      </c>
      <c r="L70" s="50">
        <f>ROUND(I70*K70,0)</f>
        <v>-6222</v>
      </c>
      <c r="O70" s="1"/>
      <c r="V70" s="651" t="s">
        <v>123</v>
      </c>
      <c r="W70" s="651"/>
      <c r="X70" s="651"/>
      <c r="Y70" s="665">
        <f>+I71</f>
        <v>1874788</v>
      </c>
      <c r="Z70" s="665"/>
      <c r="AA70" s="162" t="s">
        <v>111</v>
      </c>
      <c r="AB70" s="163">
        <f>AB54</f>
        <v>0</v>
      </c>
      <c r="AC70" s="56">
        <f>ROUND(Y70*AB70,0)</f>
        <v>0</v>
      </c>
      <c r="AD70" s="9"/>
    </row>
    <row r="71" spans="1:30" ht="20.25" customHeight="1" x14ac:dyDescent="0.25">
      <c r="B71" s="13" t="s">
        <v>123</v>
      </c>
      <c r="C71" s="13"/>
      <c r="D71" s="13"/>
      <c r="E71" s="13"/>
      <c r="F71" s="13"/>
      <c r="H71" s="164" t="s">
        <v>22</v>
      </c>
      <c r="I71" s="129">
        <v>1874788</v>
      </c>
      <c r="J71" s="165" t="s">
        <v>111</v>
      </c>
      <c r="K71" s="166">
        <f>K54</f>
        <v>1.7979999999999999E-3</v>
      </c>
      <c r="L71" s="50">
        <f>ROUND(I71*K71,0)</f>
        <v>3371</v>
      </c>
      <c r="O71" s="1"/>
      <c r="V71" s="651" t="s">
        <v>124</v>
      </c>
      <c r="W71" s="651"/>
      <c r="X71" s="651"/>
      <c r="Y71" s="665">
        <f>+I72</f>
        <v>14223298</v>
      </c>
      <c r="Z71" s="665"/>
      <c r="AA71" s="162" t="s">
        <v>111</v>
      </c>
      <c r="AB71" s="163">
        <f>AB57</f>
        <v>0</v>
      </c>
      <c r="AC71" s="56">
        <f>ROUND(Y71*AB71,0)</f>
        <v>0</v>
      </c>
      <c r="AD71" s="9"/>
    </row>
    <row r="72" spans="1:30" ht="21" customHeight="1" x14ac:dyDescent="0.25">
      <c r="B72" s="13" t="s">
        <v>124</v>
      </c>
      <c r="C72" s="13"/>
      <c r="D72" s="13"/>
      <c r="E72" s="13"/>
      <c r="F72" s="13"/>
      <c r="H72" s="164" t="s">
        <v>23</v>
      </c>
      <c r="I72" s="171">
        <v>14223298</v>
      </c>
      <c r="J72" s="165" t="s">
        <v>111</v>
      </c>
      <c r="K72" s="166">
        <f>K57</f>
        <v>1.9449999999999999E-3</v>
      </c>
      <c r="L72" s="50">
        <f>ROUND(I72*K72,0)</f>
        <v>27664</v>
      </c>
      <c r="O72" s="1"/>
      <c r="V72" s="623" t="s">
        <v>125</v>
      </c>
      <c r="W72" s="623"/>
      <c r="X72" s="623"/>
      <c r="Y72" s="623"/>
      <c r="Z72" s="623"/>
      <c r="AA72" s="623"/>
      <c r="AB72" s="623"/>
      <c r="AC72" s="60"/>
      <c r="AD72" s="9"/>
    </row>
    <row r="73" spans="1:30" ht="17.25" customHeight="1" x14ac:dyDescent="0.25">
      <c r="B73" s="13" t="s">
        <v>125</v>
      </c>
      <c r="C73" s="13"/>
      <c r="D73" s="13"/>
      <c r="E73" s="13"/>
      <c r="F73" s="13"/>
      <c r="H73" s="13"/>
      <c r="I73" s="13"/>
      <c r="J73" s="82"/>
      <c r="K73" s="13"/>
      <c r="L73" s="59"/>
      <c r="O73" s="1"/>
      <c r="V73" s="651" t="s">
        <v>126</v>
      </c>
      <c r="W73" s="651"/>
      <c r="X73" s="651"/>
      <c r="Y73" s="651"/>
      <c r="Z73" s="651"/>
      <c r="AA73" s="651"/>
      <c r="AB73" s="651"/>
      <c r="AC73" s="651"/>
      <c r="AD73" s="9"/>
    </row>
    <row r="74" spans="1:30" ht="31.5" x14ac:dyDescent="0.25">
      <c r="B74" s="13" t="s">
        <v>126</v>
      </c>
      <c r="C74" s="13"/>
      <c r="D74" s="27" t="s">
        <v>13</v>
      </c>
      <c r="E74" s="27" t="s">
        <v>14</v>
      </c>
      <c r="F74" s="27"/>
      <c r="H74" s="164" t="s">
        <v>26</v>
      </c>
      <c r="I74" s="172"/>
      <c r="J74" s="164"/>
      <c r="K74" s="172"/>
      <c r="L74" s="112"/>
      <c r="O74" s="1"/>
      <c r="V74" s="666" t="s">
        <v>127</v>
      </c>
      <c r="W74" s="666"/>
      <c r="X74" s="173" t="s">
        <v>128</v>
      </c>
      <c r="Y74" s="174"/>
      <c r="Z74" s="175">
        <f>+I75</f>
        <v>314.5</v>
      </c>
      <c r="AA74" s="176" t="s">
        <v>129</v>
      </c>
      <c r="AB74" s="177">
        <f>+K75</f>
        <v>361</v>
      </c>
      <c r="AC74" s="56">
        <f>ROUND(AB74*Z74,0)</f>
        <v>113535</v>
      </c>
      <c r="AD74" s="9"/>
    </row>
    <row r="75" spans="1:30" ht="19.5" customHeight="1" x14ac:dyDescent="0.25">
      <c r="A75" s="1" t="s">
        <v>130</v>
      </c>
      <c r="B75" s="178" t="s">
        <v>127</v>
      </c>
      <c r="C75" s="179" t="s">
        <v>128</v>
      </c>
      <c r="D75" s="178">
        <v>275</v>
      </c>
      <c r="E75" s="178">
        <v>354</v>
      </c>
      <c r="F75" s="178">
        <v>0</v>
      </c>
      <c r="G75" s="180">
        <f>IF(E75=0,D75,E75)</f>
        <v>354</v>
      </c>
      <c r="H75" s="181"/>
      <c r="I75" s="182">
        <f>AVERAGE(G75,D75)</f>
        <v>314.5</v>
      </c>
      <c r="J75" s="183" t="s">
        <v>129</v>
      </c>
      <c r="K75" s="184">
        <v>361</v>
      </c>
      <c r="L75" s="50">
        <f>ROUND(K75*I75,0)</f>
        <v>113535</v>
      </c>
      <c r="N75" s="1">
        <v>7802</v>
      </c>
      <c r="O75" s="1">
        <v>0</v>
      </c>
      <c r="V75" s="666" t="s">
        <v>127</v>
      </c>
      <c r="W75" s="666"/>
      <c r="X75" s="173" t="s">
        <v>131</v>
      </c>
      <c r="Y75" s="185"/>
      <c r="Z75" s="186">
        <f>+I76</f>
        <v>0</v>
      </c>
      <c r="AA75" s="176" t="s">
        <v>129</v>
      </c>
      <c r="AB75" s="187">
        <f>+K76</f>
        <v>1358</v>
      </c>
      <c r="AC75" s="56">
        <f>ROUND(AB75*Z75,0)</f>
        <v>0</v>
      </c>
      <c r="AD75" s="9"/>
    </row>
    <row r="76" spans="1:30" ht="19.5" customHeight="1" x14ac:dyDescent="0.25">
      <c r="A76" s="1" t="s">
        <v>132</v>
      </c>
      <c r="B76" s="178" t="s">
        <v>127</v>
      </c>
      <c r="C76" s="179" t="s">
        <v>131</v>
      </c>
      <c r="D76" s="178">
        <v>0</v>
      </c>
      <c r="E76" s="178">
        <v>0</v>
      </c>
      <c r="F76" s="178">
        <v>0</v>
      </c>
      <c r="G76" s="180">
        <f>IF(E76=0,D76,E76)</f>
        <v>0</v>
      </c>
      <c r="H76" s="181"/>
      <c r="I76" s="182">
        <f>AVERAGE(G76,D76)</f>
        <v>0</v>
      </c>
      <c r="J76" s="183" t="s">
        <v>129</v>
      </c>
      <c r="K76" s="188">
        <v>1358</v>
      </c>
      <c r="L76" s="50">
        <f>ROUND(K76*I76,0)</f>
        <v>0</v>
      </c>
      <c r="N76" s="1">
        <v>7802</v>
      </c>
      <c r="O76" s="1">
        <v>110</v>
      </c>
      <c r="V76" s="651" t="s">
        <v>133</v>
      </c>
      <c r="W76" s="651"/>
      <c r="X76" s="651"/>
      <c r="Y76" s="661">
        <f>+I77</f>
        <v>33305823</v>
      </c>
      <c r="Z76" s="661"/>
      <c r="AA76" s="176" t="s">
        <v>129</v>
      </c>
      <c r="AB76" s="163">
        <f>AB54</f>
        <v>0</v>
      </c>
      <c r="AC76" s="56">
        <f>ROUND(Y76*AB76,0)</f>
        <v>0</v>
      </c>
      <c r="AD76" s="9"/>
    </row>
    <row r="77" spans="1:30" ht="26.25" customHeight="1" x14ac:dyDescent="0.25">
      <c r="B77" s="13" t="s">
        <v>133</v>
      </c>
      <c r="C77" s="13"/>
      <c r="D77" s="13"/>
      <c r="E77" s="13"/>
      <c r="F77" s="13"/>
      <c r="H77" s="164" t="s">
        <v>134</v>
      </c>
      <c r="I77" s="189">
        <v>33305823</v>
      </c>
      <c r="J77" s="165" t="s">
        <v>111</v>
      </c>
      <c r="K77" s="166">
        <f>K54</f>
        <v>1.7979999999999999E-3</v>
      </c>
      <c r="L77" s="50">
        <f>ROUND(I77*K77,0)</f>
        <v>59884</v>
      </c>
      <c r="O77" s="1"/>
      <c r="V77" s="651" t="str">
        <f>+B78</f>
        <v>15.  Additional Allocation (WFTE share)</v>
      </c>
      <c r="W77" s="651"/>
      <c r="X77" s="651"/>
      <c r="Y77" s="661">
        <f>+I78</f>
        <v>680688</v>
      </c>
      <c r="Z77" s="661"/>
      <c r="AA77" s="176" t="s">
        <v>129</v>
      </c>
      <c r="AB77" s="163">
        <f>AB54</f>
        <v>0</v>
      </c>
      <c r="AC77" s="56">
        <f>ROUND(Y77*AB77,0)</f>
        <v>0</v>
      </c>
      <c r="AD77" s="9"/>
    </row>
    <row r="78" spans="1:30" ht="26.25" customHeight="1" x14ac:dyDescent="0.25">
      <c r="B78" s="669" t="s">
        <v>135</v>
      </c>
      <c r="C78" s="669"/>
      <c r="D78" s="669"/>
      <c r="E78" s="13"/>
      <c r="F78" s="13"/>
      <c r="H78" s="164" t="s">
        <v>136</v>
      </c>
      <c r="I78" s="190">
        <v>680688</v>
      </c>
      <c r="J78" s="165" t="s">
        <v>111</v>
      </c>
      <c r="K78" s="166">
        <f>K54</f>
        <v>1.7979999999999999E-3</v>
      </c>
      <c r="L78" s="50">
        <f>ROUND(I78*K78,0)</f>
        <v>1224</v>
      </c>
      <c r="O78" s="1"/>
      <c r="V78" s="651" t="str">
        <f t="shared" ref="V78:V79" si="11">+B79</f>
        <v>16.  Florida Teachers Lead Program Stipend</v>
      </c>
      <c r="W78" s="651"/>
      <c r="X78" s="651"/>
      <c r="Y78" s="191"/>
      <c r="Z78" s="191"/>
      <c r="AA78" s="191"/>
      <c r="AB78" s="191"/>
      <c r="AC78" s="134"/>
      <c r="AD78" s="9"/>
    </row>
    <row r="79" spans="1:30" ht="21" customHeight="1" x14ac:dyDescent="0.25">
      <c r="B79" s="669" t="s">
        <v>137</v>
      </c>
      <c r="C79" s="669"/>
      <c r="D79" s="669"/>
      <c r="E79" s="13"/>
      <c r="F79" s="13"/>
      <c r="H79" s="164"/>
      <c r="I79" s="172"/>
      <c r="J79" s="172"/>
      <c r="K79" s="172"/>
      <c r="L79" s="129"/>
      <c r="N79" s="192"/>
      <c r="O79" s="1"/>
      <c r="Q79" s="164"/>
      <c r="V79" s="651" t="str">
        <f t="shared" si="11"/>
        <v>17.  Food Service Allocation</v>
      </c>
      <c r="W79" s="651"/>
      <c r="X79" s="651"/>
      <c r="Y79" s="191"/>
      <c r="Z79" s="191"/>
      <c r="AA79" s="191"/>
      <c r="AB79" s="191"/>
      <c r="AC79" s="193"/>
      <c r="AD79" s="9"/>
    </row>
    <row r="80" spans="1:30" ht="21" customHeight="1" x14ac:dyDescent="0.25">
      <c r="B80" s="669" t="s">
        <v>138</v>
      </c>
      <c r="C80" s="669"/>
      <c r="D80" s="669"/>
      <c r="E80" s="13"/>
      <c r="F80" s="13"/>
      <c r="H80" s="194" t="s">
        <v>139</v>
      </c>
      <c r="I80" s="195"/>
      <c r="J80" s="195"/>
      <c r="K80" s="195"/>
      <c r="L80" s="196"/>
      <c r="N80" s="197"/>
      <c r="O80" s="1"/>
      <c r="Q80" s="164"/>
      <c r="V80" s="191"/>
      <c r="W80" s="191"/>
      <c r="X80" s="191"/>
      <c r="Y80" s="191"/>
      <c r="Z80" s="191"/>
      <c r="AA80" s="191"/>
      <c r="AB80" s="191"/>
      <c r="AC80" s="193"/>
      <c r="AD80" s="9"/>
    </row>
    <row r="81" spans="1:30" ht="21" customHeight="1" thickBot="1" x14ac:dyDescent="0.3">
      <c r="B81" s="13"/>
      <c r="C81" s="13"/>
      <c r="D81" s="13"/>
      <c r="E81" s="13"/>
      <c r="F81" s="13"/>
      <c r="G81" s="13"/>
      <c r="H81" s="13"/>
      <c r="I81" s="13"/>
      <c r="J81" s="13"/>
      <c r="K81" s="13"/>
      <c r="L81" s="196"/>
      <c r="M81" s="198"/>
      <c r="N81" s="197"/>
      <c r="O81" s="1"/>
      <c r="Q81" s="164"/>
      <c r="V81" s="191" t="s">
        <v>140</v>
      </c>
      <c r="W81" s="191"/>
      <c r="X81" s="191"/>
      <c r="Y81" s="191"/>
      <c r="Z81" s="191"/>
      <c r="AA81" s="191"/>
      <c r="AB81" s="191"/>
      <c r="AC81" s="199">
        <f>SUM(AC44:AC80)</f>
        <v>113535</v>
      </c>
      <c r="AD81" s="200"/>
    </row>
    <row r="82" spans="1:30" ht="22.5" customHeight="1" thickTop="1" thickBot="1" x14ac:dyDescent="0.3">
      <c r="B82" s="13" t="s">
        <v>141</v>
      </c>
      <c r="C82" s="13"/>
      <c r="D82" s="13"/>
      <c r="E82" s="13"/>
      <c r="F82" s="13"/>
      <c r="G82" s="13"/>
      <c r="H82" s="13"/>
      <c r="I82" s="13"/>
      <c r="J82" s="13"/>
      <c r="K82" s="13"/>
      <c r="L82" s="201">
        <f>SUM(L44:L81)</f>
        <v>2224542</v>
      </c>
      <c r="M82" s="202"/>
      <c r="N82" s="203"/>
      <c r="O82" s="1"/>
      <c r="Q82" s="164"/>
      <c r="V82" s="191"/>
      <c r="W82" s="191"/>
      <c r="X82" s="191"/>
      <c r="Y82" s="191"/>
      <c r="Z82" s="191"/>
      <c r="AA82" s="191"/>
      <c r="AB82" s="191"/>
      <c r="AC82" s="204"/>
      <c r="AD82" s="200"/>
    </row>
    <row r="83" spans="1:30" ht="27.75" customHeight="1" thickTop="1" x14ac:dyDescent="0.25">
      <c r="B83" s="13" t="s">
        <v>142</v>
      </c>
      <c r="C83" s="13"/>
      <c r="D83" s="13"/>
      <c r="E83" s="13"/>
      <c r="F83" s="13"/>
      <c r="G83" s="13"/>
      <c r="H83" s="13"/>
      <c r="I83" s="13"/>
      <c r="J83" s="13"/>
      <c r="K83" s="82" t="s">
        <v>143</v>
      </c>
      <c r="L83" s="205" t="s">
        <v>144</v>
      </c>
      <c r="M83" s="202"/>
      <c r="N83" s="203"/>
      <c r="O83" s="1"/>
      <c r="Q83" s="164"/>
      <c r="V83" s="9" t="s">
        <v>145</v>
      </c>
      <c r="W83" s="9"/>
      <c r="X83" s="9"/>
      <c r="Y83" s="9"/>
      <c r="Z83" s="9"/>
      <c r="AA83" s="9"/>
      <c r="AB83" s="9"/>
      <c r="AC83" s="9"/>
      <c r="AD83" s="206"/>
    </row>
    <row r="84" spans="1:30" ht="18.75" customHeight="1" thickBot="1" x14ac:dyDescent="0.3">
      <c r="B84" s="13" t="s">
        <v>146</v>
      </c>
      <c r="C84" s="13"/>
      <c r="D84" s="13"/>
      <c r="E84" s="13"/>
      <c r="F84" s="13"/>
      <c r="G84" s="13"/>
      <c r="H84" s="13"/>
      <c r="I84" s="13"/>
      <c r="J84" s="13"/>
      <c r="K84" s="207" t="str">
        <f>IF(G26=0,"",IF((G11+G13+SUM(G15:G21))/G26&gt;0.75,1,""))</f>
        <v/>
      </c>
      <c r="L84" s="201">
        <f>'3421'!AC81</f>
        <v>113535</v>
      </c>
      <c r="M84" s="202"/>
      <c r="N84" s="203"/>
      <c r="O84" s="1"/>
      <c r="Q84" s="164"/>
      <c r="V84" s="208" t="s">
        <v>147</v>
      </c>
      <c r="W84" s="208"/>
      <c r="X84" s="208"/>
      <c r="Y84" s="208"/>
      <c r="Z84" s="208"/>
      <c r="AA84" s="208"/>
      <c r="AB84" s="208"/>
      <c r="AC84" s="208"/>
      <c r="AD84" s="9"/>
    </row>
    <row r="85" spans="1:30" ht="18.75" customHeight="1" thickTop="1" x14ac:dyDescent="0.25">
      <c r="B85" s="13"/>
      <c r="C85" s="13"/>
      <c r="D85" s="13"/>
      <c r="E85" s="13"/>
      <c r="F85" s="13"/>
      <c r="G85" s="13"/>
      <c r="H85" s="13"/>
      <c r="I85" s="13"/>
      <c r="J85" s="13"/>
      <c r="M85" s="202"/>
      <c r="N85" s="203"/>
      <c r="O85" s="1"/>
      <c r="Q85" s="164"/>
      <c r="V85" s="208" t="s">
        <v>148</v>
      </c>
      <c r="W85" s="208"/>
      <c r="X85" s="208"/>
      <c r="Y85" s="208"/>
      <c r="Z85" s="208"/>
      <c r="AA85" s="208"/>
      <c r="AB85" s="208"/>
      <c r="AC85" s="208"/>
      <c r="AD85" s="206"/>
    </row>
    <row r="86" spans="1:30" ht="18.75" customHeight="1" x14ac:dyDescent="0.25">
      <c r="B86" s="2" t="s">
        <v>149</v>
      </c>
      <c r="C86" s="13"/>
      <c r="D86" s="13"/>
      <c r="E86" s="13"/>
      <c r="F86" s="13"/>
      <c r="G86" s="13"/>
      <c r="H86" s="13"/>
      <c r="I86" s="13"/>
      <c r="J86" s="209" t="s">
        <v>150</v>
      </c>
      <c r="K86" s="210">
        <f>IF(K84=1,L84,L82)</f>
        <v>2224542</v>
      </c>
      <c r="L86" s="211">
        <f>IF(G26=0,0,IF(G26&gt;250,-(((250/G26)*K86)*IF(M86="H",0.02,0.05)),IF(M86="H",-0.02*K86,-0.05*K86)))</f>
        <v>-79307.441104329468</v>
      </c>
      <c r="M86" s="212" t="str">
        <f>IF(B123="2801","H",IF(B123="2911","H",IF(B123="3382","H"," ")))</f>
        <v xml:space="preserve"> </v>
      </c>
      <c r="N86" s="203"/>
      <c r="O86" s="1"/>
      <c r="Q86" s="164"/>
      <c r="V86" s="208" t="s">
        <v>151</v>
      </c>
      <c r="W86" s="208"/>
      <c r="X86" s="208"/>
      <c r="Y86" s="208"/>
      <c r="Z86" s="208"/>
      <c r="AA86" s="208"/>
      <c r="AB86" s="208"/>
      <c r="AC86" s="208"/>
      <c r="AD86" s="206"/>
    </row>
    <row r="87" spans="1:30" ht="18.75" customHeight="1" x14ac:dyDescent="0.25">
      <c r="B87" s="2" t="s">
        <v>152</v>
      </c>
      <c r="C87" s="13"/>
      <c r="D87" s="13"/>
      <c r="E87" s="13"/>
      <c r="F87" s="13"/>
      <c r="G87" s="13"/>
      <c r="H87" s="13"/>
      <c r="I87" s="13"/>
      <c r="J87" s="13"/>
      <c r="K87" s="213"/>
      <c r="L87" s="205">
        <f>L82+L86</f>
        <v>2145234.5588956703</v>
      </c>
      <c r="M87" s="202"/>
      <c r="N87" s="203"/>
      <c r="O87" s="1"/>
      <c r="Q87" s="164"/>
      <c r="V87" s="198"/>
      <c r="W87" s="198"/>
      <c r="X87" s="198"/>
      <c r="Y87" s="198"/>
      <c r="Z87" s="198"/>
      <c r="AA87" s="198"/>
      <c r="AB87" s="198"/>
      <c r="AC87" s="198"/>
      <c r="AD87" s="214"/>
    </row>
    <row r="88" spans="1:30" x14ac:dyDescent="0.25">
      <c r="V88" s="198"/>
      <c r="W88" s="198"/>
      <c r="X88" s="198"/>
      <c r="Y88" s="198"/>
      <c r="Z88" s="198"/>
      <c r="AA88" s="198"/>
      <c r="AB88" s="198"/>
      <c r="AC88" s="198"/>
      <c r="AD88" s="215"/>
    </row>
    <row r="89" spans="1:30" ht="18.75" customHeight="1" x14ac:dyDescent="0.25">
      <c r="A89" s="1" t="s">
        <v>153</v>
      </c>
      <c r="B89" s="13" t="s">
        <v>154</v>
      </c>
      <c r="C89" s="13"/>
      <c r="D89" s="13">
        <v>949527</v>
      </c>
      <c r="E89" s="13">
        <v>177242</v>
      </c>
      <c r="F89" s="13">
        <v>1658493</v>
      </c>
      <c r="G89" s="13"/>
      <c r="H89" s="13"/>
      <c r="I89" s="13"/>
      <c r="J89" s="13"/>
      <c r="K89" s="213"/>
      <c r="L89" s="84">
        <f>-F89-245982</f>
        <v>-1904475</v>
      </c>
      <c r="M89" s="202"/>
      <c r="N89" s="203"/>
      <c r="O89" s="1"/>
      <c r="Q89" s="164"/>
      <c r="V89" s="198">
        <v>2801</v>
      </c>
      <c r="W89" s="198"/>
      <c r="X89" s="198"/>
      <c r="Y89" s="198"/>
      <c r="Z89" s="198"/>
      <c r="AA89" s="198"/>
      <c r="AB89" s="198"/>
      <c r="AC89" s="198"/>
      <c r="AD89" s="214"/>
    </row>
    <row r="90" spans="1:30" ht="18.75" customHeight="1" x14ac:dyDescent="0.25">
      <c r="B90" s="13" t="s">
        <v>155</v>
      </c>
      <c r="C90" s="13"/>
      <c r="D90" s="13"/>
      <c r="E90" s="13"/>
      <c r="F90" s="13"/>
      <c r="G90" s="13"/>
      <c r="H90" s="13"/>
      <c r="I90" s="13"/>
      <c r="J90" s="13"/>
      <c r="K90" s="213"/>
      <c r="L90" s="205">
        <f>L87+L89</f>
        <v>240759.55889567034</v>
      </c>
      <c r="M90" s="202"/>
      <c r="N90" s="203"/>
      <c r="O90" s="1"/>
      <c r="Q90" s="164"/>
      <c r="V90" s="198">
        <v>2911</v>
      </c>
      <c r="W90" s="216"/>
      <c r="X90" s="216"/>
      <c r="Y90" s="216"/>
      <c r="Z90" s="216"/>
      <c r="AA90" s="216"/>
      <c r="AB90" s="216"/>
      <c r="AC90" s="216"/>
      <c r="AD90" s="214"/>
    </row>
    <row r="91" spans="1:30" ht="18.75" customHeight="1" x14ac:dyDescent="0.25">
      <c r="B91" s="13" t="s">
        <v>156</v>
      </c>
      <c r="C91" s="13"/>
      <c r="D91" s="13"/>
      <c r="E91" s="13"/>
      <c r="F91" s="13"/>
      <c r="G91" s="13"/>
      <c r="H91" s="13"/>
      <c r="I91" s="13"/>
      <c r="J91" s="13"/>
      <c r="K91" s="213"/>
      <c r="L91" s="205">
        <v>1</v>
      </c>
      <c r="M91" s="202"/>
      <c r="N91" s="203"/>
      <c r="O91" s="1"/>
      <c r="Q91" s="164"/>
      <c r="V91" s="198">
        <v>3382</v>
      </c>
      <c r="W91" s="216"/>
      <c r="X91" s="216"/>
      <c r="Y91" s="216"/>
      <c r="Z91" s="216"/>
      <c r="AA91" s="216"/>
      <c r="AB91" s="216"/>
      <c r="AC91" s="216"/>
      <c r="AD91" s="214"/>
    </row>
    <row r="92" spans="1:30" ht="18.75" customHeight="1" thickBot="1" x14ac:dyDescent="0.3">
      <c r="B92" s="13" t="s">
        <v>157</v>
      </c>
      <c r="C92" s="13"/>
      <c r="D92" s="13"/>
      <c r="E92" s="13"/>
      <c r="F92" s="13"/>
      <c r="G92" s="13"/>
      <c r="H92" s="13"/>
      <c r="I92" s="13"/>
      <c r="J92" s="13"/>
      <c r="K92" s="213"/>
      <c r="L92" s="217">
        <f>L90/L91</f>
        <v>240759.55889567034</v>
      </c>
      <c r="M92" s="202"/>
      <c r="N92" s="203"/>
      <c r="O92" s="1"/>
      <c r="Q92" s="164"/>
      <c r="V92" s="218"/>
      <c r="W92" s="218"/>
      <c r="X92" s="218"/>
      <c r="Y92" s="218"/>
      <c r="Z92" s="218"/>
      <c r="AA92" s="218"/>
      <c r="AB92" s="218"/>
      <c r="AC92" s="218"/>
      <c r="AD92" s="219"/>
    </row>
    <row r="93" spans="1:30" ht="18.75" customHeight="1" thickTop="1" x14ac:dyDescent="0.25">
      <c r="N93" s="219"/>
      <c r="O93" s="220"/>
      <c r="P93" s="219"/>
      <c r="Q93" s="219"/>
      <c r="V93" s="218"/>
      <c r="W93" s="218"/>
      <c r="X93" s="218"/>
      <c r="Y93" s="218"/>
      <c r="Z93" s="218"/>
      <c r="AA93" s="218"/>
      <c r="AB93" s="218"/>
      <c r="AC93" s="218"/>
      <c r="AD93" s="214"/>
    </row>
    <row r="94" spans="1:30" ht="18.75" customHeight="1" thickBot="1" x14ac:dyDescent="0.3">
      <c r="B94" s="221" t="s">
        <v>158</v>
      </c>
      <c r="C94" s="13"/>
      <c r="D94" s="13"/>
      <c r="E94" s="13"/>
      <c r="G94" s="13"/>
      <c r="H94" s="13"/>
      <c r="I94" s="13"/>
      <c r="J94" s="13"/>
      <c r="L94" s="222">
        <f>IF(M86="H",(K86*0.02)+L86,(K86*0.05)+L86)</f>
        <v>31919.658895670538</v>
      </c>
      <c r="M94" s="202"/>
      <c r="V94" s="223"/>
      <c r="W94" s="223"/>
      <c r="X94" s="223"/>
      <c r="Y94" s="223"/>
      <c r="Z94" s="223"/>
      <c r="AA94" s="223"/>
      <c r="AB94" s="223"/>
      <c r="AC94" s="223"/>
      <c r="AD94" s="214"/>
    </row>
    <row r="95" spans="1:30" ht="21.75" customHeight="1" thickTop="1" x14ac:dyDescent="0.25">
      <c r="B95" s="224" t="s">
        <v>159</v>
      </c>
      <c r="C95" s="224"/>
      <c r="D95" s="224"/>
      <c r="E95" s="224"/>
      <c r="F95" s="224"/>
      <c r="G95" s="224"/>
      <c r="H95" s="224"/>
      <c r="I95" s="224"/>
      <c r="J95" s="224"/>
      <c r="K95" s="224"/>
      <c r="L95" s="224"/>
      <c r="M95" s="219"/>
      <c r="V95" s="223"/>
      <c r="W95" s="223"/>
      <c r="X95" s="223"/>
      <c r="Y95" s="223"/>
      <c r="Z95" s="223"/>
      <c r="AA95" s="223"/>
      <c r="AB95" s="223"/>
      <c r="AC95" s="223"/>
      <c r="AD95" s="214"/>
    </row>
    <row r="96" spans="1:30" x14ac:dyDescent="0.25">
      <c r="B96" s="225"/>
      <c r="V96" s="223"/>
      <c r="W96" s="223"/>
      <c r="X96" s="223"/>
      <c r="Y96" s="223"/>
      <c r="Z96" s="223"/>
      <c r="AA96" s="223"/>
      <c r="AB96" s="223"/>
      <c r="AC96" s="223"/>
      <c r="AD96" s="219"/>
    </row>
    <row r="97" spans="2:30" x14ac:dyDescent="0.25">
      <c r="B97" s="225"/>
      <c r="V97" s="223"/>
      <c r="W97" s="223"/>
      <c r="X97" s="223"/>
      <c r="Y97" s="223"/>
      <c r="Z97" s="223"/>
      <c r="AA97" s="223"/>
      <c r="AB97" s="223"/>
      <c r="AC97" s="223"/>
      <c r="AD97" s="219"/>
    </row>
    <row r="98" spans="2:30" hidden="1" x14ac:dyDescent="0.25">
      <c r="B98" s="226" t="s">
        <v>160</v>
      </c>
      <c r="C98" s="227"/>
      <c r="V98" s="228"/>
      <c r="W98" s="228"/>
      <c r="X98" s="228"/>
      <c r="Y98" s="228"/>
      <c r="Z98" s="228"/>
      <c r="AA98" s="228"/>
      <c r="AB98" s="228"/>
      <c r="AC98" s="228"/>
    </row>
    <row r="99" spans="2:30" hidden="1" x14ac:dyDescent="0.25">
      <c r="B99" s="229"/>
      <c r="C99" s="227"/>
      <c r="V99" s="225"/>
      <c r="W99" s="13"/>
      <c r="X99" s="13"/>
      <c r="Y99" s="13"/>
      <c r="Z99" s="13"/>
      <c r="AA99" s="13"/>
      <c r="AB99" s="13"/>
      <c r="AC99" s="13"/>
    </row>
    <row r="100" spans="2:30" hidden="1" x14ac:dyDescent="0.25">
      <c r="B100" s="230" t="s">
        <v>161</v>
      </c>
      <c r="C100" s="226" t="s">
        <v>162</v>
      </c>
      <c r="V100" s="225"/>
    </row>
    <row r="101" spans="2:30" hidden="1" x14ac:dyDescent="0.25">
      <c r="B101" s="230" t="s">
        <v>163</v>
      </c>
      <c r="C101" s="226" t="s">
        <v>164</v>
      </c>
      <c r="V101" s="225"/>
    </row>
    <row r="102" spans="2:30" hidden="1" x14ac:dyDescent="0.25">
      <c r="B102" s="230" t="s">
        <v>165</v>
      </c>
      <c r="C102" s="226" t="s">
        <v>166</v>
      </c>
      <c r="V102" s="225"/>
      <c r="W102" s="231"/>
      <c r="X102" s="231"/>
      <c r="Y102" s="231"/>
      <c r="Z102" s="231"/>
      <c r="AA102" s="231"/>
      <c r="AB102" s="231"/>
      <c r="AC102" s="231"/>
      <c r="AD102" s="231"/>
    </row>
    <row r="103" spans="2:30" hidden="1" x14ac:dyDescent="0.25">
      <c r="B103" s="230" t="s">
        <v>167</v>
      </c>
      <c r="C103" s="226" t="s">
        <v>168</v>
      </c>
      <c r="V103" s="225"/>
    </row>
    <row r="104" spans="2:30" hidden="1" x14ac:dyDescent="0.25">
      <c r="B104" s="232"/>
      <c r="C104" s="226" t="s">
        <v>169</v>
      </c>
      <c r="V104" s="225"/>
    </row>
    <row r="105" spans="2:30" hidden="1" x14ac:dyDescent="0.25">
      <c r="B105" s="230" t="s">
        <v>170</v>
      </c>
      <c r="C105" s="226" t="s">
        <v>171</v>
      </c>
      <c r="V105" s="225"/>
    </row>
    <row r="106" spans="2:30" hidden="1" x14ac:dyDescent="0.25">
      <c r="B106" s="230" t="s">
        <v>172</v>
      </c>
      <c r="C106" s="226" t="s">
        <v>173</v>
      </c>
      <c r="V106" s="225"/>
    </row>
    <row r="107" spans="2:30" hidden="1" x14ac:dyDescent="0.25">
      <c r="B107" s="230" t="s">
        <v>304</v>
      </c>
      <c r="C107" s="226" t="s">
        <v>175</v>
      </c>
      <c r="V107" s="225"/>
    </row>
    <row r="108" spans="2:30" hidden="1" x14ac:dyDescent="0.25">
      <c r="B108" s="230" t="s">
        <v>176</v>
      </c>
      <c r="C108" s="226" t="s">
        <v>177</v>
      </c>
      <c r="V108" s="225"/>
    </row>
    <row r="109" spans="2:30" hidden="1" x14ac:dyDescent="0.25">
      <c r="B109" s="230" t="s">
        <v>178</v>
      </c>
      <c r="C109" s="226" t="s">
        <v>179</v>
      </c>
      <c r="V109" s="225"/>
    </row>
    <row r="110" spans="2:30" hidden="1" x14ac:dyDescent="0.25">
      <c r="B110" s="232"/>
      <c r="C110" s="226"/>
      <c r="V110" s="225"/>
    </row>
    <row r="111" spans="2:30" hidden="1" x14ac:dyDescent="0.25">
      <c r="B111" s="230" t="s">
        <v>180</v>
      </c>
      <c r="C111" s="226" t="s">
        <v>181</v>
      </c>
      <c r="V111" s="225"/>
    </row>
    <row r="112" spans="2:30" hidden="1" x14ac:dyDescent="0.25">
      <c r="B112" s="230" t="s">
        <v>180</v>
      </c>
      <c r="C112" s="226" t="s">
        <v>182</v>
      </c>
    </row>
    <row r="113" spans="2:3" hidden="1" x14ac:dyDescent="0.25">
      <c r="B113" s="230" t="s">
        <v>183</v>
      </c>
      <c r="C113" s="226" t="s">
        <v>184</v>
      </c>
    </row>
    <row r="114" spans="2:3" hidden="1" x14ac:dyDescent="0.25">
      <c r="B114" s="230" t="s">
        <v>185</v>
      </c>
      <c r="C114" s="226" t="s">
        <v>186</v>
      </c>
    </row>
    <row r="115" spans="2:3" hidden="1" x14ac:dyDescent="0.25">
      <c r="B115" s="230" t="s">
        <v>183</v>
      </c>
      <c r="C115" s="226" t="s">
        <v>187</v>
      </c>
    </row>
    <row r="116" spans="2:3" hidden="1" x14ac:dyDescent="0.25">
      <c r="B116" s="230" t="s">
        <v>188</v>
      </c>
      <c r="C116" s="226" t="s">
        <v>189</v>
      </c>
    </row>
    <row r="117" spans="2:3" hidden="1" x14ac:dyDescent="0.25">
      <c r="B117" s="230" t="s">
        <v>190</v>
      </c>
      <c r="C117" s="226" t="s">
        <v>191</v>
      </c>
    </row>
    <row r="118" spans="2:3" hidden="1" x14ac:dyDescent="0.25">
      <c r="B118" s="232" t="s">
        <v>192</v>
      </c>
      <c r="C118" s="226" t="s">
        <v>193</v>
      </c>
    </row>
    <row r="119" spans="2:3" hidden="1" x14ac:dyDescent="0.25">
      <c r="B119" s="232"/>
      <c r="C119" s="226"/>
    </row>
    <row r="120" spans="2:3" hidden="1" x14ac:dyDescent="0.25">
      <c r="B120" s="230" t="s">
        <v>161</v>
      </c>
      <c r="C120" s="226" t="s">
        <v>194</v>
      </c>
    </row>
    <row r="121" spans="2:3" hidden="1" x14ac:dyDescent="0.25">
      <c r="B121" s="230" t="s">
        <v>195</v>
      </c>
      <c r="C121" s="226" t="s">
        <v>196</v>
      </c>
    </row>
    <row r="122" spans="2:3" hidden="1" x14ac:dyDescent="0.25">
      <c r="B122" s="230" t="s">
        <v>197</v>
      </c>
      <c r="C122" s="226" t="s">
        <v>198</v>
      </c>
    </row>
    <row r="123" spans="2:3" hidden="1" x14ac:dyDescent="0.25">
      <c r="B123" s="230" t="s">
        <v>305</v>
      </c>
      <c r="C123" s="226" t="s">
        <v>200</v>
      </c>
    </row>
    <row r="124" spans="2:3" hidden="1" x14ac:dyDescent="0.25">
      <c r="B124" s="230" t="s">
        <v>306</v>
      </c>
      <c r="C124" s="226" t="s">
        <v>202</v>
      </c>
    </row>
    <row r="125" spans="2:3" hidden="1" x14ac:dyDescent="0.25">
      <c r="B125" s="230" t="s">
        <v>203</v>
      </c>
      <c r="C125" s="226" t="s">
        <v>204</v>
      </c>
    </row>
    <row r="126" spans="2:3" hidden="1" x14ac:dyDescent="0.25">
      <c r="B126" s="230" t="s">
        <v>203</v>
      </c>
      <c r="C126" s="226" t="s">
        <v>205</v>
      </c>
    </row>
    <row r="127" spans="2:3" hidden="1" x14ac:dyDescent="0.25">
      <c r="B127" s="230" t="s">
        <v>203</v>
      </c>
      <c r="C127" s="226" t="s">
        <v>206</v>
      </c>
    </row>
    <row r="128" spans="2:3" hidden="1" x14ac:dyDescent="0.25">
      <c r="B128" s="230" t="s">
        <v>203</v>
      </c>
      <c r="C128" s="226" t="s">
        <v>207</v>
      </c>
    </row>
    <row r="129" spans="2:3" hidden="1" x14ac:dyDescent="0.25">
      <c r="B129" s="230" t="s">
        <v>167</v>
      </c>
      <c r="C129" s="226" t="s">
        <v>208</v>
      </c>
    </row>
    <row r="130" spans="2:3" hidden="1" x14ac:dyDescent="0.25">
      <c r="B130" s="230" t="s">
        <v>209</v>
      </c>
      <c r="C130" s="226" t="s">
        <v>210</v>
      </c>
    </row>
    <row r="131" spans="2:3" hidden="1" x14ac:dyDescent="0.25">
      <c r="B131" s="230" t="s">
        <v>203</v>
      </c>
      <c r="C131" s="226" t="s">
        <v>211</v>
      </c>
    </row>
    <row r="132" spans="2:3" hidden="1" x14ac:dyDescent="0.25">
      <c r="B132" s="226"/>
      <c r="C132" s="226"/>
    </row>
    <row r="133" spans="2:3" hidden="1" x14ac:dyDescent="0.25">
      <c r="B133" s="226"/>
      <c r="C133" s="226"/>
    </row>
    <row r="134" spans="2:3" hidden="1" x14ac:dyDescent="0.25">
      <c r="B134" s="232"/>
      <c r="C134" s="232"/>
    </row>
    <row r="135" spans="2:3" hidden="1" x14ac:dyDescent="0.25">
      <c r="B135" s="232">
        <f>NvsElapsedTime</f>
        <v>1.15740767796524E-5</v>
      </c>
      <c r="C135" s="232"/>
    </row>
    <row r="136" spans="2:3" hidden="1" x14ac:dyDescent="0.25">
      <c r="B136" s="233">
        <f>NvsEndTime</f>
        <v>41754.488043981502</v>
      </c>
      <c r="C136" s="233" t="s">
        <v>212</v>
      </c>
    </row>
    <row r="137" spans="2:3" x14ac:dyDescent="0.25">
      <c r="B137" s="226"/>
      <c r="C137" s="234"/>
    </row>
    <row r="138" spans="2:3" x14ac:dyDescent="0.25">
      <c r="B138" s="226"/>
      <c r="C138" s="226"/>
    </row>
    <row r="139" spans="2:3" x14ac:dyDescent="0.25">
      <c r="B139" s="226"/>
      <c r="C139" s="226"/>
    </row>
    <row r="140" spans="2:3" x14ac:dyDescent="0.25">
      <c r="B140" s="226"/>
      <c r="C140" s="226"/>
    </row>
    <row r="141" spans="2:3" x14ac:dyDescent="0.25">
      <c r="B141" s="226"/>
      <c r="C141" s="226"/>
    </row>
    <row r="142" spans="2:3" x14ac:dyDescent="0.25">
      <c r="B142" s="226"/>
      <c r="C142" s="226"/>
    </row>
    <row r="143" spans="2:3" x14ac:dyDescent="0.25">
      <c r="B143" s="226"/>
      <c r="C143" s="226"/>
    </row>
    <row r="144" spans="2:3" x14ac:dyDescent="0.25">
      <c r="B144" s="226"/>
      <c r="C144" s="226"/>
    </row>
    <row r="145" spans="2:3" x14ac:dyDescent="0.25">
      <c r="B145" s="226"/>
      <c r="C145" s="226"/>
    </row>
    <row r="146" spans="2:3" x14ac:dyDescent="0.25">
      <c r="B146" s="226"/>
      <c r="C146" s="226"/>
    </row>
    <row r="147" spans="2:3" x14ac:dyDescent="0.25">
      <c r="B147" s="226"/>
      <c r="C147" s="226"/>
    </row>
    <row r="148" spans="2:3" x14ac:dyDescent="0.25">
      <c r="B148" s="226"/>
      <c r="C148" s="226"/>
    </row>
    <row r="149" spans="2:3" x14ac:dyDescent="0.25">
      <c r="B149" s="226"/>
      <c r="C149" s="226"/>
    </row>
    <row r="150" spans="2:3" x14ac:dyDescent="0.25">
      <c r="B150" s="226"/>
      <c r="C150" s="226"/>
    </row>
    <row r="151" spans="2:3" x14ac:dyDescent="0.25">
      <c r="B151" s="226"/>
      <c r="C151" s="226"/>
    </row>
  </sheetData>
  <mergeCells count="151">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9:W9"/>
    <mergeCell ref="X9:Y9"/>
    <mergeCell ref="Z9:AA9"/>
    <mergeCell ref="V10:W10"/>
    <mergeCell ref="X10:Y10"/>
    <mergeCell ref="Z10:AA10"/>
    <mergeCell ref="V7:W7"/>
    <mergeCell ref="X7:Y7"/>
    <mergeCell ref="Z7:AA7"/>
    <mergeCell ref="AB7:AC7"/>
    <mergeCell ref="V8:W8"/>
    <mergeCell ref="X8:Y8"/>
    <mergeCell ref="Z8:AA8"/>
    <mergeCell ref="W2:AC2"/>
    <mergeCell ref="V3:AC3"/>
    <mergeCell ref="V4:AC4"/>
    <mergeCell ref="V5:W5"/>
    <mergeCell ref="X5:Y5"/>
    <mergeCell ref="V6:AC6"/>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pageSetUpPr fitToPage="1"/>
  </sheetPr>
  <dimension ref="A1:AD151"/>
  <sheetViews>
    <sheetView topLeftCell="B2" zoomScale="70" zoomScaleNormal="70" workbookViewId="0">
      <selection activeCell="L5" sqref="L4:L5"/>
    </sheetView>
  </sheetViews>
  <sheetFormatPr defaultColWidth="8.85546875" defaultRowHeight="15.75" x14ac:dyDescent="0.25"/>
  <cols>
    <col min="1" max="1" width="11.28515625" style="1" hidden="1" customWidth="1"/>
    <col min="2" max="2" width="10.28515625" style="2" customWidth="1"/>
    <col min="3" max="3" width="29" style="1" customWidth="1"/>
    <col min="4" max="5" width="12.28515625" style="1" customWidth="1"/>
    <col min="6" max="6" width="12.28515625" style="1" hidden="1" customWidth="1"/>
    <col min="7" max="7" width="16.140625" style="1" customWidth="1"/>
    <col min="8" max="8" width="6.7109375" style="1" customWidth="1"/>
    <col min="9" max="9" width="14" style="1" customWidth="1"/>
    <col min="10" max="10" width="12.85546875" style="1" customWidth="1"/>
    <col min="11" max="11" width="17.28515625" style="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28515625" style="1" customWidth="1"/>
    <col min="18" max="18" width="8.85546875" style="1"/>
    <col min="19" max="21" width="0" style="1" hidden="1" customWidth="1"/>
    <col min="22" max="23" width="8.85546875" style="1"/>
    <col min="24" max="24" width="12.7109375" style="1" customWidth="1"/>
    <col min="25" max="27" width="8.85546875" style="1"/>
    <col min="28" max="28" width="13.140625" style="1" bestFit="1" customWidth="1"/>
    <col min="29" max="16384" width="8.85546875" style="1"/>
  </cols>
  <sheetData>
    <row r="1" spans="1:30" ht="15.6"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7"/>
      <c r="N2" s="3"/>
      <c r="O2" s="1"/>
      <c r="V2" s="8">
        <f>'3431'!B2</f>
        <v>50</v>
      </c>
      <c r="W2" s="606" t="s">
        <v>4</v>
      </c>
      <c r="X2" s="607"/>
      <c r="Y2" s="608"/>
      <c r="Z2" s="608"/>
      <c r="AA2" s="608"/>
      <c r="AB2" s="608"/>
      <c r="AC2" s="608"/>
      <c r="AD2" s="9"/>
    </row>
    <row r="3" spans="1:30" ht="20.25" x14ac:dyDescent="0.3">
      <c r="B3" s="10" t="str">
        <f>"Revenue Estimate Worksheet for "&amp;B124</f>
        <v>Revenue Estimate Worksheet for Renaissance CS @ WPBch</v>
      </c>
      <c r="C3" s="11"/>
      <c r="D3" s="11"/>
      <c r="E3" s="11"/>
      <c r="F3" s="11"/>
      <c r="G3" s="11"/>
      <c r="H3" s="11"/>
      <c r="I3" s="11"/>
      <c r="J3" s="11"/>
      <c r="K3" s="11"/>
      <c r="L3" s="11"/>
      <c r="M3" s="10"/>
      <c r="N3" s="10"/>
      <c r="O3" s="10"/>
      <c r="P3" s="10"/>
      <c r="Q3" s="10"/>
      <c r="V3" s="609" t="s">
        <v>5</v>
      </c>
      <c r="W3" s="609"/>
      <c r="X3" s="609"/>
      <c r="Y3" s="609"/>
      <c r="Z3" s="609"/>
      <c r="AA3" s="609"/>
      <c r="AB3" s="609"/>
      <c r="AC3" s="609"/>
      <c r="AD3" s="12"/>
    </row>
    <row r="4" spans="1:30" ht="18.75" x14ac:dyDescent="0.3">
      <c r="B4" s="2" t="s">
        <v>6</v>
      </c>
      <c r="C4" s="13"/>
      <c r="D4" s="13"/>
      <c r="E4" s="13"/>
      <c r="F4" s="13"/>
      <c r="G4" s="13"/>
      <c r="H4" s="13"/>
      <c r="I4" s="13"/>
      <c r="J4" s="13"/>
      <c r="K4" s="13"/>
      <c r="L4" s="13"/>
      <c r="M4" s="14"/>
      <c r="N4" s="14"/>
      <c r="O4" s="14"/>
      <c r="P4" s="14"/>
      <c r="Q4" s="14"/>
      <c r="V4" s="610" t="str">
        <f>+Based_on_the_Second_Calculation_of_the_FEFP_2010_11</f>
        <v>Based on the Fourth Calculation of the FEFP 2013-14</v>
      </c>
      <c r="W4" s="610"/>
      <c r="X4" s="610"/>
      <c r="Y4" s="610"/>
      <c r="Z4" s="610"/>
      <c r="AA4" s="610"/>
      <c r="AB4" s="610"/>
      <c r="AC4" s="610"/>
      <c r="AD4" s="15"/>
    </row>
    <row r="5" spans="1:30" ht="18.75" customHeight="1" x14ac:dyDescent="0.25">
      <c r="B5" s="16" t="s">
        <v>7</v>
      </c>
      <c r="C5" s="16"/>
      <c r="D5" s="16"/>
      <c r="E5" s="16"/>
      <c r="F5" s="16"/>
      <c r="G5" s="17" t="s">
        <v>8</v>
      </c>
      <c r="H5" s="17"/>
      <c r="I5" s="17"/>
      <c r="J5" s="17"/>
      <c r="K5" s="17"/>
      <c r="L5" s="17"/>
      <c r="M5" s="18"/>
      <c r="N5" s="18"/>
      <c r="O5" s="18"/>
      <c r="P5" s="18"/>
      <c r="Q5" s="18"/>
      <c r="V5" s="611" t="s">
        <v>7</v>
      </c>
      <c r="W5" s="611"/>
      <c r="X5" s="612" t="s">
        <v>8</v>
      </c>
      <c r="Y5" s="612"/>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613" t="s">
        <v>9</v>
      </c>
      <c r="W6" s="613"/>
      <c r="X6" s="613"/>
      <c r="Y6" s="613"/>
      <c r="Z6" s="613"/>
      <c r="AA6" s="613"/>
      <c r="AB6" s="613"/>
      <c r="AC6" s="613"/>
      <c r="AD6" s="22"/>
    </row>
    <row r="7" spans="1:30" ht="18" customHeight="1" x14ac:dyDescent="0.25">
      <c r="B7" s="23" t="s">
        <v>10</v>
      </c>
      <c r="C7" s="23"/>
      <c r="D7" s="23"/>
      <c r="E7" s="23"/>
      <c r="F7" s="23"/>
      <c r="G7" s="24">
        <v>3752.3</v>
      </c>
      <c r="H7" s="24"/>
      <c r="I7" s="23" t="s">
        <v>11</v>
      </c>
      <c r="J7" s="23"/>
      <c r="K7" s="25">
        <v>1.0326</v>
      </c>
      <c r="L7" s="25"/>
      <c r="O7" s="1"/>
      <c r="V7" s="620" t="s">
        <v>10</v>
      </c>
      <c r="W7" s="620"/>
      <c r="X7" s="621">
        <f>'3431'!G7</f>
        <v>3752.3</v>
      </c>
      <c r="Y7" s="621"/>
      <c r="Z7" s="622" t="s">
        <v>11</v>
      </c>
      <c r="AA7" s="622"/>
      <c r="AB7" s="602">
        <f>+K7</f>
        <v>1.0326</v>
      </c>
      <c r="AC7" s="602"/>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603" t="s">
        <v>12</v>
      </c>
      <c r="W8" s="603"/>
      <c r="X8" s="604" t="s">
        <v>15</v>
      </c>
      <c r="Y8" s="604"/>
      <c r="Z8" s="605" t="s">
        <v>16</v>
      </c>
      <c r="AA8" s="605"/>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614" t="s">
        <v>22</v>
      </c>
      <c r="W9" s="614"/>
      <c r="X9" s="615" t="s">
        <v>23</v>
      </c>
      <c r="Y9" s="615"/>
      <c r="Z9" s="616" t="s">
        <v>24</v>
      </c>
      <c r="AA9" s="616"/>
      <c r="AB9" s="43" t="s">
        <v>25</v>
      </c>
      <c r="AC9" s="44" t="s">
        <v>26</v>
      </c>
      <c r="AD9" s="9"/>
    </row>
    <row r="10" spans="1:30" x14ac:dyDescent="0.25">
      <c r="A10" s="1" t="s">
        <v>27</v>
      </c>
      <c r="B10" s="45" t="s">
        <v>28</v>
      </c>
      <c r="C10" s="45"/>
      <c r="D10" s="45">
        <v>183.58</v>
      </c>
      <c r="E10" s="45">
        <v>187.43</v>
      </c>
      <c r="F10" s="45">
        <v>223.71</v>
      </c>
      <c r="G10" s="46">
        <f>D10+E10</f>
        <v>371.01</v>
      </c>
      <c r="H10" s="47"/>
      <c r="I10" s="48">
        <v>1.125</v>
      </c>
      <c r="J10" s="48"/>
      <c r="K10" s="49">
        <f>ROUND(G10*I10,4)</f>
        <v>417.38630000000001</v>
      </c>
      <c r="L10" s="50">
        <f>ROUND(ROUND(K10*$G$7,4)*($K$7),0)</f>
        <v>1617215</v>
      </c>
      <c r="N10" s="51">
        <v>5101</v>
      </c>
      <c r="O10" s="52">
        <v>101</v>
      </c>
      <c r="P10" s="53"/>
      <c r="Q10" s="54"/>
      <c r="V10" s="617" t="s">
        <v>28</v>
      </c>
      <c r="W10" s="617"/>
      <c r="X10" s="618">
        <f>IF('3431'!K$84=1,'3431'!G10,0)</f>
        <v>0</v>
      </c>
      <c r="Y10" s="618"/>
      <c r="Z10" s="619">
        <v>1</v>
      </c>
      <c r="AA10" s="619"/>
      <c r="AB10" s="55">
        <f t="shared" ref="AB10:AB25" si="0">ROUND(X10*Z10,4)</f>
        <v>0</v>
      </c>
      <c r="AC10" s="56">
        <f t="shared" ref="AC10:AC25" si="1">ROUND(ROUND(AB10*$X$7,4)*($AB$7),0)</f>
        <v>0</v>
      </c>
      <c r="AD10" s="9">
        <v>1</v>
      </c>
    </row>
    <row r="11" spans="1:30" x14ac:dyDescent="0.25">
      <c r="A11" s="1" t="s">
        <v>29</v>
      </c>
      <c r="B11" s="13" t="s">
        <v>30</v>
      </c>
      <c r="C11" s="13"/>
      <c r="D11" s="13">
        <v>13.97</v>
      </c>
      <c r="E11" s="13">
        <v>15.09</v>
      </c>
      <c r="F11" s="13">
        <v>17.989999999999998</v>
      </c>
      <c r="G11" s="46">
        <f t="shared" ref="G11:G25" si="2">D11+E11</f>
        <v>29.060000000000002</v>
      </c>
      <c r="H11" s="47"/>
      <c r="I11" s="57">
        <f>I10</f>
        <v>1.125</v>
      </c>
      <c r="J11" s="57"/>
      <c r="K11" s="49">
        <f t="shared" ref="K11:K25" si="3">ROUND(G11*I11,4)</f>
        <v>32.692500000000003</v>
      </c>
      <c r="L11" s="50">
        <f t="shared" ref="L11:L25" si="4">ROUND(ROUND(K11*$G$7,4)*($K$7),0)</f>
        <v>126671</v>
      </c>
      <c r="M11" s="1" t="str">
        <f>IF(ROUND(G11,2)=ROUND(SUM(G28:G30),2)," ","CHECK 2. PK-3 Lines Below")</f>
        <v xml:space="preserve"> </v>
      </c>
      <c r="N11" s="51">
        <v>5101</v>
      </c>
      <c r="O11" s="58" t="s">
        <v>31</v>
      </c>
      <c r="P11" s="53"/>
      <c r="Q11" s="54"/>
      <c r="V11" s="623" t="s">
        <v>30</v>
      </c>
      <c r="W11" s="623"/>
      <c r="X11" s="618">
        <f>IF('3431'!K$84=1,'3431'!G11,0)</f>
        <v>0</v>
      </c>
      <c r="Y11" s="618"/>
      <c r="Z11" s="624">
        <v>1</v>
      </c>
      <c r="AA11" s="624"/>
      <c r="AB11" s="55">
        <f t="shared" si="0"/>
        <v>0</v>
      </c>
      <c r="AC11" s="56">
        <f t="shared" si="1"/>
        <v>0</v>
      </c>
      <c r="AD11" s="9"/>
    </row>
    <row r="12" spans="1:30" x14ac:dyDescent="0.25">
      <c r="A12" s="1" t="s">
        <v>32</v>
      </c>
      <c r="B12" s="13" t="s">
        <v>33</v>
      </c>
      <c r="C12" s="13"/>
      <c r="D12" s="13">
        <v>139.97999999999999</v>
      </c>
      <c r="E12" s="13">
        <v>145.33000000000001</v>
      </c>
      <c r="F12" s="13">
        <v>179.23</v>
      </c>
      <c r="G12" s="46">
        <f t="shared" si="2"/>
        <v>285.31</v>
      </c>
      <c r="H12" s="47"/>
      <c r="I12" s="57">
        <v>1</v>
      </c>
      <c r="J12" s="57"/>
      <c r="K12" s="49">
        <f t="shared" si="3"/>
        <v>285.31</v>
      </c>
      <c r="L12" s="50">
        <f t="shared" si="4"/>
        <v>1105469</v>
      </c>
      <c r="N12" s="51">
        <v>5102</v>
      </c>
      <c r="O12" s="52">
        <v>102</v>
      </c>
      <c r="P12" s="53"/>
      <c r="Q12" s="54"/>
      <c r="V12" s="623" t="s">
        <v>33</v>
      </c>
      <c r="W12" s="623"/>
      <c r="X12" s="618">
        <f>IF('3431'!K$84=1,'3431'!G12,0)</f>
        <v>0</v>
      </c>
      <c r="Y12" s="618"/>
      <c r="Z12" s="624">
        <v>1</v>
      </c>
      <c r="AA12" s="624"/>
      <c r="AB12" s="55">
        <f t="shared" si="0"/>
        <v>0</v>
      </c>
      <c r="AC12" s="56">
        <f t="shared" si="1"/>
        <v>0</v>
      </c>
      <c r="AD12" s="9"/>
    </row>
    <row r="13" spans="1:30" x14ac:dyDescent="0.25">
      <c r="A13" s="1" t="s">
        <v>34</v>
      </c>
      <c r="B13" s="13" t="s">
        <v>35</v>
      </c>
      <c r="C13" s="13"/>
      <c r="D13" s="13">
        <v>15.36</v>
      </c>
      <c r="E13" s="13">
        <v>17.7</v>
      </c>
      <c r="F13" s="13">
        <v>20.87</v>
      </c>
      <c r="G13" s="46">
        <f t="shared" si="2"/>
        <v>33.06</v>
      </c>
      <c r="H13" s="47"/>
      <c r="I13" s="57">
        <f>I12</f>
        <v>1</v>
      </c>
      <c r="J13" s="57"/>
      <c r="K13" s="49">
        <f t="shared" si="3"/>
        <v>33.06</v>
      </c>
      <c r="L13" s="50">
        <f t="shared" si="4"/>
        <v>128095</v>
      </c>
      <c r="M13" s="1" t="str">
        <f>IF(ROUND(G13,2)=ROUND(SUM(G31:G33),2)," ","CHECK 2. PK-3 Lines Below")</f>
        <v xml:space="preserve"> </v>
      </c>
      <c r="N13" s="51">
        <v>5102</v>
      </c>
      <c r="O13" s="58" t="s">
        <v>36</v>
      </c>
      <c r="P13" s="53"/>
      <c r="Q13" s="54"/>
      <c r="V13" s="623" t="s">
        <v>35</v>
      </c>
      <c r="W13" s="623"/>
      <c r="X13" s="618">
        <f>IF('3431'!K$84=1,'3431'!G13,0)</f>
        <v>0</v>
      </c>
      <c r="Y13" s="618"/>
      <c r="Z13" s="624">
        <v>1</v>
      </c>
      <c r="AA13" s="624"/>
      <c r="AB13" s="55">
        <f t="shared" si="0"/>
        <v>0</v>
      </c>
      <c r="AC13" s="56">
        <f t="shared" si="1"/>
        <v>0</v>
      </c>
      <c r="AD13" s="9"/>
    </row>
    <row r="14" spans="1:30" x14ac:dyDescent="0.25">
      <c r="A14" s="1" t="s">
        <v>37</v>
      </c>
      <c r="B14" s="13" t="s">
        <v>38</v>
      </c>
      <c r="C14" s="13"/>
      <c r="D14" s="13">
        <v>0</v>
      </c>
      <c r="E14" s="13">
        <v>0</v>
      </c>
      <c r="F14" s="13">
        <v>0</v>
      </c>
      <c r="G14" s="46">
        <f t="shared" si="2"/>
        <v>0</v>
      </c>
      <c r="H14" s="47"/>
      <c r="I14" s="57">
        <v>1.0109999999999999</v>
      </c>
      <c r="J14" s="57"/>
      <c r="K14" s="49">
        <f t="shared" si="3"/>
        <v>0</v>
      </c>
      <c r="L14" s="50">
        <f t="shared" si="4"/>
        <v>0</v>
      </c>
      <c r="N14" s="51">
        <v>5103</v>
      </c>
      <c r="O14" s="52">
        <v>103</v>
      </c>
      <c r="P14" s="53"/>
      <c r="Q14" s="54"/>
      <c r="V14" s="623" t="s">
        <v>38</v>
      </c>
      <c r="W14" s="623"/>
      <c r="X14" s="618">
        <f>IF('3431'!K$84=1,'3431'!G14,0)</f>
        <v>0</v>
      </c>
      <c r="Y14" s="618"/>
      <c r="Z14" s="624">
        <v>1</v>
      </c>
      <c r="AA14" s="624"/>
      <c r="AB14" s="55">
        <f t="shared" si="0"/>
        <v>0</v>
      </c>
      <c r="AC14" s="56">
        <f t="shared" si="1"/>
        <v>0</v>
      </c>
      <c r="AD14" s="9"/>
    </row>
    <row r="15" spans="1:30" x14ac:dyDescent="0.25">
      <c r="A15" s="1" t="s">
        <v>39</v>
      </c>
      <c r="B15" s="13" t="s">
        <v>40</v>
      </c>
      <c r="C15" s="13"/>
      <c r="D15" s="13">
        <v>0</v>
      </c>
      <c r="E15" s="13">
        <v>0</v>
      </c>
      <c r="F15" s="13">
        <v>0</v>
      </c>
      <c r="G15" s="46">
        <f t="shared" si="2"/>
        <v>0</v>
      </c>
      <c r="H15" s="47"/>
      <c r="I15" s="57">
        <f>I14</f>
        <v>1.0109999999999999</v>
      </c>
      <c r="J15" s="57"/>
      <c r="K15" s="49">
        <f t="shared" si="3"/>
        <v>0</v>
      </c>
      <c r="L15" s="59">
        <f t="shared" si="4"/>
        <v>0</v>
      </c>
      <c r="M15" s="1" t="str">
        <f>IF(ROUND(G15,2)=ROUND(SUM(G34:G36),2)," ","CHECK 2. PK-3 Lines Below")</f>
        <v xml:space="preserve"> </v>
      </c>
      <c r="N15" s="51">
        <v>5103</v>
      </c>
      <c r="O15" s="58" t="s">
        <v>41</v>
      </c>
      <c r="P15" s="53"/>
      <c r="Q15" s="54"/>
      <c r="V15" s="623" t="s">
        <v>40</v>
      </c>
      <c r="W15" s="623"/>
      <c r="X15" s="618">
        <f>IF('3431'!K$84=1,'3431'!G15,0)</f>
        <v>0</v>
      </c>
      <c r="Y15" s="618"/>
      <c r="Z15" s="624">
        <v>1</v>
      </c>
      <c r="AA15" s="624"/>
      <c r="AB15" s="55">
        <f t="shared" si="0"/>
        <v>0</v>
      </c>
      <c r="AC15" s="60">
        <f t="shared" si="1"/>
        <v>0</v>
      </c>
      <c r="AD15" s="9"/>
    </row>
    <row r="16" spans="1:30" x14ac:dyDescent="0.25">
      <c r="A16" s="1" t="s">
        <v>42</v>
      </c>
      <c r="B16" s="13" t="s">
        <v>43</v>
      </c>
      <c r="C16" s="13"/>
      <c r="D16" s="13">
        <v>0</v>
      </c>
      <c r="E16" s="13">
        <v>0</v>
      </c>
      <c r="F16" s="13">
        <v>0</v>
      </c>
      <c r="G16" s="46">
        <f t="shared" si="2"/>
        <v>0</v>
      </c>
      <c r="H16" s="47"/>
      <c r="I16" s="57">
        <v>3.5579999999999998</v>
      </c>
      <c r="J16" s="57"/>
      <c r="K16" s="49">
        <f t="shared" si="3"/>
        <v>0</v>
      </c>
      <c r="L16" s="50">
        <f t="shared" si="4"/>
        <v>0</v>
      </c>
      <c r="N16" s="51">
        <v>5101</v>
      </c>
      <c r="O16" s="53">
        <v>254</v>
      </c>
      <c r="P16" s="53"/>
      <c r="Q16" s="54"/>
      <c r="V16" s="623" t="s">
        <v>43</v>
      </c>
      <c r="W16" s="623"/>
      <c r="X16" s="618">
        <f>IF('3431'!K$84=1,'3431'!G16,0)</f>
        <v>0</v>
      </c>
      <c r="Y16" s="618"/>
      <c r="Z16" s="624">
        <v>1</v>
      </c>
      <c r="AA16" s="624"/>
      <c r="AB16" s="55">
        <f t="shared" si="0"/>
        <v>0</v>
      </c>
      <c r="AC16" s="56">
        <f t="shared" si="1"/>
        <v>0</v>
      </c>
      <c r="AD16" s="9"/>
    </row>
    <row r="17" spans="1:30" x14ac:dyDescent="0.25">
      <c r="A17" s="1" t="s">
        <v>44</v>
      </c>
      <c r="B17" s="13" t="s">
        <v>45</v>
      </c>
      <c r="C17" s="13"/>
      <c r="D17" s="13">
        <v>0</v>
      </c>
      <c r="E17" s="13">
        <v>0</v>
      </c>
      <c r="F17" s="13">
        <v>0</v>
      </c>
      <c r="G17" s="46">
        <f t="shared" si="2"/>
        <v>0</v>
      </c>
      <c r="H17" s="47"/>
      <c r="I17" s="57">
        <f>I16</f>
        <v>3.5579999999999998</v>
      </c>
      <c r="J17" s="57"/>
      <c r="K17" s="49">
        <f t="shared" si="3"/>
        <v>0</v>
      </c>
      <c r="L17" s="50">
        <f t="shared" si="4"/>
        <v>0</v>
      </c>
      <c r="N17" s="51">
        <v>5102</v>
      </c>
      <c r="O17" s="54">
        <v>254</v>
      </c>
      <c r="P17" s="53"/>
      <c r="Q17" s="54"/>
      <c r="V17" s="623" t="s">
        <v>45</v>
      </c>
      <c r="W17" s="623"/>
      <c r="X17" s="618">
        <f>IF('3431'!K$84=1,'3431'!G17,0)</f>
        <v>0</v>
      </c>
      <c r="Y17" s="618"/>
      <c r="Z17" s="624">
        <v>1</v>
      </c>
      <c r="AA17" s="624"/>
      <c r="AB17" s="55">
        <f t="shared" si="0"/>
        <v>0</v>
      </c>
      <c r="AC17" s="56">
        <f t="shared" si="1"/>
        <v>0</v>
      </c>
      <c r="AD17" s="9"/>
    </row>
    <row r="18" spans="1:30" x14ac:dyDescent="0.25">
      <c r="A18" s="1" t="s">
        <v>46</v>
      </c>
      <c r="B18" s="13" t="s">
        <v>47</v>
      </c>
      <c r="C18" s="13"/>
      <c r="D18" s="13">
        <v>0</v>
      </c>
      <c r="E18" s="13">
        <v>0</v>
      </c>
      <c r="F18" s="13">
        <v>0</v>
      </c>
      <c r="G18" s="46">
        <f t="shared" si="2"/>
        <v>0</v>
      </c>
      <c r="H18" s="47"/>
      <c r="I18" s="57">
        <f>I17</f>
        <v>3.5579999999999998</v>
      </c>
      <c r="J18" s="57"/>
      <c r="K18" s="49">
        <f t="shared" si="3"/>
        <v>0</v>
      </c>
      <c r="L18" s="50">
        <f t="shared" si="4"/>
        <v>0</v>
      </c>
      <c r="N18" s="51">
        <v>5103</v>
      </c>
      <c r="O18" s="54">
        <v>254</v>
      </c>
      <c r="P18" s="53"/>
      <c r="Q18" s="54"/>
      <c r="V18" s="623" t="s">
        <v>47</v>
      </c>
      <c r="W18" s="623"/>
      <c r="X18" s="618">
        <f>IF('3431'!K$84=1,'3431'!G18,0)</f>
        <v>0</v>
      </c>
      <c r="Y18" s="618"/>
      <c r="Z18" s="624">
        <v>1</v>
      </c>
      <c r="AA18" s="624"/>
      <c r="AB18" s="55">
        <f t="shared" si="0"/>
        <v>0</v>
      </c>
      <c r="AC18" s="56">
        <f t="shared" si="1"/>
        <v>0</v>
      </c>
      <c r="AD18" s="9"/>
    </row>
    <row r="19" spans="1:30" ht="15" customHeight="1" x14ac:dyDescent="0.25">
      <c r="A19" s="1" t="s">
        <v>48</v>
      </c>
      <c r="B19" s="13" t="s">
        <v>49</v>
      </c>
      <c r="C19" s="13"/>
      <c r="D19" s="13">
        <v>0</v>
      </c>
      <c r="E19" s="13">
        <v>0</v>
      </c>
      <c r="F19" s="13">
        <v>0</v>
      </c>
      <c r="G19" s="46">
        <f t="shared" si="2"/>
        <v>0</v>
      </c>
      <c r="H19" s="47"/>
      <c r="I19" s="57">
        <v>5.0890000000000004</v>
      </c>
      <c r="J19" s="57"/>
      <c r="K19" s="49">
        <f t="shared" si="3"/>
        <v>0</v>
      </c>
      <c r="L19" s="50">
        <f t="shared" si="4"/>
        <v>0</v>
      </c>
      <c r="N19" s="51">
        <v>5101</v>
      </c>
      <c r="O19" s="53">
        <v>255</v>
      </c>
      <c r="P19" s="53"/>
      <c r="Q19" s="54"/>
      <c r="V19" s="623" t="s">
        <v>49</v>
      </c>
      <c r="W19" s="623"/>
      <c r="X19" s="618">
        <f>IF('3431'!K$84=1,'3431'!G19,0)</f>
        <v>0</v>
      </c>
      <c r="Y19" s="618"/>
      <c r="Z19" s="624">
        <v>1</v>
      </c>
      <c r="AA19" s="624"/>
      <c r="AB19" s="55">
        <f t="shared" si="0"/>
        <v>0</v>
      </c>
      <c r="AC19" s="56">
        <f t="shared" si="1"/>
        <v>0</v>
      </c>
      <c r="AD19" s="9"/>
    </row>
    <row r="20" spans="1:30" ht="15" customHeight="1" x14ac:dyDescent="0.25">
      <c r="A20" s="1" t="s">
        <v>50</v>
      </c>
      <c r="B20" s="13" t="s">
        <v>51</v>
      </c>
      <c r="C20" s="13"/>
      <c r="D20" s="13">
        <v>0</v>
      </c>
      <c r="E20" s="13">
        <v>0</v>
      </c>
      <c r="F20" s="13">
        <v>0</v>
      </c>
      <c r="G20" s="46">
        <f t="shared" si="2"/>
        <v>0</v>
      </c>
      <c r="H20" s="47"/>
      <c r="I20" s="57">
        <f>I19</f>
        <v>5.0890000000000004</v>
      </c>
      <c r="J20" s="57"/>
      <c r="K20" s="49">
        <f t="shared" si="3"/>
        <v>0</v>
      </c>
      <c r="L20" s="50">
        <f t="shared" si="4"/>
        <v>0</v>
      </c>
      <c r="N20" s="51">
        <v>5102</v>
      </c>
      <c r="O20" s="54">
        <v>255</v>
      </c>
      <c r="P20" s="53"/>
      <c r="Q20" s="54"/>
      <c r="V20" s="623" t="s">
        <v>51</v>
      </c>
      <c r="W20" s="623"/>
      <c r="X20" s="618">
        <f>IF('3431'!K$84=1,'3431'!G20,0)</f>
        <v>0</v>
      </c>
      <c r="Y20" s="618"/>
      <c r="Z20" s="624">
        <v>1</v>
      </c>
      <c r="AA20" s="624"/>
      <c r="AB20" s="55">
        <f t="shared" si="0"/>
        <v>0</v>
      </c>
      <c r="AC20" s="56">
        <f t="shared" si="1"/>
        <v>0</v>
      </c>
      <c r="AD20" s="9"/>
    </row>
    <row r="21" spans="1:30" ht="15" customHeight="1" x14ac:dyDescent="0.25">
      <c r="A21" s="1" t="s">
        <v>52</v>
      </c>
      <c r="B21" s="13" t="s">
        <v>53</v>
      </c>
      <c r="C21" s="13"/>
      <c r="D21" s="13">
        <v>0</v>
      </c>
      <c r="E21" s="13">
        <v>0</v>
      </c>
      <c r="F21" s="13">
        <v>0</v>
      </c>
      <c r="G21" s="46">
        <f t="shared" si="2"/>
        <v>0</v>
      </c>
      <c r="H21" s="47"/>
      <c r="I21" s="57">
        <f>I20</f>
        <v>5.0890000000000004</v>
      </c>
      <c r="J21" s="57"/>
      <c r="K21" s="49">
        <f t="shared" si="3"/>
        <v>0</v>
      </c>
      <c r="L21" s="50">
        <f t="shared" si="4"/>
        <v>0</v>
      </c>
      <c r="N21" s="51">
        <v>5103</v>
      </c>
      <c r="O21" s="54">
        <v>255</v>
      </c>
      <c r="P21" s="53"/>
      <c r="Q21" s="54"/>
      <c r="V21" s="623" t="s">
        <v>53</v>
      </c>
      <c r="W21" s="623"/>
      <c r="X21" s="618">
        <f>IF('3431'!K$84=1,'3431'!G21,0)</f>
        <v>0</v>
      </c>
      <c r="Y21" s="618"/>
      <c r="Z21" s="624">
        <v>1</v>
      </c>
      <c r="AA21" s="624"/>
      <c r="AB21" s="55">
        <f t="shared" si="0"/>
        <v>0</v>
      </c>
      <c r="AC21" s="56">
        <f t="shared" si="1"/>
        <v>0</v>
      </c>
      <c r="AD21" s="9"/>
    </row>
    <row r="22" spans="1:30" x14ac:dyDescent="0.25">
      <c r="A22" s="1" t="s">
        <v>54</v>
      </c>
      <c r="B22" s="13" t="s">
        <v>55</v>
      </c>
      <c r="C22" s="13"/>
      <c r="D22" s="13">
        <v>18.28</v>
      </c>
      <c r="E22" s="13">
        <v>24.24</v>
      </c>
      <c r="F22" s="13">
        <v>22.31</v>
      </c>
      <c r="G22" s="46">
        <f t="shared" si="2"/>
        <v>42.519999999999996</v>
      </c>
      <c r="H22" s="47"/>
      <c r="I22" s="57">
        <v>1.145</v>
      </c>
      <c r="J22" s="57"/>
      <c r="K22" s="49">
        <f t="shared" si="3"/>
        <v>48.685400000000001</v>
      </c>
      <c r="L22" s="50">
        <f t="shared" si="4"/>
        <v>188638</v>
      </c>
      <c r="N22" s="51">
        <v>5101</v>
      </c>
      <c r="O22" s="52">
        <v>130</v>
      </c>
      <c r="P22" s="53"/>
      <c r="Q22" s="54"/>
      <c r="V22" s="623" t="s">
        <v>55</v>
      </c>
      <c r="W22" s="623"/>
      <c r="X22" s="618">
        <f>IF('3431'!K$84=1,'3431'!G22,0)</f>
        <v>0</v>
      </c>
      <c r="Y22" s="618"/>
      <c r="Z22" s="624">
        <v>1</v>
      </c>
      <c r="AA22" s="624"/>
      <c r="AB22" s="55">
        <f t="shared" si="0"/>
        <v>0</v>
      </c>
      <c r="AC22" s="56">
        <f t="shared" si="1"/>
        <v>0</v>
      </c>
      <c r="AD22" s="9"/>
    </row>
    <row r="23" spans="1:30" x14ac:dyDescent="0.25">
      <c r="A23" s="1" t="s">
        <v>56</v>
      </c>
      <c r="B23" s="13" t="s">
        <v>57</v>
      </c>
      <c r="C23" s="13"/>
      <c r="D23" s="13">
        <v>0</v>
      </c>
      <c r="E23" s="13">
        <v>0</v>
      </c>
      <c r="F23" s="13">
        <v>0</v>
      </c>
      <c r="G23" s="46">
        <f t="shared" si="2"/>
        <v>0</v>
      </c>
      <c r="H23" s="47"/>
      <c r="I23" s="57">
        <f>I22</f>
        <v>1.145</v>
      </c>
      <c r="J23" s="57"/>
      <c r="K23" s="49">
        <f t="shared" si="3"/>
        <v>0</v>
      </c>
      <c r="L23" s="50">
        <f t="shared" si="4"/>
        <v>0</v>
      </c>
      <c r="N23" s="51">
        <v>5102</v>
      </c>
      <c r="O23" s="52">
        <v>130</v>
      </c>
      <c r="P23" s="53"/>
      <c r="Q23" s="54"/>
      <c r="V23" s="623" t="s">
        <v>57</v>
      </c>
      <c r="W23" s="623"/>
      <c r="X23" s="618">
        <f>IF('3431'!K$84=1,'3431'!G23,0)</f>
        <v>0</v>
      </c>
      <c r="Y23" s="618"/>
      <c r="Z23" s="624">
        <v>1</v>
      </c>
      <c r="AA23" s="624"/>
      <c r="AB23" s="55">
        <f t="shared" si="0"/>
        <v>0</v>
      </c>
      <c r="AC23" s="56">
        <f t="shared" si="1"/>
        <v>0</v>
      </c>
      <c r="AD23" s="9"/>
    </row>
    <row r="24" spans="1:30" x14ac:dyDescent="0.25">
      <c r="A24" s="1" t="s">
        <v>58</v>
      </c>
      <c r="B24" s="13" t="s">
        <v>59</v>
      </c>
      <c r="C24" s="13"/>
      <c r="D24" s="13">
        <v>0</v>
      </c>
      <c r="E24" s="13">
        <v>0</v>
      </c>
      <c r="F24" s="13">
        <v>0</v>
      </c>
      <c r="G24" s="46">
        <f t="shared" si="2"/>
        <v>0</v>
      </c>
      <c r="H24" s="47"/>
      <c r="I24" s="57">
        <f>I23</f>
        <v>1.145</v>
      </c>
      <c r="J24" s="57"/>
      <c r="K24" s="49">
        <f t="shared" si="3"/>
        <v>0</v>
      </c>
      <c r="L24" s="50">
        <f t="shared" si="4"/>
        <v>0</v>
      </c>
      <c r="N24" s="51">
        <v>5103</v>
      </c>
      <c r="O24" s="52">
        <v>130</v>
      </c>
      <c r="P24" s="53"/>
      <c r="Q24" s="54"/>
      <c r="V24" s="623" t="s">
        <v>59</v>
      </c>
      <c r="W24" s="623"/>
      <c r="X24" s="618">
        <f>IF('3431'!K$84=1,'3431'!G24,0)</f>
        <v>0</v>
      </c>
      <c r="Y24" s="618"/>
      <c r="Z24" s="624">
        <v>1</v>
      </c>
      <c r="AA24" s="624"/>
      <c r="AB24" s="55">
        <f t="shared" si="0"/>
        <v>0</v>
      </c>
      <c r="AC24" s="56">
        <f t="shared" si="1"/>
        <v>0</v>
      </c>
      <c r="AD24" s="9"/>
    </row>
    <row r="25" spans="1:30" ht="16.5" thickBot="1" x14ac:dyDescent="0.3">
      <c r="A25" s="1" t="s">
        <v>60</v>
      </c>
      <c r="B25" s="13" t="s">
        <v>61</v>
      </c>
      <c r="C25" s="13"/>
      <c r="D25" s="13">
        <v>0</v>
      </c>
      <c r="E25" s="13">
        <v>0</v>
      </c>
      <c r="F25" s="13">
        <v>0</v>
      </c>
      <c r="G25" s="46">
        <f t="shared" si="2"/>
        <v>0</v>
      </c>
      <c r="H25" s="47"/>
      <c r="I25" s="57">
        <v>1.0109999999999999</v>
      </c>
      <c r="J25" s="57"/>
      <c r="K25" s="49">
        <f t="shared" si="3"/>
        <v>0</v>
      </c>
      <c r="L25" s="50">
        <f t="shared" si="4"/>
        <v>0</v>
      </c>
      <c r="N25" s="51">
        <v>5310</v>
      </c>
      <c r="O25" s="52">
        <v>300</v>
      </c>
      <c r="P25" s="53"/>
      <c r="Q25" s="54"/>
      <c r="V25" s="623" t="s">
        <v>61</v>
      </c>
      <c r="W25" s="623"/>
      <c r="X25" s="618">
        <f>IF('3431'!K$84=1,'3431'!G25,0)</f>
        <v>0</v>
      </c>
      <c r="Y25" s="618"/>
      <c r="Z25" s="624">
        <v>1</v>
      </c>
      <c r="AA25" s="624"/>
      <c r="AB25" s="55">
        <f t="shared" si="0"/>
        <v>0</v>
      </c>
      <c r="AC25" s="56">
        <f t="shared" si="1"/>
        <v>0</v>
      </c>
      <c r="AD25" s="9"/>
    </row>
    <row r="26" spans="1:30" ht="20.25" customHeight="1" thickBot="1" x14ac:dyDescent="0.3">
      <c r="B26" s="62" t="s">
        <v>62</v>
      </c>
      <c r="C26" s="62"/>
      <c r="D26" s="63">
        <f t="shared" ref="D26:E26" si="5">SUM(D10:D25)</f>
        <v>371.16999999999996</v>
      </c>
      <c r="E26" s="63">
        <f t="shared" si="5"/>
        <v>389.79</v>
      </c>
      <c r="F26" s="63"/>
      <c r="G26" s="63">
        <f>SUM(G10:G25)</f>
        <v>760.96</v>
      </c>
      <c r="H26" s="64"/>
      <c r="I26" s="64"/>
      <c r="J26" s="65"/>
      <c r="K26" s="66">
        <f>SUM(K10:K25)</f>
        <v>817.13419999999985</v>
      </c>
      <c r="L26" s="67">
        <f>SUM(L10:L25)</f>
        <v>3166088</v>
      </c>
      <c r="N26" s="54"/>
      <c r="O26" s="68"/>
      <c r="P26" s="54"/>
      <c r="Q26" s="54"/>
      <c r="V26" s="625" t="s">
        <v>62</v>
      </c>
      <c r="W26" s="625"/>
      <c r="X26" s="626">
        <f>SUM(X10:X25)</f>
        <v>0</v>
      </c>
      <c r="Y26" s="626"/>
      <c r="Z26" s="627"/>
      <c r="AA26" s="628"/>
      <c r="AB26" s="69">
        <f>SUM(AB10:AB25)</f>
        <v>0</v>
      </c>
      <c r="AC26" s="70">
        <f>SUM(AC10:AC25)</f>
        <v>0</v>
      </c>
      <c r="AD26" s="9"/>
    </row>
    <row r="27" spans="1:30" ht="51.75" customHeight="1" x14ac:dyDescent="0.25">
      <c r="B27" s="62" t="s">
        <v>63</v>
      </c>
      <c r="C27" s="62"/>
      <c r="D27" s="71" t="s">
        <v>13</v>
      </c>
      <c r="E27" s="71" t="s">
        <v>14</v>
      </c>
      <c r="F27" s="27"/>
      <c r="G27" s="72" t="s">
        <v>64</v>
      </c>
      <c r="H27" s="73"/>
      <c r="I27" s="74" t="s">
        <v>65</v>
      </c>
      <c r="J27" s="74" t="s">
        <v>66</v>
      </c>
      <c r="K27" s="75" t="s">
        <v>67</v>
      </c>
      <c r="N27" s="54"/>
      <c r="O27" s="68"/>
      <c r="P27" s="54"/>
      <c r="Q27" s="54"/>
      <c r="V27" s="629" t="s">
        <v>63</v>
      </c>
      <c r="W27" s="629"/>
      <c r="X27" s="630" t="s">
        <v>64</v>
      </c>
      <c r="Y27" s="630"/>
      <c r="Z27" s="76" t="s">
        <v>65</v>
      </c>
      <c r="AA27" s="77" t="s">
        <v>66</v>
      </c>
      <c r="AB27" s="78" t="s">
        <v>67</v>
      </c>
      <c r="AC27" s="9"/>
      <c r="AD27" s="9"/>
    </row>
    <row r="28" spans="1:30" ht="15.75" customHeight="1" x14ac:dyDescent="0.25">
      <c r="A28" s="1" t="s">
        <v>68</v>
      </c>
      <c r="B28" s="631" t="s">
        <v>69</v>
      </c>
      <c r="C28" s="632"/>
      <c r="D28" s="13">
        <v>12.97</v>
      </c>
      <c r="E28" s="13">
        <v>14.09</v>
      </c>
      <c r="F28" s="79">
        <v>12.5</v>
      </c>
      <c r="G28" s="46">
        <f t="shared" ref="G28:G36" si="6">D28+E28</f>
        <v>27.060000000000002</v>
      </c>
      <c r="H28" s="80"/>
      <c r="I28" s="81" t="s">
        <v>70</v>
      </c>
      <c r="J28" s="82">
        <v>251</v>
      </c>
      <c r="K28" s="83">
        <v>1047</v>
      </c>
      <c r="L28" s="84">
        <f>ROUND(G28*K28,0)</f>
        <v>28332</v>
      </c>
      <c r="N28" s="85">
        <v>5101</v>
      </c>
      <c r="O28" s="54">
        <v>251</v>
      </c>
      <c r="P28" s="86"/>
      <c r="Q28" s="87"/>
      <c r="V28" s="637" t="s">
        <v>69</v>
      </c>
      <c r="W28" s="637"/>
      <c r="X28" s="638"/>
      <c r="Y28" s="638"/>
      <c r="Z28" s="88" t="s">
        <v>70</v>
      </c>
      <c r="AA28" s="89">
        <v>251</v>
      </c>
      <c r="AB28" s="90">
        <f>+K28</f>
        <v>1047</v>
      </c>
      <c r="AC28" s="91">
        <f t="shared" ref="AC28:AC36" si="7">ROUND(X28*AB28,0)</f>
        <v>0</v>
      </c>
      <c r="AD28" s="9"/>
    </row>
    <row r="29" spans="1:30" x14ac:dyDescent="0.25">
      <c r="A29" s="1" t="s">
        <v>71</v>
      </c>
      <c r="B29" s="633"/>
      <c r="C29" s="634"/>
      <c r="D29" s="13">
        <v>1</v>
      </c>
      <c r="E29" s="13">
        <v>1</v>
      </c>
      <c r="F29" s="92">
        <v>0.5</v>
      </c>
      <c r="G29" s="46">
        <f t="shared" si="6"/>
        <v>2</v>
      </c>
      <c r="H29" s="80"/>
      <c r="I29" s="82" t="s">
        <v>70</v>
      </c>
      <c r="J29" s="82">
        <v>252</v>
      </c>
      <c r="K29" s="83">
        <v>3380</v>
      </c>
      <c r="L29" s="84">
        <f t="shared" ref="L29:L36" si="8">ROUND(G29*K29,0)</f>
        <v>6760</v>
      </c>
      <c r="N29" s="85">
        <v>5101</v>
      </c>
      <c r="O29" s="54">
        <v>252</v>
      </c>
      <c r="P29" s="86"/>
      <c r="Q29" s="87"/>
      <c r="V29" s="637"/>
      <c r="W29" s="637"/>
      <c r="X29" s="638"/>
      <c r="Y29" s="638"/>
      <c r="Z29" s="89" t="s">
        <v>70</v>
      </c>
      <c r="AA29" s="89">
        <v>252</v>
      </c>
      <c r="AB29" s="90">
        <f t="shared" ref="AB29:AB36" si="9">+K29</f>
        <v>3380</v>
      </c>
      <c r="AC29" s="91">
        <f t="shared" si="7"/>
        <v>0</v>
      </c>
      <c r="AD29" s="9"/>
    </row>
    <row r="30" spans="1:30" x14ac:dyDescent="0.25">
      <c r="A30" s="1" t="s">
        <v>72</v>
      </c>
      <c r="B30" s="633"/>
      <c r="C30" s="634"/>
      <c r="D30" s="13">
        <v>0</v>
      </c>
      <c r="E30" s="13">
        <v>0</v>
      </c>
      <c r="F30" s="92">
        <v>0</v>
      </c>
      <c r="G30" s="46">
        <f t="shared" si="6"/>
        <v>0</v>
      </c>
      <c r="H30" s="80"/>
      <c r="I30" s="82" t="s">
        <v>70</v>
      </c>
      <c r="J30" s="82">
        <v>253</v>
      </c>
      <c r="K30" s="83">
        <v>6896</v>
      </c>
      <c r="L30" s="84">
        <f t="shared" si="8"/>
        <v>0</v>
      </c>
      <c r="N30" s="85">
        <v>5101</v>
      </c>
      <c r="O30" s="54">
        <v>253</v>
      </c>
      <c r="P30" s="86"/>
      <c r="Q30" s="68"/>
      <c r="V30" s="637"/>
      <c r="W30" s="637"/>
      <c r="X30" s="638"/>
      <c r="Y30" s="638"/>
      <c r="Z30" s="89" t="s">
        <v>70</v>
      </c>
      <c r="AA30" s="89">
        <v>253</v>
      </c>
      <c r="AB30" s="90">
        <f t="shared" si="9"/>
        <v>6896</v>
      </c>
      <c r="AC30" s="91">
        <f t="shared" si="7"/>
        <v>0</v>
      </c>
      <c r="AD30" s="9"/>
    </row>
    <row r="31" spans="1:30" x14ac:dyDescent="0.25">
      <c r="A31" s="1" t="s">
        <v>73</v>
      </c>
      <c r="B31" s="633"/>
      <c r="C31" s="634"/>
      <c r="D31" s="13">
        <v>14.42</v>
      </c>
      <c r="E31" s="13">
        <v>16.12</v>
      </c>
      <c r="F31" s="92">
        <v>10</v>
      </c>
      <c r="G31" s="46">
        <f t="shared" si="6"/>
        <v>30.54</v>
      </c>
      <c r="H31" s="80"/>
      <c r="I31" s="93" t="s">
        <v>74</v>
      </c>
      <c r="J31" s="82">
        <v>251</v>
      </c>
      <c r="K31" s="83">
        <v>1173</v>
      </c>
      <c r="L31" s="84">
        <f t="shared" si="8"/>
        <v>35823</v>
      </c>
      <c r="N31" s="85">
        <v>5102</v>
      </c>
      <c r="O31" s="54">
        <v>251</v>
      </c>
      <c r="P31" s="86"/>
      <c r="Q31" s="68"/>
      <c r="V31" s="637"/>
      <c r="W31" s="637"/>
      <c r="X31" s="638"/>
      <c r="Y31" s="638"/>
      <c r="Z31" s="94" t="s">
        <v>74</v>
      </c>
      <c r="AA31" s="89">
        <v>251</v>
      </c>
      <c r="AB31" s="90">
        <f t="shared" si="9"/>
        <v>1173</v>
      </c>
      <c r="AC31" s="91">
        <f t="shared" si="7"/>
        <v>0</v>
      </c>
      <c r="AD31" s="9"/>
    </row>
    <row r="32" spans="1:30" x14ac:dyDescent="0.25">
      <c r="A32" s="1" t="s">
        <v>75</v>
      </c>
      <c r="B32" s="633"/>
      <c r="C32" s="634"/>
      <c r="D32" s="13">
        <v>0.94</v>
      </c>
      <c r="E32" s="13">
        <v>1.58</v>
      </c>
      <c r="F32" s="92">
        <v>1.5</v>
      </c>
      <c r="G32" s="46">
        <f t="shared" si="6"/>
        <v>2.52</v>
      </c>
      <c r="H32" s="80"/>
      <c r="I32" s="93" t="s">
        <v>74</v>
      </c>
      <c r="J32" s="82">
        <v>252</v>
      </c>
      <c r="K32" s="83">
        <v>3506</v>
      </c>
      <c r="L32" s="84">
        <f t="shared" si="8"/>
        <v>8835</v>
      </c>
      <c r="N32" s="85">
        <v>5102</v>
      </c>
      <c r="O32" s="54">
        <v>252</v>
      </c>
      <c r="P32" s="86"/>
      <c r="Q32" s="54"/>
      <c r="V32" s="637"/>
      <c r="W32" s="637"/>
      <c r="X32" s="638"/>
      <c r="Y32" s="638"/>
      <c r="Z32" s="94" t="s">
        <v>74</v>
      </c>
      <c r="AA32" s="89">
        <v>252</v>
      </c>
      <c r="AB32" s="90">
        <f t="shared" si="9"/>
        <v>3506</v>
      </c>
      <c r="AC32" s="91">
        <f t="shared" si="7"/>
        <v>0</v>
      </c>
      <c r="AD32" s="9"/>
    </row>
    <row r="33" spans="1:30" x14ac:dyDescent="0.25">
      <c r="A33" s="1" t="s">
        <v>76</v>
      </c>
      <c r="B33" s="633"/>
      <c r="C33" s="634"/>
      <c r="D33" s="13">
        <v>0</v>
      </c>
      <c r="E33" s="13">
        <v>0</v>
      </c>
      <c r="F33" s="92">
        <v>0</v>
      </c>
      <c r="G33" s="46">
        <f t="shared" si="6"/>
        <v>0</v>
      </c>
      <c r="H33" s="80"/>
      <c r="I33" s="93" t="s">
        <v>74</v>
      </c>
      <c r="J33" s="82">
        <v>253</v>
      </c>
      <c r="K33" s="83">
        <v>7023</v>
      </c>
      <c r="L33" s="84">
        <f t="shared" si="8"/>
        <v>0</v>
      </c>
      <c r="N33" s="85">
        <v>5102</v>
      </c>
      <c r="O33" s="54">
        <v>253</v>
      </c>
      <c r="P33" s="86"/>
      <c r="Q33" s="87"/>
      <c r="V33" s="637"/>
      <c r="W33" s="637"/>
      <c r="X33" s="638"/>
      <c r="Y33" s="638"/>
      <c r="Z33" s="94" t="s">
        <v>74</v>
      </c>
      <c r="AA33" s="89">
        <v>253</v>
      </c>
      <c r="AB33" s="90">
        <f t="shared" si="9"/>
        <v>7023</v>
      </c>
      <c r="AC33" s="91">
        <f t="shared" si="7"/>
        <v>0</v>
      </c>
      <c r="AD33" s="9"/>
    </row>
    <row r="34" spans="1:30" x14ac:dyDescent="0.25">
      <c r="A34" s="1" t="s">
        <v>77</v>
      </c>
      <c r="B34" s="633"/>
      <c r="C34" s="634"/>
      <c r="D34" s="13">
        <v>0</v>
      </c>
      <c r="E34" s="13">
        <v>0</v>
      </c>
      <c r="F34" s="92">
        <v>0</v>
      </c>
      <c r="G34" s="46">
        <f t="shared" si="6"/>
        <v>0</v>
      </c>
      <c r="H34" s="80"/>
      <c r="I34" s="93" t="s">
        <v>78</v>
      </c>
      <c r="J34" s="82">
        <v>251</v>
      </c>
      <c r="K34" s="83">
        <v>835</v>
      </c>
      <c r="L34" s="84">
        <f t="shared" si="8"/>
        <v>0</v>
      </c>
      <c r="N34" s="85">
        <v>5103</v>
      </c>
      <c r="O34" s="54">
        <v>251</v>
      </c>
      <c r="P34" s="86"/>
      <c r="Q34" s="87"/>
      <c r="V34" s="637"/>
      <c r="W34" s="637"/>
      <c r="X34" s="638"/>
      <c r="Y34" s="638"/>
      <c r="Z34" s="94" t="s">
        <v>78</v>
      </c>
      <c r="AA34" s="89">
        <v>251</v>
      </c>
      <c r="AB34" s="90">
        <f t="shared" si="9"/>
        <v>835</v>
      </c>
      <c r="AC34" s="91">
        <f t="shared" si="7"/>
        <v>0</v>
      </c>
      <c r="AD34" s="9"/>
    </row>
    <row r="35" spans="1:30" x14ac:dyDescent="0.25">
      <c r="A35" s="1" t="s">
        <v>79</v>
      </c>
      <c r="B35" s="633"/>
      <c r="C35" s="634"/>
      <c r="D35" s="13">
        <v>0</v>
      </c>
      <c r="E35" s="13">
        <v>0</v>
      </c>
      <c r="F35" s="92">
        <v>0</v>
      </c>
      <c r="G35" s="46">
        <f t="shared" si="6"/>
        <v>0</v>
      </c>
      <c r="H35" s="80"/>
      <c r="I35" s="93" t="s">
        <v>78</v>
      </c>
      <c r="J35" s="82">
        <v>252</v>
      </c>
      <c r="K35" s="83">
        <v>3168</v>
      </c>
      <c r="L35" s="84">
        <f t="shared" si="8"/>
        <v>0</v>
      </c>
      <c r="N35" s="85">
        <v>5103</v>
      </c>
      <c r="O35" s="54">
        <v>252</v>
      </c>
      <c r="P35" s="86"/>
      <c r="Q35" s="95"/>
      <c r="V35" s="637"/>
      <c r="W35" s="637"/>
      <c r="X35" s="638"/>
      <c r="Y35" s="638"/>
      <c r="Z35" s="94" t="s">
        <v>78</v>
      </c>
      <c r="AA35" s="89">
        <v>252</v>
      </c>
      <c r="AB35" s="90">
        <f t="shared" si="9"/>
        <v>3168</v>
      </c>
      <c r="AC35" s="91">
        <f t="shared" si="7"/>
        <v>0</v>
      </c>
      <c r="AD35" s="9"/>
    </row>
    <row r="36" spans="1:30" ht="16.5" thickBot="1" x14ac:dyDescent="0.3">
      <c r="A36" s="1" t="s">
        <v>80</v>
      </c>
      <c r="B36" s="635"/>
      <c r="C36" s="636"/>
      <c r="D36" s="13">
        <v>0</v>
      </c>
      <c r="E36" s="13">
        <v>0</v>
      </c>
      <c r="F36" s="92">
        <v>0</v>
      </c>
      <c r="G36" s="46">
        <f t="shared" si="6"/>
        <v>0</v>
      </c>
      <c r="H36" s="80"/>
      <c r="I36" s="93" t="s">
        <v>78</v>
      </c>
      <c r="J36" s="82">
        <v>253</v>
      </c>
      <c r="K36" s="83">
        <v>6685</v>
      </c>
      <c r="L36" s="96">
        <f t="shared" si="8"/>
        <v>0</v>
      </c>
      <c r="N36" s="85">
        <v>5103</v>
      </c>
      <c r="O36" s="54">
        <v>253</v>
      </c>
      <c r="P36" s="86"/>
      <c r="Q36" s="97"/>
      <c r="V36" s="637"/>
      <c r="W36" s="637"/>
      <c r="X36" s="645"/>
      <c r="Y36" s="645"/>
      <c r="Z36" s="94" t="s">
        <v>78</v>
      </c>
      <c r="AA36" s="89">
        <v>253</v>
      </c>
      <c r="AB36" s="90">
        <f t="shared" si="9"/>
        <v>6685</v>
      </c>
      <c r="AC36" s="98">
        <f t="shared" si="7"/>
        <v>0</v>
      </c>
      <c r="AD36" s="9"/>
    </row>
    <row r="37" spans="1:30" ht="18.75" customHeight="1" x14ac:dyDescent="0.25">
      <c r="B37" s="13" t="s">
        <v>81</v>
      </c>
      <c r="C37" s="13"/>
      <c r="D37" s="63">
        <f t="shared" ref="D37:E37" si="10">SUM(D28:D36)</f>
        <v>29.330000000000002</v>
      </c>
      <c r="E37" s="63">
        <f t="shared" si="10"/>
        <v>32.79</v>
      </c>
      <c r="F37" s="63"/>
      <c r="G37" s="63">
        <f>SUM(G28:G36)</f>
        <v>62.120000000000005</v>
      </c>
      <c r="H37" s="64"/>
      <c r="I37" s="13" t="s">
        <v>82</v>
      </c>
      <c r="J37" s="13"/>
      <c r="K37" s="13"/>
      <c r="L37" s="50">
        <f>SUM(L28:L36)</f>
        <v>79750</v>
      </c>
      <c r="N37" s="54"/>
      <c r="O37" s="68"/>
      <c r="P37" s="54"/>
      <c r="Q37" s="54"/>
      <c r="V37" s="646" t="s">
        <v>81</v>
      </c>
      <c r="W37" s="646"/>
      <c r="X37" s="626">
        <f>SUM(X28:X36)</f>
        <v>0</v>
      </c>
      <c r="Y37" s="626"/>
      <c r="Z37" s="646" t="s">
        <v>82</v>
      </c>
      <c r="AA37" s="646"/>
      <c r="AB37" s="646"/>
      <c r="AC37" s="56">
        <f>SUM(AC28:AC36)</f>
        <v>0</v>
      </c>
      <c r="AD37" s="9"/>
    </row>
    <row r="38" spans="1:30" ht="30.75" customHeight="1" x14ac:dyDescent="0.25">
      <c r="B38" s="99" t="s">
        <v>83</v>
      </c>
      <c r="C38" s="99"/>
      <c r="D38" s="99"/>
      <c r="E38" s="99"/>
      <c r="F38" s="99"/>
      <c r="G38" s="99"/>
      <c r="H38" s="100"/>
      <c r="I38" s="99"/>
      <c r="J38" s="99"/>
      <c r="K38" s="99"/>
      <c r="L38" s="99"/>
      <c r="M38" s="101"/>
      <c r="N38" s="54"/>
      <c r="O38" s="68"/>
      <c r="P38" s="54"/>
      <c r="Q38" s="54"/>
      <c r="V38" s="639" t="s">
        <v>83</v>
      </c>
      <c r="W38" s="639"/>
      <c r="X38" s="639"/>
      <c r="Y38" s="639"/>
      <c r="Z38" s="639"/>
      <c r="AA38" s="639"/>
      <c r="AB38" s="639"/>
      <c r="AC38" s="639"/>
      <c r="AD38" s="102"/>
    </row>
    <row r="39" spans="1:30" ht="15.75" customHeight="1" x14ac:dyDescent="0.25">
      <c r="B39" s="103" t="s">
        <v>84</v>
      </c>
      <c r="C39" s="103"/>
      <c r="D39" s="103"/>
      <c r="E39" s="103"/>
      <c r="F39" s="103"/>
      <c r="G39" s="104">
        <v>34389540</v>
      </c>
      <c r="H39" s="104"/>
      <c r="I39" s="13" t="s">
        <v>85</v>
      </c>
      <c r="J39" s="13"/>
      <c r="K39" s="13"/>
      <c r="L39" s="13"/>
      <c r="O39" s="1"/>
      <c r="V39" s="640" t="s">
        <v>84</v>
      </c>
      <c r="W39" s="640"/>
      <c r="X39" s="641">
        <f>+G39</f>
        <v>34389540</v>
      </c>
      <c r="Y39" s="641"/>
      <c r="Z39" s="642" t="s">
        <v>85</v>
      </c>
      <c r="AA39" s="642"/>
      <c r="AB39" s="642"/>
      <c r="AC39" s="642"/>
      <c r="AD39" s="9"/>
    </row>
    <row r="40" spans="1:30" ht="15.75" customHeight="1" x14ac:dyDescent="0.25">
      <c r="B40" s="105" t="s">
        <v>86</v>
      </c>
      <c r="C40" s="105"/>
      <c r="D40" s="105"/>
      <c r="E40" s="105"/>
      <c r="F40" s="105"/>
      <c r="G40" s="106">
        <v>180284.81</v>
      </c>
      <c r="H40" s="106"/>
      <c r="I40" s="106"/>
      <c r="J40" s="106"/>
      <c r="K40" s="50">
        <f>ROUND(G39/G40,0)</f>
        <v>191</v>
      </c>
      <c r="L40" s="50">
        <f>ROUND(K40*$G$26,0)</f>
        <v>145343</v>
      </c>
      <c r="N40" s="107"/>
      <c r="O40" s="107"/>
      <c r="P40" s="107"/>
      <c r="Q40" s="107"/>
      <c r="V40" s="643" t="s">
        <v>86</v>
      </c>
      <c r="W40" s="643"/>
      <c r="X40" s="644">
        <f>+G40</f>
        <v>180284.81</v>
      </c>
      <c r="Y40" s="644"/>
      <c r="Z40" s="644"/>
      <c r="AA40" s="644"/>
      <c r="AB40" s="56">
        <f>ROUND(X39/X40,0)</f>
        <v>191</v>
      </c>
      <c r="AC40" s="56">
        <f>ROUND(AB40*$X$26,0)</f>
        <v>0</v>
      </c>
      <c r="AD40" s="9"/>
    </row>
    <row r="41" spans="1:30" ht="15.75" customHeight="1" x14ac:dyDescent="0.25">
      <c r="B41" s="108" t="s">
        <v>87</v>
      </c>
      <c r="C41" s="108"/>
      <c r="D41" s="108"/>
      <c r="E41" s="108"/>
      <c r="F41" s="108"/>
      <c r="G41" s="108"/>
      <c r="H41" s="108"/>
      <c r="I41" s="108"/>
      <c r="J41" s="108"/>
      <c r="K41" s="108"/>
      <c r="L41" s="108"/>
      <c r="N41" s="101"/>
      <c r="O41" s="109"/>
      <c r="P41" s="101"/>
      <c r="Q41" s="101"/>
      <c r="V41" s="652" t="s">
        <v>87</v>
      </c>
      <c r="W41" s="652"/>
      <c r="X41" s="652"/>
      <c r="Y41" s="652"/>
      <c r="Z41" s="652"/>
      <c r="AA41" s="652"/>
      <c r="AB41" s="652"/>
      <c r="AC41" s="652"/>
      <c r="AD41" s="9"/>
    </row>
    <row r="42" spans="1:30" ht="28.5" customHeight="1" x14ac:dyDescent="0.25">
      <c r="B42" s="99" t="s">
        <v>88</v>
      </c>
      <c r="C42" s="99"/>
      <c r="D42" s="99"/>
      <c r="E42" s="99"/>
      <c r="F42" s="99"/>
      <c r="G42" s="99"/>
      <c r="H42" s="99"/>
      <c r="I42" s="99"/>
      <c r="J42" s="99"/>
      <c r="K42" s="99"/>
      <c r="L42" s="99"/>
      <c r="M42" s="107"/>
      <c r="O42" s="1"/>
      <c r="V42" s="639" t="s">
        <v>88</v>
      </c>
      <c r="W42" s="639"/>
      <c r="X42" s="639"/>
      <c r="Y42" s="639"/>
      <c r="Z42" s="639"/>
      <c r="AA42" s="639"/>
      <c r="AB42" s="639"/>
      <c r="AC42" s="639"/>
      <c r="AD42" s="110"/>
    </row>
    <row r="43" spans="1:30" x14ac:dyDescent="0.25">
      <c r="B43" s="111" t="s">
        <v>89</v>
      </c>
      <c r="C43" s="111"/>
      <c r="D43" s="111"/>
      <c r="E43" s="111"/>
      <c r="F43" s="111"/>
      <c r="G43" s="111"/>
      <c r="H43" s="111"/>
      <c r="I43" s="111"/>
      <c r="J43" s="111"/>
      <c r="K43" s="111"/>
      <c r="L43" s="111"/>
      <c r="M43" s="112"/>
      <c r="N43" s="101"/>
      <c r="O43" s="101"/>
      <c r="P43" s="101"/>
      <c r="Q43" s="101"/>
      <c r="V43" s="653" t="s">
        <v>89</v>
      </c>
      <c r="W43" s="653"/>
      <c r="X43" s="653"/>
      <c r="Y43" s="653"/>
      <c r="Z43" s="653"/>
      <c r="AA43" s="653"/>
      <c r="AB43" s="653"/>
      <c r="AC43" s="653"/>
      <c r="AD43" s="113"/>
    </row>
    <row r="44" spans="1:30" ht="24" customHeight="1" x14ac:dyDescent="0.25">
      <c r="B44" s="62" t="s">
        <v>90</v>
      </c>
      <c r="C44" s="62"/>
      <c r="D44" s="62"/>
      <c r="E44" s="62"/>
      <c r="F44" s="62"/>
      <c r="G44" s="62"/>
      <c r="H44" s="62"/>
      <c r="I44" s="62"/>
      <c r="J44" s="62"/>
      <c r="K44" s="62"/>
      <c r="L44" s="114">
        <f>SUM(L26,L37,L40)</f>
        <v>3391181</v>
      </c>
      <c r="O44" s="1"/>
      <c r="V44" s="654" t="s">
        <v>90</v>
      </c>
      <c r="W44" s="654"/>
      <c r="X44" s="654"/>
      <c r="Y44" s="654"/>
      <c r="Z44" s="654"/>
      <c r="AA44" s="654"/>
      <c r="AB44" s="654"/>
      <c r="AC44" s="115">
        <f>SUM(AC26,AC37,AC40)</f>
        <v>0</v>
      </c>
      <c r="AD44" s="9"/>
    </row>
    <row r="45" spans="1:30" ht="30.75" customHeight="1" x14ac:dyDescent="0.25">
      <c r="B45" s="99" t="s">
        <v>91</v>
      </c>
      <c r="C45" s="99"/>
      <c r="D45" s="99"/>
      <c r="E45" s="99"/>
      <c r="F45" s="99"/>
      <c r="G45" s="99"/>
      <c r="H45" s="99"/>
      <c r="I45" s="99"/>
      <c r="J45" s="99"/>
      <c r="K45" s="99"/>
      <c r="L45" s="99"/>
      <c r="M45" s="116"/>
      <c r="O45" s="1"/>
      <c r="V45" s="639" t="s">
        <v>91</v>
      </c>
      <c r="W45" s="639"/>
      <c r="X45" s="639"/>
      <c r="Y45" s="639"/>
      <c r="Z45" s="639"/>
      <c r="AA45" s="639"/>
      <c r="AB45" s="639"/>
      <c r="AC45" s="639"/>
      <c r="AD45" s="117"/>
    </row>
    <row r="46" spans="1:30" ht="18.75" customHeight="1" x14ac:dyDescent="0.25">
      <c r="B46" s="1"/>
      <c r="C46" s="118" t="s">
        <v>92</v>
      </c>
      <c r="D46" s="118"/>
      <c r="E46" s="118"/>
      <c r="F46" s="118"/>
      <c r="G46" s="118" t="s">
        <v>93</v>
      </c>
      <c r="H46" s="119"/>
      <c r="I46" s="120" t="s">
        <v>94</v>
      </c>
      <c r="J46" s="121"/>
      <c r="K46" s="121"/>
      <c r="L46" s="121"/>
      <c r="M46" s="122"/>
      <c r="O46" s="1"/>
      <c r="V46" s="9"/>
      <c r="W46" s="123" t="s">
        <v>92</v>
      </c>
      <c r="X46" s="655" t="s">
        <v>95</v>
      </c>
      <c r="Y46" s="655"/>
      <c r="Z46" s="656" t="s">
        <v>94</v>
      </c>
      <c r="AA46" s="656"/>
      <c r="AB46" s="656"/>
      <c r="AC46" s="656"/>
      <c r="AD46" s="124"/>
    </row>
    <row r="47" spans="1:30" ht="18.75" customHeight="1" x14ac:dyDescent="0.25">
      <c r="B47" s="107" t="s">
        <v>96</v>
      </c>
      <c r="C47" s="125">
        <f>K10+K11+K16+K19+K22</f>
        <v>498.76420000000002</v>
      </c>
      <c r="D47" s="125"/>
      <c r="E47" s="125"/>
      <c r="F47" s="125"/>
      <c r="G47" s="126">
        <f>K7</f>
        <v>1.0326</v>
      </c>
      <c r="H47" s="126"/>
      <c r="I47" s="127">
        <v>1316.85</v>
      </c>
      <c r="J47" s="128" t="s">
        <v>97</v>
      </c>
      <c r="K47" s="129">
        <f>ROUND(C47*G47*I47,0)</f>
        <v>678209</v>
      </c>
      <c r="L47" s="130"/>
      <c r="O47" s="1"/>
      <c r="V47" s="110" t="s">
        <v>96</v>
      </c>
      <c r="W47" s="131">
        <f>AB10+AB11+AB16+AB19+AB22</f>
        <v>0</v>
      </c>
      <c r="X47" s="647">
        <f>AB7</f>
        <v>1.0326</v>
      </c>
      <c r="Y47" s="647"/>
      <c r="Z47" s="132">
        <f>+I47</f>
        <v>1316.85</v>
      </c>
      <c r="AA47" s="133" t="s">
        <v>97</v>
      </c>
      <c r="AB47" s="134">
        <f>ROUND(W47*X47*Z47,0)</f>
        <v>0</v>
      </c>
      <c r="AC47" s="135"/>
      <c r="AD47" s="9"/>
    </row>
    <row r="48" spans="1:30" ht="18" customHeight="1" x14ac:dyDescent="0.25">
      <c r="B48" s="136" t="s">
        <v>74</v>
      </c>
      <c r="C48" s="125">
        <f>K12+K13+K17+K20+K23</f>
        <v>318.37</v>
      </c>
      <c r="D48" s="125"/>
      <c r="E48" s="125"/>
      <c r="F48" s="125"/>
      <c r="G48" s="126">
        <f>K7</f>
        <v>1.0326</v>
      </c>
      <c r="H48" s="126"/>
      <c r="I48" s="127">
        <v>898.23</v>
      </c>
      <c r="J48" s="128" t="s">
        <v>97</v>
      </c>
      <c r="K48" s="129">
        <f>ROUND(C48*G48*I48,0)</f>
        <v>295292</v>
      </c>
      <c r="L48" s="62"/>
      <c r="O48" s="1"/>
      <c r="V48" s="137" t="s">
        <v>74</v>
      </c>
      <c r="W48" s="131">
        <f>AB12+AB13+AB17+AB20+AB23</f>
        <v>0</v>
      </c>
      <c r="X48" s="647">
        <f>AB7</f>
        <v>1.0326</v>
      </c>
      <c r="Y48" s="647"/>
      <c r="Z48" s="132">
        <f>+I48</f>
        <v>898.23</v>
      </c>
      <c r="AA48" s="133" t="s">
        <v>97</v>
      </c>
      <c r="AB48" s="134">
        <f>ROUND(W48*X48*Z48,0)</f>
        <v>0</v>
      </c>
      <c r="AC48" s="138"/>
      <c r="AD48" s="9"/>
    </row>
    <row r="49" spans="2:30" ht="19.5" customHeight="1" thickBot="1" x14ac:dyDescent="0.3">
      <c r="B49" s="139" t="s">
        <v>78</v>
      </c>
      <c r="C49" s="140">
        <f>K14+K15+K18+K21+K24+K25</f>
        <v>0</v>
      </c>
      <c r="D49" s="125"/>
      <c r="E49" s="125"/>
      <c r="F49" s="125"/>
      <c r="G49" s="126">
        <f>K7</f>
        <v>1.0326</v>
      </c>
      <c r="H49" s="126"/>
      <c r="I49" s="127">
        <v>900.39</v>
      </c>
      <c r="J49" s="128" t="s">
        <v>97</v>
      </c>
      <c r="K49" s="129">
        <f>ROUND(C49*G49*I49,0)</f>
        <v>0</v>
      </c>
      <c r="L49" s="62"/>
      <c r="M49" s="112"/>
      <c r="N49" s="141"/>
      <c r="O49" s="142"/>
      <c r="P49" s="101"/>
      <c r="Q49" s="143"/>
      <c r="V49" s="144" t="s">
        <v>78</v>
      </c>
      <c r="W49" s="145">
        <f>AB14+AB15+AB18+AB21+AB24+AB25</f>
        <v>0</v>
      </c>
      <c r="X49" s="647">
        <f>AB7</f>
        <v>1.0326</v>
      </c>
      <c r="Y49" s="647"/>
      <c r="Z49" s="132">
        <f>+I49</f>
        <v>900.39</v>
      </c>
      <c r="AA49" s="133" t="s">
        <v>97</v>
      </c>
      <c r="AB49" s="134">
        <f>ROUND(W49*X49*Z49,0)</f>
        <v>0</v>
      </c>
      <c r="AC49" s="138"/>
      <c r="AD49" s="113"/>
    </row>
    <row r="50" spans="2:30" ht="24" customHeight="1" thickBot="1" x14ac:dyDescent="0.3">
      <c r="B50" s="146" t="s">
        <v>98</v>
      </c>
      <c r="C50" s="147">
        <f>SUM(C47:C49)</f>
        <v>817.13419999999996</v>
      </c>
      <c r="D50" s="148"/>
      <c r="E50" s="149"/>
      <c r="F50" s="149"/>
      <c r="G50" s="150" t="s">
        <v>99</v>
      </c>
      <c r="H50" s="150"/>
      <c r="I50" s="150"/>
      <c r="J50" s="150"/>
      <c r="K50" s="150"/>
      <c r="L50" s="50">
        <f>IF(B2=75,0,K49+K48+K47)</f>
        <v>973501</v>
      </c>
      <c r="N50" s="3"/>
      <c r="O50" s="1"/>
      <c r="V50" s="151" t="s">
        <v>98</v>
      </c>
      <c r="W50" s="152">
        <f>SUM(W47:W49)</f>
        <v>0</v>
      </c>
      <c r="X50" s="648" t="s">
        <v>99</v>
      </c>
      <c r="Y50" s="649"/>
      <c r="Z50" s="649"/>
      <c r="AA50" s="649"/>
      <c r="AB50" s="649"/>
      <c r="AC50" s="56">
        <f>IF(V2=75,0,AB49+AB48+AB47)</f>
        <v>0</v>
      </c>
      <c r="AD50" s="9"/>
    </row>
    <row r="51" spans="2:30" ht="19.5" customHeight="1" x14ac:dyDescent="0.25">
      <c r="B51" s="153" t="s">
        <v>100</v>
      </c>
      <c r="C51" s="153"/>
      <c r="D51" s="153"/>
      <c r="E51" s="153"/>
      <c r="F51" s="153"/>
      <c r="G51" s="153"/>
      <c r="H51" s="153"/>
      <c r="I51" s="153"/>
      <c r="J51" s="153"/>
      <c r="K51" s="153"/>
      <c r="L51" s="153"/>
      <c r="M51" s="141"/>
      <c r="N51" s="101"/>
      <c r="O51" s="1"/>
      <c r="V51" s="650" t="s">
        <v>100</v>
      </c>
      <c r="W51" s="650"/>
      <c r="X51" s="650"/>
      <c r="Y51" s="650"/>
      <c r="Z51" s="650"/>
      <c r="AA51" s="650"/>
      <c r="AB51" s="650"/>
      <c r="AC51" s="650"/>
      <c r="AD51" s="154"/>
    </row>
    <row r="52" spans="2:30" ht="27.75" customHeight="1" x14ac:dyDescent="0.25">
      <c r="B52" s="13" t="s">
        <v>101</v>
      </c>
      <c r="C52" s="13"/>
      <c r="D52" s="13"/>
      <c r="E52" s="13"/>
      <c r="F52" s="13"/>
      <c r="G52" s="13"/>
      <c r="H52" s="13"/>
      <c r="I52" s="13"/>
      <c r="J52" s="13"/>
      <c r="K52" s="13"/>
      <c r="L52" s="13"/>
      <c r="O52" s="1"/>
      <c r="V52" s="651" t="s">
        <v>101</v>
      </c>
      <c r="W52" s="651"/>
      <c r="X52" s="651"/>
      <c r="Y52" s="651"/>
      <c r="Z52" s="651"/>
      <c r="AA52" s="651"/>
      <c r="AB52" s="651"/>
      <c r="AC52" s="651"/>
      <c r="AD52" s="9"/>
    </row>
    <row r="53" spans="2:30" x14ac:dyDescent="0.25">
      <c r="B53" s="13" t="s">
        <v>102</v>
      </c>
      <c r="C53" s="13"/>
      <c r="D53" s="13"/>
      <c r="E53" s="13"/>
      <c r="F53" s="13"/>
      <c r="G53" s="155">
        <f>K26</f>
        <v>817.13419999999985</v>
      </c>
      <c r="H53" s="57" t="s">
        <v>103</v>
      </c>
      <c r="I53" s="57"/>
      <c r="J53" s="156">
        <v>197823.77</v>
      </c>
      <c r="K53" s="156"/>
      <c r="L53" s="156"/>
      <c r="N53" s="3"/>
      <c r="O53" s="1"/>
      <c r="V53" s="657" t="s">
        <v>102</v>
      </c>
      <c r="W53" s="657"/>
      <c r="X53" s="157">
        <f>AB26</f>
        <v>0</v>
      </c>
      <c r="Y53" s="658" t="s">
        <v>103</v>
      </c>
      <c r="Z53" s="658"/>
      <c r="AA53" s="659">
        <f>+J53</f>
        <v>197823.77</v>
      </c>
      <c r="AB53" s="659"/>
      <c r="AC53" s="659"/>
      <c r="AD53" s="9"/>
    </row>
    <row r="54" spans="2:30" x14ac:dyDescent="0.25">
      <c r="B54" s="13" t="s">
        <v>104</v>
      </c>
      <c r="C54" s="13"/>
      <c r="D54" s="13"/>
      <c r="E54" s="13"/>
      <c r="F54" s="13"/>
      <c r="G54" s="13"/>
      <c r="H54" s="13"/>
      <c r="I54" s="13"/>
      <c r="J54" s="13"/>
      <c r="K54" s="158">
        <f>ROUND(G53/J53,6)</f>
        <v>4.1310000000000001E-3</v>
      </c>
      <c r="L54" s="158"/>
      <c r="N54" s="101"/>
      <c r="O54" s="1"/>
      <c r="V54" s="657" t="s">
        <v>104</v>
      </c>
      <c r="W54" s="657"/>
      <c r="X54" s="657"/>
      <c r="Y54" s="657"/>
      <c r="Z54" s="657"/>
      <c r="AA54" s="657"/>
      <c r="AB54" s="660">
        <f>ROUND(X53/AA53,6)</f>
        <v>0</v>
      </c>
      <c r="AC54" s="660"/>
      <c r="AD54" s="9"/>
    </row>
    <row r="55" spans="2:30" ht="24" customHeight="1" x14ac:dyDescent="0.25">
      <c r="B55" s="13" t="s">
        <v>105</v>
      </c>
      <c r="C55" s="13"/>
      <c r="D55" s="13"/>
      <c r="E55" s="13"/>
      <c r="F55" s="13"/>
      <c r="G55" s="13"/>
      <c r="H55" s="13"/>
      <c r="I55" s="13"/>
      <c r="J55" s="13"/>
      <c r="K55" s="13"/>
      <c r="L55" s="13"/>
      <c r="O55" s="1"/>
      <c r="V55" s="651" t="s">
        <v>105</v>
      </c>
      <c r="W55" s="651"/>
      <c r="X55" s="651"/>
      <c r="Y55" s="651"/>
      <c r="Z55" s="651"/>
      <c r="AA55" s="651"/>
      <c r="AB55" s="651"/>
      <c r="AC55" s="651"/>
      <c r="AD55" s="9"/>
    </row>
    <row r="56" spans="2:30" x14ac:dyDescent="0.25">
      <c r="B56" s="13" t="s">
        <v>106</v>
      </c>
      <c r="C56" s="13"/>
      <c r="D56" s="13"/>
      <c r="E56" s="13"/>
      <c r="F56" s="13"/>
      <c r="G56" s="159">
        <f>G26</f>
        <v>760.96</v>
      </c>
      <c r="H56" s="57" t="s">
        <v>107</v>
      </c>
      <c r="I56" s="57"/>
      <c r="J56" s="156">
        <f>+G40</f>
        <v>180284.81</v>
      </c>
      <c r="K56" s="156"/>
      <c r="L56" s="156"/>
      <c r="O56" s="1"/>
      <c r="V56" s="657" t="s">
        <v>106</v>
      </c>
      <c r="W56" s="657"/>
      <c r="X56" s="160">
        <f>X26</f>
        <v>0</v>
      </c>
      <c r="Y56" s="658" t="s">
        <v>107</v>
      </c>
      <c r="Z56" s="658"/>
      <c r="AA56" s="659">
        <f>+J56</f>
        <v>180284.81</v>
      </c>
      <c r="AB56" s="659"/>
      <c r="AC56" s="659"/>
      <c r="AD56" s="9"/>
    </row>
    <row r="57" spans="2:30" x14ac:dyDescent="0.25">
      <c r="B57" s="13" t="s">
        <v>108</v>
      </c>
      <c r="C57" s="13"/>
      <c r="D57" s="13"/>
      <c r="E57" s="13"/>
      <c r="F57" s="13"/>
      <c r="G57" s="13"/>
      <c r="H57" s="13"/>
      <c r="I57" s="13"/>
      <c r="J57" s="13"/>
      <c r="K57" s="158">
        <f>ROUND(G56/J56,6)</f>
        <v>4.2209999999999999E-3</v>
      </c>
      <c r="L57" s="158"/>
      <c r="O57" s="1"/>
      <c r="V57" s="657" t="s">
        <v>108</v>
      </c>
      <c r="W57" s="657"/>
      <c r="X57" s="657"/>
      <c r="Y57" s="657"/>
      <c r="Z57" s="657"/>
      <c r="AA57" s="657"/>
      <c r="AB57" s="660">
        <f>ROUND(X56/AA56,6)</f>
        <v>0</v>
      </c>
      <c r="AC57" s="660"/>
      <c r="AD57" s="9"/>
    </row>
    <row r="58" spans="2:30" ht="20.25" customHeight="1" x14ac:dyDescent="0.25">
      <c r="B58" s="161" t="s">
        <v>109</v>
      </c>
      <c r="C58" s="161"/>
      <c r="D58" s="161"/>
      <c r="E58" s="161"/>
      <c r="F58" s="161"/>
      <c r="G58" s="161"/>
      <c r="H58" s="161"/>
      <c r="I58" s="161"/>
      <c r="J58" s="161"/>
      <c r="K58" s="161"/>
      <c r="L58" s="161"/>
      <c r="N58" s="18"/>
      <c r="O58" s="18"/>
      <c r="V58" s="629" t="s">
        <v>110</v>
      </c>
      <c r="W58" s="629"/>
      <c r="X58" s="629"/>
      <c r="Y58" s="661">
        <f>X65+X64+X62+X61+X60</f>
        <v>4123852</v>
      </c>
      <c r="Z58" s="661"/>
      <c r="AA58" s="162" t="s">
        <v>111</v>
      </c>
      <c r="AB58" s="163">
        <f>AB54</f>
        <v>0</v>
      </c>
      <c r="AC58" s="56">
        <f>ROUND(Y58*AB58,0)</f>
        <v>0</v>
      </c>
      <c r="AD58" s="9"/>
    </row>
    <row r="59" spans="2:30" x14ac:dyDescent="0.25">
      <c r="B59" s="62" t="s">
        <v>110</v>
      </c>
      <c r="C59" s="62"/>
      <c r="D59" s="62"/>
      <c r="E59" s="62"/>
      <c r="F59" s="62"/>
      <c r="G59" s="62"/>
      <c r="H59" s="164" t="s">
        <v>22</v>
      </c>
      <c r="I59" s="129">
        <v>4123852</v>
      </c>
      <c r="J59" s="165" t="s">
        <v>111</v>
      </c>
      <c r="K59" s="166">
        <f>K54</f>
        <v>4.1310000000000001E-3</v>
      </c>
      <c r="L59" s="50">
        <f>ROUND(I59*K59,0)</f>
        <v>17036</v>
      </c>
      <c r="O59" s="1"/>
      <c r="P59" s="165"/>
      <c r="Q59" s="165"/>
      <c r="V59" s="662" t="s">
        <v>112</v>
      </c>
      <c r="W59" s="662"/>
      <c r="X59" s="662"/>
      <c r="Y59" s="662"/>
      <c r="Z59" s="662"/>
      <c r="AA59" s="662"/>
      <c r="AB59" s="662"/>
      <c r="AC59" s="662"/>
      <c r="AD59" s="9"/>
    </row>
    <row r="60" spans="2:30" x14ac:dyDescent="0.25">
      <c r="B60" s="62" t="s">
        <v>112</v>
      </c>
      <c r="C60" s="62"/>
      <c r="D60" s="62"/>
      <c r="E60" s="62"/>
      <c r="F60" s="62"/>
      <c r="G60" s="62"/>
      <c r="H60" s="62"/>
      <c r="I60" s="62"/>
      <c r="J60" s="62"/>
      <c r="K60" s="62"/>
      <c r="L60" s="62"/>
      <c r="O60" s="1"/>
      <c r="P60" s="165"/>
      <c r="Q60" s="165"/>
      <c r="V60" s="663" t="s">
        <v>113</v>
      </c>
      <c r="W60" s="663"/>
      <c r="X60" s="664">
        <f>+G61</f>
        <v>0</v>
      </c>
      <c r="Y60" s="664"/>
      <c r="Z60" s="664"/>
      <c r="AA60" s="664"/>
      <c r="AB60" s="664"/>
      <c r="AC60" s="664"/>
      <c r="AD60" s="9"/>
    </row>
    <row r="61" spans="2:30" ht="15" customHeight="1" x14ac:dyDescent="0.25">
      <c r="B61" s="167" t="s">
        <v>113</v>
      </c>
      <c r="C61" s="62"/>
      <c r="D61" s="62"/>
      <c r="E61" s="62"/>
      <c r="F61" s="62"/>
      <c r="G61" s="168">
        <v>0</v>
      </c>
      <c r="H61" s="168"/>
      <c r="I61" s="168"/>
      <c r="J61" s="168"/>
      <c r="K61" s="168"/>
      <c r="L61" s="168"/>
      <c r="O61" s="1"/>
      <c r="P61" s="165"/>
      <c r="Q61" s="165"/>
      <c r="V61" s="663" t="s">
        <v>114</v>
      </c>
      <c r="W61" s="663"/>
      <c r="X61" s="664">
        <f>+G62</f>
        <v>0</v>
      </c>
      <c r="Y61" s="664"/>
      <c r="Z61" s="664"/>
      <c r="AA61" s="664"/>
      <c r="AB61" s="664"/>
      <c r="AC61" s="664"/>
      <c r="AD61" s="9"/>
    </row>
    <row r="62" spans="2:30" ht="13.5" customHeight="1" x14ac:dyDescent="0.25">
      <c r="B62" s="167" t="s">
        <v>114</v>
      </c>
      <c r="C62" s="62"/>
      <c r="D62" s="62"/>
      <c r="E62" s="62"/>
      <c r="F62" s="62"/>
      <c r="G62" s="168">
        <v>0</v>
      </c>
      <c r="H62" s="168"/>
      <c r="I62" s="168"/>
      <c r="J62" s="168"/>
      <c r="K62" s="168"/>
      <c r="L62" s="168"/>
      <c r="N62" s="165"/>
      <c r="O62" s="165"/>
      <c r="P62" s="165"/>
      <c r="Q62" s="165"/>
      <c r="V62" s="663" t="s">
        <v>115</v>
      </c>
      <c r="W62" s="663"/>
      <c r="X62" s="664">
        <v>0</v>
      </c>
      <c r="Y62" s="664"/>
      <c r="Z62" s="664"/>
      <c r="AA62" s="664"/>
      <c r="AB62" s="664"/>
      <c r="AC62" s="664"/>
      <c r="AD62" s="9"/>
    </row>
    <row r="63" spans="2:30" ht="13.5" hidden="1" customHeight="1" x14ac:dyDescent="0.25">
      <c r="B63" s="62" t="s">
        <v>115</v>
      </c>
      <c r="C63" s="62"/>
      <c r="D63" s="62"/>
      <c r="E63" s="62"/>
      <c r="F63" s="62"/>
      <c r="G63" s="168">
        <v>0</v>
      </c>
      <c r="H63" s="168"/>
      <c r="I63" s="168"/>
      <c r="J63" s="168"/>
      <c r="K63" s="168"/>
      <c r="L63" s="168"/>
      <c r="O63" s="1"/>
      <c r="P63" s="165"/>
      <c r="Q63" s="165"/>
      <c r="V63" s="662" t="s">
        <v>116</v>
      </c>
      <c r="W63" s="662"/>
      <c r="X63" s="662"/>
      <c r="Y63" s="662"/>
      <c r="Z63" s="662"/>
      <c r="AA63" s="662"/>
      <c r="AB63" s="662"/>
      <c r="AC63" s="662"/>
      <c r="AD63" s="117"/>
    </row>
    <row r="64" spans="2:30" ht="13.5" customHeight="1" x14ac:dyDescent="0.25">
      <c r="B64" s="62" t="s">
        <v>116</v>
      </c>
      <c r="C64" s="62"/>
      <c r="D64" s="62"/>
      <c r="E64" s="62"/>
      <c r="F64" s="62"/>
      <c r="G64" s="62"/>
      <c r="H64" s="62"/>
      <c r="I64" s="62"/>
      <c r="J64" s="62"/>
      <c r="K64" s="62"/>
      <c r="L64" s="62"/>
      <c r="M64" s="116"/>
      <c r="N64" s="18"/>
      <c r="O64" s="1"/>
      <c r="V64" s="663" t="s">
        <v>117</v>
      </c>
      <c r="W64" s="663"/>
      <c r="X64" s="664">
        <f>+G65</f>
        <v>4123852</v>
      </c>
      <c r="Y64" s="664"/>
      <c r="Z64" s="664"/>
      <c r="AA64" s="664"/>
      <c r="AB64" s="664"/>
      <c r="AC64" s="664"/>
      <c r="AD64" s="9"/>
    </row>
    <row r="65" spans="1:30" ht="12.75" customHeight="1" x14ac:dyDescent="0.25">
      <c r="B65" s="167" t="s">
        <v>117</v>
      </c>
      <c r="C65" s="62"/>
      <c r="D65" s="62"/>
      <c r="E65" s="62"/>
      <c r="F65" s="62"/>
      <c r="G65" s="168">
        <f>+I59</f>
        <v>4123852</v>
      </c>
      <c r="H65" s="168"/>
      <c r="I65" s="168"/>
      <c r="J65" s="168"/>
      <c r="K65" s="168"/>
      <c r="L65" s="168"/>
      <c r="O65" s="1"/>
      <c r="V65" s="663" t="s">
        <v>118</v>
      </c>
      <c r="W65" s="663"/>
      <c r="X65" s="664">
        <f>+G66</f>
        <v>0</v>
      </c>
      <c r="Y65" s="664"/>
      <c r="Z65" s="664"/>
      <c r="AA65" s="664"/>
      <c r="AB65" s="664"/>
      <c r="AC65" s="664"/>
      <c r="AD65" s="20"/>
    </row>
    <row r="66" spans="1:30" ht="15" customHeight="1" x14ac:dyDescent="0.25">
      <c r="B66" s="167" t="s">
        <v>118</v>
      </c>
      <c r="C66" s="62"/>
      <c r="D66" s="62"/>
      <c r="E66" s="62"/>
      <c r="F66" s="62"/>
      <c r="G66" s="168">
        <v>0</v>
      </c>
      <c r="H66" s="168"/>
      <c r="I66" s="168"/>
      <c r="J66" s="168"/>
      <c r="K66" s="168"/>
      <c r="L66" s="168"/>
      <c r="M66" s="18"/>
      <c r="N66" s="3"/>
      <c r="O66" s="169"/>
      <c r="P66" s="169"/>
      <c r="Q66" s="169"/>
      <c r="V66" s="651" t="s">
        <v>119</v>
      </c>
      <c r="W66" s="651"/>
      <c r="X66" s="651"/>
      <c r="Y66" s="661">
        <f>+I67</f>
        <v>96774526</v>
      </c>
      <c r="Z66" s="661"/>
      <c r="AA66" s="162" t="s">
        <v>111</v>
      </c>
      <c r="AB66" s="163">
        <f>AB54</f>
        <v>0</v>
      </c>
      <c r="AC66" s="56">
        <f>ROUND(Y66*AB66,0)</f>
        <v>0</v>
      </c>
      <c r="AD66" s="9"/>
    </row>
    <row r="67" spans="1:30" ht="20.25" customHeight="1" x14ac:dyDescent="0.25">
      <c r="B67" s="13" t="s">
        <v>119</v>
      </c>
      <c r="C67" s="13"/>
      <c r="D67" s="13"/>
      <c r="E67" s="13"/>
      <c r="F67" s="13"/>
      <c r="H67" s="164" t="s">
        <v>25</v>
      </c>
      <c r="I67" s="129">
        <v>96774526</v>
      </c>
      <c r="J67" s="165" t="s">
        <v>111</v>
      </c>
      <c r="K67" s="166">
        <f>K54</f>
        <v>4.1310000000000001E-3</v>
      </c>
      <c r="L67" s="50">
        <f>ROUND(I67*K67,0)</f>
        <v>399776</v>
      </c>
      <c r="O67" s="1"/>
      <c r="V67" s="651" t="s">
        <v>120</v>
      </c>
      <c r="W67" s="651"/>
      <c r="X67" s="651"/>
      <c r="Y67" s="651"/>
      <c r="Z67" s="651"/>
      <c r="AA67" s="651"/>
      <c r="AB67" s="651"/>
      <c r="AC67" s="651"/>
      <c r="AD67" s="9"/>
    </row>
    <row r="68" spans="1:30" ht="20.25" customHeight="1" x14ac:dyDescent="0.25">
      <c r="B68" s="13" t="s">
        <v>120</v>
      </c>
      <c r="C68" s="13"/>
      <c r="D68" s="13"/>
      <c r="E68" s="13"/>
      <c r="F68" s="13"/>
      <c r="H68" s="13"/>
      <c r="I68" s="13"/>
      <c r="J68" s="82"/>
      <c r="K68" s="13"/>
      <c r="L68" s="13"/>
      <c r="O68" s="1"/>
      <c r="V68" s="667" t="s">
        <v>121</v>
      </c>
      <c r="W68" s="667"/>
      <c r="X68" s="667"/>
      <c r="Y68" s="661">
        <f>+I69</f>
        <v>0</v>
      </c>
      <c r="Z68" s="661"/>
      <c r="AA68" s="162" t="s">
        <v>111</v>
      </c>
      <c r="AB68" s="163">
        <f>AB57</f>
        <v>0</v>
      </c>
      <c r="AC68" s="56">
        <f>ROUND(Y68*AB68,0)</f>
        <v>0</v>
      </c>
      <c r="AD68" s="9"/>
    </row>
    <row r="69" spans="1:30" ht="15" customHeight="1" x14ac:dyDescent="0.25">
      <c r="B69" s="170" t="s">
        <v>121</v>
      </c>
      <c r="C69" s="13"/>
      <c r="D69" s="13"/>
      <c r="E69" s="13"/>
      <c r="F69" s="13"/>
      <c r="H69" s="164" t="s">
        <v>23</v>
      </c>
      <c r="I69" s="129">
        <v>0</v>
      </c>
      <c r="J69" s="165" t="s">
        <v>111</v>
      </c>
      <c r="K69" s="166">
        <f>K57</f>
        <v>4.2209999999999999E-3</v>
      </c>
      <c r="L69" s="50">
        <f>ROUND(I69*K69,0)</f>
        <v>0</v>
      </c>
      <c r="O69" s="1"/>
      <c r="V69" s="651" t="s">
        <v>122</v>
      </c>
      <c r="W69" s="651"/>
      <c r="X69" s="651"/>
      <c r="Y69" s="668">
        <f>+I70</f>
        <v>-3460775</v>
      </c>
      <c r="Z69" s="668"/>
      <c r="AA69" s="162" t="s">
        <v>111</v>
      </c>
      <c r="AB69" s="163">
        <f>AB54</f>
        <v>0</v>
      </c>
      <c r="AC69" s="56">
        <f>ROUND(Y69*AB69,0)</f>
        <v>0</v>
      </c>
      <c r="AD69" s="9"/>
    </row>
    <row r="70" spans="1:30" ht="20.25" customHeight="1" x14ac:dyDescent="0.25">
      <c r="B70" s="13" t="s">
        <v>122</v>
      </c>
      <c r="C70" s="13"/>
      <c r="D70" s="13"/>
      <c r="E70" s="13"/>
      <c r="F70" s="13"/>
      <c r="H70" s="164" t="s">
        <v>22</v>
      </c>
      <c r="I70" s="129">
        <v>-3460775</v>
      </c>
      <c r="J70" s="165" t="s">
        <v>111</v>
      </c>
      <c r="K70" s="166">
        <f>K54</f>
        <v>4.1310000000000001E-3</v>
      </c>
      <c r="L70" s="50">
        <f>ROUND(I70*K70,0)</f>
        <v>-14296</v>
      </c>
      <c r="O70" s="1"/>
      <c r="V70" s="651" t="s">
        <v>123</v>
      </c>
      <c r="W70" s="651"/>
      <c r="X70" s="651"/>
      <c r="Y70" s="665">
        <f>+I71</f>
        <v>1874788</v>
      </c>
      <c r="Z70" s="665"/>
      <c r="AA70" s="162" t="s">
        <v>111</v>
      </c>
      <c r="AB70" s="163">
        <f>AB54</f>
        <v>0</v>
      </c>
      <c r="AC70" s="56">
        <f>ROUND(Y70*AB70,0)</f>
        <v>0</v>
      </c>
      <c r="AD70" s="9"/>
    </row>
    <row r="71" spans="1:30" ht="20.25" customHeight="1" x14ac:dyDescent="0.25">
      <c r="B71" s="13" t="s">
        <v>123</v>
      </c>
      <c r="C71" s="13"/>
      <c r="D71" s="13"/>
      <c r="E71" s="13"/>
      <c r="F71" s="13"/>
      <c r="H71" s="164" t="s">
        <v>22</v>
      </c>
      <c r="I71" s="129">
        <v>1874788</v>
      </c>
      <c r="J71" s="165" t="s">
        <v>111</v>
      </c>
      <c r="K71" s="166">
        <f>K54</f>
        <v>4.1310000000000001E-3</v>
      </c>
      <c r="L71" s="50">
        <f>ROUND(I71*K71,0)</f>
        <v>7745</v>
      </c>
      <c r="O71" s="1"/>
      <c r="V71" s="651" t="s">
        <v>124</v>
      </c>
      <c r="W71" s="651"/>
      <c r="X71" s="651"/>
      <c r="Y71" s="665">
        <f>+I72</f>
        <v>14223298</v>
      </c>
      <c r="Z71" s="665"/>
      <c r="AA71" s="162" t="s">
        <v>111</v>
      </c>
      <c r="AB71" s="163">
        <f>AB57</f>
        <v>0</v>
      </c>
      <c r="AC71" s="56">
        <f>ROUND(Y71*AB71,0)</f>
        <v>0</v>
      </c>
      <c r="AD71" s="9"/>
    </row>
    <row r="72" spans="1:30" ht="21" customHeight="1" x14ac:dyDescent="0.25">
      <c r="B72" s="13" t="s">
        <v>124</v>
      </c>
      <c r="C72" s="13"/>
      <c r="D72" s="13"/>
      <c r="E72" s="13"/>
      <c r="F72" s="13"/>
      <c r="H72" s="164" t="s">
        <v>23</v>
      </c>
      <c r="I72" s="171">
        <v>14223298</v>
      </c>
      <c r="J72" s="165" t="s">
        <v>111</v>
      </c>
      <c r="K72" s="166">
        <f>K57</f>
        <v>4.2209999999999999E-3</v>
      </c>
      <c r="L72" s="50">
        <f>ROUND(I72*K72,0)</f>
        <v>60037</v>
      </c>
      <c r="O72" s="1"/>
      <c r="V72" s="623" t="s">
        <v>125</v>
      </c>
      <c r="W72" s="623"/>
      <c r="X72" s="623"/>
      <c r="Y72" s="623"/>
      <c r="Z72" s="623"/>
      <c r="AA72" s="623"/>
      <c r="AB72" s="623"/>
      <c r="AC72" s="60"/>
      <c r="AD72" s="9"/>
    </row>
    <row r="73" spans="1:30" ht="17.25" customHeight="1" x14ac:dyDescent="0.25">
      <c r="B73" s="13" t="s">
        <v>125</v>
      </c>
      <c r="C73" s="13"/>
      <c r="D73" s="13"/>
      <c r="E73" s="13"/>
      <c r="F73" s="13"/>
      <c r="H73" s="13"/>
      <c r="I73" s="13"/>
      <c r="J73" s="82"/>
      <c r="K73" s="13"/>
      <c r="L73" s="59"/>
      <c r="O73" s="1"/>
      <c r="V73" s="651" t="s">
        <v>126</v>
      </c>
      <c r="W73" s="651"/>
      <c r="X73" s="651"/>
      <c r="Y73" s="651"/>
      <c r="Z73" s="651"/>
      <c r="AA73" s="651"/>
      <c r="AB73" s="651"/>
      <c r="AC73" s="651"/>
      <c r="AD73" s="9"/>
    </row>
    <row r="74" spans="1:30" ht="31.5" x14ac:dyDescent="0.25">
      <c r="B74" s="13" t="s">
        <v>126</v>
      </c>
      <c r="C74" s="13"/>
      <c r="D74" s="27" t="s">
        <v>13</v>
      </c>
      <c r="E74" s="27" t="s">
        <v>14</v>
      </c>
      <c r="F74" s="27"/>
      <c r="H74" s="164" t="s">
        <v>26</v>
      </c>
      <c r="I74" s="172"/>
      <c r="J74" s="164"/>
      <c r="K74" s="172"/>
      <c r="L74" s="112"/>
      <c r="O74" s="1"/>
      <c r="V74" s="666" t="s">
        <v>127</v>
      </c>
      <c r="W74" s="666"/>
      <c r="X74" s="173" t="s">
        <v>128</v>
      </c>
      <c r="Y74" s="174"/>
      <c r="Z74" s="175">
        <f>+I75</f>
        <v>38</v>
      </c>
      <c r="AA74" s="176" t="s">
        <v>129</v>
      </c>
      <c r="AB74" s="177">
        <f>+K75</f>
        <v>361</v>
      </c>
      <c r="AC74" s="56">
        <f>ROUND(AB74*Z74,0)</f>
        <v>13718</v>
      </c>
      <c r="AD74" s="9"/>
    </row>
    <row r="75" spans="1:30" ht="19.5" customHeight="1" x14ac:dyDescent="0.25">
      <c r="A75" s="1" t="s">
        <v>130</v>
      </c>
      <c r="B75" s="178" t="s">
        <v>127</v>
      </c>
      <c r="C75" s="179" t="s">
        <v>128</v>
      </c>
      <c r="D75" s="178">
        <v>15</v>
      </c>
      <c r="E75" s="178">
        <v>61</v>
      </c>
      <c r="F75" s="178">
        <v>0</v>
      </c>
      <c r="G75" s="180">
        <f>IF(E75=0,D75,E75)</f>
        <v>61</v>
      </c>
      <c r="H75" s="181"/>
      <c r="I75" s="182">
        <f>AVERAGE(G75,D75)</f>
        <v>38</v>
      </c>
      <c r="J75" s="183" t="s">
        <v>129</v>
      </c>
      <c r="K75" s="184">
        <v>361</v>
      </c>
      <c r="L75" s="50">
        <f>ROUND(K75*I75,0)</f>
        <v>13718</v>
      </c>
      <c r="N75" s="1">
        <v>7802</v>
      </c>
      <c r="O75" s="1">
        <v>0</v>
      </c>
      <c r="V75" s="666" t="s">
        <v>127</v>
      </c>
      <c r="W75" s="666"/>
      <c r="X75" s="173" t="s">
        <v>131</v>
      </c>
      <c r="Y75" s="185"/>
      <c r="Z75" s="186">
        <f>+I76</f>
        <v>0</v>
      </c>
      <c r="AA75" s="176" t="s">
        <v>129</v>
      </c>
      <c r="AB75" s="187">
        <f>+K76</f>
        <v>1358</v>
      </c>
      <c r="AC75" s="56">
        <f>ROUND(AB75*Z75,0)</f>
        <v>0</v>
      </c>
      <c r="AD75" s="9"/>
    </row>
    <row r="76" spans="1:30" ht="19.5" customHeight="1" x14ac:dyDescent="0.25">
      <c r="A76" s="1" t="s">
        <v>132</v>
      </c>
      <c r="B76" s="178" t="s">
        <v>127</v>
      </c>
      <c r="C76" s="179" t="s">
        <v>131</v>
      </c>
      <c r="D76" s="178">
        <v>0</v>
      </c>
      <c r="E76" s="178">
        <v>0</v>
      </c>
      <c r="F76" s="178">
        <v>0</v>
      </c>
      <c r="G76" s="180">
        <f>IF(E76=0,D76,E76)</f>
        <v>0</v>
      </c>
      <c r="H76" s="181"/>
      <c r="I76" s="182">
        <f>AVERAGE(G76,D76)</f>
        <v>0</v>
      </c>
      <c r="J76" s="183" t="s">
        <v>129</v>
      </c>
      <c r="K76" s="188">
        <v>1358</v>
      </c>
      <c r="L76" s="50">
        <f>ROUND(K76*I76,0)</f>
        <v>0</v>
      </c>
      <c r="N76" s="1">
        <v>7802</v>
      </c>
      <c r="O76" s="1">
        <v>110</v>
      </c>
      <c r="V76" s="651" t="s">
        <v>133</v>
      </c>
      <c r="W76" s="651"/>
      <c r="X76" s="651"/>
      <c r="Y76" s="661">
        <f>+I77</f>
        <v>33305823</v>
      </c>
      <c r="Z76" s="661"/>
      <c r="AA76" s="176" t="s">
        <v>129</v>
      </c>
      <c r="AB76" s="163">
        <f>AB54</f>
        <v>0</v>
      </c>
      <c r="AC76" s="56">
        <f>ROUND(Y76*AB76,0)</f>
        <v>0</v>
      </c>
      <c r="AD76" s="9"/>
    </row>
    <row r="77" spans="1:30" ht="26.25" customHeight="1" x14ac:dyDescent="0.25">
      <c r="B77" s="13" t="s">
        <v>133</v>
      </c>
      <c r="C77" s="13"/>
      <c r="D77" s="13"/>
      <c r="E77" s="13"/>
      <c r="F77" s="13"/>
      <c r="H77" s="164" t="s">
        <v>134</v>
      </c>
      <c r="I77" s="189">
        <v>33305823</v>
      </c>
      <c r="J77" s="165" t="s">
        <v>111</v>
      </c>
      <c r="K77" s="166">
        <f>K54</f>
        <v>4.1310000000000001E-3</v>
      </c>
      <c r="L77" s="50">
        <f>ROUND(I77*K77,0)</f>
        <v>137586</v>
      </c>
      <c r="O77" s="1"/>
      <c r="V77" s="651" t="str">
        <f>+B78</f>
        <v>15.  Additional Allocation (WFTE share)</v>
      </c>
      <c r="W77" s="651"/>
      <c r="X77" s="651"/>
      <c r="Y77" s="661">
        <f>+I78</f>
        <v>680688</v>
      </c>
      <c r="Z77" s="661"/>
      <c r="AA77" s="176" t="s">
        <v>129</v>
      </c>
      <c r="AB77" s="163">
        <f>AB54</f>
        <v>0</v>
      </c>
      <c r="AC77" s="56">
        <f>ROUND(Y77*AB77,0)</f>
        <v>0</v>
      </c>
      <c r="AD77" s="9"/>
    </row>
    <row r="78" spans="1:30" ht="26.25" customHeight="1" x14ac:dyDescent="0.25">
      <c r="B78" s="669" t="s">
        <v>135</v>
      </c>
      <c r="C78" s="669"/>
      <c r="D78" s="669"/>
      <c r="E78" s="13"/>
      <c r="F78" s="13"/>
      <c r="H78" s="164" t="s">
        <v>136</v>
      </c>
      <c r="I78" s="190">
        <v>680688</v>
      </c>
      <c r="J78" s="165" t="s">
        <v>111</v>
      </c>
      <c r="K78" s="166">
        <f>K54</f>
        <v>4.1310000000000001E-3</v>
      </c>
      <c r="L78" s="50">
        <f>ROUND(I78*K78,0)</f>
        <v>2812</v>
      </c>
      <c r="O78" s="1"/>
      <c r="V78" s="651" t="str">
        <f t="shared" ref="V78:V79" si="11">+B79</f>
        <v>16.  Florida Teachers Lead Program Stipend</v>
      </c>
      <c r="W78" s="651"/>
      <c r="X78" s="651"/>
      <c r="Y78" s="191"/>
      <c r="Z78" s="191"/>
      <c r="AA78" s="191"/>
      <c r="AB78" s="191"/>
      <c r="AC78" s="134"/>
      <c r="AD78" s="9"/>
    </row>
    <row r="79" spans="1:30" ht="21" customHeight="1" x14ac:dyDescent="0.25">
      <c r="B79" s="669" t="s">
        <v>137</v>
      </c>
      <c r="C79" s="669"/>
      <c r="D79" s="669"/>
      <c r="E79" s="13"/>
      <c r="F79" s="13"/>
      <c r="H79" s="164"/>
      <c r="I79" s="172"/>
      <c r="J79" s="172"/>
      <c r="K79" s="172"/>
      <c r="L79" s="129"/>
      <c r="N79" s="192"/>
      <c r="O79" s="1"/>
      <c r="Q79" s="164"/>
      <c r="V79" s="651" t="str">
        <f t="shared" si="11"/>
        <v>17.  Food Service Allocation</v>
      </c>
      <c r="W79" s="651"/>
      <c r="X79" s="651"/>
      <c r="Y79" s="191"/>
      <c r="Z79" s="191"/>
      <c r="AA79" s="191"/>
      <c r="AB79" s="191"/>
      <c r="AC79" s="193"/>
      <c r="AD79" s="9"/>
    </row>
    <row r="80" spans="1:30" ht="21" customHeight="1" x14ac:dyDescent="0.25">
      <c r="B80" s="669" t="s">
        <v>138</v>
      </c>
      <c r="C80" s="669"/>
      <c r="D80" s="669"/>
      <c r="E80" s="13"/>
      <c r="F80" s="13"/>
      <c r="H80" s="194" t="s">
        <v>139</v>
      </c>
      <c r="I80" s="195"/>
      <c r="J80" s="195"/>
      <c r="K80" s="195"/>
      <c r="L80" s="196"/>
      <c r="N80" s="197"/>
      <c r="O80" s="1"/>
      <c r="Q80" s="164"/>
      <c r="V80" s="191"/>
      <c r="W80" s="191"/>
      <c r="X80" s="191"/>
      <c r="Y80" s="191"/>
      <c r="Z80" s="191"/>
      <c r="AA80" s="191"/>
      <c r="AB80" s="191"/>
      <c r="AC80" s="193"/>
      <c r="AD80" s="9"/>
    </row>
    <row r="81" spans="1:30" ht="21" customHeight="1" thickBot="1" x14ac:dyDescent="0.3">
      <c r="B81" s="13"/>
      <c r="C81" s="13"/>
      <c r="D81" s="13"/>
      <c r="E81" s="13"/>
      <c r="F81" s="13"/>
      <c r="G81" s="13"/>
      <c r="H81" s="13"/>
      <c r="I81" s="13"/>
      <c r="J81" s="13"/>
      <c r="K81" s="13"/>
      <c r="L81" s="196"/>
      <c r="M81" s="198"/>
      <c r="N81" s="197"/>
      <c r="O81" s="1"/>
      <c r="Q81" s="164"/>
      <c r="V81" s="191" t="s">
        <v>140</v>
      </c>
      <c r="W81" s="191"/>
      <c r="X81" s="191"/>
      <c r="Y81" s="191"/>
      <c r="Z81" s="191"/>
      <c r="AA81" s="191"/>
      <c r="AB81" s="191"/>
      <c r="AC81" s="199">
        <f>SUM(AC44:AC80)</f>
        <v>13718</v>
      </c>
      <c r="AD81" s="200"/>
    </row>
    <row r="82" spans="1:30" ht="22.5" customHeight="1" thickTop="1" thickBot="1" x14ac:dyDescent="0.3">
      <c r="B82" s="13" t="s">
        <v>141</v>
      </c>
      <c r="C82" s="13"/>
      <c r="D82" s="13"/>
      <c r="E82" s="13"/>
      <c r="F82" s="13"/>
      <c r="G82" s="13"/>
      <c r="H82" s="13"/>
      <c r="I82" s="13"/>
      <c r="J82" s="13"/>
      <c r="K82" s="13"/>
      <c r="L82" s="201">
        <f>SUM(L44:L81)</f>
        <v>4989096</v>
      </c>
      <c r="M82" s="202"/>
      <c r="N82" s="203"/>
      <c r="O82" s="1"/>
      <c r="Q82" s="164"/>
      <c r="V82" s="191"/>
      <c r="W82" s="191"/>
      <c r="X82" s="191"/>
      <c r="Y82" s="191"/>
      <c r="Z82" s="191"/>
      <c r="AA82" s="191"/>
      <c r="AB82" s="191"/>
      <c r="AC82" s="204"/>
      <c r="AD82" s="200"/>
    </row>
    <row r="83" spans="1:30" ht="27.75" customHeight="1" thickTop="1" x14ac:dyDescent="0.25">
      <c r="B83" s="13" t="s">
        <v>142</v>
      </c>
      <c r="C83" s="13"/>
      <c r="D83" s="13"/>
      <c r="E83" s="13"/>
      <c r="F83" s="13"/>
      <c r="G83" s="13"/>
      <c r="H83" s="13"/>
      <c r="I83" s="13"/>
      <c r="J83" s="13"/>
      <c r="K83" s="82" t="s">
        <v>143</v>
      </c>
      <c r="L83" s="205" t="s">
        <v>144</v>
      </c>
      <c r="M83" s="202"/>
      <c r="N83" s="203"/>
      <c r="O83" s="1"/>
      <c r="Q83" s="164"/>
      <c r="V83" s="9" t="s">
        <v>145</v>
      </c>
      <c r="W83" s="9"/>
      <c r="X83" s="9"/>
      <c r="Y83" s="9"/>
      <c r="Z83" s="9"/>
      <c r="AA83" s="9"/>
      <c r="AB83" s="9"/>
      <c r="AC83" s="9"/>
      <c r="AD83" s="206"/>
    </row>
    <row r="84" spans="1:30" ht="18.75" customHeight="1" thickBot="1" x14ac:dyDescent="0.3">
      <c r="B84" s="13" t="s">
        <v>146</v>
      </c>
      <c r="C84" s="13"/>
      <c r="D84" s="13"/>
      <c r="E84" s="13"/>
      <c r="F84" s="13"/>
      <c r="G84" s="13"/>
      <c r="H84" s="13"/>
      <c r="I84" s="13"/>
      <c r="J84" s="13"/>
      <c r="K84" s="207" t="str">
        <f>IF(G26=0,"",IF((G11+G13+SUM(G15:G21))/G26&gt;0.75,1,""))</f>
        <v/>
      </c>
      <c r="L84" s="201">
        <f>'3431'!AC81</f>
        <v>13718</v>
      </c>
      <c r="M84" s="202"/>
      <c r="N84" s="203"/>
      <c r="O84" s="1"/>
      <c r="Q84" s="164"/>
      <c r="V84" s="208" t="s">
        <v>147</v>
      </c>
      <c r="W84" s="208"/>
      <c r="X84" s="208"/>
      <c r="Y84" s="208"/>
      <c r="Z84" s="208"/>
      <c r="AA84" s="208"/>
      <c r="AB84" s="208"/>
      <c r="AC84" s="208"/>
      <c r="AD84" s="9"/>
    </row>
    <row r="85" spans="1:30" ht="18.75" customHeight="1" thickTop="1" x14ac:dyDescent="0.25">
      <c r="B85" s="13"/>
      <c r="C85" s="13"/>
      <c r="D85" s="13"/>
      <c r="E85" s="13"/>
      <c r="F85" s="13"/>
      <c r="G85" s="13"/>
      <c r="H85" s="13"/>
      <c r="I85" s="13"/>
      <c r="J85" s="13"/>
      <c r="M85" s="202"/>
      <c r="N85" s="203"/>
      <c r="O85" s="1"/>
      <c r="Q85" s="164"/>
      <c r="V85" s="208" t="s">
        <v>148</v>
      </c>
      <c r="W85" s="208"/>
      <c r="X85" s="208"/>
      <c r="Y85" s="208"/>
      <c r="Z85" s="208"/>
      <c r="AA85" s="208"/>
      <c r="AB85" s="208"/>
      <c r="AC85" s="208"/>
      <c r="AD85" s="206"/>
    </row>
    <row r="86" spans="1:30" ht="18.75" customHeight="1" x14ac:dyDescent="0.25">
      <c r="B86" s="2" t="s">
        <v>149</v>
      </c>
      <c r="C86" s="13"/>
      <c r="D86" s="13"/>
      <c r="E86" s="13"/>
      <c r="F86" s="13"/>
      <c r="G86" s="13"/>
      <c r="H86" s="13"/>
      <c r="I86" s="13"/>
      <c r="J86" s="209" t="s">
        <v>150</v>
      </c>
      <c r="K86" s="210">
        <f>IF(K84=1,L84,L82)</f>
        <v>4989096</v>
      </c>
      <c r="L86" s="211">
        <f>IF(G26=0,0,IF(G26&gt;250,-(((250/G26)*K86)*IF(M86="H",0.02,0.05)),IF(M86="H",-0.02*K86,-0.05*K86)))</f>
        <v>-81953.9791841884</v>
      </c>
      <c r="M86" s="212" t="str">
        <f>IF(B123="2801","H",IF(B123="2911","H",IF(B123="3382","H"," ")))</f>
        <v xml:space="preserve"> </v>
      </c>
      <c r="N86" s="203"/>
      <c r="O86" s="1"/>
      <c r="Q86" s="164"/>
      <c r="V86" s="208" t="s">
        <v>151</v>
      </c>
      <c r="W86" s="208"/>
      <c r="X86" s="208"/>
      <c r="Y86" s="208"/>
      <c r="Z86" s="208"/>
      <c r="AA86" s="208"/>
      <c r="AB86" s="208"/>
      <c r="AC86" s="208"/>
      <c r="AD86" s="206"/>
    </row>
    <row r="87" spans="1:30" ht="18.75" customHeight="1" x14ac:dyDescent="0.25">
      <c r="B87" s="2" t="s">
        <v>152</v>
      </c>
      <c r="C87" s="13"/>
      <c r="D87" s="13"/>
      <c r="E87" s="13"/>
      <c r="F87" s="13"/>
      <c r="G87" s="13"/>
      <c r="H87" s="13"/>
      <c r="I87" s="13"/>
      <c r="J87" s="13"/>
      <c r="K87" s="213"/>
      <c r="L87" s="205">
        <f>L82+L86</f>
        <v>4907142.0208158121</v>
      </c>
      <c r="M87" s="202"/>
      <c r="N87" s="203"/>
      <c r="O87" s="1"/>
      <c r="Q87" s="164"/>
      <c r="V87" s="198"/>
      <c r="W87" s="198"/>
      <c r="X87" s="198"/>
      <c r="Y87" s="198"/>
      <c r="Z87" s="198"/>
      <c r="AA87" s="198"/>
      <c r="AB87" s="198"/>
      <c r="AC87" s="198"/>
      <c r="AD87" s="214"/>
    </row>
    <row r="88" spans="1:30" x14ac:dyDescent="0.25">
      <c r="V88" s="198"/>
      <c r="W88" s="198"/>
      <c r="X88" s="198"/>
      <c r="Y88" s="198"/>
      <c r="Z88" s="198"/>
      <c r="AA88" s="198"/>
      <c r="AB88" s="198"/>
      <c r="AC88" s="198"/>
      <c r="AD88" s="215"/>
    </row>
    <row r="89" spans="1:30" ht="18.75" customHeight="1" x14ac:dyDescent="0.25">
      <c r="A89" s="1" t="s">
        <v>153</v>
      </c>
      <c r="B89" s="13" t="s">
        <v>154</v>
      </c>
      <c r="C89" s="13"/>
      <c r="D89" s="13">
        <v>2250010</v>
      </c>
      <c r="E89" s="13">
        <v>422771</v>
      </c>
      <c r="F89" s="13">
        <v>3941094</v>
      </c>
      <c r="G89" s="13"/>
      <c r="H89" s="13"/>
      <c r="I89" s="13"/>
      <c r="J89" s="13"/>
      <c r="K89" s="213"/>
      <c r="L89" s="84">
        <f>-F89-487551</f>
        <v>-4428645</v>
      </c>
      <c r="M89" s="202"/>
      <c r="N89" s="203"/>
      <c r="O89" s="1"/>
      <c r="Q89" s="164"/>
      <c r="V89" s="198">
        <v>2801</v>
      </c>
      <c r="W89" s="198"/>
      <c r="X89" s="198"/>
      <c r="Y89" s="198"/>
      <c r="Z89" s="198"/>
      <c r="AA89" s="198"/>
      <c r="AB89" s="198"/>
      <c r="AC89" s="198"/>
      <c r="AD89" s="214"/>
    </row>
    <row r="90" spans="1:30" ht="18.75" customHeight="1" x14ac:dyDescent="0.25">
      <c r="B90" s="13" t="s">
        <v>155</v>
      </c>
      <c r="C90" s="13"/>
      <c r="D90" s="13"/>
      <c r="E90" s="13"/>
      <c r="F90" s="13"/>
      <c r="G90" s="13"/>
      <c r="H90" s="13"/>
      <c r="I90" s="13"/>
      <c r="J90" s="13"/>
      <c r="K90" s="213"/>
      <c r="L90" s="205">
        <f>L87+L89</f>
        <v>478497.02081581205</v>
      </c>
      <c r="M90" s="202"/>
      <c r="N90" s="203"/>
      <c r="O90" s="1"/>
      <c r="Q90" s="164"/>
      <c r="V90" s="198">
        <v>2911</v>
      </c>
      <c r="W90" s="216"/>
      <c r="X90" s="216"/>
      <c r="Y90" s="216"/>
      <c r="Z90" s="216"/>
      <c r="AA90" s="216"/>
      <c r="AB90" s="216"/>
      <c r="AC90" s="216"/>
      <c r="AD90" s="214"/>
    </row>
    <row r="91" spans="1:30" ht="18.75" customHeight="1" x14ac:dyDescent="0.25">
      <c r="B91" s="13" t="s">
        <v>156</v>
      </c>
      <c r="C91" s="13"/>
      <c r="D91" s="13"/>
      <c r="E91" s="13"/>
      <c r="F91" s="13"/>
      <c r="G91" s="13"/>
      <c r="H91" s="13"/>
      <c r="I91" s="13"/>
      <c r="J91" s="13"/>
      <c r="K91" s="213"/>
      <c r="L91" s="205">
        <v>1</v>
      </c>
      <c r="M91" s="202"/>
      <c r="N91" s="203"/>
      <c r="O91" s="1"/>
      <c r="Q91" s="164"/>
      <c r="V91" s="198">
        <v>3382</v>
      </c>
      <c r="W91" s="216"/>
      <c r="X91" s="216"/>
      <c r="Y91" s="216"/>
      <c r="Z91" s="216"/>
      <c r="AA91" s="216"/>
      <c r="AB91" s="216"/>
      <c r="AC91" s="216"/>
      <c r="AD91" s="214"/>
    </row>
    <row r="92" spans="1:30" ht="18.75" customHeight="1" thickBot="1" x14ac:dyDescent="0.3">
      <c r="B92" s="13" t="s">
        <v>157</v>
      </c>
      <c r="C92" s="13"/>
      <c r="D92" s="13"/>
      <c r="E92" s="13"/>
      <c r="F92" s="13"/>
      <c r="G92" s="13"/>
      <c r="H92" s="13"/>
      <c r="I92" s="13"/>
      <c r="J92" s="13"/>
      <c r="K92" s="213"/>
      <c r="L92" s="217">
        <f>L90/L91</f>
        <v>478497.02081581205</v>
      </c>
      <c r="M92" s="202"/>
      <c r="N92" s="203"/>
      <c r="O92" s="1"/>
      <c r="Q92" s="164"/>
      <c r="V92" s="218"/>
      <c r="W92" s="218"/>
      <c r="X92" s="218"/>
      <c r="Y92" s="218"/>
      <c r="Z92" s="218"/>
      <c r="AA92" s="218"/>
      <c r="AB92" s="218"/>
      <c r="AC92" s="218"/>
      <c r="AD92" s="219"/>
    </row>
    <row r="93" spans="1:30" ht="18.75" customHeight="1" thickTop="1" x14ac:dyDescent="0.25">
      <c r="N93" s="219"/>
      <c r="O93" s="220"/>
      <c r="P93" s="219"/>
      <c r="Q93" s="219"/>
      <c r="V93" s="218"/>
      <c r="W93" s="218"/>
      <c r="X93" s="218"/>
      <c r="Y93" s="218"/>
      <c r="Z93" s="218"/>
      <c r="AA93" s="218"/>
      <c r="AB93" s="218"/>
      <c r="AC93" s="218"/>
      <c r="AD93" s="214"/>
    </row>
    <row r="94" spans="1:30" ht="18.75" customHeight="1" thickBot="1" x14ac:dyDescent="0.3">
      <c r="B94" s="221" t="s">
        <v>158</v>
      </c>
      <c r="C94" s="13"/>
      <c r="D94" s="13"/>
      <c r="E94" s="13"/>
      <c r="G94" s="13"/>
      <c r="H94" s="13"/>
      <c r="I94" s="13"/>
      <c r="J94" s="13"/>
      <c r="L94" s="222">
        <f>IF(M86="H",(K86*0.02)+L86,(K86*0.05)+L86)</f>
        <v>167500.82081581163</v>
      </c>
      <c r="M94" s="202"/>
      <c r="V94" s="223"/>
      <c r="W94" s="223"/>
      <c r="X94" s="223"/>
      <c r="Y94" s="223"/>
      <c r="Z94" s="223"/>
      <c r="AA94" s="223"/>
      <c r="AB94" s="223"/>
      <c r="AC94" s="223"/>
      <c r="AD94" s="214"/>
    </row>
    <row r="95" spans="1:30" ht="21.75" customHeight="1" thickTop="1" x14ac:dyDescent="0.25">
      <c r="B95" s="224" t="s">
        <v>159</v>
      </c>
      <c r="C95" s="224"/>
      <c r="D95" s="224"/>
      <c r="E95" s="224"/>
      <c r="F95" s="224"/>
      <c r="G95" s="224"/>
      <c r="H95" s="224"/>
      <c r="I95" s="224"/>
      <c r="J95" s="224"/>
      <c r="K95" s="224"/>
      <c r="L95" s="224"/>
      <c r="M95" s="219"/>
      <c r="V95" s="223"/>
      <c r="W95" s="223"/>
      <c r="X95" s="223"/>
      <c r="Y95" s="223"/>
      <c r="Z95" s="223"/>
      <c r="AA95" s="223"/>
      <c r="AB95" s="223"/>
      <c r="AC95" s="223"/>
      <c r="AD95" s="214"/>
    </row>
    <row r="96" spans="1:30" x14ac:dyDescent="0.25">
      <c r="B96" s="225"/>
      <c r="V96" s="223"/>
      <c r="W96" s="223"/>
      <c r="X96" s="223"/>
      <c r="Y96" s="223"/>
      <c r="Z96" s="223"/>
      <c r="AA96" s="223"/>
      <c r="AB96" s="223"/>
      <c r="AC96" s="223"/>
      <c r="AD96" s="219"/>
    </row>
    <row r="97" spans="2:30" x14ac:dyDescent="0.25">
      <c r="B97" s="225"/>
      <c r="V97" s="223"/>
      <c r="W97" s="223"/>
      <c r="X97" s="223"/>
      <c r="Y97" s="223"/>
      <c r="Z97" s="223"/>
      <c r="AA97" s="223"/>
      <c r="AB97" s="223"/>
      <c r="AC97" s="223"/>
      <c r="AD97" s="219"/>
    </row>
    <row r="98" spans="2:30" hidden="1" x14ac:dyDescent="0.25">
      <c r="B98" s="226" t="s">
        <v>160</v>
      </c>
      <c r="C98" s="227"/>
      <c r="V98" s="228"/>
      <c r="W98" s="228"/>
      <c r="X98" s="228"/>
      <c r="Y98" s="228"/>
      <c r="Z98" s="228"/>
      <c r="AA98" s="228"/>
      <c r="AB98" s="228"/>
      <c r="AC98" s="228"/>
    </row>
    <row r="99" spans="2:30" hidden="1" x14ac:dyDescent="0.25">
      <c r="B99" s="229"/>
      <c r="C99" s="227"/>
      <c r="V99" s="225"/>
      <c r="W99" s="13"/>
      <c r="X99" s="13"/>
      <c r="Y99" s="13"/>
      <c r="Z99" s="13"/>
      <c r="AA99" s="13"/>
      <c r="AB99" s="13"/>
      <c r="AC99" s="13"/>
    </row>
    <row r="100" spans="2:30" hidden="1" x14ac:dyDescent="0.25">
      <c r="B100" s="230" t="s">
        <v>161</v>
      </c>
      <c r="C100" s="226" t="s">
        <v>162</v>
      </c>
      <c r="V100" s="225"/>
    </row>
    <row r="101" spans="2:30" hidden="1" x14ac:dyDescent="0.25">
      <c r="B101" s="230" t="s">
        <v>163</v>
      </c>
      <c r="C101" s="226" t="s">
        <v>164</v>
      </c>
      <c r="V101" s="225"/>
    </row>
    <row r="102" spans="2:30" hidden="1" x14ac:dyDescent="0.25">
      <c r="B102" s="230" t="s">
        <v>165</v>
      </c>
      <c r="C102" s="226" t="s">
        <v>166</v>
      </c>
      <c r="V102" s="225"/>
      <c r="W102" s="231"/>
      <c r="X102" s="231"/>
      <c r="Y102" s="231"/>
      <c r="Z102" s="231"/>
      <c r="AA102" s="231"/>
      <c r="AB102" s="231"/>
      <c r="AC102" s="231"/>
      <c r="AD102" s="231"/>
    </row>
    <row r="103" spans="2:30" hidden="1" x14ac:dyDescent="0.25">
      <c r="B103" s="230" t="s">
        <v>167</v>
      </c>
      <c r="C103" s="226" t="s">
        <v>168</v>
      </c>
      <c r="V103" s="225"/>
    </row>
    <row r="104" spans="2:30" hidden="1" x14ac:dyDescent="0.25">
      <c r="B104" s="232"/>
      <c r="C104" s="226" t="s">
        <v>169</v>
      </c>
      <c r="V104" s="225"/>
    </row>
    <row r="105" spans="2:30" hidden="1" x14ac:dyDescent="0.25">
      <c r="B105" s="230" t="s">
        <v>170</v>
      </c>
      <c r="C105" s="226" t="s">
        <v>171</v>
      </c>
      <c r="V105" s="225"/>
    </row>
    <row r="106" spans="2:30" hidden="1" x14ac:dyDescent="0.25">
      <c r="B106" s="230" t="s">
        <v>172</v>
      </c>
      <c r="C106" s="226" t="s">
        <v>173</v>
      </c>
      <c r="V106" s="225"/>
    </row>
    <row r="107" spans="2:30" hidden="1" x14ac:dyDescent="0.25">
      <c r="B107" s="230" t="s">
        <v>307</v>
      </c>
      <c r="C107" s="226" t="s">
        <v>175</v>
      </c>
      <c r="V107" s="225"/>
    </row>
    <row r="108" spans="2:30" hidden="1" x14ac:dyDescent="0.25">
      <c r="B108" s="230" t="s">
        <v>176</v>
      </c>
      <c r="C108" s="226" t="s">
        <v>177</v>
      </c>
      <c r="V108" s="225"/>
    </row>
    <row r="109" spans="2:30" hidden="1" x14ac:dyDescent="0.25">
      <c r="B109" s="230" t="s">
        <v>178</v>
      </c>
      <c r="C109" s="226" t="s">
        <v>179</v>
      </c>
      <c r="V109" s="225"/>
    </row>
    <row r="110" spans="2:30" hidden="1" x14ac:dyDescent="0.25">
      <c r="B110" s="232"/>
      <c r="C110" s="226"/>
      <c r="V110" s="225"/>
    </row>
    <row r="111" spans="2:30" hidden="1" x14ac:dyDescent="0.25">
      <c r="B111" s="230" t="s">
        <v>180</v>
      </c>
      <c r="C111" s="226" t="s">
        <v>181</v>
      </c>
      <c r="V111" s="225"/>
    </row>
    <row r="112" spans="2:30" hidden="1" x14ac:dyDescent="0.25">
      <c r="B112" s="230" t="s">
        <v>180</v>
      </c>
      <c r="C112" s="226" t="s">
        <v>182</v>
      </c>
    </row>
    <row r="113" spans="2:3" hidden="1" x14ac:dyDescent="0.25">
      <c r="B113" s="230" t="s">
        <v>183</v>
      </c>
      <c r="C113" s="226" t="s">
        <v>184</v>
      </c>
    </row>
    <row r="114" spans="2:3" hidden="1" x14ac:dyDescent="0.25">
      <c r="B114" s="230" t="s">
        <v>185</v>
      </c>
      <c r="C114" s="226" t="s">
        <v>186</v>
      </c>
    </row>
    <row r="115" spans="2:3" hidden="1" x14ac:dyDescent="0.25">
      <c r="B115" s="230" t="s">
        <v>183</v>
      </c>
      <c r="C115" s="226" t="s">
        <v>187</v>
      </c>
    </row>
    <row r="116" spans="2:3" hidden="1" x14ac:dyDescent="0.25">
      <c r="B116" s="230" t="s">
        <v>188</v>
      </c>
      <c r="C116" s="226" t="s">
        <v>189</v>
      </c>
    </row>
    <row r="117" spans="2:3" hidden="1" x14ac:dyDescent="0.25">
      <c r="B117" s="230" t="s">
        <v>190</v>
      </c>
      <c r="C117" s="226" t="s">
        <v>191</v>
      </c>
    </row>
    <row r="118" spans="2:3" hidden="1" x14ac:dyDescent="0.25">
      <c r="B118" s="232" t="s">
        <v>192</v>
      </c>
      <c r="C118" s="226" t="s">
        <v>193</v>
      </c>
    </row>
    <row r="119" spans="2:3" hidden="1" x14ac:dyDescent="0.25">
      <c r="B119" s="232"/>
      <c r="C119" s="226"/>
    </row>
    <row r="120" spans="2:3" hidden="1" x14ac:dyDescent="0.25">
      <c r="B120" s="230" t="s">
        <v>161</v>
      </c>
      <c r="C120" s="226" t="s">
        <v>194</v>
      </c>
    </row>
    <row r="121" spans="2:3" hidden="1" x14ac:dyDescent="0.25">
      <c r="B121" s="230" t="s">
        <v>195</v>
      </c>
      <c r="C121" s="226" t="s">
        <v>196</v>
      </c>
    </row>
    <row r="122" spans="2:3" hidden="1" x14ac:dyDescent="0.25">
      <c r="B122" s="230" t="s">
        <v>197</v>
      </c>
      <c r="C122" s="226" t="s">
        <v>198</v>
      </c>
    </row>
    <row r="123" spans="2:3" hidden="1" x14ac:dyDescent="0.25">
      <c r="B123" s="230" t="s">
        <v>308</v>
      </c>
      <c r="C123" s="226" t="s">
        <v>200</v>
      </c>
    </row>
    <row r="124" spans="2:3" hidden="1" x14ac:dyDescent="0.25">
      <c r="B124" s="230" t="s">
        <v>309</v>
      </c>
      <c r="C124" s="226" t="s">
        <v>202</v>
      </c>
    </row>
    <row r="125" spans="2:3" hidden="1" x14ac:dyDescent="0.25">
      <c r="B125" s="230" t="s">
        <v>203</v>
      </c>
      <c r="C125" s="226" t="s">
        <v>204</v>
      </c>
    </row>
    <row r="126" spans="2:3" hidden="1" x14ac:dyDescent="0.25">
      <c r="B126" s="230" t="s">
        <v>203</v>
      </c>
      <c r="C126" s="226" t="s">
        <v>205</v>
      </c>
    </row>
    <row r="127" spans="2:3" hidden="1" x14ac:dyDescent="0.25">
      <c r="B127" s="230" t="s">
        <v>203</v>
      </c>
      <c r="C127" s="226" t="s">
        <v>206</v>
      </c>
    </row>
    <row r="128" spans="2:3" hidden="1" x14ac:dyDescent="0.25">
      <c r="B128" s="230" t="s">
        <v>203</v>
      </c>
      <c r="C128" s="226" t="s">
        <v>207</v>
      </c>
    </row>
    <row r="129" spans="2:3" hidden="1" x14ac:dyDescent="0.25">
      <c r="B129" s="230" t="s">
        <v>167</v>
      </c>
      <c r="C129" s="226" t="s">
        <v>208</v>
      </c>
    </row>
    <row r="130" spans="2:3" hidden="1" x14ac:dyDescent="0.25">
      <c r="B130" s="230" t="s">
        <v>209</v>
      </c>
      <c r="C130" s="226" t="s">
        <v>210</v>
      </c>
    </row>
    <row r="131" spans="2:3" hidden="1" x14ac:dyDescent="0.25">
      <c r="B131" s="230" t="s">
        <v>203</v>
      </c>
      <c r="C131" s="226" t="s">
        <v>211</v>
      </c>
    </row>
    <row r="132" spans="2:3" hidden="1" x14ac:dyDescent="0.25">
      <c r="B132" s="226"/>
      <c r="C132" s="226"/>
    </row>
    <row r="133" spans="2:3" hidden="1" x14ac:dyDescent="0.25">
      <c r="B133" s="226"/>
      <c r="C133" s="226"/>
    </row>
    <row r="134" spans="2:3" hidden="1" x14ac:dyDescent="0.25">
      <c r="B134" s="232"/>
      <c r="C134" s="232"/>
    </row>
    <row r="135" spans="2:3" hidden="1" x14ac:dyDescent="0.25">
      <c r="B135" s="232">
        <f>NvsElapsedTime</f>
        <v>1.15740767796524E-5</v>
      </c>
      <c r="C135" s="232"/>
    </row>
    <row r="136" spans="2:3" hidden="1" x14ac:dyDescent="0.25">
      <c r="B136" s="233">
        <f>NvsEndTime</f>
        <v>41754.488055555601</v>
      </c>
      <c r="C136" s="233" t="s">
        <v>212</v>
      </c>
    </row>
    <row r="137" spans="2:3" x14ac:dyDescent="0.25">
      <c r="B137" s="226"/>
      <c r="C137" s="234"/>
    </row>
    <row r="138" spans="2:3" x14ac:dyDescent="0.25">
      <c r="B138" s="226"/>
      <c r="C138" s="226"/>
    </row>
    <row r="139" spans="2:3" x14ac:dyDescent="0.25">
      <c r="B139" s="226"/>
      <c r="C139" s="226"/>
    </row>
    <row r="140" spans="2:3" x14ac:dyDescent="0.25">
      <c r="B140" s="226"/>
      <c r="C140" s="226"/>
    </row>
    <row r="141" spans="2:3" x14ac:dyDescent="0.25">
      <c r="B141" s="226"/>
      <c r="C141" s="226"/>
    </row>
    <row r="142" spans="2:3" x14ac:dyDescent="0.25">
      <c r="B142" s="226"/>
      <c r="C142" s="226"/>
    </row>
    <row r="143" spans="2:3" x14ac:dyDescent="0.25">
      <c r="B143" s="226"/>
      <c r="C143" s="226"/>
    </row>
    <row r="144" spans="2:3" x14ac:dyDescent="0.25">
      <c r="B144" s="226"/>
      <c r="C144" s="226"/>
    </row>
    <row r="145" spans="2:3" x14ac:dyDescent="0.25">
      <c r="B145" s="226"/>
      <c r="C145" s="226"/>
    </row>
    <row r="146" spans="2:3" x14ac:dyDescent="0.25">
      <c r="B146" s="226"/>
      <c r="C146" s="226"/>
    </row>
    <row r="147" spans="2:3" x14ac:dyDescent="0.25">
      <c r="B147" s="226"/>
      <c r="C147" s="226"/>
    </row>
    <row r="148" spans="2:3" x14ac:dyDescent="0.25">
      <c r="B148" s="226"/>
      <c r="C148" s="226"/>
    </row>
    <row r="149" spans="2:3" x14ac:dyDescent="0.25">
      <c r="B149" s="226"/>
      <c r="C149" s="226"/>
    </row>
    <row r="150" spans="2:3" x14ac:dyDescent="0.25">
      <c r="B150" s="226"/>
      <c r="C150" s="226"/>
    </row>
    <row r="151" spans="2:3" x14ac:dyDescent="0.25">
      <c r="B151" s="226"/>
      <c r="C151" s="226"/>
    </row>
  </sheetData>
  <mergeCells count="151">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9:W9"/>
    <mergeCell ref="X9:Y9"/>
    <mergeCell ref="Z9:AA9"/>
    <mergeCell ref="V10:W10"/>
    <mergeCell ref="X10:Y10"/>
    <mergeCell ref="Z10:AA10"/>
    <mergeCell ref="V7:W7"/>
    <mergeCell ref="X7:Y7"/>
    <mergeCell ref="Z7:AA7"/>
    <mergeCell ref="AB7:AC7"/>
    <mergeCell ref="V8:W8"/>
    <mergeCell ref="X8:Y8"/>
    <mergeCell ref="Z8:AA8"/>
    <mergeCell ref="W2:AC2"/>
    <mergeCell ref="V3:AC3"/>
    <mergeCell ref="V4:AC4"/>
    <mergeCell ref="V5:W5"/>
    <mergeCell ref="X5:Y5"/>
    <mergeCell ref="V6:AC6"/>
  </mergeCells>
  <printOptions horizontalCentered="1"/>
  <pageMargins left="0" right="0" top="0.67" bottom="0.2" header="0.25" footer="0.196850393700787"/>
  <pageSetup scale="63" fitToWidth="2" fitToHeight="2" orientation="portrait" horizontalDpi="4294967295" verticalDpi="4294967295" r:id="rId1"/>
  <headerFooter alignWithMargins="0">
    <oddHeader>&amp;L&amp;8&amp;F
&amp;D &amp;T</oddHeader>
    <oddFooter>&amp;C&amp;P</oddFooter>
  </headerFooter>
  <rowBreaks count="1" manualBreakCount="1">
    <brk id="51" max="16383" man="1"/>
  </rowBreaks>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D151"/>
  <sheetViews>
    <sheetView topLeftCell="B2" zoomScale="70" zoomScaleNormal="70" workbookViewId="0">
      <selection activeCell="D22" sqref="D22:D23"/>
    </sheetView>
  </sheetViews>
  <sheetFormatPr defaultColWidth="8.85546875" defaultRowHeight="15.75" x14ac:dyDescent="0.25"/>
  <cols>
    <col min="1" max="1" width="11.28515625" style="1" hidden="1" customWidth="1"/>
    <col min="2" max="2" width="10.28515625" style="2" customWidth="1"/>
    <col min="3" max="3" width="29" style="1" customWidth="1"/>
    <col min="4" max="5" width="12.28515625" style="1" customWidth="1"/>
    <col min="6" max="6" width="12.28515625" style="1" hidden="1" customWidth="1"/>
    <col min="7" max="7" width="17.140625" style="1" customWidth="1"/>
    <col min="8" max="8" width="6.7109375" style="1" customWidth="1"/>
    <col min="9" max="9" width="13.7109375" style="1" customWidth="1"/>
    <col min="10" max="10" width="12.85546875" style="1" customWidth="1"/>
    <col min="11" max="11" width="16.7109375" style="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28515625" style="1" customWidth="1"/>
    <col min="18" max="18" width="8.85546875" style="1"/>
    <col min="19" max="21" width="0" style="1" hidden="1" customWidth="1"/>
    <col min="22" max="23" width="8.85546875" style="1"/>
    <col min="24" max="24" width="12.7109375" style="1" customWidth="1"/>
    <col min="25" max="27" width="8.85546875" style="1"/>
    <col min="28" max="28" width="13.140625" style="1" bestFit="1" customWidth="1"/>
    <col min="29" max="16384" width="8.85546875" style="1"/>
  </cols>
  <sheetData>
    <row r="1" spans="1:30" ht="15.6"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7"/>
      <c r="N2" s="3"/>
      <c r="O2" s="1"/>
      <c r="V2" s="8">
        <f>'3431 June Final'!B2</f>
        <v>50</v>
      </c>
      <c r="W2" s="606" t="s">
        <v>4</v>
      </c>
      <c r="X2" s="607"/>
      <c r="Y2" s="608"/>
      <c r="Z2" s="608"/>
      <c r="AA2" s="608"/>
      <c r="AB2" s="608"/>
      <c r="AC2" s="608"/>
      <c r="AD2" s="9"/>
    </row>
    <row r="3" spans="1:30" ht="20.25" x14ac:dyDescent="0.3">
      <c r="B3" s="10" t="str">
        <f>"Revenue Estimate Worksheet for "&amp;B124</f>
        <v>Revenue Estimate Worksheet for Renaissance CS @ WPBch</v>
      </c>
      <c r="C3" s="11"/>
      <c r="D3" s="11"/>
      <c r="E3" s="11"/>
      <c r="F3" s="11"/>
      <c r="G3" s="11"/>
      <c r="H3" s="11"/>
      <c r="I3" s="11"/>
      <c r="J3" s="11"/>
      <c r="K3" s="11"/>
      <c r="L3" s="11"/>
      <c r="M3" s="10"/>
      <c r="N3" s="10"/>
      <c r="O3" s="10"/>
      <c r="P3" s="10"/>
      <c r="Q3" s="10"/>
      <c r="V3" s="609" t="s">
        <v>5</v>
      </c>
      <c r="W3" s="609"/>
      <c r="X3" s="609"/>
      <c r="Y3" s="609"/>
      <c r="Z3" s="609"/>
      <c r="AA3" s="609"/>
      <c r="AB3" s="609"/>
      <c r="AC3" s="609"/>
      <c r="AD3" s="12"/>
    </row>
    <row r="4" spans="1:30" ht="18.75" x14ac:dyDescent="0.3">
      <c r="B4" s="2" t="s">
        <v>6</v>
      </c>
      <c r="C4" s="13"/>
      <c r="D4" s="13"/>
      <c r="E4" s="13"/>
      <c r="F4" s="13"/>
      <c r="G4" s="13"/>
      <c r="H4" s="13"/>
      <c r="I4" s="13"/>
      <c r="J4" s="13"/>
      <c r="K4" s="13"/>
      <c r="L4" s="13"/>
      <c r="M4" s="14"/>
      <c r="N4" s="14"/>
      <c r="O4" s="14"/>
      <c r="P4" s="14"/>
      <c r="Q4" s="14"/>
      <c r="V4" s="610" t="str">
        <f>+Based_on_the_Second_Calculation_of_the_FEFP_2010_11</f>
        <v>Based on the Fourth Calculation of the FEFP 2013-14</v>
      </c>
      <c r="W4" s="610"/>
      <c r="X4" s="610"/>
      <c r="Y4" s="610"/>
      <c r="Z4" s="610"/>
      <c r="AA4" s="610"/>
      <c r="AB4" s="610"/>
      <c r="AC4" s="610"/>
      <c r="AD4" s="15"/>
    </row>
    <row r="5" spans="1:30" ht="18.75" customHeight="1" x14ac:dyDescent="0.25">
      <c r="B5" s="16" t="s">
        <v>7</v>
      </c>
      <c r="C5" s="16"/>
      <c r="D5" s="16"/>
      <c r="E5" s="16"/>
      <c r="F5" s="16"/>
      <c r="G5" s="17" t="s">
        <v>8</v>
      </c>
      <c r="H5" s="17"/>
      <c r="I5" s="17"/>
      <c r="J5" s="17"/>
      <c r="K5" s="17"/>
      <c r="L5" s="17"/>
      <c r="M5" s="18"/>
      <c r="N5" s="18"/>
      <c r="O5" s="18"/>
      <c r="P5" s="18"/>
      <c r="Q5" s="18"/>
      <c r="V5" s="611" t="s">
        <v>7</v>
      </c>
      <c r="W5" s="611"/>
      <c r="X5" s="612" t="s">
        <v>8</v>
      </c>
      <c r="Y5" s="612"/>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613" t="s">
        <v>9</v>
      </c>
      <c r="W6" s="613"/>
      <c r="X6" s="613"/>
      <c r="Y6" s="613"/>
      <c r="Z6" s="613"/>
      <c r="AA6" s="613"/>
      <c r="AB6" s="613"/>
      <c r="AC6" s="613"/>
      <c r="AD6" s="22"/>
    </row>
    <row r="7" spans="1:30" ht="18" customHeight="1" x14ac:dyDescent="0.25">
      <c r="B7" s="23" t="s">
        <v>10</v>
      </c>
      <c r="C7" s="23"/>
      <c r="D7" s="23"/>
      <c r="E7" s="23"/>
      <c r="F7" s="23"/>
      <c r="G7" s="24">
        <v>3752.3</v>
      </c>
      <c r="H7" s="24"/>
      <c r="I7" s="23" t="s">
        <v>11</v>
      </c>
      <c r="J7" s="23"/>
      <c r="K7" s="25">
        <v>1.0326</v>
      </c>
      <c r="L7" s="25"/>
      <c r="O7" s="1"/>
      <c r="V7" s="620" t="s">
        <v>10</v>
      </c>
      <c r="W7" s="620"/>
      <c r="X7" s="621">
        <f>'3431 June Final'!G7</f>
        <v>3752.3</v>
      </c>
      <c r="Y7" s="621"/>
      <c r="Z7" s="622" t="s">
        <v>11</v>
      </c>
      <c r="AA7" s="622"/>
      <c r="AB7" s="602">
        <f>+K7</f>
        <v>1.0326</v>
      </c>
      <c r="AC7" s="602"/>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603" t="s">
        <v>12</v>
      </c>
      <c r="W8" s="603"/>
      <c r="X8" s="604" t="s">
        <v>15</v>
      </c>
      <c r="Y8" s="604"/>
      <c r="Z8" s="605" t="s">
        <v>16</v>
      </c>
      <c r="AA8" s="605"/>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614" t="s">
        <v>22</v>
      </c>
      <c r="W9" s="614"/>
      <c r="X9" s="615" t="s">
        <v>23</v>
      </c>
      <c r="Y9" s="615"/>
      <c r="Z9" s="616" t="s">
        <v>24</v>
      </c>
      <c r="AA9" s="616"/>
      <c r="AB9" s="43" t="s">
        <v>25</v>
      </c>
      <c r="AC9" s="44" t="s">
        <v>26</v>
      </c>
      <c r="AD9" s="9"/>
    </row>
    <row r="10" spans="1:30" x14ac:dyDescent="0.25">
      <c r="A10" s="1" t="s">
        <v>27</v>
      </c>
      <c r="B10" s="45" t="s">
        <v>28</v>
      </c>
      <c r="C10" s="45"/>
      <c r="D10" s="45">
        <v>183.57</v>
      </c>
      <c r="E10" s="45">
        <v>187.42</v>
      </c>
      <c r="F10" s="45">
        <v>223.71</v>
      </c>
      <c r="G10" s="46">
        <f t="shared" ref="G10:G25" si="0">D10+E10</f>
        <v>370.99</v>
      </c>
      <c r="H10" s="47"/>
      <c r="I10" s="48">
        <v>1.125</v>
      </c>
      <c r="J10" s="48"/>
      <c r="K10" s="49">
        <f t="shared" ref="K10:K25" si="1">ROUND(G10*I10,4)</f>
        <v>417.36380000000003</v>
      </c>
      <c r="L10" s="50">
        <f t="shared" ref="L10:L25" si="2">ROUND(ROUND(K10*$G$7,4)*($K$7),0)</f>
        <v>1617128</v>
      </c>
      <c r="N10" s="51">
        <v>5101</v>
      </c>
      <c r="O10" s="52">
        <v>101</v>
      </c>
      <c r="P10" s="53"/>
      <c r="Q10" s="54"/>
      <c r="V10" s="617" t="s">
        <v>28</v>
      </c>
      <c r="W10" s="617"/>
      <c r="X10" s="618">
        <f>IF('3431 June Final'!K$84=1,'3431 June Final'!G10,0)</f>
        <v>0</v>
      </c>
      <c r="Y10" s="618"/>
      <c r="Z10" s="619">
        <v>1</v>
      </c>
      <c r="AA10" s="619"/>
      <c r="AB10" s="55">
        <f t="shared" ref="AB10:AB25" si="3">ROUND(X10*Z10,4)</f>
        <v>0</v>
      </c>
      <c r="AC10" s="56">
        <f t="shared" ref="AC10:AC25" si="4">ROUND(ROUND(AB10*$X$7,4)*($AB$7),0)</f>
        <v>0</v>
      </c>
      <c r="AD10" s="9">
        <v>1</v>
      </c>
    </row>
    <row r="11" spans="1:30" x14ac:dyDescent="0.25">
      <c r="A11" s="1" t="s">
        <v>29</v>
      </c>
      <c r="B11" s="13" t="s">
        <v>30</v>
      </c>
      <c r="C11" s="13"/>
      <c r="D11" s="13">
        <v>13.97</v>
      </c>
      <c r="E11" s="13">
        <v>15.08</v>
      </c>
      <c r="F11" s="13">
        <v>17.989999999999998</v>
      </c>
      <c r="G11" s="46">
        <f t="shared" si="0"/>
        <v>29.05</v>
      </c>
      <c r="H11" s="47"/>
      <c r="I11" s="57">
        <f>I10</f>
        <v>1.125</v>
      </c>
      <c r="J11" s="57"/>
      <c r="K11" s="49">
        <f t="shared" si="1"/>
        <v>32.6813</v>
      </c>
      <c r="L11" s="50">
        <f t="shared" si="2"/>
        <v>126628</v>
      </c>
      <c r="M11" s="1" t="str">
        <f>IF(ROUND(G11,2)=ROUND(SUM(G28:G30),2)," ","CHECK 2. PK-3 Lines Below")</f>
        <v xml:space="preserve"> </v>
      </c>
      <c r="N11" s="51">
        <v>5101</v>
      </c>
      <c r="O11" s="58" t="s">
        <v>31</v>
      </c>
      <c r="P11" s="53"/>
      <c r="Q11" s="54"/>
      <c r="V11" s="623" t="s">
        <v>30</v>
      </c>
      <c r="W11" s="623"/>
      <c r="X11" s="618">
        <f>IF('3431 June Final'!K$84=1,'3431 June Final'!G11,0)</f>
        <v>0</v>
      </c>
      <c r="Y11" s="618"/>
      <c r="Z11" s="624">
        <v>1</v>
      </c>
      <c r="AA11" s="624"/>
      <c r="AB11" s="55">
        <f t="shared" si="3"/>
        <v>0</v>
      </c>
      <c r="AC11" s="56">
        <f t="shared" si="4"/>
        <v>0</v>
      </c>
      <c r="AD11" s="9"/>
    </row>
    <row r="12" spans="1:30" x14ac:dyDescent="0.25">
      <c r="A12" s="1" t="s">
        <v>32</v>
      </c>
      <c r="B12" s="13" t="s">
        <v>33</v>
      </c>
      <c r="C12" s="13"/>
      <c r="D12" s="13">
        <v>139.99</v>
      </c>
      <c r="E12" s="13">
        <v>144.83000000000001</v>
      </c>
      <c r="F12" s="13">
        <v>179.23</v>
      </c>
      <c r="G12" s="46">
        <f t="shared" si="0"/>
        <v>284.82000000000005</v>
      </c>
      <c r="H12" s="47"/>
      <c r="I12" s="57">
        <v>1</v>
      </c>
      <c r="J12" s="57"/>
      <c r="K12" s="49">
        <f t="shared" si="1"/>
        <v>284.82</v>
      </c>
      <c r="L12" s="50">
        <f t="shared" si="2"/>
        <v>1103571</v>
      </c>
      <c r="N12" s="51">
        <v>5102</v>
      </c>
      <c r="O12" s="52">
        <v>102</v>
      </c>
      <c r="P12" s="53"/>
      <c r="Q12" s="54"/>
      <c r="V12" s="623" t="s">
        <v>33</v>
      </c>
      <c r="W12" s="623"/>
      <c r="X12" s="618">
        <f>IF('3431 June Final'!K$84=1,'3431 June Final'!G12,0)</f>
        <v>0</v>
      </c>
      <c r="Y12" s="618"/>
      <c r="Z12" s="624">
        <v>1</v>
      </c>
      <c r="AA12" s="624"/>
      <c r="AB12" s="55">
        <f t="shared" si="3"/>
        <v>0</v>
      </c>
      <c r="AC12" s="56">
        <f t="shared" si="4"/>
        <v>0</v>
      </c>
      <c r="AD12" s="9"/>
    </row>
    <row r="13" spans="1:30" x14ac:dyDescent="0.25">
      <c r="A13" s="1" t="s">
        <v>34</v>
      </c>
      <c r="B13" s="13" t="s">
        <v>35</v>
      </c>
      <c r="C13" s="13"/>
      <c r="D13" s="13">
        <v>15.37</v>
      </c>
      <c r="E13" s="13">
        <v>17.71</v>
      </c>
      <c r="F13" s="13">
        <v>20.87</v>
      </c>
      <c r="G13" s="46">
        <f t="shared" si="0"/>
        <v>33.08</v>
      </c>
      <c r="H13" s="47"/>
      <c r="I13" s="57">
        <f>I12</f>
        <v>1</v>
      </c>
      <c r="J13" s="57"/>
      <c r="K13" s="49">
        <f t="shared" si="1"/>
        <v>33.08</v>
      </c>
      <c r="L13" s="50">
        <f t="shared" si="2"/>
        <v>128173</v>
      </c>
      <c r="M13" s="1" t="str">
        <f>IF(ROUND(G13,2)=ROUND(SUM(G31:G33),2)," ","CHECK 2. PK-3 Lines Below")</f>
        <v xml:space="preserve"> </v>
      </c>
      <c r="N13" s="51">
        <v>5102</v>
      </c>
      <c r="O13" s="58" t="s">
        <v>36</v>
      </c>
      <c r="P13" s="53"/>
      <c r="Q13" s="54"/>
      <c r="V13" s="623" t="s">
        <v>35</v>
      </c>
      <c r="W13" s="623"/>
      <c r="X13" s="618">
        <f>IF('3431 June Final'!K$84=1,'3431 June Final'!G13,0)</f>
        <v>0</v>
      </c>
      <c r="Y13" s="618"/>
      <c r="Z13" s="624">
        <v>1</v>
      </c>
      <c r="AA13" s="624"/>
      <c r="AB13" s="55">
        <f t="shared" si="3"/>
        <v>0</v>
      </c>
      <c r="AC13" s="56">
        <f t="shared" si="4"/>
        <v>0</v>
      </c>
      <c r="AD13" s="9"/>
    </row>
    <row r="14" spans="1:30" x14ac:dyDescent="0.25">
      <c r="A14" s="1" t="s">
        <v>37</v>
      </c>
      <c r="B14" s="13" t="s">
        <v>38</v>
      </c>
      <c r="C14" s="13"/>
      <c r="D14" s="13">
        <v>0</v>
      </c>
      <c r="E14" s="13">
        <v>0</v>
      </c>
      <c r="F14" s="13">
        <v>0</v>
      </c>
      <c r="G14" s="46">
        <f t="shared" si="0"/>
        <v>0</v>
      </c>
      <c r="H14" s="47"/>
      <c r="I14" s="57">
        <v>1.0109999999999999</v>
      </c>
      <c r="J14" s="57"/>
      <c r="K14" s="49">
        <f t="shared" si="1"/>
        <v>0</v>
      </c>
      <c r="L14" s="50">
        <f t="shared" si="2"/>
        <v>0</v>
      </c>
      <c r="N14" s="51">
        <v>5103</v>
      </c>
      <c r="O14" s="52">
        <v>103</v>
      </c>
      <c r="P14" s="53"/>
      <c r="Q14" s="54"/>
      <c r="V14" s="623" t="s">
        <v>38</v>
      </c>
      <c r="W14" s="623"/>
      <c r="X14" s="618">
        <f>IF('3431 June Final'!K$84=1,'3431 June Final'!G14,0)</f>
        <v>0</v>
      </c>
      <c r="Y14" s="618"/>
      <c r="Z14" s="624">
        <v>1</v>
      </c>
      <c r="AA14" s="624"/>
      <c r="AB14" s="55">
        <f t="shared" si="3"/>
        <v>0</v>
      </c>
      <c r="AC14" s="56">
        <f t="shared" si="4"/>
        <v>0</v>
      </c>
      <c r="AD14" s="9"/>
    </row>
    <row r="15" spans="1:30" x14ac:dyDescent="0.25">
      <c r="A15" s="1" t="s">
        <v>39</v>
      </c>
      <c r="B15" s="13" t="s">
        <v>40</v>
      </c>
      <c r="C15" s="13"/>
      <c r="D15" s="13">
        <v>0</v>
      </c>
      <c r="E15" s="13">
        <v>0</v>
      </c>
      <c r="F15" s="13">
        <v>0</v>
      </c>
      <c r="G15" s="46">
        <f t="shared" si="0"/>
        <v>0</v>
      </c>
      <c r="H15" s="47"/>
      <c r="I15" s="57">
        <f>I14</f>
        <v>1.0109999999999999</v>
      </c>
      <c r="J15" s="57"/>
      <c r="K15" s="49">
        <f t="shared" si="1"/>
        <v>0</v>
      </c>
      <c r="L15" s="59">
        <f t="shared" si="2"/>
        <v>0</v>
      </c>
      <c r="M15" s="1" t="str">
        <f>IF(ROUND(G15,2)=ROUND(SUM(G34:G36),2)," ","CHECK 2. PK-3 Lines Below")</f>
        <v xml:space="preserve"> </v>
      </c>
      <c r="N15" s="51">
        <v>5103</v>
      </c>
      <c r="O15" s="58" t="s">
        <v>41</v>
      </c>
      <c r="P15" s="53"/>
      <c r="Q15" s="54"/>
      <c r="V15" s="623" t="s">
        <v>40</v>
      </c>
      <c r="W15" s="623"/>
      <c r="X15" s="618">
        <f>IF('3431 June Final'!K$84=1,'3431 June Final'!G15,0)</f>
        <v>0</v>
      </c>
      <c r="Y15" s="618"/>
      <c r="Z15" s="624">
        <v>1</v>
      </c>
      <c r="AA15" s="624"/>
      <c r="AB15" s="55">
        <f t="shared" si="3"/>
        <v>0</v>
      </c>
      <c r="AC15" s="60">
        <f t="shared" si="4"/>
        <v>0</v>
      </c>
      <c r="AD15" s="9"/>
    </row>
    <row r="16" spans="1:30" x14ac:dyDescent="0.25">
      <c r="A16" s="1" t="s">
        <v>42</v>
      </c>
      <c r="B16" s="13" t="s">
        <v>43</v>
      </c>
      <c r="C16" s="13"/>
      <c r="D16" s="13">
        <v>0</v>
      </c>
      <c r="E16" s="13">
        <v>0</v>
      </c>
      <c r="F16" s="13">
        <v>0</v>
      </c>
      <c r="G16" s="46">
        <f t="shared" si="0"/>
        <v>0</v>
      </c>
      <c r="H16" s="47"/>
      <c r="I16" s="57">
        <v>3.5579999999999998</v>
      </c>
      <c r="J16" s="57"/>
      <c r="K16" s="49">
        <f t="shared" si="1"/>
        <v>0</v>
      </c>
      <c r="L16" s="50">
        <f t="shared" si="2"/>
        <v>0</v>
      </c>
      <c r="N16" s="51">
        <v>5101</v>
      </c>
      <c r="O16" s="53">
        <v>254</v>
      </c>
      <c r="P16" s="53"/>
      <c r="Q16" s="54"/>
      <c r="V16" s="623" t="s">
        <v>43</v>
      </c>
      <c r="W16" s="623"/>
      <c r="X16" s="618">
        <f>IF('3431 June Final'!K$84=1,'3431 June Final'!G16,0)</f>
        <v>0</v>
      </c>
      <c r="Y16" s="618"/>
      <c r="Z16" s="624">
        <v>1</v>
      </c>
      <c r="AA16" s="624"/>
      <c r="AB16" s="55">
        <f t="shared" si="3"/>
        <v>0</v>
      </c>
      <c r="AC16" s="56">
        <f t="shared" si="4"/>
        <v>0</v>
      </c>
      <c r="AD16" s="9"/>
    </row>
    <row r="17" spans="1:30" x14ac:dyDescent="0.25">
      <c r="A17" s="1" t="s">
        <v>44</v>
      </c>
      <c r="B17" s="13" t="s">
        <v>45</v>
      </c>
      <c r="C17" s="13"/>
      <c r="D17" s="13">
        <v>0</v>
      </c>
      <c r="E17" s="13">
        <v>0</v>
      </c>
      <c r="F17" s="13">
        <v>0</v>
      </c>
      <c r="G17" s="46">
        <f t="shared" si="0"/>
        <v>0</v>
      </c>
      <c r="H17" s="47"/>
      <c r="I17" s="57">
        <f>I16</f>
        <v>3.5579999999999998</v>
      </c>
      <c r="J17" s="57"/>
      <c r="K17" s="49">
        <f t="shared" si="1"/>
        <v>0</v>
      </c>
      <c r="L17" s="50">
        <f t="shared" si="2"/>
        <v>0</v>
      </c>
      <c r="N17" s="51">
        <v>5102</v>
      </c>
      <c r="O17" s="54">
        <v>254</v>
      </c>
      <c r="P17" s="53"/>
      <c r="Q17" s="54"/>
      <c r="V17" s="623" t="s">
        <v>45</v>
      </c>
      <c r="W17" s="623"/>
      <c r="X17" s="618">
        <f>IF('3431 June Final'!K$84=1,'3431 June Final'!G17,0)</f>
        <v>0</v>
      </c>
      <c r="Y17" s="618"/>
      <c r="Z17" s="624">
        <v>1</v>
      </c>
      <c r="AA17" s="624"/>
      <c r="AB17" s="55">
        <f t="shared" si="3"/>
        <v>0</v>
      </c>
      <c r="AC17" s="56">
        <f t="shared" si="4"/>
        <v>0</v>
      </c>
      <c r="AD17" s="9"/>
    </row>
    <row r="18" spans="1:30" x14ac:dyDescent="0.25">
      <c r="A18" s="1" t="s">
        <v>46</v>
      </c>
      <c r="B18" s="13" t="s">
        <v>47</v>
      </c>
      <c r="C18" s="13"/>
      <c r="D18" s="13">
        <v>0</v>
      </c>
      <c r="E18" s="13">
        <v>0</v>
      </c>
      <c r="F18" s="13">
        <v>0</v>
      </c>
      <c r="G18" s="46">
        <f t="shared" si="0"/>
        <v>0</v>
      </c>
      <c r="H18" s="47"/>
      <c r="I18" s="57">
        <f>I17</f>
        <v>3.5579999999999998</v>
      </c>
      <c r="J18" s="57"/>
      <c r="K18" s="49">
        <f t="shared" si="1"/>
        <v>0</v>
      </c>
      <c r="L18" s="50">
        <f t="shared" si="2"/>
        <v>0</v>
      </c>
      <c r="N18" s="51">
        <v>5103</v>
      </c>
      <c r="O18" s="54">
        <v>254</v>
      </c>
      <c r="P18" s="53"/>
      <c r="Q18" s="54"/>
      <c r="V18" s="623" t="s">
        <v>47</v>
      </c>
      <c r="W18" s="623"/>
      <c r="X18" s="618">
        <f>IF('3431 June Final'!K$84=1,'3431 June Final'!G18,0)</f>
        <v>0</v>
      </c>
      <c r="Y18" s="618"/>
      <c r="Z18" s="624">
        <v>1</v>
      </c>
      <c r="AA18" s="624"/>
      <c r="AB18" s="55">
        <f t="shared" si="3"/>
        <v>0</v>
      </c>
      <c r="AC18" s="56">
        <f t="shared" si="4"/>
        <v>0</v>
      </c>
      <c r="AD18" s="9"/>
    </row>
    <row r="19" spans="1:30" ht="15" customHeight="1" x14ac:dyDescent="0.25">
      <c r="A19" s="1" t="s">
        <v>48</v>
      </c>
      <c r="B19" s="13" t="s">
        <v>49</v>
      </c>
      <c r="C19" s="13"/>
      <c r="D19" s="13">
        <v>0</v>
      </c>
      <c r="E19" s="13">
        <v>0</v>
      </c>
      <c r="F19" s="13">
        <v>0</v>
      </c>
      <c r="G19" s="46">
        <f t="shared" si="0"/>
        <v>0</v>
      </c>
      <c r="H19" s="47"/>
      <c r="I19" s="57">
        <v>5.0890000000000004</v>
      </c>
      <c r="J19" s="57"/>
      <c r="K19" s="49">
        <f t="shared" si="1"/>
        <v>0</v>
      </c>
      <c r="L19" s="50">
        <f t="shared" si="2"/>
        <v>0</v>
      </c>
      <c r="N19" s="51">
        <v>5101</v>
      </c>
      <c r="O19" s="53">
        <v>255</v>
      </c>
      <c r="P19" s="53"/>
      <c r="Q19" s="54"/>
      <c r="V19" s="623" t="s">
        <v>49</v>
      </c>
      <c r="W19" s="623"/>
      <c r="X19" s="618">
        <f>IF('3431 June Final'!K$84=1,'3431 June Final'!G19,0)</f>
        <v>0</v>
      </c>
      <c r="Y19" s="618"/>
      <c r="Z19" s="624">
        <v>1</v>
      </c>
      <c r="AA19" s="624"/>
      <c r="AB19" s="55">
        <f t="shared" si="3"/>
        <v>0</v>
      </c>
      <c r="AC19" s="56">
        <f t="shared" si="4"/>
        <v>0</v>
      </c>
      <c r="AD19" s="9"/>
    </row>
    <row r="20" spans="1:30" ht="15" customHeight="1" x14ac:dyDescent="0.25">
      <c r="A20" s="1" t="s">
        <v>50</v>
      </c>
      <c r="B20" s="13" t="s">
        <v>51</v>
      </c>
      <c r="C20" s="13"/>
      <c r="D20" s="13">
        <v>0</v>
      </c>
      <c r="E20" s="13">
        <v>0</v>
      </c>
      <c r="F20" s="13">
        <v>0</v>
      </c>
      <c r="G20" s="46">
        <f t="shared" si="0"/>
        <v>0</v>
      </c>
      <c r="H20" s="47"/>
      <c r="I20" s="57">
        <f>I19</f>
        <v>5.0890000000000004</v>
      </c>
      <c r="J20" s="57"/>
      <c r="K20" s="49">
        <f t="shared" si="1"/>
        <v>0</v>
      </c>
      <c r="L20" s="50">
        <f t="shared" si="2"/>
        <v>0</v>
      </c>
      <c r="N20" s="51">
        <v>5102</v>
      </c>
      <c r="O20" s="54">
        <v>255</v>
      </c>
      <c r="P20" s="53"/>
      <c r="Q20" s="54"/>
      <c r="V20" s="623" t="s">
        <v>51</v>
      </c>
      <c r="W20" s="623"/>
      <c r="X20" s="618">
        <f>IF('3431 June Final'!K$84=1,'3431 June Final'!G20,0)</f>
        <v>0</v>
      </c>
      <c r="Y20" s="618"/>
      <c r="Z20" s="624">
        <v>1</v>
      </c>
      <c r="AA20" s="624"/>
      <c r="AB20" s="55">
        <f t="shared" si="3"/>
        <v>0</v>
      </c>
      <c r="AC20" s="56">
        <f t="shared" si="4"/>
        <v>0</v>
      </c>
      <c r="AD20" s="9"/>
    </row>
    <row r="21" spans="1:30" ht="15" customHeight="1" x14ac:dyDescent="0.25">
      <c r="A21" s="1" t="s">
        <v>52</v>
      </c>
      <c r="B21" s="13" t="s">
        <v>53</v>
      </c>
      <c r="C21" s="13"/>
      <c r="D21" s="13">
        <v>0</v>
      </c>
      <c r="E21" s="13">
        <v>0</v>
      </c>
      <c r="F21" s="13">
        <v>0</v>
      </c>
      <c r="G21" s="46">
        <f t="shared" si="0"/>
        <v>0</v>
      </c>
      <c r="H21" s="47"/>
      <c r="I21" s="57">
        <f>I20</f>
        <v>5.0890000000000004</v>
      </c>
      <c r="J21" s="57"/>
      <c r="K21" s="49">
        <f t="shared" si="1"/>
        <v>0</v>
      </c>
      <c r="L21" s="50">
        <f t="shared" si="2"/>
        <v>0</v>
      </c>
      <c r="N21" s="51">
        <v>5103</v>
      </c>
      <c r="O21" s="54">
        <v>255</v>
      </c>
      <c r="P21" s="53"/>
      <c r="Q21" s="54"/>
      <c r="V21" s="623" t="s">
        <v>53</v>
      </c>
      <c r="W21" s="623"/>
      <c r="X21" s="618">
        <f>IF('3431 June Final'!K$84=1,'3431 June Final'!G21,0)</f>
        <v>0</v>
      </c>
      <c r="Y21" s="618"/>
      <c r="Z21" s="624">
        <v>1</v>
      </c>
      <c r="AA21" s="624"/>
      <c r="AB21" s="55">
        <f t="shared" si="3"/>
        <v>0</v>
      </c>
      <c r="AC21" s="56">
        <f t="shared" si="4"/>
        <v>0</v>
      </c>
      <c r="AD21" s="9"/>
    </row>
    <row r="22" spans="1:30" x14ac:dyDescent="0.25">
      <c r="A22" s="1" t="s">
        <v>54</v>
      </c>
      <c r="B22" s="13" t="s">
        <v>55</v>
      </c>
      <c r="C22" s="13"/>
      <c r="D22" s="13">
        <v>13.75</v>
      </c>
      <c r="E22" s="13">
        <v>17.63</v>
      </c>
      <c r="F22" s="13">
        <v>22.31</v>
      </c>
      <c r="G22" s="46">
        <f t="shared" si="0"/>
        <v>31.38</v>
      </c>
      <c r="H22" s="47"/>
      <c r="I22" s="57">
        <v>1.145</v>
      </c>
      <c r="J22" s="57"/>
      <c r="K22" s="49">
        <f t="shared" si="1"/>
        <v>35.930100000000003</v>
      </c>
      <c r="L22" s="50">
        <f t="shared" si="2"/>
        <v>139216</v>
      </c>
      <c r="N22" s="51">
        <v>5101</v>
      </c>
      <c r="O22" s="52">
        <v>130</v>
      </c>
      <c r="P22" s="53"/>
      <c r="Q22" s="54"/>
      <c r="V22" s="623" t="s">
        <v>55</v>
      </c>
      <c r="W22" s="623"/>
      <c r="X22" s="618">
        <f>IF('3431 June Final'!K$84=1,'3431 June Final'!G22,0)</f>
        <v>0</v>
      </c>
      <c r="Y22" s="618"/>
      <c r="Z22" s="624">
        <v>1</v>
      </c>
      <c r="AA22" s="624"/>
      <c r="AB22" s="55">
        <f t="shared" si="3"/>
        <v>0</v>
      </c>
      <c r="AC22" s="56">
        <f t="shared" si="4"/>
        <v>0</v>
      </c>
      <c r="AD22" s="9"/>
    </row>
    <row r="23" spans="1:30" x14ac:dyDescent="0.25">
      <c r="A23" s="1" t="s">
        <v>56</v>
      </c>
      <c r="B23" s="13" t="s">
        <v>57</v>
      </c>
      <c r="C23" s="13"/>
      <c r="D23" s="13">
        <v>4.53</v>
      </c>
      <c r="E23" s="13">
        <v>6.6</v>
      </c>
      <c r="F23" s="13">
        <v>0</v>
      </c>
      <c r="G23" s="46">
        <f t="shared" si="0"/>
        <v>11.129999999999999</v>
      </c>
      <c r="H23" s="47"/>
      <c r="I23" s="57">
        <f>I22</f>
        <v>1.145</v>
      </c>
      <c r="J23" s="57"/>
      <c r="K23" s="49">
        <f t="shared" si="1"/>
        <v>12.7439</v>
      </c>
      <c r="L23" s="50">
        <f t="shared" si="2"/>
        <v>49378</v>
      </c>
      <c r="N23" s="51">
        <v>5102</v>
      </c>
      <c r="O23" s="52">
        <v>130</v>
      </c>
      <c r="P23" s="53"/>
      <c r="Q23" s="54"/>
      <c r="V23" s="623" t="s">
        <v>57</v>
      </c>
      <c r="W23" s="623"/>
      <c r="X23" s="618">
        <f>IF('3431 June Final'!K$84=1,'3431 June Final'!G23,0)</f>
        <v>0</v>
      </c>
      <c r="Y23" s="618"/>
      <c r="Z23" s="624">
        <v>1</v>
      </c>
      <c r="AA23" s="624"/>
      <c r="AB23" s="55">
        <f t="shared" si="3"/>
        <v>0</v>
      </c>
      <c r="AC23" s="56">
        <f t="shared" si="4"/>
        <v>0</v>
      </c>
      <c r="AD23" s="9"/>
    </row>
    <row r="24" spans="1:30" x14ac:dyDescent="0.25">
      <c r="A24" s="1" t="s">
        <v>58</v>
      </c>
      <c r="B24" s="13" t="s">
        <v>59</v>
      </c>
      <c r="C24" s="13"/>
      <c r="D24" s="13">
        <v>0</v>
      </c>
      <c r="E24" s="13">
        <v>0</v>
      </c>
      <c r="F24" s="13">
        <v>0</v>
      </c>
      <c r="G24" s="46">
        <f t="shared" si="0"/>
        <v>0</v>
      </c>
      <c r="H24" s="47"/>
      <c r="I24" s="57">
        <f>I23</f>
        <v>1.145</v>
      </c>
      <c r="J24" s="57"/>
      <c r="K24" s="49">
        <f t="shared" si="1"/>
        <v>0</v>
      </c>
      <c r="L24" s="50">
        <f t="shared" si="2"/>
        <v>0</v>
      </c>
      <c r="N24" s="51">
        <v>5103</v>
      </c>
      <c r="O24" s="52">
        <v>130</v>
      </c>
      <c r="P24" s="53"/>
      <c r="Q24" s="54"/>
      <c r="V24" s="623" t="s">
        <v>59</v>
      </c>
      <c r="W24" s="623"/>
      <c r="X24" s="618">
        <f>IF('3431 June Final'!K$84=1,'3431 June Final'!G24,0)</f>
        <v>0</v>
      </c>
      <c r="Y24" s="618"/>
      <c r="Z24" s="624">
        <v>1</v>
      </c>
      <c r="AA24" s="624"/>
      <c r="AB24" s="55">
        <f t="shared" si="3"/>
        <v>0</v>
      </c>
      <c r="AC24" s="56">
        <f t="shared" si="4"/>
        <v>0</v>
      </c>
      <c r="AD24" s="9"/>
    </row>
    <row r="25" spans="1:30" ht="16.5" thickBot="1" x14ac:dyDescent="0.3">
      <c r="A25" s="1" t="s">
        <v>60</v>
      </c>
      <c r="B25" s="13" t="s">
        <v>61</v>
      </c>
      <c r="C25" s="13"/>
      <c r="D25" s="13">
        <v>0</v>
      </c>
      <c r="E25" s="13">
        <v>0</v>
      </c>
      <c r="F25" s="13">
        <v>0</v>
      </c>
      <c r="G25" s="46">
        <f t="shared" si="0"/>
        <v>0</v>
      </c>
      <c r="H25" s="47"/>
      <c r="I25" s="57">
        <v>1.0109999999999999</v>
      </c>
      <c r="J25" s="57"/>
      <c r="K25" s="49">
        <f t="shared" si="1"/>
        <v>0</v>
      </c>
      <c r="L25" s="50">
        <f t="shared" si="2"/>
        <v>0</v>
      </c>
      <c r="N25" s="51">
        <v>5310</v>
      </c>
      <c r="O25" s="52">
        <v>300</v>
      </c>
      <c r="P25" s="53"/>
      <c r="Q25" s="54"/>
      <c r="V25" s="623" t="s">
        <v>61</v>
      </c>
      <c r="W25" s="623"/>
      <c r="X25" s="618">
        <f>IF('3431 June Final'!K$84=1,'3431 June Final'!G25,0)</f>
        <v>0</v>
      </c>
      <c r="Y25" s="618"/>
      <c r="Z25" s="624">
        <v>1</v>
      </c>
      <c r="AA25" s="624"/>
      <c r="AB25" s="55">
        <f t="shared" si="3"/>
        <v>0</v>
      </c>
      <c r="AC25" s="56">
        <f t="shared" si="4"/>
        <v>0</v>
      </c>
      <c r="AD25" s="9"/>
    </row>
    <row r="26" spans="1:30" ht="20.25" customHeight="1" thickBot="1" x14ac:dyDescent="0.3">
      <c r="B26" s="62" t="s">
        <v>62</v>
      </c>
      <c r="C26" s="62"/>
      <c r="D26" s="63">
        <f>SUM(D10:D25)</f>
        <v>371.17999999999995</v>
      </c>
      <c r="E26" s="63">
        <f>SUM(E10:E25)</f>
        <v>389.27000000000004</v>
      </c>
      <c r="F26" s="63"/>
      <c r="G26" s="63">
        <f>SUM(G10:G25)</f>
        <v>760.45000000000016</v>
      </c>
      <c r="H26" s="64"/>
      <c r="I26" s="64"/>
      <c r="J26" s="65"/>
      <c r="K26" s="66">
        <f>SUM(K10:K25)</f>
        <v>816.61910000000012</v>
      </c>
      <c r="L26" s="67">
        <f>SUM(L10:L25)</f>
        <v>3164094</v>
      </c>
      <c r="N26" s="54"/>
      <c r="O26" s="68"/>
      <c r="P26" s="54"/>
      <c r="Q26" s="54"/>
      <c r="V26" s="625" t="s">
        <v>62</v>
      </c>
      <c r="W26" s="625"/>
      <c r="X26" s="626">
        <f>SUM(X10:X25)</f>
        <v>0</v>
      </c>
      <c r="Y26" s="626"/>
      <c r="Z26" s="627"/>
      <c r="AA26" s="628"/>
      <c r="AB26" s="69">
        <f>SUM(AB10:AB25)</f>
        <v>0</v>
      </c>
      <c r="AC26" s="70">
        <f>SUM(AC10:AC25)</f>
        <v>0</v>
      </c>
      <c r="AD26" s="9"/>
    </row>
    <row r="27" spans="1:30" ht="51.75" customHeight="1" x14ac:dyDescent="0.25">
      <c r="B27" s="62" t="s">
        <v>63</v>
      </c>
      <c r="C27" s="62"/>
      <c r="D27" s="71" t="s">
        <v>13</v>
      </c>
      <c r="E27" s="71" t="s">
        <v>14</v>
      </c>
      <c r="F27" s="27"/>
      <c r="G27" s="72" t="s">
        <v>64</v>
      </c>
      <c r="H27" s="73"/>
      <c r="I27" s="74" t="s">
        <v>65</v>
      </c>
      <c r="J27" s="74" t="s">
        <v>66</v>
      </c>
      <c r="K27" s="75" t="s">
        <v>67</v>
      </c>
      <c r="N27" s="54"/>
      <c r="O27" s="68"/>
      <c r="P27" s="54"/>
      <c r="Q27" s="54"/>
      <c r="V27" s="629" t="s">
        <v>63</v>
      </c>
      <c r="W27" s="629"/>
      <c r="X27" s="630" t="s">
        <v>64</v>
      </c>
      <c r="Y27" s="630"/>
      <c r="Z27" s="76" t="s">
        <v>65</v>
      </c>
      <c r="AA27" s="77" t="s">
        <v>66</v>
      </c>
      <c r="AB27" s="78" t="s">
        <v>67</v>
      </c>
      <c r="AC27" s="9"/>
      <c r="AD27" s="9"/>
    </row>
    <row r="28" spans="1:30" ht="15.75" customHeight="1" x14ac:dyDescent="0.25">
      <c r="A28" s="1" t="s">
        <v>68</v>
      </c>
      <c r="B28" s="631" t="s">
        <v>69</v>
      </c>
      <c r="C28" s="632"/>
      <c r="D28" s="13">
        <v>12.97</v>
      </c>
      <c r="E28" s="13">
        <v>14.08</v>
      </c>
      <c r="F28" s="79">
        <v>12.5</v>
      </c>
      <c r="G28" s="46">
        <f t="shared" ref="G28:G36" si="5">D28+E28</f>
        <v>27.05</v>
      </c>
      <c r="H28" s="80"/>
      <c r="I28" s="81" t="s">
        <v>70</v>
      </c>
      <c r="J28" s="82">
        <v>251</v>
      </c>
      <c r="K28" s="83">
        <v>1047</v>
      </c>
      <c r="L28" s="84">
        <f t="shared" ref="L28:L36" si="6">ROUND(G28*K28,0)</f>
        <v>28321</v>
      </c>
      <c r="N28" s="337">
        <v>5101</v>
      </c>
      <c r="O28" s="54">
        <v>251</v>
      </c>
      <c r="P28" s="86"/>
      <c r="Q28" s="87"/>
      <c r="V28" s="637" t="s">
        <v>69</v>
      </c>
      <c r="W28" s="637"/>
      <c r="X28" s="638"/>
      <c r="Y28" s="638"/>
      <c r="Z28" s="88" t="s">
        <v>70</v>
      </c>
      <c r="AA28" s="330">
        <v>251</v>
      </c>
      <c r="AB28" s="90">
        <f t="shared" ref="AB28:AB36" si="7">+K28</f>
        <v>1047</v>
      </c>
      <c r="AC28" s="91">
        <f t="shared" ref="AC28:AC36" si="8">ROUND(X28*AB28,0)</f>
        <v>0</v>
      </c>
      <c r="AD28" s="9"/>
    </row>
    <row r="29" spans="1:30" x14ac:dyDescent="0.25">
      <c r="A29" s="1" t="s">
        <v>71</v>
      </c>
      <c r="B29" s="633"/>
      <c r="C29" s="634"/>
      <c r="D29" s="13">
        <v>1</v>
      </c>
      <c r="E29" s="13">
        <v>1</v>
      </c>
      <c r="F29" s="92">
        <v>0.5</v>
      </c>
      <c r="G29" s="46">
        <f t="shared" si="5"/>
        <v>2</v>
      </c>
      <c r="H29" s="80"/>
      <c r="I29" s="82" t="s">
        <v>70</v>
      </c>
      <c r="J29" s="82">
        <v>252</v>
      </c>
      <c r="K29" s="83">
        <v>3380</v>
      </c>
      <c r="L29" s="84">
        <f t="shared" si="6"/>
        <v>6760</v>
      </c>
      <c r="N29" s="337">
        <v>5101</v>
      </c>
      <c r="O29" s="54">
        <v>252</v>
      </c>
      <c r="P29" s="86"/>
      <c r="Q29" s="87"/>
      <c r="V29" s="637"/>
      <c r="W29" s="637"/>
      <c r="X29" s="638"/>
      <c r="Y29" s="638"/>
      <c r="Z29" s="330" t="s">
        <v>70</v>
      </c>
      <c r="AA29" s="330">
        <v>252</v>
      </c>
      <c r="AB29" s="90">
        <f t="shared" si="7"/>
        <v>3380</v>
      </c>
      <c r="AC29" s="91">
        <f t="shared" si="8"/>
        <v>0</v>
      </c>
      <c r="AD29" s="9"/>
    </row>
    <row r="30" spans="1:30" x14ac:dyDescent="0.25">
      <c r="A30" s="1" t="s">
        <v>72</v>
      </c>
      <c r="B30" s="633"/>
      <c r="C30" s="634"/>
      <c r="D30" s="13">
        <v>0</v>
      </c>
      <c r="E30" s="13">
        <v>0</v>
      </c>
      <c r="F30" s="92">
        <v>0</v>
      </c>
      <c r="G30" s="46">
        <f t="shared" si="5"/>
        <v>0</v>
      </c>
      <c r="H30" s="80"/>
      <c r="I30" s="82" t="s">
        <v>70</v>
      </c>
      <c r="J30" s="82">
        <v>253</v>
      </c>
      <c r="K30" s="83">
        <v>6896</v>
      </c>
      <c r="L30" s="84">
        <f t="shared" si="6"/>
        <v>0</v>
      </c>
      <c r="N30" s="337">
        <v>5101</v>
      </c>
      <c r="O30" s="54">
        <v>253</v>
      </c>
      <c r="P30" s="86"/>
      <c r="Q30" s="68"/>
      <c r="V30" s="637"/>
      <c r="W30" s="637"/>
      <c r="X30" s="638"/>
      <c r="Y30" s="638"/>
      <c r="Z30" s="330" t="s">
        <v>70</v>
      </c>
      <c r="AA30" s="330">
        <v>253</v>
      </c>
      <c r="AB30" s="90">
        <f t="shared" si="7"/>
        <v>6896</v>
      </c>
      <c r="AC30" s="91">
        <f t="shared" si="8"/>
        <v>0</v>
      </c>
      <c r="AD30" s="9"/>
    </row>
    <row r="31" spans="1:30" x14ac:dyDescent="0.25">
      <c r="A31" s="1" t="s">
        <v>73</v>
      </c>
      <c r="B31" s="633"/>
      <c r="C31" s="634"/>
      <c r="D31" s="13">
        <v>14.42</v>
      </c>
      <c r="E31" s="13">
        <v>16.13</v>
      </c>
      <c r="F31" s="92">
        <v>10</v>
      </c>
      <c r="G31" s="46">
        <f t="shared" si="5"/>
        <v>30.549999999999997</v>
      </c>
      <c r="H31" s="80"/>
      <c r="I31" s="93" t="s">
        <v>74</v>
      </c>
      <c r="J31" s="82">
        <v>251</v>
      </c>
      <c r="K31" s="83">
        <v>1173</v>
      </c>
      <c r="L31" s="84">
        <f t="shared" si="6"/>
        <v>35835</v>
      </c>
      <c r="N31" s="337">
        <v>5102</v>
      </c>
      <c r="O31" s="54">
        <v>251</v>
      </c>
      <c r="P31" s="86"/>
      <c r="Q31" s="68"/>
      <c r="V31" s="637"/>
      <c r="W31" s="637"/>
      <c r="X31" s="638"/>
      <c r="Y31" s="638"/>
      <c r="Z31" s="94" t="s">
        <v>74</v>
      </c>
      <c r="AA31" s="330">
        <v>251</v>
      </c>
      <c r="AB31" s="90">
        <f t="shared" si="7"/>
        <v>1173</v>
      </c>
      <c r="AC31" s="91">
        <f t="shared" si="8"/>
        <v>0</v>
      </c>
      <c r="AD31" s="9"/>
    </row>
    <row r="32" spans="1:30" x14ac:dyDescent="0.25">
      <c r="A32" s="1" t="s">
        <v>75</v>
      </c>
      <c r="B32" s="633"/>
      <c r="C32" s="634"/>
      <c r="D32" s="13">
        <v>0.95</v>
      </c>
      <c r="E32" s="13">
        <v>1.58</v>
      </c>
      <c r="F32" s="92">
        <v>1.5</v>
      </c>
      <c r="G32" s="46">
        <f t="shared" si="5"/>
        <v>2.5300000000000002</v>
      </c>
      <c r="H32" s="80"/>
      <c r="I32" s="93" t="s">
        <v>74</v>
      </c>
      <c r="J32" s="82">
        <v>252</v>
      </c>
      <c r="K32" s="83">
        <v>3506</v>
      </c>
      <c r="L32" s="84">
        <f t="shared" si="6"/>
        <v>8870</v>
      </c>
      <c r="N32" s="337">
        <v>5102</v>
      </c>
      <c r="O32" s="54">
        <v>252</v>
      </c>
      <c r="P32" s="86"/>
      <c r="Q32" s="54"/>
      <c r="V32" s="637"/>
      <c r="W32" s="637"/>
      <c r="X32" s="638"/>
      <c r="Y32" s="638"/>
      <c r="Z32" s="94" t="s">
        <v>74</v>
      </c>
      <c r="AA32" s="330">
        <v>252</v>
      </c>
      <c r="AB32" s="90">
        <f t="shared" si="7"/>
        <v>3506</v>
      </c>
      <c r="AC32" s="91">
        <f t="shared" si="8"/>
        <v>0</v>
      </c>
      <c r="AD32" s="9"/>
    </row>
    <row r="33" spans="1:30" x14ac:dyDescent="0.25">
      <c r="A33" s="1" t="s">
        <v>76</v>
      </c>
      <c r="B33" s="633"/>
      <c r="C33" s="634"/>
      <c r="D33" s="13">
        <v>0</v>
      </c>
      <c r="E33" s="13">
        <v>0</v>
      </c>
      <c r="F33" s="92">
        <v>0</v>
      </c>
      <c r="G33" s="46">
        <f t="shared" si="5"/>
        <v>0</v>
      </c>
      <c r="H33" s="80"/>
      <c r="I33" s="93" t="s">
        <v>74</v>
      </c>
      <c r="J33" s="82">
        <v>253</v>
      </c>
      <c r="K33" s="83">
        <v>7023</v>
      </c>
      <c r="L33" s="84">
        <f t="shared" si="6"/>
        <v>0</v>
      </c>
      <c r="N33" s="337">
        <v>5102</v>
      </c>
      <c r="O33" s="54">
        <v>253</v>
      </c>
      <c r="P33" s="86"/>
      <c r="Q33" s="87"/>
      <c r="V33" s="637"/>
      <c r="W33" s="637"/>
      <c r="X33" s="638"/>
      <c r="Y33" s="638"/>
      <c r="Z33" s="94" t="s">
        <v>74</v>
      </c>
      <c r="AA33" s="330">
        <v>253</v>
      </c>
      <c r="AB33" s="90">
        <f t="shared" si="7"/>
        <v>7023</v>
      </c>
      <c r="AC33" s="91">
        <f t="shared" si="8"/>
        <v>0</v>
      </c>
      <c r="AD33" s="9"/>
    </row>
    <row r="34" spans="1:30" x14ac:dyDescent="0.25">
      <c r="A34" s="1" t="s">
        <v>77</v>
      </c>
      <c r="B34" s="633"/>
      <c r="C34" s="634"/>
      <c r="D34" s="13">
        <v>0</v>
      </c>
      <c r="E34" s="13">
        <v>0</v>
      </c>
      <c r="F34" s="92">
        <v>0</v>
      </c>
      <c r="G34" s="46">
        <f t="shared" si="5"/>
        <v>0</v>
      </c>
      <c r="H34" s="80"/>
      <c r="I34" s="93" t="s">
        <v>78</v>
      </c>
      <c r="J34" s="82">
        <v>251</v>
      </c>
      <c r="K34" s="83">
        <v>835</v>
      </c>
      <c r="L34" s="84">
        <f t="shared" si="6"/>
        <v>0</v>
      </c>
      <c r="N34" s="337">
        <v>5103</v>
      </c>
      <c r="O34" s="54">
        <v>251</v>
      </c>
      <c r="P34" s="86"/>
      <c r="Q34" s="87"/>
      <c r="V34" s="637"/>
      <c r="W34" s="637"/>
      <c r="X34" s="638"/>
      <c r="Y34" s="638"/>
      <c r="Z34" s="94" t="s">
        <v>78</v>
      </c>
      <c r="AA34" s="330">
        <v>251</v>
      </c>
      <c r="AB34" s="90">
        <f t="shared" si="7"/>
        <v>835</v>
      </c>
      <c r="AC34" s="91">
        <f t="shared" si="8"/>
        <v>0</v>
      </c>
      <c r="AD34" s="9"/>
    </row>
    <row r="35" spans="1:30" x14ac:dyDescent="0.25">
      <c r="A35" s="1" t="s">
        <v>79</v>
      </c>
      <c r="B35" s="633"/>
      <c r="C35" s="634"/>
      <c r="D35" s="13">
        <v>0</v>
      </c>
      <c r="E35" s="13">
        <v>0</v>
      </c>
      <c r="F35" s="92">
        <v>0</v>
      </c>
      <c r="G35" s="46">
        <f t="shared" si="5"/>
        <v>0</v>
      </c>
      <c r="H35" s="80"/>
      <c r="I35" s="93" t="s">
        <v>78</v>
      </c>
      <c r="J35" s="82">
        <v>252</v>
      </c>
      <c r="K35" s="83">
        <v>3168</v>
      </c>
      <c r="L35" s="84">
        <f t="shared" si="6"/>
        <v>0</v>
      </c>
      <c r="N35" s="337">
        <v>5103</v>
      </c>
      <c r="O35" s="54">
        <v>252</v>
      </c>
      <c r="P35" s="86"/>
      <c r="Q35" s="95"/>
      <c r="V35" s="637"/>
      <c r="W35" s="637"/>
      <c r="X35" s="638"/>
      <c r="Y35" s="638"/>
      <c r="Z35" s="94" t="s">
        <v>78</v>
      </c>
      <c r="AA35" s="330">
        <v>252</v>
      </c>
      <c r="AB35" s="90">
        <f t="shared" si="7"/>
        <v>3168</v>
      </c>
      <c r="AC35" s="91">
        <f t="shared" si="8"/>
        <v>0</v>
      </c>
      <c r="AD35" s="9"/>
    </row>
    <row r="36" spans="1:30" ht="16.5" thickBot="1" x14ac:dyDescent="0.3">
      <c r="A36" s="1" t="s">
        <v>80</v>
      </c>
      <c r="B36" s="635"/>
      <c r="C36" s="636"/>
      <c r="D36" s="13">
        <v>0</v>
      </c>
      <c r="E36" s="13">
        <v>0</v>
      </c>
      <c r="F36" s="92">
        <v>0</v>
      </c>
      <c r="G36" s="46">
        <f t="shared" si="5"/>
        <v>0</v>
      </c>
      <c r="H36" s="80"/>
      <c r="I36" s="93" t="s">
        <v>78</v>
      </c>
      <c r="J36" s="82">
        <v>253</v>
      </c>
      <c r="K36" s="83">
        <v>6685</v>
      </c>
      <c r="L36" s="96">
        <f t="shared" si="6"/>
        <v>0</v>
      </c>
      <c r="N36" s="337">
        <v>5103</v>
      </c>
      <c r="O36" s="54">
        <v>253</v>
      </c>
      <c r="P36" s="86"/>
      <c r="Q36" s="97"/>
      <c r="V36" s="637"/>
      <c r="W36" s="637"/>
      <c r="X36" s="645"/>
      <c r="Y36" s="645"/>
      <c r="Z36" s="94" t="s">
        <v>78</v>
      </c>
      <c r="AA36" s="330">
        <v>253</v>
      </c>
      <c r="AB36" s="90">
        <f t="shared" si="7"/>
        <v>6685</v>
      </c>
      <c r="AC36" s="98">
        <f t="shared" si="8"/>
        <v>0</v>
      </c>
      <c r="AD36" s="9"/>
    </row>
    <row r="37" spans="1:30" ht="18.75" customHeight="1" x14ac:dyDescent="0.25">
      <c r="B37" s="13" t="s">
        <v>81</v>
      </c>
      <c r="C37" s="13"/>
      <c r="D37" s="63">
        <f>SUM(D28:D36)</f>
        <v>29.34</v>
      </c>
      <c r="E37" s="63">
        <f>SUM(E28:E36)</f>
        <v>32.79</v>
      </c>
      <c r="F37" s="63"/>
      <c r="G37" s="63">
        <f>SUM(G28:G36)</f>
        <v>62.129999999999995</v>
      </c>
      <c r="H37" s="64"/>
      <c r="I37" s="13" t="s">
        <v>82</v>
      </c>
      <c r="J37" s="13"/>
      <c r="K37" s="13"/>
      <c r="L37" s="50">
        <f>SUM(L28:L36)</f>
        <v>79786</v>
      </c>
      <c r="N37" s="54"/>
      <c r="O37" s="68"/>
      <c r="P37" s="54"/>
      <c r="Q37" s="54"/>
      <c r="V37" s="646" t="s">
        <v>81</v>
      </c>
      <c r="W37" s="646"/>
      <c r="X37" s="626">
        <f>SUM(X28:X36)</f>
        <v>0</v>
      </c>
      <c r="Y37" s="626"/>
      <c r="Z37" s="646" t="s">
        <v>82</v>
      </c>
      <c r="AA37" s="646"/>
      <c r="AB37" s="646"/>
      <c r="AC37" s="56">
        <f>SUM(AC28:AC36)</f>
        <v>0</v>
      </c>
      <c r="AD37" s="9"/>
    </row>
    <row r="38" spans="1:30" ht="30.75" customHeight="1" x14ac:dyDescent="0.25">
      <c r="B38" s="99" t="s">
        <v>83</v>
      </c>
      <c r="C38" s="99"/>
      <c r="D38" s="99"/>
      <c r="E38" s="99"/>
      <c r="F38" s="99"/>
      <c r="G38" s="99"/>
      <c r="H38" s="100"/>
      <c r="I38" s="99"/>
      <c r="J38" s="99"/>
      <c r="K38" s="99"/>
      <c r="L38" s="99"/>
      <c r="M38" s="101"/>
      <c r="N38" s="54"/>
      <c r="O38" s="68"/>
      <c r="P38" s="54"/>
      <c r="Q38" s="54"/>
      <c r="V38" s="639" t="s">
        <v>83</v>
      </c>
      <c r="W38" s="639"/>
      <c r="X38" s="639"/>
      <c r="Y38" s="639"/>
      <c r="Z38" s="639"/>
      <c r="AA38" s="639"/>
      <c r="AB38" s="639"/>
      <c r="AC38" s="639"/>
      <c r="AD38" s="102"/>
    </row>
    <row r="39" spans="1:30" ht="15.75" customHeight="1" x14ac:dyDescent="0.25">
      <c r="B39" s="103" t="s">
        <v>84</v>
      </c>
      <c r="C39" s="103"/>
      <c r="D39" s="103"/>
      <c r="E39" s="103"/>
      <c r="F39" s="103"/>
      <c r="G39" s="104">
        <v>34389540</v>
      </c>
      <c r="H39" s="104"/>
      <c r="I39" s="13" t="s">
        <v>85</v>
      </c>
      <c r="J39" s="13"/>
      <c r="K39" s="13"/>
      <c r="L39" s="13"/>
      <c r="O39" s="1"/>
      <c r="V39" s="640" t="s">
        <v>84</v>
      </c>
      <c r="W39" s="640"/>
      <c r="X39" s="641">
        <f>+G39</f>
        <v>34389540</v>
      </c>
      <c r="Y39" s="641"/>
      <c r="Z39" s="642" t="s">
        <v>85</v>
      </c>
      <c r="AA39" s="642"/>
      <c r="AB39" s="642"/>
      <c r="AC39" s="642"/>
      <c r="AD39" s="9"/>
    </row>
    <row r="40" spans="1:30" ht="15.75" customHeight="1" x14ac:dyDescent="0.25">
      <c r="B40" s="105" t="s">
        <v>86</v>
      </c>
      <c r="C40" s="105"/>
      <c r="D40" s="105"/>
      <c r="E40" s="105"/>
      <c r="F40" s="105"/>
      <c r="G40" s="106">
        <v>180284.81</v>
      </c>
      <c r="H40" s="106"/>
      <c r="I40" s="106"/>
      <c r="J40" s="106"/>
      <c r="K40" s="50">
        <f>ROUND(G39/G40,0)</f>
        <v>191</v>
      </c>
      <c r="L40" s="50">
        <f>ROUND(K40*$G$26,0)</f>
        <v>145246</v>
      </c>
      <c r="N40" s="107"/>
      <c r="O40" s="107"/>
      <c r="P40" s="107"/>
      <c r="Q40" s="107"/>
      <c r="V40" s="643" t="s">
        <v>86</v>
      </c>
      <c r="W40" s="643"/>
      <c r="X40" s="644">
        <f>+G40</f>
        <v>180284.81</v>
      </c>
      <c r="Y40" s="644"/>
      <c r="Z40" s="644"/>
      <c r="AA40" s="644"/>
      <c r="AB40" s="56">
        <f>ROUND(X39/X40,0)</f>
        <v>191</v>
      </c>
      <c r="AC40" s="56">
        <f>ROUND(AB40*$X$26,0)</f>
        <v>0</v>
      </c>
      <c r="AD40" s="9"/>
    </row>
    <row r="41" spans="1:30" ht="15.75" customHeight="1" x14ac:dyDescent="0.25">
      <c r="B41" s="108" t="s">
        <v>87</v>
      </c>
      <c r="C41" s="108"/>
      <c r="D41" s="108"/>
      <c r="E41" s="108"/>
      <c r="F41" s="108"/>
      <c r="G41" s="108"/>
      <c r="H41" s="108"/>
      <c r="I41" s="108"/>
      <c r="J41" s="108"/>
      <c r="K41" s="108"/>
      <c r="L41" s="108"/>
      <c r="N41" s="101"/>
      <c r="O41" s="109"/>
      <c r="P41" s="101"/>
      <c r="Q41" s="101"/>
      <c r="V41" s="652" t="s">
        <v>87</v>
      </c>
      <c r="W41" s="652"/>
      <c r="X41" s="652"/>
      <c r="Y41" s="652"/>
      <c r="Z41" s="652"/>
      <c r="AA41" s="652"/>
      <c r="AB41" s="652"/>
      <c r="AC41" s="652"/>
      <c r="AD41" s="9"/>
    </row>
    <row r="42" spans="1:30" ht="28.5" customHeight="1" x14ac:dyDescent="0.25">
      <c r="B42" s="99" t="s">
        <v>88</v>
      </c>
      <c r="C42" s="99"/>
      <c r="D42" s="99"/>
      <c r="E42" s="99"/>
      <c r="F42" s="99"/>
      <c r="G42" s="99"/>
      <c r="H42" s="99"/>
      <c r="I42" s="99"/>
      <c r="J42" s="99"/>
      <c r="K42" s="99"/>
      <c r="L42" s="99"/>
      <c r="M42" s="107"/>
      <c r="O42" s="1"/>
      <c r="V42" s="639" t="s">
        <v>88</v>
      </c>
      <c r="W42" s="639"/>
      <c r="X42" s="639"/>
      <c r="Y42" s="639"/>
      <c r="Z42" s="639"/>
      <c r="AA42" s="639"/>
      <c r="AB42" s="639"/>
      <c r="AC42" s="639"/>
      <c r="AD42" s="334"/>
    </row>
    <row r="43" spans="1:30" x14ac:dyDescent="0.25">
      <c r="B43" s="111" t="s">
        <v>89</v>
      </c>
      <c r="C43" s="111"/>
      <c r="D43" s="111"/>
      <c r="E43" s="111"/>
      <c r="F43" s="111"/>
      <c r="G43" s="111"/>
      <c r="H43" s="111"/>
      <c r="I43" s="111"/>
      <c r="J43" s="111"/>
      <c r="K43" s="111"/>
      <c r="L43" s="111"/>
      <c r="M43" s="112"/>
      <c r="N43" s="101"/>
      <c r="O43" s="101"/>
      <c r="P43" s="101"/>
      <c r="Q43" s="101"/>
      <c r="V43" s="653" t="s">
        <v>89</v>
      </c>
      <c r="W43" s="653"/>
      <c r="X43" s="653"/>
      <c r="Y43" s="653"/>
      <c r="Z43" s="653"/>
      <c r="AA43" s="653"/>
      <c r="AB43" s="653"/>
      <c r="AC43" s="653"/>
      <c r="AD43" s="113"/>
    </row>
    <row r="44" spans="1:30" ht="24" customHeight="1" x14ac:dyDescent="0.25">
      <c r="B44" s="62" t="s">
        <v>90</v>
      </c>
      <c r="C44" s="62"/>
      <c r="D44" s="62"/>
      <c r="E44" s="62"/>
      <c r="F44" s="62"/>
      <c r="G44" s="62"/>
      <c r="H44" s="62"/>
      <c r="I44" s="62"/>
      <c r="J44" s="62"/>
      <c r="K44" s="62"/>
      <c r="L44" s="114">
        <f>SUM(L26,L37,L40)</f>
        <v>3389126</v>
      </c>
      <c r="O44" s="1"/>
      <c r="V44" s="654" t="s">
        <v>90</v>
      </c>
      <c r="W44" s="654"/>
      <c r="X44" s="654"/>
      <c r="Y44" s="654"/>
      <c r="Z44" s="654"/>
      <c r="AA44" s="654"/>
      <c r="AB44" s="654"/>
      <c r="AC44" s="115">
        <f>SUM(AC26,AC37,AC40)</f>
        <v>0</v>
      </c>
      <c r="AD44" s="9"/>
    </row>
    <row r="45" spans="1:30" ht="30.75" customHeight="1" x14ac:dyDescent="0.25">
      <c r="B45" s="99" t="s">
        <v>91</v>
      </c>
      <c r="C45" s="99"/>
      <c r="D45" s="99"/>
      <c r="E45" s="99"/>
      <c r="F45" s="99"/>
      <c r="G45" s="99"/>
      <c r="H45" s="99"/>
      <c r="I45" s="99"/>
      <c r="J45" s="99"/>
      <c r="K45" s="99"/>
      <c r="L45" s="99"/>
      <c r="M45" s="116"/>
      <c r="O45" s="1"/>
      <c r="V45" s="639" t="s">
        <v>91</v>
      </c>
      <c r="W45" s="639"/>
      <c r="X45" s="639"/>
      <c r="Y45" s="639"/>
      <c r="Z45" s="639"/>
      <c r="AA45" s="639"/>
      <c r="AB45" s="639"/>
      <c r="AC45" s="639"/>
      <c r="AD45" s="333"/>
    </row>
    <row r="46" spans="1:30" ht="18.75" customHeight="1" x14ac:dyDescent="0.25">
      <c r="B46" s="1"/>
      <c r="C46" s="118" t="s">
        <v>92</v>
      </c>
      <c r="D46" s="118"/>
      <c r="E46" s="118"/>
      <c r="F46" s="118"/>
      <c r="G46" s="118" t="s">
        <v>93</v>
      </c>
      <c r="H46" s="119"/>
      <c r="I46" s="120" t="s">
        <v>94</v>
      </c>
      <c r="J46" s="121"/>
      <c r="K46" s="121"/>
      <c r="L46" s="121"/>
      <c r="M46" s="122"/>
      <c r="O46" s="1"/>
      <c r="V46" s="9"/>
      <c r="W46" s="336" t="s">
        <v>92</v>
      </c>
      <c r="X46" s="655" t="s">
        <v>95</v>
      </c>
      <c r="Y46" s="655"/>
      <c r="Z46" s="656" t="s">
        <v>94</v>
      </c>
      <c r="AA46" s="656"/>
      <c r="AB46" s="656"/>
      <c r="AC46" s="656"/>
      <c r="AD46" s="124"/>
    </row>
    <row r="47" spans="1:30" ht="18.75" customHeight="1" x14ac:dyDescent="0.25">
      <c r="B47" s="107" t="s">
        <v>96</v>
      </c>
      <c r="C47" s="125">
        <f>K10+K11+K16+K19+K22</f>
        <v>485.97520000000003</v>
      </c>
      <c r="D47" s="125"/>
      <c r="E47" s="125"/>
      <c r="F47" s="125"/>
      <c r="G47" s="126">
        <f>K7</f>
        <v>1.0326</v>
      </c>
      <c r="H47" s="126"/>
      <c r="I47" s="127">
        <v>1316.85</v>
      </c>
      <c r="J47" s="128" t="s">
        <v>97</v>
      </c>
      <c r="K47" s="129">
        <f>ROUND(C47*G47*I47,0)</f>
        <v>660819</v>
      </c>
      <c r="L47" s="130"/>
      <c r="O47" s="1"/>
      <c r="V47" s="334" t="s">
        <v>96</v>
      </c>
      <c r="W47" s="131">
        <f>AB10+AB11+AB16+AB19+AB22</f>
        <v>0</v>
      </c>
      <c r="X47" s="647">
        <f>AB7</f>
        <v>1.0326</v>
      </c>
      <c r="Y47" s="647"/>
      <c r="Z47" s="132">
        <f>+I47</f>
        <v>1316.85</v>
      </c>
      <c r="AA47" s="133" t="s">
        <v>97</v>
      </c>
      <c r="AB47" s="134">
        <f>ROUND(W47*X47*Z47,0)</f>
        <v>0</v>
      </c>
      <c r="AC47" s="135"/>
      <c r="AD47" s="9"/>
    </row>
    <row r="48" spans="1:30" ht="18" customHeight="1" x14ac:dyDescent="0.25">
      <c r="B48" s="136" t="s">
        <v>74</v>
      </c>
      <c r="C48" s="125">
        <f>K12+K13+K17+K20+K23</f>
        <v>330.64389999999997</v>
      </c>
      <c r="D48" s="125"/>
      <c r="E48" s="125"/>
      <c r="F48" s="125"/>
      <c r="G48" s="126">
        <f>K7</f>
        <v>1.0326</v>
      </c>
      <c r="H48" s="126"/>
      <c r="I48" s="127">
        <v>898.23</v>
      </c>
      <c r="J48" s="128" t="s">
        <v>97</v>
      </c>
      <c r="K48" s="129">
        <f>ROUND(C48*G48*I48,0)</f>
        <v>306676</v>
      </c>
      <c r="L48" s="62"/>
      <c r="O48" s="1"/>
      <c r="V48" s="137" t="s">
        <v>74</v>
      </c>
      <c r="W48" s="131">
        <f>AB12+AB13+AB17+AB20+AB23</f>
        <v>0</v>
      </c>
      <c r="X48" s="647">
        <f>AB7</f>
        <v>1.0326</v>
      </c>
      <c r="Y48" s="647"/>
      <c r="Z48" s="132">
        <f>+I48</f>
        <v>898.23</v>
      </c>
      <c r="AA48" s="133" t="s">
        <v>97</v>
      </c>
      <c r="AB48" s="134">
        <f>ROUND(W48*X48*Z48,0)</f>
        <v>0</v>
      </c>
      <c r="AC48" s="138"/>
      <c r="AD48" s="9"/>
    </row>
    <row r="49" spans="2:30" ht="19.5" customHeight="1" thickBot="1" x14ac:dyDescent="0.3">
      <c r="B49" s="139" t="s">
        <v>78</v>
      </c>
      <c r="C49" s="140">
        <f>K14+K15+K18+K21+K24+K25</f>
        <v>0</v>
      </c>
      <c r="D49" s="125"/>
      <c r="E49" s="125"/>
      <c r="F49" s="125"/>
      <c r="G49" s="126">
        <f>K7</f>
        <v>1.0326</v>
      </c>
      <c r="H49" s="126"/>
      <c r="I49" s="127">
        <v>900.39</v>
      </c>
      <c r="J49" s="128" t="s">
        <v>97</v>
      </c>
      <c r="K49" s="129">
        <f>ROUND(C49*G49*I49,0)</f>
        <v>0</v>
      </c>
      <c r="L49" s="62"/>
      <c r="M49" s="112"/>
      <c r="N49" s="141"/>
      <c r="O49" s="142"/>
      <c r="P49" s="101"/>
      <c r="Q49" s="143"/>
      <c r="V49" s="144" t="s">
        <v>78</v>
      </c>
      <c r="W49" s="145">
        <f>AB14+AB15+AB18+AB21+AB24+AB25</f>
        <v>0</v>
      </c>
      <c r="X49" s="647">
        <f>AB7</f>
        <v>1.0326</v>
      </c>
      <c r="Y49" s="647"/>
      <c r="Z49" s="132">
        <f>+I49</f>
        <v>900.39</v>
      </c>
      <c r="AA49" s="133" t="s">
        <v>97</v>
      </c>
      <c r="AB49" s="134">
        <f>ROUND(W49*X49*Z49,0)</f>
        <v>0</v>
      </c>
      <c r="AC49" s="138"/>
      <c r="AD49" s="113"/>
    </row>
    <row r="50" spans="2:30" ht="24" customHeight="1" thickBot="1" x14ac:dyDescent="0.3">
      <c r="B50" s="146" t="s">
        <v>98</v>
      </c>
      <c r="C50" s="147">
        <f>SUM(C47:C49)</f>
        <v>816.6191</v>
      </c>
      <c r="D50" s="148"/>
      <c r="E50" s="149"/>
      <c r="F50" s="149"/>
      <c r="G50" s="150" t="s">
        <v>99</v>
      </c>
      <c r="H50" s="150"/>
      <c r="I50" s="150"/>
      <c r="J50" s="150"/>
      <c r="K50" s="150"/>
      <c r="L50" s="50">
        <f>IF(B2=75,0,K49+K48+K47)</f>
        <v>967495</v>
      </c>
      <c r="N50" s="3"/>
      <c r="O50" s="1"/>
      <c r="V50" s="335" t="s">
        <v>98</v>
      </c>
      <c r="W50" s="152">
        <f>SUM(W47:W49)</f>
        <v>0</v>
      </c>
      <c r="X50" s="648" t="s">
        <v>99</v>
      </c>
      <c r="Y50" s="649"/>
      <c r="Z50" s="649"/>
      <c r="AA50" s="649"/>
      <c r="AB50" s="649"/>
      <c r="AC50" s="56">
        <f>IF(V2=75,0,AB49+AB48+AB47)</f>
        <v>0</v>
      </c>
      <c r="AD50" s="9"/>
    </row>
    <row r="51" spans="2:30" ht="19.5" customHeight="1" x14ac:dyDescent="0.25">
      <c r="B51" s="153" t="s">
        <v>100</v>
      </c>
      <c r="C51" s="153"/>
      <c r="D51" s="153"/>
      <c r="E51" s="153"/>
      <c r="F51" s="153"/>
      <c r="G51" s="153"/>
      <c r="H51" s="153"/>
      <c r="I51" s="153"/>
      <c r="J51" s="153"/>
      <c r="K51" s="153"/>
      <c r="L51" s="153"/>
      <c r="M51" s="141"/>
      <c r="N51" s="101"/>
      <c r="O51" s="1"/>
      <c r="V51" s="650" t="s">
        <v>100</v>
      </c>
      <c r="W51" s="650"/>
      <c r="X51" s="650"/>
      <c r="Y51" s="650"/>
      <c r="Z51" s="650"/>
      <c r="AA51" s="650"/>
      <c r="AB51" s="650"/>
      <c r="AC51" s="650"/>
      <c r="AD51" s="154"/>
    </row>
    <row r="52" spans="2:30" ht="27.75" customHeight="1" x14ac:dyDescent="0.25">
      <c r="B52" s="13" t="s">
        <v>101</v>
      </c>
      <c r="C52" s="13"/>
      <c r="D52" s="13"/>
      <c r="E52" s="13"/>
      <c r="F52" s="13"/>
      <c r="G52" s="13"/>
      <c r="H52" s="13"/>
      <c r="I52" s="13"/>
      <c r="J52" s="13"/>
      <c r="K52" s="13"/>
      <c r="L52" s="13"/>
      <c r="O52" s="1"/>
      <c r="V52" s="651" t="s">
        <v>101</v>
      </c>
      <c r="W52" s="651"/>
      <c r="X52" s="651"/>
      <c r="Y52" s="651"/>
      <c r="Z52" s="651"/>
      <c r="AA52" s="651"/>
      <c r="AB52" s="651"/>
      <c r="AC52" s="651"/>
      <c r="AD52" s="9"/>
    </row>
    <row r="53" spans="2:30" x14ac:dyDescent="0.25">
      <c r="B53" s="13" t="s">
        <v>102</v>
      </c>
      <c r="C53" s="13"/>
      <c r="D53" s="13"/>
      <c r="E53" s="13"/>
      <c r="F53" s="13"/>
      <c r="G53" s="155">
        <f>K26</f>
        <v>816.61910000000012</v>
      </c>
      <c r="H53" s="57" t="s">
        <v>103</v>
      </c>
      <c r="I53" s="57"/>
      <c r="J53" s="156">
        <v>197823.77</v>
      </c>
      <c r="K53" s="156"/>
      <c r="L53" s="156"/>
      <c r="N53" s="3"/>
      <c r="O53" s="1"/>
      <c r="V53" s="657" t="s">
        <v>102</v>
      </c>
      <c r="W53" s="657"/>
      <c r="X53" s="157">
        <f>AB26</f>
        <v>0</v>
      </c>
      <c r="Y53" s="658" t="s">
        <v>103</v>
      </c>
      <c r="Z53" s="658"/>
      <c r="AA53" s="659">
        <f>+J53</f>
        <v>197823.77</v>
      </c>
      <c r="AB53" s="659"/>
      <c r="AC53" s="659"/>
      <c r="AD53" s="9"/>
    </row>
    <row r="54" spans="2:30" x14ac:dyDescent="0.25">
      <c r="B54" s="13" t="s">
        <v>104</v>
      </c>
      <c r="C54" s="13"/>
      <c r="D54" s="13"/>
      <c r="E54" s="13"/>
      <c r="F54" s="13"/>
      <c r="G54" s="13"/>
      <c r="H54" s="13"/>
      <c r="I54" s="13"/>
      <c r="J54" s="13"/>
      <c r="K54" s="158">
        <f>ROUND(G53/J53,6)</f>
        <v>4.1279999999999997E-3</v>
      </c>
      <c r="L54" s="158"/>
      <c r="N54" s="101"/>
      <c r="O54" s="1"/>
      <c r="V54" s="657" t="s">
        <v>104</v>
      </c>
      <c r="W54" s="657"/>
      <c r="X54" s="657"/>
      <c r="Y54" s="657"/>
      <c r="Z54" s="657"/>
      <c r="AA54" s="657"/>
      <c r="AB54" s="660">
        <f>ROUND(X53/AA53,6)</f>
        <v>0</v>
      </c>
      <c r="AC54" s="660"/>
      <c r="AD54" s="9"/>
    </row>
    <row r="55" spans="2:30" ht="24" customHeight="1" x14ac:dyDescent="0.25">
      <c r="B55" s="13" t="s">
        <v>105</v>
      </c>
      <c r="C55" s="13"/>
      <c r="D55" s="13"/>
      <c r="E55" s="13"/>
      <c r="F55" s="13"/>
      <c r="G55" s="13"/>
      <c r="H55" s="13"/>
      <c r="I55" s="13"/>
      <c r="J55" s="13"/>
      <c r="K55" s="13"/>
      <c r="L55" s="13"/>
      <c r="O55" s="1"/>
      <c r="V55" s="651" t="s">
        <v>105</v>
      </c>
      <c r="W55" s="651"/>
      <c r="X55" s="651"/>
      <c r="Y55" s="651"/>
      <c r="Z55" s="651"/>
      <c r="AA55" s="651"/>
      <c r="AB55" s="651"/>
      <c r="AC55" s="651"/>
      <c r="AD55" s="9"/>
    </row>
    <row r="56" spans="2:30" x14ac:dyDescent="0.25">
      <c r="B56" s="13" t="s">
        <v>106</v>
      </c>
      <c r="C56" s="13"/>
      <c r="D56" s="13"/>
      <c r="E56" s="13"/>
      <c r="F56" s="13"/>
      <c r="G56" s="159">
        <f>G26</f>
        <v>760.45000000000016</v>
      </c>
      <c r="H56" s="57" t="s">
        <v>107</v>
      </c>
      <c r="I56" s="57"/>
      <c r="J56" s="156">
        <f>+G40</f>
        <v>180284.81</v>
      </c>
      <c r="K56" s="156"/>
      <c r="L56" s="156"/>
      <c r="O56" s="1"/>
      <c r="V56" s="657" t="s">
        <v>106</v>
      </c>
      <c r="W56" s="657"/>
      <c r="X56" s="160">
        <f>X26</f>
        <v>0</v>
      </c>
      <c r="Y56" s="658" t="s">
        <v>107</v>
      </c>
      <c r="Z56" s="658"/>
      <c r="AA56" s="659">
        <f>+J56</f>
        <v>180284.81</v>
      </c>
      <c r="AB56" s="659"/>
      <c r="AC56" s="659"/>
      <c r="AD56" s="9"/>
    </row>
    <row r="57" spans="2:30" x14ac:dyDescent="0.25">
      <c r="B57" s="13" t="s">
        <v>108</v>
      </c>
      <c r="C57" s="13"/>
      <c r="D57" s="13"/>
      <c r="E57" s="13"/>
      <c r="F57" s="13"/>
      <c r="G57" s="13"/>
      <c r="H57" s="13"/>
      <c r="I57" s="13"/>
      <c r="J57" s="13"/>
      <c r="K57" s="158">
        <f>ROUND(G56/J56,6)</f>
        <v>4.2180000000000004E-3</v>
      </c>
      <c r="L57" s="158"/>
      <c r="O57" s="1"/>
      <c r="V57" s="657" t="s">
        <v>108</v>
      </c>
      <c r="W57" s="657"/>
      <c r="X57" s="657"/>
      <c r="Y57" s="657"/>
      <c r="Z57" s="657"/>
      <c r="AA57" s="657"/>
      <c r="AB57" s="660">
        <f>ROUND(X56/AA56,6)</f>
        <v>0</v>
      </c>
      <c r="AC57" s="660"/>
      <c r="AD57" s="9"/>
    </row>
    <row r="58" spans="2:30" ht="20.25" customHeight="1" x14ac:dyDescent="0.25">
      <c r="B58" s="161" t="s">
        <v>109</v>
      </c>
      <c r="C58" s="161"/>
      <c r="D58" s="161"/>
      <c r="E58" s="161"/>
      <c r="F58" s="161"/>
      <c r="G58" s="161"/>
      <c r="H58" s="161"/>
      <c r="I58" s="161"/>
      <c r="J58" s="161"/>
      <c r="K58" s="161"/>
      <c r="L58" s="161"/>
      <c r="N58" s="18"/>
      <c r="O58" s="18"/>
      <c r="V58" s="629" t="s">
        <v>110</v>
      </c>
      <c r="W58" s="629"/>
      <c r="X58" s="629"/>
      <c r="Y58" s="661">
        <f>X65+X64+X62+X61+X60</f>
        <v>4123852</v>
      </c>
      <c r="Z58" s="661"/>
      <c r="AA58" s="332" t="s">
        <v>111</v>
      </c>
      <c r="AB58" s="163">
        <f>AB54</f>
        <v>0</v>
      </c>
      <c r="AC58" s="56">
        <f>ROUND(Y58*AB58,0)</f>
        <v>0</v>
      </c>
      <c r="AD58" s="9"/>
    </row>
    <row r="59" spans="2:30" x14ac:dyDescent="0.25">
      <c r="B59" s="62" t="s">
        <v>110</v>
      </c>
      <c r="C59" s="62"/>
      <c r="D59" s="62"/>
      <c r="E59" s="62"/>
      <c r="F59" s="62"/>
      <c r="G59" s="62"/>
      <c r="H59" s="164" t="s">
        <v>22</v>
      </c>
      <c r="I59" s="129">
        <v>4123852</v>
      </c>
      <c r="J59" s="165" t="s">
        <v>111</v>
      </c>
      <c r="K59" s="166">
        <f>K54</f>
        <v>4.1279999999999997E-3</v>
      </c>
      <c r="L59" s="50">
        <f>ROUND(I59*K59,0)</f>
        <v>17023</v>
      </c>
      <c r="O59" s="1"/>
      <c r="P59" s="165"/>
      <c r="Q59" s="165"/>
      <c r="V59" s="662" t="s">
        <v>112</v>
      </c>
      <c r="W59" s="662"/>
      <c r="X59" s="662"/>
      <c r="Y59" s="662"/>
      <c r="Z59" s="662"/>
      <c r="AA59" s="662"/>
      <c r="AB59" s="662"/>
      <c r="AC59" s="662"/>
      <c r="AD59" s="9"/>
    </row>
    <row r="60" spans="2:30" x14ac:dyDescent="0.25">
      <c r="B60" s="62" t="s">
        <v>112</v>
      </c>
      <c r="C60" s="62"/>
      <c r="D60" s="62"/>
      <c r="E60" s="62"/>
      <c r="F60" s="62"/>
      <c r="G60" s="62"/>
      <c r="H60" s="62"/>
      <c r="I60" s="62"/>
      <c r="J60" s="62"/>
      <c r="K60" s="62"/>
      <c r="L60" s="62"/>
      <c r="O60" s="1"/>
      <c r="P60" s="165"/>
      <c r="Q60" s="165"/>
      <c r="V60" s="663" t="s">
        <v>113</v>
      </c>
      <c r="W60" s="663"/>
      <c r="X60" s="664">
        <f>+G61</f>
        <v>0</v>
      </c>
      <c r="Y60" s="664"/>
      <c r="Z60" s="664"/>
      <c r="AA60" s="664"/>
      <c r="AB60" s="664"/>
      <c r="AC60" s="664"/>
      <c r="AD60" s="9"/>
    </row>
    <row r="61" spans="2:30" ht="15" customHeight="1" x14ac:dyDescent="0.25">
      <c r="B61" s="167" t="s">
        <v>113</v>
      </c>
      <c r="C61" s="62"/>
      <c r="D61" s="62"/>
      <c r="E61" s="62"/>
      <c r="F61" s="62"/>
      <c r="G61" s="168">
        <v>0</v>
      </c>
      <c r="H61" s="168"/>
      <c r="I61" s="168"/>
      <c r="J61" s="168"/>
      <c r="K61" s="168"/>
      <c r="L61" s="168"/>
      <c r="O61" s="1"/>
      <c r="P61" s="165"/>
      <c r="Q61" s="165"/>
      <c r="V61" s="663" t="s">
        <v>114</v>
      </c>
      <c r="W61" s="663"/>
      <c r="X61" s="664">
        <f>+G62</f>
        <v>0</v>
      </c>
      <c r="Y61" s="664"/>
      <c r="Z61" s="664"/>
      <c r="AA61" s="664"/>
      <c r="AB61" s="664"/>
      <c r="AC61" s="664"/>
      <c r="AD61" s="9"/>
    </row>
    <row r="62" spans="2:30" ht="13.5" customHeight="1" x14ac:dyDescent="0.25">
      <c r="B62" s="167" t="s">
        <v>114</v>
      </c>
      <c r="C62" s="62"/>
      <c r="D62" s="62"/>
      <c r="E62" s="62"/>
      <c r="F62" s="62"/>
      <c r="G62" s="168">
        <v>0</v>
      </c>
      <c r="H62" s="168"/>
      <c r="I62" s="168"/>
      <c r="J62" s="168"/>
      <c r="K62" s="168"/>
      <c r="L62" s="168"/>
      <c r="N62" s="165"/>
      <c r="O62" s="165"/>
      <c r="P62" s="165"/>
      <c r="Q62" s="165"/>
      <c r="V62" s="663" t="s">
        <v>115</v>
      </c>
      <c r="W62" s="663"/>
      <c r="X62" s="664">
        <v>0</v>
      </c>
      <c r="Y62" s="664"/>
      <c r="Z62" s="664"/>
      <c r="AA62" s="664"/>
      <c r="AB62" s="664"/>
      <c r="AC62" s="664"/>
      <c r="AD62" s="9"/>
    </row>
    <row r="63" spans="2:30" ht="13.5" hidden="1" customHeight="1" x14ac:dyDescent="0.25">
      <c r="B63" s="62" t="s">
        <v>115</v>
      </c>
      <c r="C63" s="62"/>
      <c r="D63" s="62"/>
      <c r="E63" s="62"/>
      <c r="F63" s="62"/>
      <c r="G63" s="168">
        <v>0</v>
      </c>
      <c r="H63" s="168"/>
      <c r="I63" s="168"/>
      <c r="J63" s="168"/>
      <c r="K63" s="168"/>
      <c r="L63" s="168"/>
      <c r="O63" s="1"/>
      <c r="P63" s="165"/>
      <c r="Q63" s="165"/>
      <c r="V63" s="662" t="s">
        <v>116</v>
      </c>
      <c r="W63" s="662"/>
      <c r="X63" s="662"/>
      <c r="Y63" s="662"/>
      <c r="Z63" s="662"/>
      <c r="AA63" s="662"/>
      <c r="AB63" s="662"/>
      <c r="AC63" s="662"/>
      <c r="AD63" s="333"/>
    </row>
    <row r="64" spans="2:30" ht="13.5" customHeight="1" x14ac:dyDescent="0.25">
      <c r="B64" s="62" t="s">
        <v>116</v>
      </c>
      <c r="C64" s="62"/>
      <c r="D64" s="62"/>
      <c r="E64" s="62"/>
      <c r="F64" s="62"/>
      <c r="G64" s="62"/>
      <c r="H64" s="62"/>
      <c r="I64" s="62"/>
      <c r="J64" s="62"/>
      <c r="K64" s="62"/>
      <c r="L64" s="62"/>
      <c r="M64" s="116"/>
      <c r="N64" s="18"/>
      <c r="O64" s="1"/>
      <c r="V64" s="663" t="s">
        <v>117</v>
      </c>
      <c r="W64" s="663"/>
      <c r="X64" s="664">
        <f>+G65</f>
        <v>4123852</v>
      </c>
      <c r="Y64" s="664"/>
      <c r="Z64" s="664"/>
      <c r="AA64" s="664"/>
      <c r="AB64" s="664"/>
      <c r="AC64" s="664"/>
      <c r="AD64" s="9"/>
    </row>
    <row r="65" spans="1:30" ht="12.75" customHeight="1" x14ac:dyDescent="0.25">
      <c r="B65" s="167" t="s">
        <v>117</v>
      </c>
      <c r="C65" s="62"/>
      <c r="D65" s="62"/>
      <c r="E65" s="62"/>
      <c r="F65" s="62"/>
      <c r="G65" s="168">
        <f>+I59</f>
        <v>4123852</v>
      </c>
      <c r="H65" s="168"/>
      <c r="I65" s="168"/>
      <c r="J65" s="168"/>
      <c r="K65" s="168"/>
      <c r="L65" s="168"/>
      <c r="O65" s="1"/>
      <c r="V65" s="663" t="s">
        <v>118</v>
      </c>
      <c r="W65" s="663"/>
      <c r="X65" s="664">
        <f>+G66</f>
        <v>0</v>
      </c>
      <c r="Y65" s="664"/>
      <c r="Z65" s="664"/>
      <c r="AA65" s="664"/>
      <c r="AB65" s="664"/>
      <c r="AC65" s="664"/>
      <c r="AD65" s="20"/>
    </row>
    <row r="66" spans="1:30" ht="15" customHeight="1" x14ac:dyDescent="0.25">
      <c r="B66" s="167" t="s">
        <v>118</v>
      </c>
      <c r="C66" s="62"/>
      <c r="D66" s="62"/>
      <c r="E66" s="62"/>
      <c r="F66" s="62"/>
      <c r="G66" s="168">
        <v>0</v>
      </c>
      <c r="H66" s="168"/>
      <c r="I66" s="168"/>
      <c r="J66" s="168"/>
      <c r="K66" s="168"/>
      <c r="L66" s="168"/>
      <c r="M66" s="18"/>
      <c r="N66" s="3"/>
      <c r="O66" s="169"/>
      <c r="P66" s="169"/>
      <c r="Q66" s="169"/>
      <c r="V66" s="651" t="s">
        <v>119</v>
      </c>
      <c r="W66" s="651"/>
      <c r="X66" s="651"/>
      <c r="Y66" s="661">
        <f>+I67</f>
        <v>96774526</v>
      </c>
      <c r="Z66" s="661"/>
      <c r="AA66" s="332" t="s">
        <v>111</v>
      </c>
      <c r="AB66" s="163">
        <f>AB54</f>
        <v>0</v>
      </c>
      <c r="AC66" s="56">
        <f>ROUND(Y66*AB66,0)</f>
        <v>0</v>
      </c>
      <c r="AD66" s="9"/>
    </row>
    <row r="67" spans="1:30" ht="20.25" customHeight="1" x14ac:dyDescent="0.25">
      <c r="B67" s="13" t="s">
        <v>119</v>
      </c>
      <c r="C67" s="13"/>
      <c r="D67" s="13"/>
      <c r="E67" s="13"/>
      <c r="F67" s="13"/>
      <c r="H67" s="164" t="s">
        <v>25</v>
      </c>
      <c r="I67" s="129">
        <v>96774526</v>
      </c>
      <c r="J67" s="165" t="s">
        <v>111</v>
      </c>
      <c r="K67" s="166">
        <f>K54</f>
        <v>4.1279999999999997E-3</v>
      </c>
      <c r="L67" s="50">
        <f>ROUND(I67*K67,0)</f>
        <v>399485</v>
      </c>
      <c r="O67" s="1"/>
      <c r="V67" s="651" t="s">
        <v>120</v>
      </c>
      <c r="W67" s="651"/>
      <c r="X67" s="651"/>
      <c r="Y67" s="651"/>
      <c r="Z67" s="651"/>
      <c r="AA67" s="651"/>
      <c r="AB67" s="651"/>
      <c r="AC67" s="651"/>
      <c r="AD67" s="9"/>
    </row>
    <row r="68" spans="1:30" ht="20.25" customHeight="1" x14ac:dyDescent="0.25">
      <c r="B68" s="13" t="s">
        <v>120</v>
      </c>
      <c r="C68" s="13"/>
      <c r="D68" s="13"/>
      <c r="E68" s="13"/>
      <c r="F68" s="13"/>
      <c r="H68" s="13"/>
      <c r="I68" s="13"/>
      <c r="J68" s="82"/>
      <c r="K68" s="13"/>
      <c r="L68" s="13"/>
      <c r="O68" s="1"/>
      <c r="V68" s="667" t="s">
        <v>121</v>
      </c>
      <c r="W68" s="667"/>
      <c r="X68" s="667"/>
      <c r="Y68" s="661">
        <f>+I69</f>
        <v>0</v>
      </c>
      <c r="Z68" s="661"/>
      <c r="AA68" s="332" t="s">
        <v>111</v>
      </c>
      <c r="AB68" s="163">
        <f>AB57</f>
        <v>0</v>
      </c>
      <c r="AC68" s="56">
        <f>ROUND(Y68*AB68,0)</f>
        <v>0</v>
      </c>
      <c r="AD68" s="9"/>
    </row>
    <row r="69" spans="1:30" ht="15" customHeight="1" x14ac:dyDescent="0.25">
      <c r="B69" s="170" t="s">
        <v>121</v>
      </c>
      <c r="C69" s="13"/>
      <c r="D69" s="13"/>
      <c r="E69" s="13"/>
      <c r="F69" s="13"/>
      <c r="H69" s="164" t="s">
        <v>23</v>
      </c>
      <c r="I69" s="129">
        <v>0</v>
      </c>
      <c r="J69" s="165" t="s">
        <v>111</v>
      </c>
      <c r="K69" s="166">
        <f>K57</f>
        <v>4.2180000000000004E-3</v>
      </c>
      <c r="L69" s="50">
        <f>ROUND(I69*K69,0)</f>
        <v>0</v>
      </c>
      <c r="O69" s="1"/>
      <c r="V69" s="651" t="s">
        <v>122</v>
      </c>
      <c r="W69" s="651"/>
      <c r="X69" s="651"/>
      <c r="Y69" s="668">
        <f>+I70</f>
        <v>-3460775</v>
      </c>
      <c r="Z69" s="668"/>
      <c r="AA69" s="332" t="s">
        <v>111</v>
      </c>
      <c r="AB69" s="163">
        <f>AB54</f>
        <v>0</v>
      </c>
      <c r="AC69" s="56">
        <f>ROUND(Y69*AB69,0)</f>
        <v>0</v>
      </c>
      <c r="AD69" s="9"/>
    </row>
    <row r="70" spans="1:30" ht="20.25" customHeight="1" x14ac:dyDescent="0.25">
      <c r="B70" s="13" t="s">
        <v>122</v>
      </c>
      <c r="C70" s="13"/>
      <c r="D70" s="13"/>
      <c r="E70" s="13"/>
      <c r="F70" s="13"/>
      <c r="H70" s="164" t="s">
        <v>22</v>
      </c>
      <c r="I70" s="129">
        <v>-3460775</v>
      </c>
      <c r="J70" s="165" t="s">
        <v>111</v>
      </c>
      <c r="K70" s="166">
        <f>K54</f>
        <v>4.1279999999999997E-3</v>
      </c>
      <c r="L70" s="50">
        <f>ROUND(I70*K70,0)</f>
        <v>-14286</v>
      </c>
      <c r="O70" s="1"/>
      <c r="V70" s="651" t="s">
        <v>123</v>
      </c>
      <c r="W70" s="651"/>
      <c r="X70" s="651"/>
      <c r="Y70" s="665">
        <f>+I71</f>
        <v>1874788</v>
      </c>
      <c r="Z70" s="665"/>
      <c r="AA70" s="332" t="s">
        <v>111</v>
      </c>
      <c r="AB70" s="163">
        <f>AB54</f>
        <v>0</v>
      </c>
      <c r="AC70" s="56">
        <f>ROUND(Y70*AB70,0)</f>
        <v>0</v>
      </c>
      <c r="AD70" s="9"/>
    </row>
    <row r="71" spans="1:30" ht="20.25" customHeight="1" x14ac:dyDescent="0.25">
      <c r="B71" s="13" t="s">
        <v>123</v>
      </c>
      <c r="C71" s="13"/>
      <c r="D71" s="13"/>
      <c r="E71" s="13"/>
      <c r="F71" s="13"/>
      <c r="H71" s="164" t="s">
        <v>22</v>
      </c>
      <c r="I71" s="129">
        <v>1874788</v>
      </c>
      <c r="J71" s="165" t="s">
        <v>111</v>
      </c>
      <c r="K71" s="166">
        <f>K54</f>
        <v>4.1279999999999997E-3</v>
      </c>
      <c r="L71" s="50">
        <f>ROUND(I71*K71,0)</f>
        <v>7739</v>
      </c>
      <c r="O71" s="1"/>
      <c r="V71" s="651" t="s">
        <v>124</v>
      </c>
      <c r="W71" s="651"/>
      <c r="X71" s="651"/>
      <c r="Y71" s="665">
        <f>+I72</f>
        <v>14223298</v>
      </c>
      <c r="Z71" s="665"/>
      <c r="AA71" s="332" t="s">
        <v>111</v>
      </c>
      <c r="AB71" s="163">
        <f>AB57</f>
        <v>0</v>
      </c>
      <c r="AC71" s="56">
        <f>ROUND(Y71*AB71,0)</f>
        <v>0</v>
      </c>
      <c r="AD71" s="9"/>
    </row>
    <row r="72" spans="1:30" ht="21" customHeight="1" x14ac:dyDescent="0.25">
      <c r="B72" s="13" t="s">
        <v>124</v>
      </c>
      <c r="C72" s="13"/>
      <c r="D72" s="13"/>
      <c r="E72" s="13"/>
      <c r="F72" s="13"/>
      <c r="H72" s="164" t="s">
        <v>23</v>
      </c>
      <c r="I72" s="171">
        <v>14223298</v>
      </c>
      <c r="J72" s="165" t="s">
        <v>111</v>
      </c>
      <c r="K72" s="166">
        <f>K57</f>
        <v>4.2180000000000004E-3</v>
      </c>
      <c r="L72" s="50">
        <f>ROUND(I72*K72,0)</f>
        <v>59994</v>
      </c>
      <c r="O72" s="1"/>
      <c r="V72" s="623" t="s">
        <v>125</v>
      </c>
      <c r="W72" s="623"/>
      <c r="X72" s="623"/>
      <c r="Y72" s="623"/>
      <c r="Z72" s="623"/>
      <c r="AA72" s="623"/>
      <c r="AB72" s="623"/>
      <c r="AC72" s="60"/>
      <c r="AD72" s="9"/>
    </row>
    <row r="73" spans="1:30" ht="17.25" customHeight="1" x14ac:dyDescent="0.25">
      <c r="B73" s="13" t="s">
        <v>125</v>
      </c>
      <c r="C73" s="13"/>
      <c r="D73" s="13"/>
      <c r="E73" s="13"/>
      <c r="F73" s="13"/>
      <c r="H73" s="13"/>
      <c r="I73" s="13"/>
      <c r="J73" s="82"/>
      <c r="K73" s="13"/>
      <c r="L73" s="59"/>
      <c r="O73" s="1"/>
      <c r="V73" s="651" t="s">
        <v>126</v>
      </c>
      <c r="W73" s="651"/>
      <c r="X73" s="651"/>
      <c r="Y73" s="651"/>
      <c r="Z73" s="651"/>
      <c r="AA73" s="651"/>
      <c r="AB73" s="651"/>
      <c r="AC73" s="651"/>
      <c r="AD73" s="9"/>
    </row>
    <row r="74" spans="1:30" ht="31.5" x14ac:dyDescent="0.25">
      <c r="B74" s="13" t="s">
        <v>126</v>
      </c>
      <c r="C74" s="13"/>
      <c r="D74" s="27" t="s">
        <v>13</v>
      </c>
      <c r="E74" s="27" t="s">
        <v>14</v>
      </c>
      <c r="F74" s="27"/>
      <c r="H74" s="164" t="s">
        <v>26</v>
      </c>
      <c r="I74" s="172"/>
      <c r="J74" s="164"/>
      <c r="K74" s="172"/>
      <c r="L74" s="112"/>
      <c r="O74" s="1"/>
      <c r="V74" s="666" t="s">
        <v>127</v>
      </c>
      <c r="W74" s="666"/>
      <c r="X74" s="173" t="s">
        <v>128</v>
      </c>
      <c r="Y74" s="174"/>
      <c r="Z74" s="175">
        <f>+I75</f>
        <v>38</v>
      </c>
      <c r="AA74" s="331" t="s">
        <v>129</v>
      </c>
      <c r="AB74" s="177">
        <f>+K75</f>
        <v>361</v>
      </c>
      <c r="AC74" s="56">
        <f>ROUND(AB74*Z74,0)</f>
        <v>13718</v>
      </c>
      <c r="AD74" s="9"/>
    </row>
    <row r="75" spans="1:30" ht="19.5" customHeight="1" x14ac:dyDescent="0.25">
      <c r="A75" s="1" t="s">
        <v>130</v>
      </c>
      <c r="B75" s="178" t="s">
        <v>127</v>
      </c>
      <c r="C75" s="179" t="s">
        <v>128</v>
      </c>
      <c r="D75" s="178">
        <v>15</v>
      </c>
      <c r="E75" s="178">
        <v>61</v>
      </c>
      <c r="F75" s="178">
        <v>0</v>
      </c>
      <c r="G75" s="180">
        <f>IF(E75=0,D75,E75)</f>
        <v>61</v>
      </c>
      <c r="H75" s="181"/>
      <c r="I75" s="182">
        <f>AVERAGE(G75,D75)</f>
        <v>38</v>
      </c>
      <c r="J75" s="183" t="s">
        <v>129</v>
      </c>
      <c r="K75" s="184">
        <v>361</v>
      </c>
      <c r="L75" s="50">
        <f>ROUND(K75*I75,0)</f>
        <v>13718</v>
      </c>
      <c r="N75" s="1">
        <v>7802</v>
      </c>
      <c r="O75" s="1">
        <v>0</v>
      </c>
      <c r="V75" s="666" t="s">
        <v>127</v>
      </c>
      <c r="W75" s="666"/>
      <c r="X75" s="173" t="s">
        <v>131</v>
      </c>
      <c r="Y75" s="185"/>
      <c r="Z75" s="186">
        <f>+I76</f>
        <v>0</v>
      </c>
      <c r="AA75" s="331" t="s">
        <v>129</v>
      </c>
      <c r="AB75" s="187">
        <f>+K76</f>
        <v>1358</v>
      </c>
      <c r="AC75" s="56">
        <f>ROUND(AB75*Z75,0)</f>
        <v>0</v>
      </c>
      <c r="AD75" s="9"/>
    </row>
    <row r="76" spans="1:30" ht="19.5" customHeight="1" x14ac:dyDescent="0.25">
      <c r="A76" s="1" t="s">
        <v>132</v>
      </c>
      <c r="B76" s="178" t="s">
        <v>127</v>
      </c>
      <c r="C76" s="179" t="s">
        <v>131</v>
      </c>
      <c r="D76" s="178">
        <v>0</v>
      </c>
      <c r="E76" s="178">
        <v>0</v>
      </c>
      <c r="F76" s="178">
        <v>0</v>
      </c>
      <c r="G76" s="180">
        <f>IF(E76=0,D76,E76)</f>
        <v>0</v>
      </c>
      <c r="H76" s="181"/>
      <c r="I76" s="182">
        <f>AVERAGE(G76,D76)</f>
        <v>0</v>
      </c>
      <c r="J76" s="183" t="s">
        <v>129</v>
      </c>
      <c r="K76" s="188">
        <v>1358</v>
      </c>
      <c r="L76" s="50">
        <f>ROUND(K76*I76,0)</f>
        <v>0</v>
      </c>
      <c r="N76" s="1">
        <v>7802</v>
      </c>
      <c r="O76" s="1">
        <v>110</v>
      </c>
      <c r="V76" s="651" t="s">
        <v>133</v>
      </c>
      <c r="W76" s="651"/>
      <c r="X76" s="651"/>
      <c r="Y76" s="661">
        <f>+I77</f>
        <v>33305823</v>
      </c>
      <c r="Z76" s="661"/>
      <c r="AA76" s="331" t="s">
        <v>129</v>
      </c>
      <c r="AB76" s="163">
        <f>AB54</f>
        <v>0</v>
      </c>
      <c r="AC76" s="56">
        <f>ROUND(Y76*AB76,0)</f>
        <v>0</v>
      </c>
      <c r="AD76" s="9"/>
    </row>
    <row r="77" spans="1:30" ht="26.25" customHeight="1" x14ac:dyDescent="0.25">
      <c r="B77" s="13" t="s">
        <v>133</v>
      </c>
      <c r="C77" s="13"/>
      <c r="D77" s="13"/>
      <c r="E77" s="13"/>
      <c r="F77" s="13"/>
      <c r="H77" s="164" t="s">
        <v>134</v>
      </c>
      <c r="I77" s="189">
        <v>33305823</v>
      </c>
      <c r="J77" s="165" t="s">
        <v>111</v>
      </c>
      <c r="K77" s="166">
        <f>K54</f>
        <v>4.1279999999999997E-3</v>
      </c>
      <c r="L77" s="50">
        <f>ROUND(I77*K77,0)</f>
        <v>137486</v>
      </c>
      <c r="O77" s="1"/>
      <c r="V77" s="651" t="str">
        <f>+B78</f>
        <v>15.  Additional Allocation (WFTE share)</v>
      </c>
      <c r="W77" s="651"/>
      <c r="X77" s="651"/>
      <c r="Y77" s="661">
        <f>+I78</f>
        <v>680688</v>
      </c>
      <c r="Z77" s="661"/>
      <c r="AA77" s="331" t="s">
        <v>129</v>
      </c>
      <c r="AB77" s="163">
        <f>AB54</f>
        <v>0</v>
      </c>
      <c r="AC77" s="56">
        <f>ROUND(Y77*AB77,0)</f>
        <v>0</v>
      </c>
      <c r="AD77" s="9"/>
    </row>
    <row r="78" spans="1:30" ht="26.25" customHeight="1" x14ac:dyDescent="0.25">
      <c r="B78" s="669" t="s">
        <v>135</v>
      </c>
      <c r="C78" s="669"/>
      <c r="D78" s="669"/>
      <c r="E78" s="13"/>
      <c r="F78" s="13"/>
      <c r="H78" s="164" t="s">
        <v>136</v>
      </c>
      <c r="I78" s="190">
        <v>680688</v>
      </c>
      <c r="J78" s="165" t="s">
        <v>111</v>
      </c>
      <c r="K78" s="166">
        <f>K54</f>
        <v>4.1279999999999997E-3</v>
      </c>
      <c r="L78" s="50">
        <f>ROUND(I78*K78,0)</f>
        <v>2810</v>
      </c>
      <c r="O78" s="1"/>
      <c r="V78" s="651" t="str">
        <f>+B79</f>
        <v>16.  Florida Teachers Lead Program Stipend</v>
      </c>
      <c r="W78" s="651"/>
      <c r="X78" s="651"/>
      <c r="Y78" s="191"/>
      <c r="Z78" s="191"/>
      <c r="AA78" s="191"/>
      <c r="AB78" s="191"/>
      <c r="AC78" s="134"/>
      <c r="AD78" s="9"/>
    </row>
    <row r="79" spans="1:30" ht="21" customHeight="1" x14ac:dyDescent="0.25">
      <c r="B79" s="669" t="s">
        <v>137</v>
      </c>
      <c r="C79" s="669"/>
      <c r="D79" s="669"/>
      <c r="E79" s="13"/>
      <c r="F79" s="13"/>
      <c r="H79" s="164"/>
      <c r="I79" s="172"/>
      <c r="J79" s="172"/>
      <c r="K79" s="172"/>
      <c r="L79" s="129"/>
      <c r="N79" s="192"/>
      <c r="O79" s="1"/>
      <c r="Q79" s="164"/>
      <c r="V79" s="651" t="str">
        <f>+B80</f>
        <v>17.  Food Service Allocation</v>
      </c>
      <c r="W79" s="651"/>
      <c r="X79" s="651"/>
      <c r="Y79" s="191"/>
      <c r="Z79" s="191"/>
      <c r="AA79" s="191"/>
      <c r="AB79" s="191"/>
      <c r="AC79" s="193"/>
      <c r="AD79" s="9"/>
    </row>
    <row r="80" spans="1:30" ht="21" customHeight="1" x14ac:dyDescent="0.25">
      <c r="B80" s="669" t="s">
        <v>138</v>
      </c>
      <c r="C80" s="669"/>
      <c r="D80" s="669"/>
      <c r="E80" s="13"/>
      <c r="F80" s="13"/>
      <c r="H80" s="194" t="s">
        <v>139</v>
      </c>
      <c r="I80" s="195"/>
      <c r="J80" s="195"/>
      <c r="K80" s="195"/>
      <c r="L80" s="196"/>
      <c r="N80" s="197"/>
      <c r="O80" s="1"/>
      <c r="Q80" s="164"/>
      <c r="V80" s="191"/>
      <c r="W80" s="191"/>
      <c r="X80" s="191"/>
      <c r="Y80" s="191"/>
      <c r="Z80" s="191"/>
      <c r="AA80" s="191"/>
      <c r="AB80" s="191"/>
      <c r="AC80" s="193"/>
      <c r="AD80" s="9"/>
    </row>
    <row r="81" spans="1:30" ht="21" customHeight="1" thickBot="1" x14ac:dyDescent="0.3">
      <c r="B81" s="13"/>
      <c r="C81" s="13"/>
      <c r="D81" s="13"/>
      <c r="E81" s="13"/>
      <c r="F81" s="13"/>
      <c r="G81" s="13"/>
      <c r="H81" s="13"/>
      <c r="I81" s="13"/>
      <c r="J81" s="13"/>
      <c r="K81" s="13"/>
      <c r="L81" s="196"/>
      <c r="M81" s="198"/>
      <c r="N81" s="197"/>
      <c r="O81" s="1"/>
      <c r="Q81" s="164"/>
      <c r="V81" s="191" t="s">
        <v>140</v>
      </c>
      <c r="W81" s="191"/>
      <c r="X81" s="191"/>
      <c r="Y81" s="191"/>
      <c r="Z81" s="191"/>
      <c r="AA81" s="191"/>
      <c r="AB81" s="191"/>
      <c r="AC81" s="199">
        <f>SUM(AC44:AC80)</f>
        <v>13718</v>
      </c>
      <c r="AD81" s="200"/>
    </row>
    <row r="82" spans="1:30" ht="22.5" customHeight="1" thickTop="1" thickBot="1" x14ac:dyDescent="0.3">
      <c r="B82" s="13" t="s">
        <v>141</v>
      </c>
      <c r="C82" s="13"/>
      <c r="D82" s="13"/>
      <c r="E82" s="13"/>
      <c r="F82" s="13"/>
      <c r="G82" s="13"/>
      <c r="H82" s="13"/>
      <c r="I82" s="13"/>
      <c r="J82" s="13"/>
      <c r="K82" s="13"/>
      <c r="L82" s="201">
        <f>SUM(L44:L81)</f>
        <v>4980590</v>
      </c>
      <c r="M82" s="202"/>
      <c r="N82" s="203"/>
      <c r="O82" s="1"/>
      <c r="Q82" s="164"/>
      <c r="V82" s="191"/>
      <c r="W82" s="191"/>
      <c r="X82" s="191"/>
      <c r="Y82" s="191"/>
      <c r="Z82" s="191"/>
      <c r="AA82" s="191"/>
      <c r="AB82" s="191"/>
      <c r="AC82" s="204"/>
      <c r="AD82" s="200"/>
    </row>
    <row r="83" spans="1:30" ht="27.75" customHeight="1" thickTop="1" x14ac:dyDescent="0.25">
      <c r="B83" s="13" t="s">
        <v>142</v>
      </c>
      <c r="C83" s="13"/>
      <c r="D83" s="13"/>
      <c r="E83" s="13"/>
      <c r="F83" s="13"/>
      <c r="G83" s="13"/>
      <c r="H83" s="13"/>
      <c r="I83" s="13"/>
      <c r="J83" s="13"/>
      <c r="K83" s="82" t="s">
        <v>143</v>
      </c>
      <c r="L83" s="205" t="s">
        <v>144</v>
      </c>
      <c r="M83" s="202"/>
      <c r="N83" s="203"/>
      <c r="O83" s="1"/>
      <c r="Q83" s="164"/>
      <c r="V83" s="9" t="s">
        <v>145</v>
      </c>
      <c r="W83" s="9"/>
      <c r="X83" s="9"/>
      <c r="Y83" s="9"/>
      <c r="Z83" s="9"/>
      <c r="AA83" s="9"/>
      <c r="AB83" s="9"/>
      <c r="AC83" s="9"/>
      <c r="AD83" s="206"/>
    </row>
    <row r="84" spans="1:30" ht="18.75" customHeight="1" thickBot="1" x14ac:dyDescent="0.3">
      <c r="B84" s="13" t="s">
        <v>146</v>
      </c>
      <c r="C84" s="13"/>
      <c r="D84" s="13"/>
      <c r="E84" s="13"/>
      <c r="F84" s="13"/>
      <c r="G84" s="13"/>
      <c r="H84" s="13"/>
      <c r="I84" s="13"/>
      <c r="J84" s="13"/>
      <c r="K84" s="207" t="str">
        <f>IF(G26=0,"",IF((G11+G13+SUM(G15:G21))/G26&gt;0.75,1,""))</f>
        <v/>
      </c>
      <c r="L84" s="201">
        <f>'3431 June Final'!AC81</f>
        <v>13718</v>
      </c>
      <c r="M84" s="202"/>
      <c r="N84" s="203"/>
      <c r="O84" s="1"/>
      <c r="Q84" s="164"/>
      <c r="V84" s="208" t="s">
        <v>147</v>
      </c>
      <c r="W84" s="208"/>
      <c r="X84" s="208"/>
      <c r="Y84" s="208"/>
      <c r="Z84" s="208"/>
      <c r="AA84" s="208"/>
      <c r="AB84" s="208"/>
      <c r="AC84" s="208"/>
      <c r="AD84" s="9"/>
    </row>
    <row r="85" spans="1:30" ht="18.75" customHeight="1" thickTop="1" x14ac:dyDescent="0.25">
      <c r="B85" s="13"/>
      <c r="C85" s="13"/>
      <c r="D85" s="13"/>
      <c r="E85" s="13"/>
      <c r="F85" s="13"/>
      <c r="G85" s="13"/>
      <c r="H85" s="13"/>
      <c r="I85" s="13"/>
      <c r="J85" s="13"/>
      <c r="M85" s="202"/>
      <c r="N85" s="203"/>
      <c r="O85" s="1"/>
      <c r="Q85" s="164"/>
      <c r="V85" s="208" t="s">
        <v>148</v>
      </c>
      <c r="W85" s="208"/>
      <c r="X85" s="208"/>
      <c r="Y85" s="208"/>
      <c r="Z85" s="208"/>
      <c r="AA85" s="208"/>
      <c r="AB85" s="208"/>
      <c r="AC85" s="208"/>
      <c r="AD85" s="206"/>
    </row>
    <row r="86" spans="1:30" ht="18.75" customHeight="1" x14ac:dyDescent="0.25">
      <c r="B86" s="2" t="s">
        <v>149</v>
      </c>
      <c r="C86" s="13"/>
      <c r="D86" s="13"/>
      <c r="E86" s="13"/>
      <c r="F86" s="13"/>
      <c r="G86" s="13"/>
      <c r="H86" s="13"/>
      <c r="I86" s="13"/>
      <c r="J86" s="209" t="s">
        <v>150</v>
      </c>
      <c r="K86" s="210">
        <f>IF(K84=1,L84,L82)</f>
        <v>4980590</v>
      </c>
      <c r="L86" s="211">
        <f>IF(G26=0,0,IF(G26&gt;250,-(((250/G26)*K86)*IF(M86="H",0.02,0.05)),IF(M86="H",-0.02*K86,-0.05*K86)))</f>
        <v>-81869.123545269249</v>
      </c>
      <c r="M86" s="212" t="str">
        <f>IF(B123="2801","H",IF(B123="2911","H",IF(B123="3382","H"," ")))</f>
        <v xml:space="preserve"> </v>
      </c>
      <c r="N86" s="203"/>
      <c r="O86" s="1"/>
      <c r="Q86" s="164"/>
      <c r="V86" s="208" t="s">
        <v>151</v>
      </c>
      <c r="W86" s="208"/>
      <c r="X86" s="208"/>
      <c r="Y86" s="208"/>
      <c r="Z86" s="208"/>
      <c r="AA86" s="208"/>
      <c r="AB86" s="208"/>
      <c r="AC86" s="208"/>
      <c r="AD86" s="206"/>
    </row>
    <row r="87" spans="1:30" ht="18.75" customHeight="1" x14ac:dyDescent="0.25">
      <c r="B87" s="2" t="s">
        <v>152</v>
      </c>
      <c r="C87" s="13"/>
      <c r="D87" s="13"/>
      <c r="E87" s="13"/>
      <c r="F87" s="13"/>
      <c r="G87" s="13"/>
      <c r="H87" s="13"/>
      <c r="I87" s="13"/>
      <c r="J87" s="13"/>
      <c r="K87" s="213"/>
      <c r="L87" s="205">
        <f>L82+L86</f>
        <v>4898720.8764547305</v>
      </c>
      <c r="M87" s="202"/>
      <c r="N87" s="203"/>
      <c r="O87" s="1"/>
      <c r="Q87" s="164"/>
      <c r="V87" s="198"/>
      <c r="W87" s="198"/>
      <c r="X87" s="198"/>
      <c r="Y87" s="198"/>
      <c r="Z87" s="198"/>
      <c r="AA87" s="198"/>
      <c r="AB87" s="198"/>
      <c r="AC87" s="198"/>
      <c r="AD87" s="214"/>
    </row>
    <row r="88" spans="1:30" x14ac:dyDescent="0.25">
      <c r="V88" s="198"/>
      <c r="W88" s="198"/>
      <c r="X88" s="198"/>
      <c r="Y88" s="198"/>
      <c r="Z88" s="198"/>
      <c r="AA88" s="198"/>
      <c r="AB88" s="198"/>
      <c r="AC88" s="198"/>
      <c r="AD88" s="215"/>
    </row>
    <row r="89" spans="1:30" ht="18.75" customHeight="1" x14ac:dyDescent="0.25">
      <c r="A89" s="1" t="s">
        <v>153</v>
      </c>
      <c r="B89" s="13" t="s">
        <v>154</v>
      </c>
      <c r="C89" s="13"/>
      <c r="D89" s="13">
        <v>2250010</v>
      </c>
      <c r="E89" s="13">
        <v>422771</v>
      </c>
      <c r="F89" s="13">
        <v>3941094</v>
      </c>
      <c r="G89" s="13"/>
      <c r="H89" s="13"/>
      <c r="I89" s="13"/>
      <c r="J89" s="13"/>
      <c r="K89" s="213"/>
      <c r="L89" s="84">
        <v>-4907142.0208158102</v>
      </c>
      <c r="M89" s="202"/>
      <c r="N89" s="203"/>
      <c r="O89" s="1"/>
      <c r="Q89" s="164"/>
      <c r="V89" s="198">
        <v>2801</v>
      </c>
      <c r="W89" s="198"/>
      <c r="X89" s="198"/>
      <c r="Y89" s="198"/>
      <c r="Z89" s="198"/>
      <c r="AA89" s="198"/>
      <c r="AB89" s="198"/>
      <c r="AC89" s="198"/>
      <c r="AD89" s="214"/>
    </row>
    <row r="90" spans="1:30" ht="18.75" customHeight="1" x14ac:dyDescent="0.25">
      <c r="B90" s="13" t="s">
        <v>155</v>
      </c>
      <c r="C90" s="13"/>
      <c r="D90" s="13"/>
      <c r="E90" s="13"/>
      <c r="F90" s="13"/>
      <c r="G90" s="13"/>
      <c r="H90" s="13"/>
      <c r="I90" s="13"/>
      <c r="J90" s="13"/>
      <c r="K90" s="213"/>
      <c r="L90" s="205">
        <f>L87+L89</f>
        <v>-8421.1443610796705</v>
      </c>
      <c r="M90" s="202"/>
      <c r="N90" s="203"/>
      <c r="O90" s="1"/>
      <c r="Q90" s="164"/>
      <c r="V90" s="198">
        <v>2911</v>
      </c>
      <c r="W90" s="216"/>
      <c r="X90" s="216"/>
      <c r="Y90" s="216"/>
      <c r="Z90" s="216"/>
      <c r="AA90" s="216"/>
      <c r="AB90" s="216"/>
      <c r="AC90" s="216"/>
      <c r="AD90" s="214"/>
    </row>
    <row r="91" spans="1:30" ht="18.75" customHeight="1" x14ac:dyDescent="0.25">
      <c r="B91" s="13" t="s">
        <v>156</v>
      </c>
      <c r="C91" s="13"/>
      <c r="D91" s="13"/>
      <c r="E91" s="13"/>
      <c r="F91" s="13"/>
      <c r="G91" s="13"/>
      <c r="H91" s="13"/>
      <c r="I91" s="13"/>
      <c r="J91" s="13"/>
      <c r="K91" s="213"/>
      <c r="L91" s="205">
        <v>1</v>
      </c>
      <c r="M91" s="202"/>
      <c r="N91" s="203"/>
      <c r="O91" s="1"/>
      <c r="Q91" s="164"/>
      <c r="V91" s="198">
        <v>3382</v>
      </c>
      <c r="W91" s="216"/>
      <c r="X91" s="216"/>
      <c r="Y91" s="216"/>
      <c r="Z91" s="216"/>
      <c r="AA91" s="216"/>
      <c r="AB91" s="216"/>
      <c r="AC91" s="216"/>
      <c r="AD91" s="214"/>
    </row>
    <row r="92" spans="1:30" ht="18.75" customHeight="1" thickBot="1" x14ac:dyDescent="0.3">
      <c r="B92" s="13" t="s">
        <v>434</v>
      </c>
      <c r="C92" s="13"/>
      <c r="D92" s="13"/>
      <c r="E92" s="13"/>
      <c r="F92" s="13"/>
      <c r="G92" s="13"/>
      <c r="H92" s="13"/>
      <c r="I92" s="13"/>
      <c r="J92" s="13"/>
      <c r="K92" s="213"/>
      <c r="L92" s="217">
        <f>L90/L91</f>
        <v>-8421.1443610796705</v>
      </c>
      <c r="M92" s="202"/>
      <c r="N92" s="203"/>
      <c r="O92" s="1"/>
      <c r="Q92" s="164"/>
      <c r="V92" s="218"/>
      <c r="W92" s="218"/>
      <c r="X92" s="218"/>
      <c r="Y92" s="218"/>
      <c r="Z92" s="218"/>
      <c r="AA92" s="218"/>
      <c r="AB92" s="218"/>
      <c r="AC92" s="218"/>
      <c r="AD92" s="219"/>
    </row>
    <row r="93" spans="1:30" ht="18.75" customHeight="1" thickTop="1" x14ac:dyDescent="0.25">
      <c r="N93" s="219"/>
      <c r="O93" s="220"/>
      <c r="P93" s="219"/>
      <c r="Q93" s="219"/>
      <c r="V93" s="218"/>
      <c r="W93" s="218"/>
      <c r="X93" s="218"/>
      <c r="Y93" s="218"/>
      <c r="Z93" s="218"/>
      <c r="AA93" s="218"/>
      <c r="AB93" s="218"/>
      <c r="AC93" s="218"/>
      <c r="AD93" s="214"/>
    </row>
    <row r="94" spans="1:30" ht="18.75" customHeight="1" thickBot="1" x14ac:dyDescent="0.3">
      <c r="B94" s="221" t="s">
        <v>158</v>
      </c>
      <c r="C94" s="13"/>
      <c r="D94" s="13"/>
      <c r="E94" s="13"/>
      <c r="G94" s="13"/>
      <c r="H94" s="13"/>
      <c r="I94" s="13"/>
      <c r="J94" s="13"/>
      <c r="L94" s="222">
        <v>0</v>
      </c>
      <c r="M94" s="202"/>
      <c r="V94" s="223"/>
      <c r="W94" s="223"/>
      <c r="X94" s="223"/>
      <c r="Y94" s="223"/>
      <c r="Z94" s="223"/>
      <c r="AA94" s="223"/>
      <c r="AB94" s="223"/>
      <c r="AC94" s="223"/>
      <c r="AD94" s="214"/>
    </row>
    <row r="95" spans="1:30" ht="21.75" customHeight="1" thickTop="1" x14ac:dyDescent="0.25">
      <c r="B95" s="224" t="s">
        <v>159</v>
      </c>
      <c r="C95" s="224"/>
      <c r="D95" s="224"/>
      <c r="E95" s="224"/>
      <c r="F95" s="224"/>
      <c r="G95" s="224"/>
      <c r="H95" s="224"/>
      <c r="I95" s="224"/>
      <c r="J95" s="224"/>
      <c r="K95" s="224"/>
      <c r="L95" s="224"/>
      <c r="M95" s="219"/>
      <c r="V95" s="223"/>
      <c r="W95" s="223"/>
      <c r="X95" s="223"/>
      <c r="Y95" s="223"/>
      <c r="Z95" s="223"/>
      <c r="AA95" s="223"/>
      <c r="AB95" s="223"/>
      <c r="AC95" s="223"/>
      <c r="AD95" s="214"/>
    </row>
    <row r="96" spans="1:30" x14ac:dyDescent="0.25">
      <c r="B96" s="225"/>
      <c r="V96" s="223"/>
      <c r="W96" s="223"/>
      <c r="X96" s="223"/>
      <c r="Y96" s="223"/>
      <c r="Z96" s="223"/>
      <c r="AA96" s="223"/>
      <c r="AB96" s="223"/>
      <c r="AC96" s="223"/>
      <c r="AD96" s="219"/>
    </row>
    <row r="97" spans="2:30" x14ac:dyDescent="0.25">
      <c r="B97" s="225"/>
      <c r="V97" s="223"/>
      <c r="W97" s="223"/>
      <c r="X97" s="223"/>
      <c r="Y97" s="223"/>
      <c r="Z97" s="223"/>
      <c r="AA97" s="223"/>
      <c r="AB97" s="223"/>
      <c r="AC97" s="223"/>
      <c r="AD97" s="219"/>
    </row>
    <row r="98" spans="2:30" hidden="1" x14ac:dyDescent="0.25">
      <c r="B98" s="226" t="s">
        <v>160</v>
      </c>
      <c r="C98" s="227"/>
      <c r="V98" s="228"/>
      <c r="W98" s="228"/>
      <c r="X98" s="228"/>
      <c r="Y98" s="228"/>
      <c r="Z98" s="228"/>
      <c r="AA98" s="228"/>
      <c r="AB98" s="228"/>
      <c r="AC98" s="228"/>
    </row>
    <row r="99" spans="2:30" hidden="1" x14ac:dyDescent="0.25">
      <c r="B99" s="229"/>
      <c r="C99" s="227"/>
      <c r="V99" s="225"/>
      <c r="W99" s="13"/>
      <c r="X99" s="13"/>
      <c r="Y99" s="13"/>
      <c r="Z99" s="13"/>
      <c r="AA99" s="13"/>
      <c r="AB99" s="13"/>
      <c r="AC99" s="13"/>
    </row>
    <row r="100" spans="2:30" hidden="1" x14ac:dyDescent="0.25">
      <c r="B100" s="230" t="s">
        <v>161</v>
      </c>
      <c r="C100" s="226" t="s">
        <v>162</v>
      </c>
      <c r="V100" s="225"/>
    </row>
    <row r="101" spans="2:30" hidden="1" x14ac:dyDescent="0.25">
      <c r="B101" s="230" t="s">
        <v>163</v>
      </c>
      <c r="C101" s="226" t="s">
        <v>164</v>
      </c>
      <c r="V101" s="225"/>
    </row>
    <row r="102" spans="2:30" hidden="1" x14ac:dyDescent="0.25">
      <c r="B102" s="230" t="s">
        <v>165</v>
      </c>
      <c r="C102" s="226" t="s">
        <v>166</v>
      </c>
      <c r="V102" s="225"/>
      <c r="W102" s="231"/>
      <c r="X102" s="231"/>
      <c r="Y102" s="231"/>
      <c r="Z102" s="231"/>
      <c r="AA102" s="231"/>
      <c r="AB102" s="231"/>
      <c r="AC102" s="231"/>
      <c r="AD102" s="231"/>
    </row>
    <row r="103" spans="2:30" hidden="1" x14ac:dyDescent="0.25">
      <c r="B103" s="230" t="s">
        <v>167</v>
      </c>
      <c r="C103" s="226" t="s">
        <v>168</v>
      </c>
      <c r="V103" s="225"/>
    </row>
    <row r="104" spans="2:30" hidden="1" x14ac:dyDescent="0.25">
      <c r="B104" s="232"/>
      <c r="C104" s="226" t="s">
        <v>169</v>
      </c>
      <c r="V104" s="225"/>
    </row>
    <row r="105" spans="2:30" hidden="1" x14ac:dyDescent="0.25">
      <c r="B105" s="230" t="s">
        <v>170</v>
      </c>
      <c r="C105" s="226" t="s">
        <v>171</v>
      </c>
      <c r="V105" s="225"/>
    </row>
    <row r="106" spans="2:30" hidden="1" x14ac:dyDescent="0.25">
      <c r="B106" s="230" t="s">
        <v>172</v>
      </c>
      <c r="C106" s="226" t="s">
        <v>173</v>
      </c>
      <c r="V106" s="225"/>
    </row>
    <row r="107" spans="2:30" hidden="1" x14ac:dyDescent="0.25">
      <c r="B107" s="230" t="s">
        <v>307</v>
      </c>
      <c r="C107" s="226" t="s">
        <v>175</v>
      </c>
      <c r="V107" s="225"/>
    </row>
    <row r="108" spans="2:30" hidden="1" x14ac:dyDescent="0.25">
      <c r="B108" s="230" t="s">
        <v>176</v>
      </c>
      <c r="C108" s="226" t="s">
        <v>177</v>
      </c>
      <c r="V108" s="225"/>
    </row>
    <row r="109" spans="2:30" hidden="1" x14ac:dyDescent="0.25">
      <c r="B109" s="230" t="s">
        <v>178</v>
      </c>
      <c r="C109" s="226" t="s">
        <v>179</v>
      </c>
      <c r="V109" s="225"/>
    </row>
    <row r="110" spans="2:30" hidden="1" x14ac:dyDescent="0.25">
      <c r="B110" s="232"/>
      <c r="C110" s="226"/>
      <c r="V110" s="225"/>
    </row>
    <row r="111" spans="2:30" hidden="1" x14ac:dyDescent="0.25">
      <c r="B111" s="230" t="s">
        <v>180</v>
      </c>
      <c r="C111" s="226" t="s">
        <v>181</v>
      </c>
      <c r="V111" s="225"/>
    </row>
    <row r="112" spans="2:30" hidden="1" x14ac:dyDescent="0.25">
      <c r="B112" s="230" t="s">
        <v>180</v>
      </c>
      <c r="C112" s="226" t="s">
        <v>182</v>
      </c>
    </row>
    <row r="113" spans="2:3" hidden="1" x14ac:dyDescent="0.25">
      <c r="B113" s="230" t="s">
        <v>183</v>
      </c>
      <c r="C113" s="226" t="s">
        <v>184</v>
      </c>
    </row>
    <row r="114" spans="2:3" hidden="1" x14ac:dyDescent="0.25">
      <c r="B114" s="230" t="s">
        <v>185</v>
      </c>
      <c r="C114" s="226" t="s">
        <v>186</v>
      </c>
    </row>
    <row r="115" spans="2:3" hidden="1" x14ac:dyDescent="0.25">
      <c r="B115" s="230" t="s">
        <v>183</v>
      </c>
      <c r="C115" s="226" t="s">
        <v>187</v>
      </c>
    </row>
    <row r="116" spans="2:3" hidden="1" x14ac:dyDescent="0.25">
      <c r="B116" s="230" t="s">
        <v>188</v>
      </c>
      <c r="C116" s="226" t="s">
        <v>189</v>
      </c>
    </row>
    <row r="117" spans="2:3" hidden="1" x14ac:dyDescent="0.25">
      <c r="B117" s="230" t="s">
        <v>190</v>
      </c>
      <c r="C117" s="226" t="s">
        <v>191</v>
      </c>
    </row>
    <row r="118" spans="2:3" hidden="1" x14ac:dyDescent="0.25">
      <c r="B118" s="232" t="s">
        <v>192</v>
      </c>
      <c r="C118" s="226" t="s">
        <v>193</v>
      </c>
    </row>
    <row r="119" spans="2:3" hidden="1" x14ac:dyDescent="0.25">
      <c r="B119" s="232"/>
      <c r="C119" s="226"/>
    </row>
    <row r="120" spans="2:3" hidden="1" x14ac:dyDescent="0.25">
      <c r="B120" s="230" t="s">
        <v>161</v>
      </c>
      <c r="C120" s="226" t="s">
        <v>194</v>
      </c>
    </row>
    <row r="121" spans="2:3" hidden="1" x14ac:dyDescent="0.25">
      <c r="B121" s="230" t="s">
        <v>195</v>
      </c>
      <c r="C121" s="226" t="s">
        <v>196</v>
      </c>
    </row>
    <row r="122" spans="2:3" hidden="1" x14ac:dyDescent="0.25">
      <c r="B122" s="230" t="s">
        <v>197</v>
      </c>
      <c r="C122" s="226" t="s">
        <v>198</v>
      </c>
    </row>
    <row r="123" spans="2:3" hidden="1" x14ac:dyDescent="0.25">
      <c r="B123" s="230" t="s">
        <v>308</v>
      </c>
      <c r="C123" s="226" t="s">
        <v>200</v>
      </c>
    </row>
    <row r="124" spans="2:3" hidden="1" x14ac:dyDescent="0.25">
      <c r="B124" s="230" t="s">
        <v>309</v>
      </c>
      <c r="C124" s="226" t="s">
        <v>202</v>
      </c>
    </row>
    <row r="125" spans="2:3" hidden="1" x14ac:dyDescent="0.25">
      <c r="B125" s="230" t="s">
        <v>203</v>
      </c>
      <c r="C125" s="226" t="s">
        <v>204</v>
      </c>
    </row>
    <row r="126" spans="2:3" hidden="1" x14ac:dyDescent="0.25">
      <c r="B126" s="230" t="s">
        <v>203</v>
      </c>
      <c r="C126" s="226" t="s">
        <v>205</v>
      </c>
    </row>
    <row r="127" spans="2:3" hidden="1" x14ac:dyDescent="0.25">
      <c r="B127" s="230" t="s">
        <v>203</v>
      </c>
      <c r="C127" s="226" t="s">
        <v>206</v>
      </c>
    </row>
    <row r="128" spans="2:3" hidden="1" x14ac:dyDescent="0.25">
      <c r="B128" s="230" t="s">
        <v>203</v>
      </c>
      <c r="C128" s="226" t="s">
        <v>207</v>
      </c>
    </row>
    <row r="129" spans="2:3" hidden="1" x14ac:dyDescent="0.25">
      <c r="B129" s="230" t="s">
        <v>167</v>
      </c>
      <c r="C129" s="226" t="s">
        <v>208</v>
      </c>
    </row>
    <row r="130" spans="2:3" hidden="1" x14ac:dyDescent="0.25">
      <c r="B130" s="230" t="s">
        <v>209</v>
      </c>
      <c r="C130" s="226" t="s">
        <v>210</v>
      </c>
    </row>
    <row r="131" spans="2:3" hidden="1" x14ac:dyDescent="0.25">
      <c r="B131" s="230" t="s">
        <v>203</v>
      </c>
      <c r="C131" s="226" t="s">
        <v>211</v>
      </c>
    </row>
    <row r="132" spans="2:3" hidden="1" x14ac:dyDescent="0.25">
      <c r="B132" s="226"/>
      <c r="C132" s="226"/>
    </row>
    <row r="133" spans="2:3" hidden="1" x14ac:dyDescent="0.25">
      <c r="B133" s="226"/>
      <c r="C133" s="226"/>
    </row>
    <row r="134" spans="2:3" hidden="1" x14ac:dyDescent="0.25">
      <c r="B134" s="232"/>
      <c r="C134" s="232"/>
    </row>
    <row r="135" spans="2:3" hidden="1" x14ac:dyDescent="0.25">
      <c r="B135" s="232">
        <f>NvsElapsedTime</f>
        <v>1.15740767796524E-5</v>
      </c>
      <c r="C135" s="232"/>
    </row>
    <row r="136" spans="2:3" hidden="1" x14ac:dyDescent="0.25">
      <c r="B136" s="233">
        <f>NvsEndTime</f>
        <v>41754.488055555601</v>
      </c>
      <c r="C136" s="233" t="s">
        <v>212</v>
      </c>
    </row>
    <row r="137" spans="2:3" x14ac:dyDescent="0.25">
      <c r="B137" s="226"/>
      <c r="C137" s="234"/>
    </row>
    <row r="138" spans="2:3" x14ac:dyDescent="0.25">
      <c r="B138" s="226"/>
      <c r="C138" s="226"/>
    </row>
    <row r="139" spans="2:3" x14ac:dyDescent="0.25">
      <c r="B139" s="226"/>
      <c r="C139" s="226"/>
    </row>
    <row r="140" spans="2:3" x14ac:dyDescent="0.25">
      <c r="B140" s="226"/>
      <c r="C140" s="226"/>
    </row>
    <row r="141" spans="2:3" x14ac:dyDescent="0.25">
      <c r="B141" s="226"/>
      <c r="C141" s="226"/>
    </row>
    <row r="142" spans="2:3" x14ac:dyDescent="0.25">
      <c r="B142" s="226"/>
      <c r="C142" s="226"/>
    </row>
    <row r="143" spans="2:3" x14ac:dyDescent="0.25">
      <c r="B143" s="226"/>
      <c r="C143" s="226"/>
    </row>
    <row r="144" spans="2:3" x14ac:dyDescent="0.25">
      <c r="B144" s="226"/>
      <c r="C144" s="226"/>
    </row>
    <row r="145" spans="2:3" x14ac:dyDescent="0.25">
      <c r="B145" s="226"/>
      <c r="C145" s="226"/>
    </row>
    <row r="146" spans="2:3" x14ac:dyDescent="0.25">
      <c r="B146" s="226"/>
      <c r="C146" s="226"/>
    </row>
    <row r="147" spans="2:3" x14ac:dyDescent="0.25">
      <c r="B147" s="226"/>
      <c r="C147" s="226"/>
    </row>
    <row r="148" spans="2:3" x14ac:dyDescent="0.25">
      <c r="B148" s="226"/>
      <c r="C148" s="226"/>
    </row>
    <row r="149" spans="2:3" x14ac:dyDescent="0.25">
      <c r="B149" s="226"/>
      <c r="C149" s="226"/>
    </row>
    <row r="150" spans="2:3" x14ac:dyDescent="0.25">
      <c r="B150" s="226"/>
      <c r="C150" s="226"/>
    </row>
    <row r="151" spans="2:3" x14ac:dyDescent="0.25">
      <c r="B151" s="226"/>
      <c r="C151" s="226"/>
    </row>
  </sheetData>
  <mergeCells count="151">
    <mergeCell ref="B80:D80"/>
    <mergeCell ref="V76:X76"/>
    <mergeCell ref="Y76:Z76"/>
    <mergeCell ref="V77:X77"/>
    <mergeCell ref="Y77:Z77"/>
    <mergeCell ref="B78:D78"/>
    <mergeCell ref="V78:X78"/>
    <mergeCell ref="V70:X70"/>
    <mergeCell ref="Y70:Z70"/>
    <mergeCell ref="V71:X71"/>
    <mergeCell ref="Y71:Z71"/>
    <mergeCell ref="V72:AB72"/>
    <mergeCell ref="V73:AC73"/>
    <mergeCell ref="V74:W74"/>
    <mergeCell ref="V75:W75"/>
    <mergeCell ref="B79:D79"/>
    <mergeCell ref="V79:X79"/>
    <mergeCell ref="V65:W65"/>
    <mergeCell ref="X65:AC65"/>
    <mergeCell ref="V66:X66"/>
    <mergeCell ref="Y66:Z66"/>
    <mergeCell ref="V67:AC67"/>
    <mergeCell ref="V68:X68"/>
    <mergeCell ref="Y68:Z68"/>
    <mergeCell ref="V69:X69"/>
    <mergeCell ref="Y69:Z69"/>
    <mergeCell ref="V60:W60"/>
    <mergeCell ref="X60:AC60"/>
    <mergeCell ref="V61:W61"/>
    <mergeCell ref="X61:AC61"/>
    <mergeCell ref="V62:W62"/>
    <mergeCell ref="X62:AC62"/>
    <mergeCell ref="V63:AC63"/>
    <mergeCell ref="V64:W64"/>
    <mergeCell ref="X64:AC64"/>
    <mergeCell ref="V55:AC55"/>
    <mergeCell ref="V56:W56"/>
    <mergeCell ref="Y56:Z56"/>
    <mergeCell ref="AA56:AC56"/>
    <mergeCell ref="V57:AA57"/>
    <mergeCell ref="AB57:AC57"/>
    <mergeCell ref="V58:X58"/>
    <mergeCell ref="Y58:Z58"/>
    <mergeCell ref="V59:AC59"/>
    <mergeCell ref="X49:Y49"/>
    <mergeCell ref="X50:AB50"/>
    <mergeCell ref="V51:AC51"/>
    <mergeCell ref="V52:AC52"/>
    <mergeCell ref="V53:W53"/>
    <mergeCell ref="Y53:Z53"/>
    <mergeCell ref="AA53:AC53"/>
    <mergeCell ref="V54:AA54"/>
    <mergeCell ref="AB54:AC54"/>
    <mergeCell ref="V41:AC41"/>
    <mergeCell ref="V42:AC42"/>
    <mergeCell ref="V43:AC43"/>
    <mergeCell ref="V44:AB44"/>
    <mergeCell ref="V45:AC45"/>
    <mergeCell ref="X46:Y46"/>
    <mergeCell ref="Z46:AC46"/>
    <mergeCell ref="X47:Y47"/>
    <mergeCell ref="X48:Y48"/>
    <mergeCell ref="V37:W37"/>
    <mergeCell ref="X37:Y37"/>
    <mergeCell ref="Z37:AB37"/>
    <mergeCell ref="V38:AC38"/>
    <mergeCell ref="V39:W39"/>
    <mergeCell ref="X39:Y39"/>
    <mergeCell ref="Z39:AC39"/>
    <mergeCell ref="V40:W40"/>
    <mergeCell ref="X40:AA40"/>
    <mergeCell ref="V26:W26"/>
    <mergeCell ref="X26:Y26"/>
    <mergeCell ref="Z26:AA26"/>
    <mergeCell ref="V27:W27"/>
    <mergeCell ref="X27:Y27"/>
    <mergeCell ref="B28:C36"/>
    <mergeCell ref="V28:W36"/>
    <mergeCell ref="X28:Y28"/>
    <mergeCell ref="X29:Y29"/>
    <mergeCell ref="X30:Y30"/>
    <mergeCell ref="X31:Y31"/>
    <mergeCell ref="X32:Y32"/>
    <mergeCell ref="X33:Y33"/>
    <mergeCell ref="X34:Y34"/>
    <mergeCell ref="X35:Y35"/>
    <mergeCell ref="X36:Y36"/>
    <mergeCell ref="V23:W23"/>
    <mergeCell ref="X23:Y23"/>
    <mergeCell ref="Z23:AA23"/>
    <mergeCell ref="V24:W24"/>
    <mergeCell ref="X24:Y24"/>
    <mergeCell ref="Z24:AA24"/>
    <mergeCell ref="V25:W25"/>
    <mergeCell ref="X25:Y25"/>
    <mergeCell ref="Z25:AA25"/>
    <mergeCell ref="V20:W20"/>
    <mergeCell ref="X20:Y20"/>
    <mergeCell ref="Z20:AA20"/>
    <mergeCell ref="V21:W21"/>
    <mergeCell ref="X21:Y21"/>
    <mergeCell ref="Z21:AA21"/>
    <mergeCell ref="V22:W22"/>
    <mergeCell ref="X22:Y22"/>
    <mergeCell ref="Z22:AA22"/>
    <mergeCell ref="V17:W17"/>
    <mergeCell ref="X17:Y17"/>
    <mergeCell ref="Z17:AA17"/>
    <mergeCell ref="V18:W18"/>
    <mergeCell ref="X18:Y18"/>
    <mergeCell ref="Z18:AA18"/>
    <mergeCell ref="V19:W19"/>
    <mergeCell ref="X19:Y19"/>
    <mergeCell ref="Z19:AA19"/>
    <mergeCell ref="V14:W14"/>
    <mergeCell ref="X14:Y14"/>
    <mergeCell ref="Z14:AA14"/>
    <mergeCell ref="V15:W15"/>
    <mergeCell ref="X15:Y15"/>
    <mergeCell ref="Z15:AA15"/>
    <mergeCell ref="V16:W16"/>
    <mergeCell ref="X16:Y16"/>
    <mergeCell ref="Z16:AA16"/>
    <mergeCell ref="V11:W11"/>
    <mergeCell ref="X11:Y11"/>
    <mergeCell ref="Z11:AA11"/>
    <mergeCell ref="V12:W12"/>
    <mergeCell ref="X12:Y12"/>
    <mergeCell ref="Z12:AA12"/>
    <mergeCell ref="V13:W13"/>
    <mergeCell ref="X13:Y13"/>
    <mergeCell ref="Z13:AA13"/>
    <mergeCell ref="V8:W8"/>
    <mergeCell ref="X8:Y8"/>
    <mergeCell ref="Z8:AA8"/>
    <mergeCell ref="V9:W9"/>
    <mergeCell ref="X9:Y9"/>
    <mergeCell ref="Z9:AA9"/>
    <mergeCell ref="V10:W10"/>
    <mergeCell ref="X10:Y10"/>
    <mergeCell ref="Z10:AA10"/>
    <mergeCell ref="W2:AC2"/>
    <mergeCell ref="V3:AC3"/>
    <mergeCell ref="V4:AC4"/>
    <mergeCell ref="V5:W5"/>
    <mergeCell ref="X5:Y5"/>
    <mergeCell ref="V6:AC6"/>
    <mergeCell ref="V7:W7"/>
    <mergeCell ref="X7:Y7"/>
    <mergeCell ref="Z7:AA7"/>
    <mergeCell ref="AB7:AC7"/>
  </mergeCells>
  <printOptions horizontalCentered="1"/>
  <pageMargins left="0" right="0" top="0.67" bottom="0.2" header="0.25" footer="0.196850393700787"/>
  <pageSetup scale="63" fitToWidth="2" fitToHeight="2" orientation="portrait" horizontalDpi="4294967295" verticalDpi="4294967295" r:id="rId1"/>
  <headerFooter alignWithMargins="0">
    <oddHeader>&amp;L&amp;8&amp;F
&amp;D &amp;T</oddHeader>
    <oddFooter>&amp;C&amp;P</oddFooter>
  </headerFooter>
  <rowBreaks count="1" manualBreakCount="1">
    <brk id="51" max="16383" man="1"/>
  </rowBreaks>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51"/>
  <sheetViews>
    <sheetView topLeftCell="B50" zoomScale="70" zoomScaleNormal="70" workbookViewId="0">
      <selection activeCell="B2" sqref="B2"/>
    </sheetView>
  </sheetViews>
  <sheetFormatPr defaultColWidth="8.85546875" defaultRowHeight="15.75" x14ac:dyDescent="0.25"/>
  <cols>
    <col min="1" max="1" width="11.28515625" style="1" hidden="1" customWidth="1"/>
    <col min="2" max="2" width="10.28515625" style="2" customWidth="1"/>
    <col min="3" max="3" width="29" style="1" customWidth="1"/>
    <col min="4" max="5" width="12.28515625" style="1" customWidth="1"/>
    <col min="6" max="6" width="12.28515625" style="1" hidden="1" customWidth="1"/>
    <col min="7" max="7" width="15.28515625" style="1" customWidth="1"/>
    <col min="8" max="8" width="6.7109375" style="1" customWidth="1"/>
    <col min="9" max="9" width="12.5703125" style="1" customWidth="1"/>
    <col min="10" max="10" width="12.85546875" style="1" customWidth="1"/>
    <col min="11" max="11" width="13" style="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28515625" style="1" customWidth="1"/>
    <col min="18" max="18" width="8.85546875" style="1"/>
    <col min="19" max="21" width="0" style="1" hidden="1" customWidth="1"/>
    <col min="22" max="23" width="8.85546875" style="1"/>
    <col min="24" max="24" width="12.7109375" style="1" customWidth="1"/>
    <col min="25" max="27" width="8.85546875" style="1"/>
    <col min="28" max="28" width="13.140625" style="1" bestFit="1" customWidth="1"/>
    <col min="29" max="16384" width="8.85546875" style="1"/>
  </cols>
  <sheetData>
    <row r="1" spans="1:30" ht="15.6"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7"/>
      <c r="N2" s="3"/>
      <c r="O2" s="1"/>
      <c r="V2" s="8">
        <f>'3441'!B2</f>
        <v>50</v>
      </c>
      <c r="W2" s="606" t="s">
        <v>4</v>
      </c>
      <c r="X2" s="607"/>
      <c r="Y2" s="608"/>
      <c r="Z2" s="608"/>
      <c r="AA2" s="608"/>
      <c r="AB2" s="608"/>
      <c r="AC2" s="608"/>
      <c r="AD2" s="9"/>
    </row>
    <row r="3" spans="1:30" ht="20.25" x14ac:dyDescent="0.3">
      <c r="B3" s="10" t="str">
        <f>"Revenue Estimate Worksheet for "&amp;B124</f>
        <v>Revenue Estimate Worksheet for South Tech Prepartory Academy</v>
      </c>
      <c r="C3" s="11"/>
      <c r="D3" s="11"/>
      <c r="E3" s="11"/>
      <c r="F3" s="11"/>
      <c r="G3" s="11"/>
      <c r="H3" s="11"/>
      <c r="I3" s="11"/>
      <c r="J3" s="11"/>
      <c r="K3" s="11"/>
      <c r="L3" s="11"/>
      <c r="M3" s="10"/>
      <c r="N3" s="10"/>
      <c r="O3" s="10"/>
      <c r="P3" s="10"/>
      <c r="Q3" s="10"/>
      <c r="V3" s="609" t="s">
        <v>5</v>
      </c>
      <c r="W3" s="609"/>
      <c r="X3" s="609"/>
      <c r="Y3" s="609"/>
      <c r="Z3" s="609"/>
      <c r="AA3" s="609"/>
      <c r="AB3" s="609"/>
      <c r="AC3" s="609"/>
      <c r="AD3" s="12"/>
    </row>
    <row r="4" spans="1:30" ht="18.75" x14ac:dyDescent="0.3">
      <c r="B4" s="2" t="s">
        <v>6</v>
      </c>
      <c r="C4" s="13"/>
      <c r="D4" s="13"/>
      <c r="E4" s="13"/>
      <c r="F4" s="13"/>
      <c r="G4" s="13"/>
      <c r="H4" s="13"/>
      <c r="I4" s="13"/>
      <c r="J4" s="13"/>
      <c r="K4" s="13"/>
      <c r="L4" s="13"/>
      <c r="M4" s="14"/>
      <c r="N4" s="14"/>
      <c r="O4" s="14"/>
      <c r="P4" s="14"/>
      <c r="Q4" s="14"/>
      <c r="V4" s="610" t="str">
        <f>+Based_on_the_Second_Calculation_of_the_FEFP_2010_11</f>
        <v>Based on the Fourth Calculation of the FEFP 2013-14</v>
      </c>
      <c r="W4" s="610"/>
      <c r="X4" s="610"/>
      <c r="Y4" s="610"/>
      <c r="Z4" s="610"/>
      <c r="AA4" s="610"/>
      <c r="AB4" s="610"/>
      <c r="AC4" s="610"/>
      <c r="AD4" s="15"/>
    </row>
    <row r="5" spans="1:30" ht="18.75" customHeight="1" x14ac:dyDescent="0.25">
      <c r="B5" s="16" t="s">
        <v>7</v>
      </c>
      <c r="C5" s="16"/>
      <c r="D5" s="16"/>
      <c r="E5" s="16"/>
      <c r="F5" s="16"/>
      <c r="G5" s="17" t="s">
        <v>8</v>
      </c>
      <c r="H5" s="17"/>
      <c r="I5" s="17"/>
      <c r="J5" s="17"/>
      <c r="K5" s="17"/>
      <c r="L5" s="17"/>
      <c r="M5" s="18"/>
      <c r="N5" s="18"/>
      <c r="O5" s="18"/>
      <c r="P5" s="18"/>
      <c r="Q5" s="18"/>
      <c r="V5" s="611" t="s">
        <v>7</v>
      </c>
      <c r="W5" s="611"/>
      <c r="X5" s="612" t="s">
        <v>8</v>
      </c>
      <c r="Y5" s="612"/>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613" t="s">
        <v>9</v>
      </c>
      <c r="W6" s="613"/>
      <c r="X6" s="613"/>
      <c r="Y6" s="613"/>
      <c r="Z6" s="613"/>
      <c r="AA6" s="613"/>
      <c r="AB6" s="613"/>
      <c r="AC6" s="613"/>
      <c r="AD6" s="22"/>
    </row>
    <row r="7" spans="1:30" ht="18" customHeight="1" x14ac:dyDescent="0.25">
      <c r="B7" s="23" t="s">
        <v>10</v>
      </c>
      <c r="C7" s="23"/>
      <c r="D7" s="23"/>
      <c r="E7" s="23"/>
      <c r="F7" s="23"/>
      <c r="G7" s="24">
        <v>3752.3</v>
      </c>
      <c r="H7" s="24"/>
      <c r="I7" s="23" t="s">
        <v>11</v>
      </c>
      <c r="J7" s="23"/>
      <c r="K7" s="25">
        <v>1.0326</v>
      </c>
      <c r="L7" s="25"/>
      <c r="O7" s="1"/>
      <c r="V7" s="620" t="s">
        <v>10</v>
      </c>
      <c r="W7" s="620"/>
      <c r="X7" s="621">
        <f>'3441'!G7</f>
        <v>3752.3</v>
      </c>
      <c r="Y7" s="621"/>
      <c r="Z7" s="622" t="s">
        <v>11</v>
      </c>
      <c r="AA7" s="622"/>
      <c r="AB7" s="602">
        <f>+K7</f>
        <v>1.0326</v>
      </c>
      <c r="AC7" s="602"/>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603" t="s">
        <v>12</v>
      </c>
      <c r="W8" s="603"/>
      <c r="X8" s="604" t="s">
        <v>15</v>
      </c>
      <c r="Y8" s="604"/>
      <c r="Z8" s="605" t="s">
        <v>16</v>
      </c>
      <c r="AA8" s="605"/>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614" t="s">
        <v>22</v>
      </c>
      <c r="W9" s="614"/>
      <c r="X9" s="615" t="s">
        <v>23</v>
      </c>
      <c r="Y9" s="615"/>
      <c r="Z9" s="616" t="s">
        <v>24</v>
      </c>
      <c r="AA9" s="616"/>
      <c r="AB9" s="43" t="s">
        <v>25</v>
      </c>
      <c r="AC9" s="44" t="s">
        <v>26</v>
      </c>
      <c r="AD9" s="9"/>
    </row>
    <row r="10" spans="1:30" x14ac:dyDescent="0.25">
      <c r="A10" s="1" t="s">
        <v>27</v>
      </c>
      <c r="B10" s="45" t="s">
        <v>28</v>
      </c>
      <c r="C10" s="45"/>
      <c r="D10" s="45">
        <v>0</v>
      </c>
      <c r="E10" s="45">
        <v>0</v>
      </c>
      <c r="F10" s="45">
        <v>223.71</v>
      </c>
      <c r="G10" s="46">
        <f>D10+E10</f>
        <v>0</v>
      </c>
      <c r="H10" s="47"/>
      <c r="I10" s="48">
        <v>1.125</v>
      </c>
      <c r="J10" s="48"/>
      <c r="K10" s="49">
        <f>ROUND(G10*I10,4)</f>
        <v>0</v>
      </c>
      <c r="L10" s="50">
        <f>ROUND(ROUND(K10*$G$7,4)*($K$7),0)</f>
        <v>0</v>
      </c>
      <c r="N10" s="51">
        <v>5101</v>
      </c>
      <c r="O10" s="52">
        <v>101</v>
      </c>
      <c r="P10" s="53"/>
      <c r="Q10" s="54"/>
      <c r="V10" s="617" t="s">
        <v>28</v>
      </c>
      <c r="W10" s="617"/>
      <c r="X10" s="618">
        <f>IF('3441'!K$84=1,'3441'!G10,0)</f>
        <v>0</v>
      </c>
      <c r="Y10" s="618"/>
      <c r="Z10" s="619">
        <v>1</v>
      </c>
      <c r="AA10" s="619"/>
      <c r="AB10" s="55">
        <f t="shared" ref="AB10:AB25" si="0">ROUND(X10*Z10,4)</f>
        <v>0</v>
      </c>
      <c r="AC10" s="56">
        <f t="shared" ref="AC10:AC25" si="1">ROUND(ROUND(AB10*$X$7,4)*($AB$7),0)</f>
        <v>0</v>
      </c>
      <c r="AD10" s="9">
        <v>1</v>
      </c>
    </row>
    <row r="11" spans="1:30" x14ac:dyDescent="0.25">
      <c r="A11" s="1" t="s">
        <v>29</v>
      </c>
      <c r="B11" s="13" t="s">
        <v>30</v>
      </c>
      <c r="C11" s="13"/>
      <c r="D11" s="13">
        <v>0</v>
      </c>
      <c r="E11" s="13">
        <v>0</v>
      </c>
      <c r="F11" s="13">
        <v>17.989999999999998</v>
      </c>
      <c r="G11" s="46">
        <f t="shared" ref="G11:G25" si="2">D11+E11</f>
        <v>0</v>
      </c>
      <c r="H11" s="47"/>
      <c r="I11" s="57">
        <f>I10</f>
        <v>1.125</v>
      </c>
      <c r="J11" s="57"/>
      <c r="K11" s="49">
        <f t="shared" ref="K11:K25" si="3">ROUND(G11*I11,4)</f>
        <v>0</v>
      </c>
      <c r="L11" s="50">
        <f t="shared" ref="L11:L25" si="4">ROUND(ROUND(K11*$G$7,4)*($K$7),0)</f>
        <v>0</v>
      </c>
      <c r="M11" s="1" t="str">
        <f>IF(ROUND(G11,2)=ROUND(SUM(G28:G30),2)," ","CHECK 2. PK-3 Lines Below")</f>
        <v xml:space="preserve"> </v>
      </c>
      <c r="N11" s="51">
        <v>5101</v>
      </c>
      <c r="O11" s="58" t="s">
        <v>31</v>
      </c>
      <c r="P11" s="53"/>
      <c r="Q11" s="54"/>
      <c r="V11" s="623" t="s">
        <v>30</v>
      </c>
      <c r="W11" s="623"/>
      <c r="X11" s="618">
        <f>IF('3441'!K$84=1,'3441'!G11,0)</f>
        <v>0</v>
      </c>
      <c r="Y11" s="618"/>
      <c r="Z11" s="624">
        <v>1</v>
      </c>
      <c r="AA11" s="624"/>
      <c r="AB11" s="55">
        <f t="shared" si="0"/>
        <v>0</v>
      </c>
      <c r="AC11" s="56">
        <f t="shared" si="1"/>
        <v>0</v>
      </c>
      <c r="AD11" s="9"/>
    </row>
    <row r="12" spans="1:30" x14ac:dyDescent="0.25">
      <c r="A12" s="1" t="s">
        <v>32</v>
      </c>
      <c r="B12" s="13" t="s">
        <v>33</v>
      </c>
      <c r="C12" s="13"/>
      <c r="D12" s="13">
        <v>41.17</v>
      </c>
      <c r="E12" s="13">
        <v>37.5</v>
      </c>
      <c r="F12" s="13">
        <v>179.23</v>
      </c>
      <c r="G12" s="46">
        <f t="shared" si="2"/>
        <v>78.67</v>
      </c>
      <c r="H12" s="47"/>
      <c r="I12" s="57">
        <v>1</v>
      </c>
      <c r="J12" s="57"/>
      <c r="K12" s="49">
        <f t="shared" si="3"/>
        <v>78.67</v>
      </c>
      <c r="L12" s="50">
        <f t="shared" si="4"/>
        <v>304817</v>
      </c>
      <c r="N12" s="51">
        <v>5102</v>
      </c>
      <c r="O12" s="52">
        <v>102</v>
      </c>
      <c r="P12" s="53"/>
      <c r="Q12" s="54"/>
      <c r="V12" s="623" t="s">
        <v>33</v>
      </c>
      <c r="W12" s="623"/>
      <c r="X12" s="618">
        <f>IF('3441'!K$84=1,'3441'!G12,0)</f>
        <v>0</v>
      </c>
      <c r="Y12" s="618"/>
      <c r="Z12" s="624">
        <v>1</v>
      </c>
      <c r="AA12" s="624"/>
      <c r="AB12" s="55">
        <f t="shared" si="0"/>
        <v>0</v>
      </c>
      <c r="AC12" s="56">
        <f t="shared" si="1"/>
        <v>0</v>
      </c>
      <c r="AD12" s="9"/>
    </row>
    <row r="13" spans="1:30" x14ac:dyDescent="0.25">
      <c r="A13" s="1" t="s">
        <v>34</v>
      </c>
      <c r="B13" s="13" t="s">
        <v>35</v>
      </c>
      <c r="C13" s="13"/>
      <c r="D13" s="13">
        <v>2.56</v>
      </c>
      <c r="E13" s="13">
        <v>2.94</v>
      </c>
      <c r="F13" s="13">
        <v>20.87</v>
      </c>
      <c r="G13" s="46">
        <f t="shared" si="2"/>
        <v>5.5</v>
      </c>
      <c r="H13" s="47"/>
      <c r="I13" s="57">
        <f>I12</f>
        <v>1</v>
      </c>
      <c r="J13" s="57"/>
      <c r="K13" s="49">
        <f t="shared" si="3"/>
        <v>5.5</v>
      </c>
      <c r="L13" s="50">
        <f t="shared" si="4"/>
        <v>21310</v>
      </c>
      <c r="M13" s="1" t="str">
        <f>IF(ROUND(G13,2)=ROUND(SUM(G31:G33),2)," ","CHECK 2. PK-3 Lines Below")</f>
        <v xml:space="preserve"> </v>
      </c>
      <c r="N13" s="51">
        <v>5102</v>
      </c>
      <c r="O13" s="58" t="s">
        <v>36</v>
      </c>
      <c r="P13" s="53"/>
      <c r="Q13" s="54"/>
      <c r="V13" s="623" t="s">
        <v>35</v>
      </c>
      <c r="W13" s="623"/>
      <c r="X13" s="618">
        <f>IF('3441'!K$84=1,'3441'!G13,0)</f>
        <v>0</v>
      </c>
      <c r="Y13" s="618"/>
      <c r="Z13" s="624">
        <v>1</v>
      </c>
      <c r="AA13" s="624"/>
      <c r="AB13" s="55">
        <f t="shared" si="0"/>
        <v>0</v>
      </c>
      <c r="AC13" s="56">
        <f t="shared" si="1"/>
        <v>0</v>
      </c>
      <c r="AD13" s="9"/>
    </row>
    <row r="14" spans="1:30" x14ac:dyDescent="0.25">
      <c r="A14" s="1" t="s">
        <v>37</v>
      </c>
      <c r="B14" s="13" t="s">
        <v>38</v>
      </c>
      <c r="C14" s="13"/>
      <c r="D14" s="13">
        <v>0</v>
      </c>
      <c r="E14" s="13">
        <v>0</v>
      </c>
      <c r="F14" s="13">
        <v>0</v>
      </c>
      <c r="G14" s="46">
        <f t="shared" si="2"/>
        <v>0</v>
      </c>
      <c r="H14" s="47"/>
      <c r="I14" s="57">
        <v>1.0109999999999999</v>
      </c>
      <c r="J14" s="57"/>
      <c r="K14" s="49">
        <f t="shared" si="3"/>
        <v>0</v>
      </c>
      <c r="L14" s="50">
        <f t="shared" si="4"/>
        <v>0</v>
      </c>
      <c r="N14" s="51">
        <v>5103</v>
      </c>
      <c r="O14" s="52">
        <v>103</v>
      </c>
      <c r="P14" s="53"/>
      <c r="Q14" s="54"/>
      <c r="V14" s="623" t="s">
        <v>38</v>
      </c>
      <c r="W14" s="623"/>
      <c r="X14" s="618">
        <f>IF('3441'!K$84=1,'3441'!G14,0)</f>
        <v>0</v>
      </c>
      <c r="Y14" s="618"/>
      <c r="Z14" s="624">
        <v>1</v>
      </c>
      <c r="AA14" s="624"/>
      <c r="AB14" s="55">
        <f t="shared" si="0"/>
        <v>0</v>
      </c>
      <c r="AC14" s="56">
        <f t="shared" si="1"/>
        <v>0</v>
      </c>
      <c r="AD14" s="9"/>
    </row>
    <row r="15" spans="1:30" x14ac:dyDescent="0.25">
      <c r="A15" s="1" t="s">
        <v>39</v>
      </c>
      <c r="B15" s="13" t="s">
        <v>40</v>
      </c>
      <c r="C15" s="13"/>
      <c r="D15" s="13">
        <v>0</v>
      </c>
      <c r="E15" s="13">
        <v>0</v>
      </c>
      <c r="F15" s="13">
        <v>0</v>
      </c>
      <c r="G15" s="46">
        <f t="shared" si="2"/>
        <v>0</v>
      </c>
      <c r="H15" s="47"/>
      <c r="I15" s="57">
        <f>I14</f>
        <v>1.0109999999999999</v>
      </c>
      <c r="J15" s="57"/>
      <c r="K15" s="49">
        <f t="shared" si="3"/>
        <v>0</v>
      </c>
      <c r="L15" s="59">
        <f t="shared" si="4"/>
        <v>0</v>
      </c>
      <c r="M15" s="1" t="str">
        <f>IF(ROUND(G15,2)=ROUND(SUM(G34:G36),2)," ","CHECK 2. PK-3 Lines Below")</f>
        <v xml:space="preserve"> </v>
      </c>
      <c r="N15" s="51">
        <v>5103</v>
      </c>
      <c r="O15" s="58" t="s">
        <v>41</v>
      </c>
      <c r="P15" s="53"/>
      <c r="Q15" s="54"/>
      <c r="V15" s="623" t="s">
        <v>40</v>
      </c>
      <c r="W15" s="623"/>
      <c r="X15" s="618">
        <f>IF('3441'!K$84=1,'3441'!G15,0)</f>
        <v>0</v>
      </c>
      <c r="Y15" s="618"/>
      <c r="Z15" s="624">
        <v>1</v>
      </c>
      <c r="AA15" s="624"/>
      <c r="AB15" s="55">
        <f t="shared" si="0"/>
        <v>0</v>
      </c>
      <c r="AC15" s="60">
        <f t="shared" si="1"/>
        <v>0</v>
      </c>
      <c r="AD15" s="9"/>
    </row>
    <row r="16" spans="1:30" x14ac:dyDescent="0.25">
      <c r="A16" s="1" t="s">
        <v>42</v>
      </c>
      <c r="B16" s="13" t="s">
        <v>43</v>
      </c>
      <c r="C16" s="13"/>
      <c r="D16" s="13">
        <v>0</v>
      </c>
      <c r="E16" s="13">
        <v>0</v>
      </c>
      <c r="F16" s="13">
        <v>0</v>
      </c>
      <c r="G16" s="46">
        <f t="shared" si="2"/>
        <v>0</v>
      </c>
      <c r="H16" s="47"/>
      <c r="I16" s="57">
        <v>3.5579999999999998</v>
      </c>
      <c r="J16" s="57"/>
      <c r="K16" s="49">
        <f t="shared" si="3"/>
        <v>0</v>
      </c>
      <c r="L16" s="50">
        <f t="shared" si="4"/>
        <v>0</v>
      </c>
      <c r="N16" s="51">
        <v>5101</v>
      </c>
      <c r="O16" s="53">
        <v>254</v>
      </c>
      <c r="P16" s="53"/>
      <c r="Q16" s="54"/>
      <c r="V16" s="623" t="s">
        <v>43</v>
      </c>
      <c r="W16" s="623"/>
      <c r="X16" s="618">
        <f>IF('3441'!K$84=1,'3441'!G16,0)</f>
        <v>0</v>
      </c>
      <c r="Y16" s="618"/>
      <c r="Z16" s="624">
        <v>1</v>
      </c>
      <c r="AA16" s="624"/>
      <c r="AB16" s="55">
        <f t="shared" si="0"/>
        <v>0</v>
      </c>
      <c r="AC16" s="56">
        <f t="shared" si="1"/>
        <v>0</v>
      </c>
      <c r="AD16" s="9"/>
    </row>
    <row r="17" spans="1:30" x14ac:dyDescent="0.25">
      <c r="A17" s="1" t="s">
        <v>44</v>
      </c>
      <c r="B17" s="13" t="s">
        <v>45</v>
      </c>
      <c r="C17" s="13"/>
      <c r="D17" s="13">
        <v>0</v>
      </c>
      <c r="E17" s="13">
        <v>0</v>
      </c>
      <c r="F17" s="13">
        <v>0</v>
      </c>
      <c r="G17" s="46">
        <f t="shared" si="2"/>
        <v>0</v>
      </c>
      <c r="H17" s="47"/>
      <c r="I17" s="57">
        <f>I16</f>
        <v>3.5579999999999998</v>
      </c>
      <c r="J17" s="57"/>
      <c r="K17" s="49">
        <f t="shared" si="3"/>
        <v>0</v>
      </c>
      <c r="L17" s="50">
        <f t="shared" si="4"/>
        <v>0</v>
      </c>
      <c r="N17" s="51">
        <v>5102</v>
      </c>
      <c r="O17" s="54">
        <v>254</v>
      </c>
      <c r="P17" s="53"/>
      <c r="Q17" s="54"/>
      <c r="V17" s="623" t="s">
        <v>45</v>
      </c>
      <c r="W17" s="623"/>
      <c r="X17" s="618">
        <f>IF('3441'!K$84=1,'3441'!G17,0)</f>
        <v>0</v>
      </c>
      <c r="Y17" s="618"/>
      <c r="Z17" s="624">
        <v>1</v>
      </c>
      <c r="AA17" s="624"/>
      <c r="AB17" s="55">
        <f t="shared" si="0"/>
        <v>0</v>
      </c>
      <c r="AC17" s="56">
        <f t="shared" si="1"/>
        <v>0</v>
      </c>
      <c r="AD17" s="9"/>
    </row>
    <row r="18" spans="1:30" x14ac:dyDescent="0.25">
      <c r="A18" s="1" t="s">
        <v>46</v>
      </c>
      <c r="B18" s="13" t="s">
        <v>47</v>
      </c>
      <c r="C18" s="13"/>
      <c r="D18" s="13">
        <v>0</v>
      </c>
      <c r="E18" s="13">
        <v>0</v>
      </c>
      <c r="F18" s="13">
        <v>0</v>
      </c>
      <c r="G18" s="46">
        <f t="shared" si="2"/>
        <v>0</v>
      </c>
      <c r="H18" s="47"/>
      <c r="I18" s="57">
        <f>I17</f>
        <v>3.5579999999999998</v>
      </c>
      <c r="J18" s="57"/>
      <c r="K18" s="49">
        <f t="shared" si="3"/>
        <v>0</v>
      </c>
      <c r="L18" s="50">
        <f t="shared" si="4"/>
        <v>0</v>
      </c>
      <c r="N18" s="51">
        <v>5103</v>
      </c>
      <c r="O18" s="54">
        <v>254</v>
      </c>
      <c r="P18" s="53"/>
      <c r="Q18" s="54"/>
      <c r="V18" s="623" t="s">
        <v>47</v>
      </c>
      <c r="W18" s="623"/>
      <c r="X18" s="618">
        <f>IF('3441'!K$84=1,'3441'!G18,0)</f>
        <v>0</v>
      </c>
      <c r="Y18" s="618"/>
      <c r="Z18" s="624">
        <v>1</v>
      </c>
      <c r="AA18" s="624"/>
      <c r="AB18" s="55">
        <f t="shared" si="0"/>
        <v>0</v>
      </c>
      <c r="AC18" s="56">
        <f t="shared" si="1"/>
        <v>0</v>
      </c>
      <c r="AD18" s="9"/>
    </row>
    <row r="19" spans="1:30" ht="15" customHeight="1" x14ac:dyDescent="0.25">
      <c r="A19" s="1" t="s">
        <v>48</v>
      </c>
      <c r="B19" s="13" t="s">
        <v>49</v>
      </c>
      <c r="C19" s="13"/>
      <c r="D19" s="13">
        <v>0</v>
      </c>
      <c r="E19" s="13">
        <v>0</v>
      </c>
      <c r="F19" s="13">
        <v>0</v>
      </c>
      <c r="G19" s="46">
        <f t="shared" si="2"/>
        <v>0</v>
      </c>
      <c r="H19" s="47"/>
      <c r="I19" s="57">
        <v>5.0890000000000004</v>
      </c>
      <c r="J19" s="57"/>
      <c r="K19" s="49">
        <f t="shared" si="3"/>
        <v>0</v>
      </c>
      <c r="L19" s="50">
        <f t="shared" si="4"/>
        <v>0</v>
      </c>
      <c r="N19" s="51">
        <v>5101</v>
      </c>
      <c r="O19" s="53">
        <v>255</v>
      </c>
      <c r="P19" s="53"/>
      <c r="Q19" s="54"/>
      <c r="V19" s="623" t="s">
        <v>49</v>
      </c>
      <c r="W19" s="623"/>
      <c r="X19" s="618">
        <f>IF('3441'!K$84=1,'3441'!G19,0)</f>
        <v>0</v>
      </c>
      <c r="Y19" s="618"/>
      <c r="Z19" s="624">
        <v>1</v>
      </c>
      <c r="AA19" s="624"/>
      <c r="AB19" s="55">
        <f t="shared" si="0"/>
        <v>0</v>
      </c>
      <c r="AC19" s="56">
        <f t="shared" si="1"/>
        <v>0</v>
      </c>
      <c r="AD19" s="9"/>
    </row>
    <row r="20" spans="1:30" ht="15" customHeight="1" x14ac:dyDescent="0.25">
      <c r="A20" s="1" t="s">
        <v>50</v>
      </c>
      <c r="B20" s="13" t="s">
        <v>51</v>
      </c>
      <c r="C20" s="13"/>
      <c r="D20" s="13">
        <v>0</v>
      </c>
      <c r="E20" s="13">
        <v>0</v>
      </c>
      <c r="F20" s="13">
        <v>0</v>
      </c>
      <c r="G20" s="46">
        <f t="shared" si="2"/>
        <v>0</v>
      </c>
      <c r="H20" s="47"/>
      <c r="I20" s="57">
        <f>I19</f>
        <v>5.0890000000000004</v>
      </c>
      <c r="J20" s="57"/>
      <c r="K20" s="49">
        <f t="shared" si="3"/>
        <v>0</v>
      </c>
      <c r="L20" s="50">
        <f t="shared" si="4"/>
        <v>0</v>
      </c>
      <c r="N20" s="51">
        <v>5102</v>
      </c>
      <c r="O20" s="54">
        <v>255</v>
      </c>
      <c r="P20" s="53"/>
      <c r="Q20" s="54"/>
      <c r="V20" s="623" t="s">
        <v>51</v>
      </c>
      <c r="W20" s="623"/>
      <c r="X20" s="618">
        <f>IF('3441'!K$84=1,'3441'!G20,0)</f>
        <v>0</v>
      </c>
      <c r="Y20" s="618"/>
      <c r="Z20" s="624">
        <v>1</v>
      </c>
      <c r="AA20" s="624"/>
      <c r="AB20" s="55">
        <f t="shared" si="0"/>
        <v>0</v>
      </c>
      <c r="AC20" s="56">
        <f t="shared" si="1"/>
        <v>0</v>
      </c>
      <c r="AD20" s="9"/>
    </row>
    <row r="21" spans="1:30" ht="15" customHeight="1" x14ac:dyDescent="0.25">
      <c r="A21" s="1" t="s">
        <v>52</v>
      </c>
      <c r="B21" s="13" t="s">
        <v>53</v>
      </c>
      <c r="C21" s="13"/>
      <c r="D21" s="13">
        <v>0</v>
      </c>
      <c r="E21" s="13">
        <v>0</v>
      </c>
      <c r="F21" s="13">
        <v>0</v>
      </c>
      <c r="G21" s="46">
        <f t="shared" si="2"/>
        <v>0</v>
      </c>
      <c r="H21" s="47"/>
      <c r="I21" s="57">
        <f>I20</f>
        <v>5.0890000000000004</v>
      </c>
      <c r="J21" s="57"/>
      <c r="K21" s="49">
        <f t="shared" si="3"/>
        <v>0</v>
      </c>
      <c r="L21" s="50">
        <f t="shared" si="4"/>
        <v>0</v>
      </c>
      <c r="N21" s="51">
        <v>5103</v>
      </c>
      <c r="O21" s="54">
        <v>255</v>
      </c>
      <c r="P21" s="53"/>
      <c r="Q21" s="54"/>
      <c r="V21" s="623" t="s">
        <v>53</v>
      </c>
      <c r="W21" s="623"/>
      <c r="X21" s="618">
        <f>IF('3441'!K$84=1,'3441'!G21,0)</f>
        <v>0</v>
      </c>
      <c r="Y21" s="618"/>
      <c r="Z21" s="624">
        <v>1</v>
      </c>
      <c r="AA21" s="624"/>
      <c r="AB21" s="55">
        <f t="shared" si="0"/>
        <v>0</v>
      </c>
      <c r="AC21" s="56">
        <f t="shared" si="1"/>
        <v>0</v>
      </c>
      <c r="AD21" s="9"/>
    </row>
    <row r="22" spans="1:30" x14ac:dyDescent="0.25">
      <c r="A22" s="1" t="s">
        <v>54</v>
      </c>
      <c r="B22" s="13" t="s">
        <v>55</v>
      </c>
      <c r="C22" s="13"/>
      <c r="D22" s="13">
        <v>0</v>
      </c>
      <c r="E22" s="13">
        <v>0</v>
      </c>
      <c r="F22" s="13">
        <v>22.31</v>
      </c>
      <c r="G22" s="46">
        <f t="shared" si="2"/>
        <v>0</v>
      </c>
      <c r="H22" s="47"/>
      <c r="I22" s="57">
        <v>1.145</v>
      </c>
      <c r="J22" s="57"/>
      <c r="K22" s="49">
        <f t="shared" si="3"/>
        <v>0</v>
      </c>
      <c r="L22" s="50">
        <f t="shared" si="4"/>
        <v>0</v>
      </c>
      <c r="N22" s="51">
        <v>5101</v>
      </c>
      <c r="O22" s="52">
        <v>130</v>
      </c>
      <c r="P22" s="53"/>
      <c r="Q22" s="54"/>
      <c r="V22" s="623" t="s">
        <v>55</v>
      </c>
      <c r="W22" s="623"/>
      <c r="X22" s="618">
        <f>IF('3441'!K$84=1,'3441'!G22,0)</f>
        <v>0</v>
      </c>
      <c r="Y22" s="618"/>
      <c r="Z22" s="624">
        <v>1</v>
      </c>
      <c r="AA22" s="624"/>
      <c r="AB22" s="55">
        <f t="shared" si="0"/>
        <v>0</v>
      </c>
      <c r="AC22" s="56">
        <f t="shared" si="1"/>
        <v>0</v>
      </c>
      <c r="AD22" s="9"/>
    </row>
    <row r="23" spans="1:30" x14ac:dyDescent="0.25">
      <c r="A23" s="1" t="s">
        <v>56</v>
      </c>
      <c r="B23" s="13" t="s">
        <v>57</v>
      </c>
      <c r="C23" s="13"/>
      <c r="D23" s="13">
        <v>0.67</v>
      </c>
      <c r="E23" s="13">
        <v>0.22</v>
      </c>
      <c r="F23" s="13">
        <v>0</v>
      </c>
      <c r="G23" s="46">
        <f t="shared" si="2"/>
        <v>0.89</v>
      </c>
      <c r="H23" s="47"/>
      <c r="I23" s="57">
        <f>I22</f>
        <v>1.145</v>
      </c>
      <c r="J23" s="57"/>
      <c r="K23" s="49">
        <f t="shared" si="3"/>
        <v>1.0190999999999999</v>
      </c>
      <c r="L23" s="50">
        <f t="shared" si="4"/>
        <v>3949</v>
      </c>
      <c r="N23" s="51">
        <v>5102</v>
      </c>
      <c r="O23" s="52">
        <v>130</v>
      </c>
      <c r="P23" s="53"/>
      <c r="Q23" s="54"/>
      <c r="V23" s="623" t="s">
        <v>57</v>
      </c>
      <c r="W23" s="623"/>
      <c r="X23" s="618">
        <f>IF('3441'!K$84=1,'3441'!G23,0)</f>
        <v>0</v>
      </c>
      <c r="Y23" s="618"/>
      <c r="Z23" s="624">
        <v>1</v>
      </c>
      <c r="AA23" s="624"/>
      <c r="AB23" s="55">
        <f t="shared" si="0"/>
        <v>0</v>
      </c>
      <c r="AC23" s="56">
        <f t="shared" si="1"/>
        <v>0</v>
      </c>
      <c r="AD23" s="9"/>
    </row>
    <row r="24" spans="1:30" x14ac:dyDescent="0.25">
      <c r="A24" s="1" t="s">
        <v>58</v>
      </c>
      <c r="B24" s="13" t="s">
        <v>59</v>
      </c>
      <c r="C24" s="13"/>
      <c r="D24" s="13">
        <v>0</v>
      </c>
      <c r="E24" s="13">
        <v>0</v>
      </c>
      <c r="F24" s="13">
        <v>0</v>
      </c>
      <c r="G24" s="46">
        <f t="shared" si="2"/>
        <v>0</v>
      </c>
      <c r="H24" s="47"/>
      <c r="I24" s="57">
        <f>I23</f>
        <v>1.145</v>
      </c>
      <c r="J24" s="57"/>
      <c r="K24" s="49">
        <f t="shared" si="3"/>
        <v>0</v>
      </c>
      <c r="L24" s="50">
        <f t="shared" si="4"/>
        <v>0</v>
      </c>
      <c r="N24" s="51">
        <v>5103</v>
      </c>
      <c r="O24" s="52">
        <v>130</v>
      </c>
      <c r="P24" s="53"/>
      <c r="Q24" s="54"/>
      <c r="V24" s="623" t="s">
        <v>59</v>
      </c>
      <c r="W24" s="623"/>
      <c r="X24" s="618">
        <f>IF('3441'!K$84=1,'3441'!G24,0)</f>
        <v>0</v>
      </c>
      <c r="Y24" s="618"/>
      <c r="Z24" s="624">
        <v>1</v>
      </c>
      <c r="AA24" s="624"/>
      <c r="AB24" s="55">
        <f t="shared" si="0"/>
        <v>0</v>
      </c>
      <c r="AC24" s="56">
        <f t="shared" si="1"/>
        <v>0</v>
      </c>
      <c r="AD24" s="9"/>
    </row>
    <row r="25" spans="1:30" ht="16.5" thickBot="1" x14ac:dyDescent="0.3">
      <c r="A25" s="1" t="s">
        <v>60</v>
      </c>
      <c r="B25" s="13" t="s">
        <v>61</v>
      </c>
      <c r="C25" s="13"/>
      <c r="D25" s="13">
        <v>0</v>
      </c>
      <c r="E25" s="13">
        <v>0</v>
      </c>
      <c r="F25" s="13">
        <v>0</v>
      </c>
      <c r="G25" s="46">
        <f t="shared" si="2"/>
        <v>0</v>
      </c>
      <c r="H25" s="47"/>
      <c r="I25" s="57">
        <v>1.0109999999999999</v>
      </c>
      <c r="J25" s="57"/>
      <c r="K25" s="49">
        <f t="shared" si="3"/>
        <v>0</v>
      </c>
      <c r="L25" s="50">
        <f t="shared" si="4"/>
        <v>0</v>
      </c>
      <c r="N25" s="51">
        <v>5310</v>
      </c>
      <c r="O25" s="52">
        <v>300</v>
      </c>
      <c r="P25" s="53"/>
      <c r="Q25" s="54"/>
      <c r="V25" s="623" t="s">
        <v>61</v>
      </c>
      <c r="W25" s="623"/>
      <c r="X25" s="618">
        <f>IF('3441'!K$84=1,'3441'!G25,0)</f>
        <v>0</v>
      </c>
      <c r="Y25" s="618"/>
      <c r="Z25" s="624">
        <v>1</v>
      </c>
      <c r="AA25" s="624"/>
      <c r="AB25" s="55">
        <f t="shared" si="0"/>
        <v>0</v>
      </c>
      <c r="AC25" s="56">
        <f t="shared" si="1"/>
        <v>0</v>
      </c>
      <c r="AD25" s="9"/>
    </row>
    <row r="26" spans="1:30" ht="20.25" customHeight="1" thickBot="1" x14ac:dyDescent="0.3">
      <c r="B26" s="62" t="s">
        <v>62</v>
      </c>
      <c r="C26" s="62"/>
      <c r="D26" s="63">
        <f t="shared" ref="D26:E26" si="5">SUM(D10:D25)</f>
        <v>44.400000000000006</v>
      </c>
      <c r="E26" s="63">
        <f t="shared" si="5"/>
        <v>40.659999999999997</v>
      </c>
      <c r="F26" s="63"/>
      <c r="G26" s="63">
        <f>SUM(G10:G25)</f>
        <v>85.06</v>
      </c>
      <c r="H26" s="64"/>
      <c r="I26" s="64"/>
      <c r="J26" s="65"/>
      <c r="K26" s="66">
        <f>SUM(K10:K25)</f>
        <v>85.189099999999996</v>
      </c>
      <c r="L26" s="67">
        <f>SUM(L10:L25)</f>
        <v>330076</v>
      </c>
      <c r="N26" s="54"/>
      <c r="O26" s="68"/>
      <c r="P26" s="54"/>
      <c r="Q26" s="54"/>
      <c r="V26" s="625" t="s">
        <v>62</v>
      </c>
      <c r="W26" s="625"/>
      <c r="X26" s="626">
        <f>SUM(X10:X25)</f>
        <v>0</v>
      </c>
      <c r="Y26" s="626"/>
      <c r="Z26" s="627"/>
      <c r="AA26" s="628"/>
      <c r="AB26" s="69">
        <f>SUM(AB10:AB25)</f>
        <v>0</v>
      </c>
      <c r="AC26" s="70">
        <f>SUM(AC10:AC25)</f>
        <v>0</v>
      </c>
      <c r="AD26" s="9"/>
    </row>
    <row r="27" spans="1:30" ht="51.75" customHeight="1" x14ac:dyDescent="0.25">
      <c r="B27" s="62" t="s">
        <v>63</v>
      </c>
      <c r="C27" s="62"/>
      <c r="D27" s="71" t="s">
        <v>13</v>
      </c>
      <c r="E27" s="71" t="s">
        <v>14</v>
      </c>
      <c r="F27" s="27"/>
      <c r="G27" s="72" t="s">
        <v>64</v>
      </c>
      <c r="H27" s="73"/>
      <c r="I27" s="74" t="s">
        <v>65</v>
      </c>
      <c r="J27" s="74" t="s">
        <v>66</v>
      </c>
      <c r="K27" s="75" t="s">
        <v>67</v>
      </c>
      <c r="N27" s="54"/>
      <c r="O27" s="68"/>
      <c r="P27" s="54"/>
      <c r="Q27" s="54"/>
      <c r="V27" s="629" t="s">
        <v>63</v>
      </c>
      <c r="W27" s="629"/>
      <c r="X27" s="630" t="s">
        <v>64</v>
      </c>
      <c r="Y27" s="630"/>
      <c r="Z27" s="76" t="s">
        <v>65</v>
      </c>
      <c r="AA27" s="77" t="s">
        <v>66</v>
      </c>
      <c r="AB27" s="78" t="s">
        <v>67</v>
      </c>
      <c r="AC27" s="9"/>
      <c r="AD27" s="9"/>
    </row>
    <row r="28" spans="1:30" ht="15.75" customHeight="1" x14ac:dyDescent="0.25">
      <c r="A28" s="1" t="s">
        <v>68</v>
      </c>
      <c r="B28" s="631" t="s">
        <v>69</v>
      </c>
      <c r="C28" s="632"/>
      <c r="D28" s="13">
        <v>0</v>
      </c>
      <c r="E28" s="13">
        <v>0</v>
      </c>
      <c r="F28" s="79">
        <v>12.5</v>
      </c>
      <c r="G28" s="46">
        <f t="shared" ref="G28:G36" si="6">D28+E28</f>
        <v>0</v>
      </c>
      <c r="H28" s="80"/>
      <c r="I28" s="81" t="s">
        <v>70</v>
      </c>
      <c r="J28" s="82">
        <v>251</v>
      </c>
      <c r="K28" s="83">
        <v>1047</v>
      </c>
      <c r="L28" s="84">
        <f>ROUND(G28*K28,0)</f>
        <v>0</v>
      </c>
      <c r="N28" s="251">
        <v>5101</v>
      </c>
      <c r="O28" s="54">
        <v>251</v>
      </c>
      <c r="P28" s="86"/>
      <c r="Q28" s="87"/>
      <c r="V28" s="637" t="s">
        <v>69</v>
      </c>
      <c r="W28" s="637"/>
      <c r="X28" s="638"/>
      <c r="Y28" s="638"/>
      <c r="Z28" s="88" t="s">
        <v>70</v>
      </c>
      <c r="AA28" s="244">
        <v>251</v>
      </c>
      <c r="AB28" s="90">
        <f>+K28</f>
        <v>1047</v>
      </c>
      <c r="AC28" s="91">
        <f t="shared" ref="AC28:AC36" si="7">ROUND(X28*AB28,0)</f>
        <v>0</v>
      </c>
      <c r="AD28" s="9"/>
    </row>
    <row r="29" spans="1:30" x14ac:dyDescent="0.25">
      <c r="A29" s="1" t="s">
        <v>71</v>
      </c>
      <c r="B29" s="633"/>
      <c r="C29" s="634"/>
      <c r="D29" s="13">
        <v>0</v>
      </c>
      <c r="E29" s="13">
        <v>0</v>
      </c>
      <c r="F29" s="92">
        <v>0.5</v>
      </c>
      <c r="G29" s="46">
        <f t="shared" si="6"/>
        <v>0</v>
      </c>
      <c r="H29" s="80"/>
      <c r="I29" s="82" t="s">
        <v>70</v>
      </c>
      <c r="J29" s="82">
        <v>252</v>
      </c>
      <c r="K29" s="83">
        <v>3380</v>
      </c>
      <c r="L29" s="84">
        <f t="shared" ref="L29:L36" si="8">ROUND(G29*K29,0)</f>
        <v>0</v>
      </c>
      <c r="N29" s="251">
        <v>5101</v>
      </c>
      <c r="O29" s="54">
        <v>252</v>
      </c>
      <c r="P29" s="86"/>
      <c r="Q29" s="87"/>
      <c r="V29" s="637"/>
      <c r="W29" s="637"/>
      <c r="X29" s="638"/>
      <c r="Y29" s="638"/>
      <c r="Z29" s="244" t="s">
        <v>70</v>
      </c>
      <c r="AA29" s="244">
        <v>252</v>
      </c>
      <c r="AB29" s="90">
        <f t="shared" ref="AB29:AB36" si="9">+K29</f>
        <v>3380</v>
      </c>
      <c r="AC29" s="91">
        <f t="shared" si="7"/>
        <v>0</v>
      </c>
      <c r="AD29" s="9"/>
    </row>
    <row r="30" spans="1:30" x14ac:dyDescent="0.25">
      <c r="A30" s="1" t="s">
        <v>72</v>
      </c>
      <c r="B30" s="633"/>
      <c r="C30" s="634"/>
      <c r="D30" s="13">
        <v>0</v>
      </c>
      <c r="E30" s="13">
        <v>0</v>
      </c>
      <c r="F30" s="92">
        <v>0</v>
      </c>
      <c r="G30" s="46">
        <f t="shared" si="6"/>
        <v>0</v>
      </c>
      <c r="H30" s="80"/>
      <c r="I30" s="82" t="s">
        <v>70</v>
      </c>
      <c r="J30" s="82">
        <v>253</v>
      </c>
      <c r="K30" s="83">
        <v>6896</v>
      </c>
      <c r="L30" s="84">
        <f t="shared" si="8"/>
        <v>0</v>
      </c>
      <c r="N30" s="251">
        <v>5101</v>
      </c>
      <c r="O30" s="54">
        <v>253</v>
      </c>
      <c r="P30" s="86"/>
      <c r="Q30" s="68"/>
      <c r="V30" s="637"/>
      <c r="W30" s="637"/>
      <c r="X30" s="638"/>
      <c r="Y30" s="638"/>
      <c r="Z30" s="244" t="s">
        <v>70</v>
      </c>
      <c r="AA30" s="244">
        <v>253</v>
      </c>
      <c r="AB30" s="90">
        <f t="shared" si="9"/>
        <v>6896</v>
      </c>
      <c r="AC30" s="91">
        <f t="shared" si="7"/>
        <v>0</v>
      </c>
      <c r="AD30" s="9"/>
    </row>
    <row r="31" spans="1:30" x14ac:dyDescent="0.25">
      <c r="A31" s="1" t="s">
        <v>73</v>
      </c>
      <c r="B31" s="633"/>
      <c r="C31" s="634"/>
      <c r="D31" s="13">
        <v>2.56</v>
      </c>
      <c r="E31" s="13">
        <v>2.94</v>
      </c>
      <c r="F31" s="92">
        <v>10</v>
      </c>
      <c r="G31" s="46">
        <f t="shared" si="6"/>
        <v>5.5</v>
      </c>
      <c r="H31" s="80"/>
      <c r="I31" s="93" t="s">
        <v>74</v>
      </c>
      <c r="J31" s="82">
        <v>251</v>
      </c>
      <c r="K31" s="83">
        <v>1173</v>
      </c>
      <c r="L31" s="84">
        <f t="shared" si="8"/>
        <v>6452</v>
      </c>
      <c r="N31" s="251">
        <v>5102</v>
      </c>
      <c r="O31" s="54">
        <v>251</v>
      </c>
      <c r="P31" s="86"/>
      <c r="Q31" s="68"/>
      <c r="V31" s="637"/>
      <c r="W31" s="637"/>
      <c r="X31" s="638"/>
      <c r="Y31" s="638"/>
      <c r="Z31" s="94" t="s">
        <v>74</v>
      </c>
      <c r="AA31" s="244">
        <v>251</v>
      </c>
      <c r="AB31" s="90">
        <f t="shared" si="9"/>
        <v>1173</v>
      </c>
      <c r="AC31" s="91">
        <f t="shared" si="7"/>
        <v>0</v>
      </c>
      <c r="AD31" s="9"/>
    </row>
    <row r="32" spans="1:30" x14ac:dyDescent="0.25">
      <c r="A32" s="1" t="s">
        <v>75</v>
      </c>
      <c r="B32" s="633"/>
      <c r="C32" s="634"/>
      <c r="D32" s="13">
        <v>0</v>
      </c>
      <c r="E32" s="13">
        <v>0</v>
      </c>
      <c r="F32" s="92">
        <v>1.5</v>
      </c>
      <c r="G32" s="46">
        <f t="shared" si="6"/>
        <v>0</v>
      </c>
      <c r="H32" s="80"/>
      <c r="I32" s="93" t="s">
        <v>74</v>
      </c>
      <c r="J32" s="82">
        <v>252</v>
      </c>
      <c r="K32" s="83">
        <v>3506</v>
      </c>
      <c r="L32" s="84">
        <f t="shared" si="8"/>
        <v>0</v>
      </c>
      <c r="N32" s="251">
        <v>5102</v>
      </c>
      <c r="O32" s="54">
        <v>252</v>
      </c>
      <c r="P32" s="86"/>
      <c r="Q32" s="54"/>
      <c r="V32" s="637"/>
      <c r="W32" s="637"/>
      <c r="X32" s="638"/>
      <c r="Y32" s="638"/>
      <c r="Z32" s="94" t="s">
        <v>74</v>
      </c>
      <c r="AA32" s="244">
        <v>252</v>
      </c>
      <c r="AB32" s="90">
        <f t="shared" si="9"/>
        <v>3506</v>
      </c>
      <c r="AC32" s="91">
        <f t="shared" si="7"/>
        <v>0</v>
      </c>
      <c r="AD32" s="9"/>
    </row>
    <row r="33" spans="1:30" x14ac:dyDescent="0.25">
      <c r="A33" s="1" t="s">
        <v>76</v>
      </c>
      <c r="B33" s="633"/>
      <c r="C33" s="634"/>
      <c r="D33" s="13">
        <v>0</v>
      </c>
      <c r="E33" s="13">
        <v>0</v>
      </c>
      <c r="F33" s="92">
        <v>0</v>
      </c>
      <c r="G33" s="46">
        <f t="shared" si="6"/>
        <v>0</v>
      </c>
      <c r="H33" s="80"/>
      <c r="I33" s="93" t="s">
        <v>74</v>
      </c>
      <c r="J33" s="82">
        <v>253</v>
      </c>
      <c r="K33" s="83">
        <v>7023</v>
      </c>
      <c r="L33" s="84">
        <f t="shared" si="8"/>
        <v>0</v>
      </c>
      <c r="N33" s="251">
        <v>5102</v>
      </c>
      <c r="O33" s="54">
        <v>253</v>
      </c>
      <c r="P33" s="86"/>
      <c r="Q33" s="87"/>
      <c r="V33" s="637"/>
      <c r="W33" s="637"/>
      <c r="X33" s="638"/>
      <c r="Y33" s="638"/>
      <c r="Z33" s="94" t="s">
        <v>74</v>
      </c>
      <c r="AA33" s="244">
        <v>253</v>
      </c>
      <c r="AB33" s="90">
        <f t="shared" si="9"/>
        <v>7023</v>
      </c>
      <c r="AC33" s="91">
        <f t="shared" si="7"/>
        <v>0</v>
      </c>
      <c r="AD33" s="9"/>
    </row>
    <row r="34" spans="1:30" x14ac:dyDescent="0.25">
      <c r="A34" s="1" t="s">
        <v>77</v>
      </c>
      <c r="B34" s="633"/>
      <c r="C34" s="634"/>
      <c r="D34" s="13">
        <v>0</v>
      </c>
      <c r="E34" s="13">
        <v>0</v>
      </c>
      <c r="F34" s="92">
        <v>0</v>
      </c>
      <c r="G34" s="46">
        <f t="shared" si="6"/>
        <v>0</v>
      </c>
      <c r="H34" s="80"/>
      <c r="I34" s="93" t="s">
        <v>78</v>
      </c>
      <c r="J34" s="82">
        <v>251</v>
      </c>
      <c r="K34" s="83">
        <v>835</v>
      </c>
      <c r="L34" s="84">
        <f t="shared" si="8"/>
        <v>0</v>
      </c>
      <c r="N34" s="251">
        <v>5103</v>
      </c>
      <c r="O34" s="54">
        <v>251</v>
      </c>
      <c r="P34" s="86"/>
      <c r="Q34" s="87"/>
      <c r="V34" s="637"/>
      <c r="W34" s="637"/>
      <c r="X34" s="638"/>
      <c r="Y34" s="638"/>
      <c r="Z34" s="94" t="s">
        <v>78</v>
      </c>
      <c r="AA34" s="244">
        <v>251</v>
      </c>
      <c r="AB34" s="90">
        <f t="shared" si="9"/>
        <v>835</v>
      </c>
      <c r="AC34" s="91">
        <f t="shared" si="7"/>
        <v>0</v>
      </c>
      <c r="AD34" s="9"/>
    </row>
    <row r="35" spans="1:30" x14ac:dyDescent="0.25">
      <c r="A35" s="1" t="s">
        <v>79</v>
      </c>
      <c r="B35" s="633"/>
      <c r="C35" s="634"/>
      <c r="D35" s="13">
        <v>0</v>
      </c>
      <c r="E35" s="13">
        <v>0</v>
      </c>
      <c r="F35" s="92">
        <v>0</v>
      </c>
      <c r="G35" s="46">
        <f t="shared" si="6"/>
        <v>0</v>
      </c>
      <c r="H35" s="80"/>
      <c r="I35" s="93" t="s">
        <v>78</v>
      </c>
      <c r="J35" s="82">
        <v>252</v>
      </c>
      <c r="K35" s="83">
        <v>3168</v>
      </c>
      <c r="L35" s="84">
        <f t="shared" si="8"/>
        <v>0</v>
      </c>
      <c r="N35" s="251">
        <v>5103</v>
      </c>
      <c r="O35" s="54">
        <v>252</v>
      </c>
      <c r="P35" s="86"/>
      <c r="Q35" s="95"/>
      <c r="V35" s="637"/>
      <c r="W35" s="637"/>
      <c r="X35" s="638"/>
      <c r="Y35" s="638"/>
      <c r="Z35" s="94" t="s">
        <v>78</v>
      </c>
      <c r="AA35" s="244">
        <v>252</v>
      </c>
      <c r="AB35" s="90">
        <f t="shared" si="9"/>
        <v>3168</v>
      </c>
      <c r="AC35" s="91">
        <f t="shared" si="7"/>
        <v>0</v>
      </c>
      <c r="AD35" s="9"/>
    </row>
    <row r="36" spans="1:30" ht="16.5" thickBot="1" x14ac:dyDescent="0.3">
      <c r="A36" s="1" t="s">
        <v>80</v>
      </c>
      <c r="B36" s="635"/>
      <c r="C36" s="636"/>
      <c r="D36" s="13">
        <v>0</v>
      </c>
      <c r="E36" s="13">
        <v>0</v>
      </c>
      <c r="F36" s="92">
        <v>0</v>
      </c>
      <c r="G36" s="46">
        <f t="shared" si="6"/>
        <v>0</v>
      </c>
      <c r="H36" s="80"/>
      <c r="I36" s="93" t="s">
        <v>78</v>
      </c>
      <c r="J36" s="82">
        <v>253</v>
      </c>
      <c r="K36" s="83">
        <v>6685</v>
      </c>
      <c r="L36" s="96">
        <f t="shared" si="8"/>
        <v>0</v>
      </c>
      <c r="N36" s="251">
        <v>5103</v>
      </c>
      <c r="O36" s="54">
        <v>253</v>
      </c>
      <c r="P36" s="86"/>
      <c r="Q36" s="97"/>
      <c r="V36" s="637"/>
      <c r="W36" s="637"/>
      <c r="X36" s="645"/>
      <c r="Y36" s="645"/>
      <c r="Z36" s="94" t="s">
        <v>78</v>
      </c>
      <c r="AA36" s="244">
        <v>253</v>
      </c>
      <c r="AB36" s="90">
        <f t="shared" si="9"/>
        <v>6685</v>
      </c>
      <c r="AC36" s="98">
        <f t="shared" si="7"/>
        <v>0</v>
      </c>
      <c r="AD36" s="9"/>
    </row>
    <row r="37" spans="1:30" ht="18.75" customHeight="1" x14ac:dyDescent="0.25">
      <c r="B37" s="13" t="s">
        <v>81</v>
      </c>
      <c r="C37" s="13"/>
      <c r="D37" s="63">
        <f t="shared" ref="D37:E37" si="10">SUM(D28:D36)</f>
        <v>2.56</v>
      </c>
      <c r="E37" s="63">
        <f t="shared" si="10"/>
        <v>2.94</v>
      </c>
      <c r="F37" s="63"/>
      <c r="G37" s="63">
        <f>SUM(G28:G36)</f>
        <v>5.5</v>
      </c>
      <c r="H37" s="64"/>
      <c r="I37" s="13" t="s">
        <v>82</v>
      </c>
      <c r="J37" s="13"/>
      <c r="K37" s="13"/>
      <c r="L37" s="50">
        <f>SUM(L28:L36)</f>
        <v>6452</v>
      </c>
      <c r="N37" s="54"/>
      <c r="O37" s="68"/>
      <c r="P37" s="54"/>
      <c r="Q37" s="54"/>
      <c r="V37" s="646" t="s">
        <v>81</v>
      </c>
      <c r="W37" s="646"/>
      <c r="X37" s="626">
        <f>SUM(X28:X36)</f>
        <v>0</v>
      </c>
      <c r="Y37" s="626"/>
      <c r="Z37" s="646" t="s">
        <v>82</v>
      </c>
      <c r="AA37" s="646"/>
      <c r="AB37" s="646"/>
      <c r="AC37" s="56">
        <f>SUM(AC28:AC36)</f>
        <v>0</v>
      </c>
      <c r="AD37" s="9"/>
    </row>
    <row r="38" spans="1:30" ht="30.75" customHeight="1" x14ac:dyDescent="0.25">
      <c r="B38" s="99" t="s">
        <v>83</v>
      </c>
      <c r="C38" s="99"/>
      <c r="D38" s="99"/>
      <c r="E38" s="99"/>
      <c r="F38" s="99"/>
      <c r="G38" s="99"/>
      <c r="H38" s="100"/>
      <c r="I38" s="99"/>
      <c r="J38" s="99"/>
      <c r="K38" s="99"/>
      <c r="L38" s="99"/>
      <c r="M38" s="101"/>
      <c r="N38" s="54"/>
      <c r="O38" s="68"/>
      <c r="P38" s="54"/>
      <c r="Q38" s="54"/>
      <c r="V38" s="639" t="s">
        <v>83</v>
      </c>
      <c r="W38" s="639"/>
      <c r="X38" s="639"/>
      <c r="Y38" s="639"/>
      <c r="Z38" s="639"/>
      <c r="AA38" s="639"/>
      <c r="AB38" s="639"/>
      <c r="AC38" s="639"/>
      <c r="AD38" s="102"/>
    </row>
    <row r="39" spans="1:30" ht="15.75" customHeight="1" x14ac:dyDescent="0.25">
      <c r="B39" s="103" t="s">
        <v>84</v>
      </c>
      <c r="C39" s="103"/>
      <c r="D39" s="103"/>
      <c r="E39" s="103"/>
      <c r="F39" s="103"/>
      <c r="G39" s="104">
        <v>34389540</v>
      </c>
      <c r="H39" s="104"/>
      <c r="I39" s="13" t="s">
        <v>85</v>
      </c>
      <c r="J39" s="13"/>
      <c r="K39" s="13"/>
      <c r="L39" s="13"/>
      <c r="O39" s="1"/>
      <c r="V39" s="640" t="s">
        <v>84</v>
      </c>
      <c r="W39" s="640"/>
      <c r="X39" s="641">
        <f>+G39</f>
        <v>34389540</v>
      </c>
      <c r="Y39" s="641"/>
      <c r="Z39" s="642" t="s">
        <v>85</v>
      </c>
      <c r="AA39" s="642"/>
      <c r="AB39" s="642"/>
      <c r="AC39" s="642"/>
      <c r="AD39" s="9"/>
    </row>
    <row r="40" spans="1:30" ht="15.75" customHeight="1" x14ac:dyDescent="0.25">
      <c r="B40" s="105" t="s">
        <v>86</v>
      </c>
      <c r="C40" s="105"/>
      <c r="D40" s="105"/>
      <c r="E40" s="105"/>
      <c r="F40" s="105"/>
      <c r="G40" s="106">
        <v>180284.81</v>
      </c>
      <c r="H40" s="106"/>
      <c r="I40" s="106"/>
      <c r="J40" s="106"/>
      <c r="K40" s="50">
        <f>ROUND(G39/G40,0)</f>
        <v>191</v>
      </c>
      <c r="L40" s="50">
        <f>ROUND(K40*$G$26,0)</f>
        <v>16246</v>
      </c>
      <c r="N40" s="107"/>
      <c r="O40" s="107"/>
      <c r="P40" s="107"/>
      <c r="Q40" s="107"/>
      <c r="V40" s="643" t="s">
        <v>86</v>
      </c>
      <c r="W40" s="643"/>
      <c r="X40" s="644">
        <f>+G40</f>
        <v>180284.81</v>
      </c>
      <c r="Y40" s="644"/>
      <c r="Z40" s="644"/>
      <c r="AA40" s="644"/>
      <c r="AB40" s="56">
        <f>ROUND(X39/X40,0)</f>
        <v>191</v>
      </c>
      <c r="AC40" s="56">
        <f>ROUND(AB40*$X$26,0)</f>
        <v>0</v>
      </c>
      <c r="AD40" s="9"/>
    </row>
    <row r="41" spans="1:30" ht="15.75" customHeight="1" x14ac:dyDescent="0.25">
      <c r="B41" s="108" t="s">
        <v>87</v>
      </c>
      <c r="C41" s="108"/>
      <c r="D41" s="108"/>
      <c r="E41" s="108"/>
      <c r="F41" s="108"/>
      <c r="G41" s="108"/>
      <c r="H41" s="108"/>
      <c r="I41" s="108"/>
      <c r="J41" s="108"/>
      <c r="K41" s="108"/>
      <c r="L41" s="108"/>
      <c r="N41" s="101"/>
      <c r="O41" s="109"/>
      <c r="P41" s="101"/>
      <c r="Q41" s="101"/>
      <c r="V41" s="652" t="s">
        <v>87</v>
      </c>
      <c r="W41" s="652"/>
      <c r="X41" s="652"/>
      <c r="Y41" s="652"/>
      <c r="Z41" s="652"/>
      <c r="AA41" s="652"/>
      <c r="AB41" s="652"/>
      <c r="AC41" s="652"/>
      <c r="AD41" s="9"/>
    </row>
    <row r="42" spans="1:30" ht="28.5" customHeight="1" x14ac:dyDescent="0.25">
      <c r="B42" s="99" t="s">
        <v>88</v>
      </c>
      <c r="C42" s="99"/>
      <c r="D42" s="99"/>
      <c r="E42" s="99"/>
      <c r="F42" s="99"/>
      <c r="G42" s="99"/>
      <c r="H42" s="99"/>
      <c r="I42" s="99"/>
      <c r="J42" s="99"/>
      <c r="K42" s="99"/>
      <c r="L42" s="99"/>
      <c r="M42" s="107"/>
      <c r="O42" s="1"/>
      <c r="V42" s="639" t="s">
        <v>88</v>
      </c>
      <c r="W42" s="639"/>
      <c r="X42" s="639"/>
      <c r="Y42" s="639"/>
      <c r="Z42" s="639"/>
      <c r="AA42" s="639"/>
      <c r="AB42" s="639"/>
      <c r="AC42" s="639"/>
      <c r="AD42" s="248"/>
    </row>
    <row r="43" spans="1:30" x14ac:dyDescent="0.25">
      <c r="B43" s="111" t="s">
        <v>89</v>
      </c>
      <c r="C43" s="111"/>
      <c r="D43" s="111"/>
      <c r="E43" s="111"/>
      <c r="F43" s="111"/>
      <c r="G43" s="111"/>
      <c r="H43" s="111"/>
      <c r="I43" s="111"/>
      <c r="J43" s="111"/>
      <c r="K43" s="111"/>
      <c r="L43" s="111"/>
      <c r="M43" s="112"/>
      <c r="N43" s="101"/>
      <c r="O43" s="101"/>
      <c r="P43" s="101"/>
      <c r="Q43" s="101"/>
      <c r="V43" s="653" t="s">
        <v>89</v>
      </c>
      <c r="W43" s="653"/>
      <c r="X43" s="653"/>
      <c r="Y43" s="653"/>
      <c r="Z43" s="653"/>
      <c r="AA43" s="653"/>
      <c r="AB43" s="653"/>
      <c r="AC43" s="653"/>
      <c r="AD43" s="113"/>
    </row>
    <row r="44" spans="1:30" ht="24" customHeight="1" x14ac:dyDescent="0.25">
      <c r="B44" s="62" t="s">
        <v>90</v>
      </c>
      <c r="C44" s="62"/>
      <c r="D44" s="62"/>
      <c r="E44" s="62"/>
      <c r="F44" s="62"/>
      <c r="G44" s="62"/>
      <c r="H44" s="62"/>
      <c r="I44" s="62"/>
      <c r="J44" s="62"/>
      <c r="K44" s="62"/>
      <c r="L44" s="114">
        <f>SUM(L26,L37,L40)</f>
        <v>352774</v>
      </c>
      <c r="O44" s="1"/>
      <c r="V44" s="654" t="s">
        <v>90</v>
      </c>
      <c r="W44" s="654"/>
      <c r="X44" s="654"/>
      <c r="Y44" s="654"/>
      <c r="Z44" s="654"/>
      <c r="AA44" s="654"/>
      <c r="AB44" s="654"/>
      <c r="AC44" s="115">
        <f>SUM(AC26,AC37,AC40)</f>
        <v>0</v>
      </c>
      <c r="AD44" s="9"/>
    </row>
    <row r="45" spans="1:30" ht="30.75" customHeight="1" x14ac:dyDescent="0.25">
      <c r="B45" s="99" t="s">
        <v>91</v>
      </c>
      <c r="C45" s="99"/>
      <c r="D45" s="99"/>
      <c r="E45" s="99"/>
      <c r="F45" s="99"/>
      <c r="G45" s="99"/>
      <c r="H45" s="99"/>
      <c r="I45" s="99"/>
      <c r="J45" s="99"/>
      <c r="K45" s="99"/>
      <c r="L45" s="99"/>
      <c r="M45" s="116"/>
      <c r="O45" s="1"/>
      <c r="V45" s="639" t="s">
        <v>91</v>
      </c>
      <c r="W45" s="639"/>
      <c r="X45" s="639"/>
      <c r="Y45" s="639"/>
      <c r="Z45" s="639"/>
      <c r="AA45" s="639"/>
      <c r="AB45" s="639"/>
      <c r="AC45" s="639"/>
      <c r="AD45" s="247"/>
    </row>
    <row r="46" spans="1:30" ht="18.75" customHeight="1" x14ac:dyDescent="0.25">
      <c r="B46" s="1"/>
      <c r="C46" s="118" t="s">
        <v>92</v>
      </c>
      <c r="D46" s="118"/>
      <c r="E46" s="118"/>
      <c r="F46" s="118"/>
      <c r="G46" s="118" t="s">
        <v>93</v>
      </c>
      <c r="H46" s="119"/>
      <c r="I46" s="120" t="s">
        <v>94</v>
      </c>
      <c r="J46" s="121"/>
      <c r="K46" s="121"/>
      <c r="L46" s="121"/>
      <c r="M46" s="122"/>
      <c r="O46" s="1"/>
      <c r="V46" s="9"/>
      <c r="W46" s="250" t="s">
        <v>92</v>
      </c>
      <c r="X46" s="655" t="s">
        <v>95</v>
      </c>
      <c r="Y46" s="655"/>
      <c r="Z46" s="656" t="s">
        <v>94</v>
      </c>
      <c r="AA46" s="656"/>
      <c r="AB46" s="656"/>
      <c r="AC46" s="656"/>
      <c r="AD46" s="124"/>
    </row>
    <row r="47" spans="1:30" ht="18.75" customHeight="1" x14ac:dyDescent="0.25">
      <c r="B47" s="107" t="s">
        <v>96</v>
      </c>
      <c r="C47" s="125">
        <f>K10+K11+K16+K19+K22</f>
        <v>0</v>
      </c>
      <c r="D47" s="125"/>
      <c r="E47" s="125"/>
      <c r="F47" s="125"/>
      <c r="G47" s="126">
        <f>K7</f>
        <v>1.0326</v>
      </c>
      <c r="H47" s="126"/>
      <c r="I47" s="127">
        <v>1316.85</v>
      </c>
      <c r="J47" s="128" t="s">
        <v>97</v>
      </c>
      <c r="K47" s="129">
        <f>ROUND(C47*G47*I47,0)</f>
        <v>0</v>
      </c>
      <c r="L47" s="130"/>
      <c r="O47" s="1"/>
      <c r="V47" s="248" t="s">
        <v>96</v>
      </c>
      <c r="W47" s="131">
        <f>AB10+AB11+AB16+AB19+AB22</f>
        <v>0</v>
      </c>
      <c r="X47" s="647">
        <f>AB7</f>
        <v>1.0326</v>
      </c>
      <c r="Y47" s="647"/>
      <c r="Z47" s="132">
        <f>+I47</f>
        <v>1316.85</v>
      </c>
      <c r="AA47" s="133" t="s">
        <v>97</v>
      </c>
      <c r="AB47" s="134">
        <f>ROUND(W47*X47*Z47,0)</f>
        <v>0</v>
      </c>
      <c r="AC47" s="135"/>
      <c r="AD47" s="9"/>
    </row>
    <row r="48" spans="1:30" ht="18" customHeight="1" x14ac:dyDescent="0.25">
      <c r="B48" s="136" t="s">
        <v>74</v>
      </c>
      <c r="C48" s="125">
        <f>K12+K13+K17+K20+K23</f>
        <v>85.189099999999996</v>
      </c>
      <c r="D48" s="125"/>
      <c r="E48" s="125"/>
      <c r="F48" s="125"/>
      <c r="G48" s="126">
        <f>K7</f>
        <v>1.0326</v>
      </c>
      <c r="H48" s="126"/>
      <c r="I48" s="127">
        <v>898.23</v>
      </c>
      <c r="J48" s="128" t="s">
        <v>97</v>
      </c>
      <c r="K48" s="129">
        <f>ROUND(C48*G48*I48,0)</f>
        <v>79014</v>
      </c>
      <c r="L48" s="62"/>
      <c r="O48" s="1"/>
      <c r="V48" s="137" t="s">
        <v>74</v>
      </c>
      <c r="W48" s="131">
        <f>AB12+AB13+AB17+AB20+AB23</f>
        <v>0</v>
      </c>
      <c r="X48" s="647">
        <f>AB7</f>
        <v>1.0326</v>
      </c>
      <c r="Y48" s="647"/>
      <c r="Z48" s="132">
        <f>+I48</f>
        <v>898.23</v>
      </c>
      <c r="AA48" s="133" t="s">
        <v>97</v>
      </c>
      <c r="AB48" s="134">
        <f>ROUND(W48*X48*Z48,0)</f>
        <v>0</v>
      </c>
      <c r="AC48" s="138"/>
      <c r="AD48" s="9"/>
    </row>
    <row r="49" spans="2:30" ht="19.5" customHeight="1" thickBot="1" x14ac:dyDescent="0.3">
      <c r="B49" s="139" t="s">
        <v>78</v>
      </c>
      <c r="C49" s="140">
        <f>K14+K15+K18+K21+K24+K25</f>
        <v>0</v>
      </c>
      <c r="D49" s="125"/>
      <c r="E49" s="125"/>
      <c r="F49" s="125"/>
      <c r="G49" s="126">
        <f>K7</f>
        <v>1.0326</v>
      </c>
      <c r="H49" s="126"/>
      <c r="I49" s="127">
        <v>900.39</v>
      </c>
      <c r="J49" s="128" t="s">
        <v>97</v>
      </c>
      <c r="K49" s="129">
        <f>ROUND(C49*G49*I49,0)</f>
        <v>0</v>
      </c>
      <c r="L49" s="62"/>
      <c r="M49" s="112"/>
      <c r="N49" s="141"/>
      <c r="O49" s="142"/>
      <c r="P49" s="101"/>
      <c r="Q49" s="143"/>
      <c r="V49" s="144" t="s">
        <v>78</v>
      </c>
      <c r="W49" s="145">
        <f>AB14+AB15+AB18+AB21+AB24+AB25</f>
        <v>0</v>
      </c>
      <c r="X49" s="647">
        <f>AB7</f>
        <v>1.0326</v>
      </c>
      <c r="Y49" s="647"/>
      <c r="Z49" s="132">
        <f>+I49</f>
        <v>900.39</v>
      </c>
      <c r="AA49" s="133" t="s">
        <v>97</v>
      </c>
      <c r="AB49" s="134">
        <f>ROUND(W49*X49*Z49,0)</f>
        <v>0</v>
      </c>
      <c r="AC49" s="138"/>
      <c r="AD49" s="113"/>
    </row>
    <row r="50" spans="2:30" ht="24" customHeight="1" thickBot="1" x14ac:dyDescent="0.3">
      <c r="B50" s="146" t="s">
        <v>98</v>
      </c>
      <c r="C50" s="147">
        <f>SUM(C47:C49)</f>
        <v>85.189099999999996</v>
      </c>
      <c r="D50" s="148"/>
      <c r="E50" s="149"/>
      <c r="F50" s="149"/>
      <c r="G50" s="150" t="s">
        <v>99</v>
      </c>
      <c r="H50" s="150"/>
      <c r="I50" s="150"/>
      <c r="J50" s="150"/>
      <c r="K50" s="150"/>
      <c r="L50" s="50">
        <f>IF(B2=75,0,K49+K48+K47)</f>
        <v>79014</v>
      </c>
      <c r="N50" s="3"/>
      <c r="O50" s="1"/>
      <c r="V50" s="249" t="s">
        <v>98</v>
      </c>
      <c r="W50" s="152">
        <f>SUM(W47:W49)</f>
        <v>0</v>
      </c>
      <c r="X50" s="648" t="s">
        <v>99</v>
      </c>
      <c r="Y50" s="649"/>
      <c r="Z50" s="649"/>
      <c r="AA50" s="649"/>
      <c r="AB50" s="649"/>
      <c r="AC50" s="56">
        <f>IF(V2=75,0,AB49+AB48+AB47)</f>
        <v>0</v>
      </c>
      <c r="AD50" s="9"/>
    </row>
    <row r="51" spans="2:30" ht="19.5" customHeight="1" x14ac:dyDescent="0.25">
      <c r="B51" s="153" t="s">
        <v>100</v>
      </c>
      <c r="C51" s="153"/>
      <c r="D51" s="153"/>
      <c r="E51" s="153"/>
      <c r="F51" s="153"/>
      <c r="G51" s="153"/>
      <c r="H51" s="153"/>
      <c r="I51" s="153"/>
      <c r="J51" s="153"/>
      <c r="K51" s="153"/>
      <c r="L51" s="153"/>
      <c r="M51" s="141"/>
      <c r="N51" s="101"/>
      <c r="O51" s="1"/>
      <c r="V51" s="650" t="s">
        <v>100</v>
      </c>
      <c r="W51" s="650"/>
      <c r="X51" s="650"/>
      <c r="Y51" s="650"/>
      <c r="Z51" s="650"/>
      <c r="AA51" s="650"/>
      <c r="AB51" s="650"/>
      <c r="AC51" s="650"/>
      <c r="AD51" s="154"/>
    </row>
    <row r="52" spans="2:30" ht="27.75" customHeight="1" x14ac:dyDescent="0.25">
      <c r="B52" s="13" t="s">
        <v>101</v>
      </c>
      <c r="C52" s="13"/>
      <c r="D52" s="13"/>
      <c r="E52" s="13"/>
      <c r="F52" s="13"/>
      <c r="G52" s="13"/>
      <c r="H52" s="13"/>
      <c r="I52" s="13"/>
      <c r="J52" s="13"/>
      <c r="K52" s="13"/>
      <c r="L52" s="13"/>
      <c r="O52" s="1"/>
      <c r="V52" s="651" t="s">
        <v>101</v>
      </c>
      <c r="W52" s="651"/>
      <c r="X52" s="651"/>
      <c r="Y52" s="651"/>
      <c r="Z52" s="651"/>
      <c r="AA52" s="651"/>
      <c r="AB52" s="651"/>
      <c r="AC52" s="651"/>
      <c r="AD52" s="9"/>
    </row>
    <row r="53" spans="2:30" x14ac:dyDescent="0.25">
      <c r="B53" s="13" t="s">
        <v>102</v>
      </c>
      <c r="C53" s="13"/>
      <c r="D53" s="13"/>
      <c r="E53" s="13"/>
      <c r="F53" s="13"/>
      <c r="G53" s="155">
        <f>K26</f>
        <v>85.189099999999996</v>
      </c>
      <c r="H53" s="57" t="s">
        <v>103</v>
      </c>
      <c r="I53" s="57"/>
      <c r="J53" s="156">
        <v>197823.77</v>
      </c>
      <c r="K53" s="156"/>
      <c r="L53" s="156"/>
      <c r="N53" s="3"/>
      <c r="O53" s="1"/>
      <c r="V53" s="657" t="s">
        <v>102</v>
      </c>
      <c r="W53" s="657"/>
      <c r="X53" s="157">
        <f>AB26</f>
        <v>0</v>
      </c>
      <c r="Y53" s="658" t="s">
        <v>103</v>
      </c>
      <c r="Z53" s="658"/>
      <c r="AA53" s="659">
        <f>+J53</f>
        <v>197823.77</v>
      </c>
      <c r="AB53" s="659"/>
      <c r="AC53" s="659"/>
      <c r="AD53" s="9"/>
    </row>
    <row r="54" spans="2:30" x14ac:dyDescent="0.25">
      <c r="B54" s="13" t="s">
        <v>104</v>
      </c>
      <c r="C54" s="13"/>
      <c r="D54" s="13"/>
      <c r="E54" s="13"/>
      <c r="F54" s="13"/>
      <c r="G54" s="13"/>
      <c r="H54" s="13"/>
      <c r="I54" s="13"/>
      <c r="J54" s="13"/>
      <c r="K54" s="158">
        <f>ROUND(G53/J53,6)</f>
        <v>4.3100000000000001E-4</v>
      </c>
      <c r="L54" s="158"/>
      <c r="N54" s="101"/>
      <c r="O54" s="1"/>
      <c r="V54" s="657" t="s">
        <v>104</v>
      </c>
      <c r="W54" s="657"/>
      <c r="X54" s="657"/>
      <c r="Y54" s="657"/>
      <c r="Z54" s="657"/>
      <c r="AA54" s="657"/>
      <c r="AB54" s="660">
        <f>ROUND(X53/AA53,6)</f>
        <v>0</v>
      </c>
      <c r="AC54" s="660"/>
      <c r="AD54" s="9"/>
    </row>
    <row r="55" spans="2:30" ht="24" customHeight="1" x14ac:dyDescent="0.25">
      <c r="B55" s="13" t="s">
        <v>105</v>
      </c>
      <c r="C55" s="13"/>
      <c r="D55" s="13"/>
      <c r="E55" s="13"/>
      <c r="F55" s="13"/>
      <c r="G55" s="13"/>
      <c r="H55" s="13"/>
      <c r="I55" s="13"/>
      <c r="J55" s="13"/>
      <c r="K55" s="13"/>
      <c r="L55" s="13"/>
      <c r="O55" s="1"/>
      <c r="V55" s="651" t="s">
        <v>105</v>
      </c>
      <c r="W55" s="651"/>
      <c r="X55" s="651"/>
      <c r="Y55" s="651"/>
      <c r="Z55" s="651"/>
      <c r="AA55" s="651"/>
      <c r="AB55" s="651"/>
      <c r="AC55" s="651"/>
      <c r="AD55" s="9"/>
    </row>
    <row r="56" spans="2:30" x14ac:dyDescent="0.25">
      <c r="B56" s="13" t="s">
        <v>106</v>
      </c>
      <c r="C56" s="13"/>
      <c r="D56" s="13"/>
      <c r="E56" s="13"/>
      <c r="F56" s="13"/>
      <c r="G56" s="159">
        <f>G26</f>
        <v>85.06</v>
      </c>
      <c r="H56" s="57" t="s">
        <v>107</v>
      </c>
      <c r="I56" s="57"/>
      <c r="J56" s="156">
        <f>+G40</f>
        <v>180284.81</v>
      </c>
      <c r="K56" s="156"/>
      <c r="L56" s="156"/>
      <c r="O56" s="1"/>
      <c r="V56" s="657" t="s">
        <v>106</v>
      </c>
      <c r="W56" s="657"/>
      <c r="X56" s="160">
        <f>X26</f>
        <v>0</v>
      </c>
      <c r="Y56" s="658" t="s">
        <v>107</v>
      </c>
      <c r="Z56" s="658"/>
      <c r="AA56" s="659">
        <f>+J56</f>
        <v>180284.81</v>
      </c>
      <c r="AB56" s="659"/>
      <c r="AC56" s="659"/>
      <c r="AD56" s="9"/>
    </row>
    <row r="57" spans="2:30" x14ac:dyDescent="0.25">
      <c r="B57" s="13" t="s">
        <v>108</v>
      </c>
      <c r="C57" s="13"/>
      <c r="D57" s="13"/>
      <c r="E57" s="13"/>
      <c r="F57" s="13"/>
      <c r="G57" s="13"/>
      <c r="H57" s="13"/>
      <c r="I57" s="13"/>
      <c r="J57" s="13"/>
      <c r="K57" s="158">
        <f>ROUND(G56/J56,6)</f>
        <v>4.7199999999999998E-4</v>
      </c>
      <c r="L57" s="158"/>
      <c r="O57" s="1"/>
      <c r="V57" s="657" t="s">
        <v>108</v>
      </c>
      <c r="W57" s="657"/>
      <c r="X57" s="657"/>
      <c r="Y57" s="657"/>
      <c r="Z57" s="657"/>
      <c r="AA57" s="657"/>
      <c r="AB57" s="660">
        <f>ROUND(X56/AA56,6)</f>
        <v>0</v>
      </c>
      <c r="AC57" s="660"/>
      <c r="AD57" s="9"/>
    </row>
    <row r="58" spans="2:30" ht="20.25" customHeight="1" x14ac:dyDescent="0.25">
      <c r="B58" s="161" t="s">
        <v>109</v>
      </c>
      <c r="C58" s="161"/>
      <c r="D58" s="161"/>
      <c r="E58" s="161"/>
      <c r="F58" s="161"/>
      <c r="G58" s="161"/>
      <c r="H58" s="161"/>
      <c r="I58" s="161"/>
      <c r="J58" s="161"/>
      <c r="K58" s="161"/>
      <c r="L58" s="161"/>
      <c r="N58" s="18"/>
      <c r="O58" s="18"/>
      <c r="V58" s="629" t="s">
        <v>110</v>
      </c>
      <c r="W58" s="629"/>
      <c r="X58" s="629"/>
      <c r="Y58" s="661">
        <f>X65+X64+X62+X61+X60</f>
        <v>4123852</v>
      </c>
      <c r="Z58" s="661"/>
      <c r="AA58" s="246" t="s">
        <v>111</v>
      </c>
      <c r="AB58" s="163">
        <f>AB54</f>
        <v>0</v>
      </c>
      <c r="AC58" s="56">
        <f>ROUND(Y58*AB58,0)</f>
        <v>0</v>
      </c>
      <c r="AD58" s="9"/>
    </row>
    <row r="59" spans="2:30" x14ac:dyDescent="0.25">
      <c r="B59" s="62" t="s">
        <v>110</v>
      </c>
      <c r="C59" s="62"/>
      <c r="D59" s="62"/>
      <c r="E59" s="62"/>
      <c r="F59" s="62"/>
      <c r="G59" s="62"/>
      <c r="H59" s="164" t="s">
        <v>22</v>
      </c>
      <c r="I59" s="129">
        <v>4123852</v>
      </c>
      <c r="J59" s="165" t="s">
        <v>111</v>
      </c>
      <c r="K59" s="166">
        <f>K54</f>
        <v>4.3100000000000001E-4</v>
      </c>
      <c r="L59" s="50">
        <f>ROUND(I59*K59,0)</f>
        <v>1777</v>
      </c>
      <c r="O59" s="1"/>
      <c r="P59" s="165"/>
      <c r="Q59" s="165"/>
      <c r="V59" s="662" t="s">
        <v>112</v>
      </c>
      <c r="W59" s="662"/>
      <c r="X59" s="662"/>
      <c r="Y59" s="662"/>
      <c r="Z59" s="662"/>
      <c r="AA59" s="662"/>
      <c r="AB59" s="662"/>
      <c r="AC59" s="662"/>
      <c r="AD59" s="9"/>
    </row>
    <row r="60" spans="2:30" x14ac:dyDescent="0.25">
      <c r="B60" s="62" t="s">
        <v>112</v>
      </c>
      <c r="C60" s="62"/>
      <c r="D60" s="62"/>
      <c r="E60" s="62"/>
      <c r="F60" s="62"/>
      <c r="G60" s="62"/>
      <c r="H60" s="62"/>
      <c r="I60" s="62"/>
      <c r="J60" s="62"/>
      <c r="K60" s="62"/>
      <c r="L60" s="62"/>
      <c r="O60" s="1"/>
      <c r="P60" s="165"/>
      <c r="Q60" s="165"/>
      <c r="V60" s="663" t="s">
        <v>113</v>
      </c>
      <c r="W60" s="663"/>
      <c r="X60" s="664">
        <f>+G61</f>
        <v>0</v>
      </c>
      <c r="Y60" s="664"/>
      <c r="Z60" s="664"/>
      <c r="AA60" s="664"/>
      <c r="AB60" s="664"/>
      <c r="AC60" s="664"/>
      <c r="AD60" s="9"/>
    </row>
    <row r="61" spans="2:30" ht="15" customHeight="1" x14ac:dyDescent="0.25">
      <c r="B61" s="167" t="s">
        <v>113</v>
      </c>
      <c r="C61" s="62"/>
      <c r="D61" s="62"/>
      <c r="E61" s="62"/>
      <c r="F61" s="62"/>
      <c r="G61" s="168">
        <v>0</v>
      </c>
      <c r="H61" s="168"/>
      <c r="I61" s="168"/>
      <c r="J61" s="168"/>
      <c r="K61" s="168"/>
      <c r="L61" s="168"/>
      <c r="O61" s="1"/>
      <c r="P61" s="165"/>
      <c r="Q61" s="165"/>
      <c r="V61" s="663" t="s">
        <v>114</v>
      </c>
      <c r="W61" s="663"/>
      <c r="X61" s="664">
        <f>+G62</f>
        <v>0</v>
      </c>
      <c r="Y61" s="664"/>
      <c r="Z61" s="664"/>
      <c r="AA61" s="664"/>
      <c r="AB61" s="664"/>
      <c r="AC61" s="664"/>
      <c r="AD61" s="9"/>
    </row>
    <row r="62" spans="2:30" ht="13.5" customHeight="1" x14ac:dyDescent="0.25">
      <c r="B62" s="167" t="s">
        <v>114</v>
      </c>
      <c r="C62" s="62"/>
      <c r="D62" s="62"/>
      <c r="E62" s="62"/>
      <c r="F62" s="62"/>
      <c r="G62" s="168">
        <v>0</v>
      </c>
      <c r="H62" s="168"/>
      <c r="I62" s="168"/>
      <c r="J62" s="168"/>
      <c r="K62" s="168"/>
      <c r="L62" s="168"/>
      <c r="N62" s="165"/>
      <c r="O62" s="165"/>
      <c r="P62" s="165"/>
      <c r="Q62" s="165"/>
      <c r="V62" s="663" t="s">
        <v>115</v>
      </c>
      <c r="W62" s="663"/>
      <c r="X62" s="664">
        <v>0</v>
      </c>
      <c r="Y62" s="664"/>
      <c r="Z62" s="664"/>
      <c r="AA62" s="664"/>
      <c r="AB62" s="664"/>
      <c r="AC62" s="664"/>
      <c r="AD62" s="9"/>
    </row>
    <row r="63" spans="2:30" ht="13.5" hidden="1" customHeight="1" x14ac:dyDescent="0.25">
      <c r="B63" s="62" t="s">
        <v>115</v>
      </c>
      <c r="C63" s="62"/>
      <c r="D63" s="62"/>
      <c r="E63" s="62"/>
      <c r="F63" s="62"/>
      <c r="G63" s="168">
        <v>0</v>
      </c>
      <c r="H63" s="168"/>
      <c r="I63" s="168"/>
      <c r="J63" s="168"/>
      <c r="K63" s="168"/>
      <c r="L63" s="168"/>
      <c r="O63" s="1"/>
      <c r="P63" s="165"/>
      <c r="Q63" s="165"/>
      <c r="V63" s="662" t="s">
        <v>116</v>
      </c>
      <c r="W63" s="662"/>
      <c r="X63" s="662"/>
      <c r="Y63" s="662"/>
      <c r="Z63" s="662"/>
      <c r="AA63" s="662"/>
      <c r="AB63" s="662"/>
      <c r="AC63" s="662"/>
      <c r="AD63" s="247"/>
    </row>
    <row r="64" spans="2:30" ht="13.5" customHeight="1" x14ac:dyDescent="0.25">
      <c r="B64" s="62" t="s">
        <v>116</v>
      </c>
      <c r="C64" s="62"/>
      <c r="D64" s="62"/>
      <c r="E64" s="62"/>
      <c r="F64" s="62"/>
      <c r="G64" s="62"/>
      <c r="H64" s="62"/>
      <c r="I64" s="62"/>
      <c r="J64" s="62"/>
      <c r="K64" s="62"/>
      <c r="L64" s="62"/>
      <c r="M64" s="116"/>
      <c r="N64" s="18"/>
      <c r="O64" s="1"/>
      <c r="V64" s="663" t="s">
        <v>117</v>
      </c>
      <c r="W64" s="663"/>
      <c r="X64" s="664">
        <f>+G65</f>
        <v>4123852</v>
      </c>
      <c r="Y64" s="664"/>
      <c r="Z64" s="664"/>
      <c r="AA64" s="664"/>
      <c r="AB64" s="664"/>
      <c r="AC64" s="664"/>
      <c r="AD64" s="9"/>
    </row>
    <row r="65" spans="1:30" ht="12.75" customHeight="1" x14ac:dyDescent="0.25">
      <c r="B65" s="167" t="s">
        <v>117</v>
      </c>
      <c r="C65" s="62"/>
      <c r="D65" s="62"/>
      <c r="E65" s="62"/>
      <c r="F65" s="62"/>
      <c r="G65" s="168">
        <f>+I59</f>
        <v>4123852</v>
      </c>
      <c r="H65" s="168"/>
      <c r="I65" s="168"/>
      <c r="J65" s="168"/>
      <c r="K65" s="168"/>
      <c r="L65" s="168"/>
      <c r="O65" s="1"/>
      <c r="V65" s="663" t="s">
        <v>118</v>
      </c>
      <c r="W65" s="663"/>
      <c r="X65" s="664">
        <f>+G66</f>
        <v>0</v>
      </c>
      <c r="Y65" s="664"/>
      <c r="Z65" s="664"/>
      <c r="AA65" s="664"/>
      <c r="AB65" s="664"/>
      <c r="AC65" s="664"/>
      <c r="AD65" s="20"/>
    </row>
    <row r="66" spans="1:30" ht="15" customHeight="1" x14ac:dyDescent="0.25">
      <c r="B66" s="167" t="s">
        <v>118</v>
      </c>
      <c r="C66" s="62"/>
      <c r="D66" s="62"/>
      <c r="E66" s="62"/>
      <c r="F66" s="62"/>
      <c r="G66" s="168">
        <v>0</v>
      </c>
      <c r="H66" s="168"/>
      <c r="I66" s="168"/>
      <c r="J66" s="168"/>
      <c r="K66" s="168"/>
      <c r="L66" s="168"/>
      <c r="M66" s="18"/>
      <c r="N66" s="3"/>
      <c r="O66" s="169"/>
      <c r="P66" s="169"/>
      <c r="Q66" s="169"/>
      <c r="V66" s="651" t="s">
        <v>119</v>
      </c>
      <c r="W66" s="651"/>
      <c r="X66" s="651"/>
      <c r="Y66" s="661">
        <f>+I67</f>
        <v>96774526</v>
      </c>
      <c r="Z66" s="661"/>
      <c r="AA66" s="246" t="s">
        <v>111</v>
      </c>
      <c r="AB66" s="163">
        <f>AB54</f>
        <v>0</v>
      </c>
      <c r="AC66" s="56">
        <f>ROUND(Y66*AB66,0)</f>
        <v>0</v>
      </c>
      <c r="AD66" s="9"/>
    </row>
    <row r="67" spans="1:30" ht="20.25" customHeight="1" x14ac:dyDescent="0.25">
      <c r="B67" s="13" t="s">
        <v>119</v>
      </c>
      <c r="C67" s="13"/>
      <c r="D67" s="13"/>
      <c r="E67" s="13"/>
      <c r="F67" s="13"/>
      <c r="H67" s="164" t="s">
        <v>25</v>
      </c>
      <c r="I67" s="129">
        <v>96774526</v>
      </c>
      <c r="J67" s="165" t="s">
        <v>111</v>
      </c>
      <c r="K67" s="166">
        <f>K54</f>
        <v>4.3100000000000001E-4</v>
      </c>
      <c r="L67" s="50">
        <f>ROUND(I67*K67,0)</f>
        <v>41710</v>
      </c>
      <c r="O67" s="1"/>
      <c r="V67" s="651" t="s">
        <v>120</v>
      </c>
      <c r="W67" s="651"/>
      <c r="X67" s="651"/>
      <c r="Y67" s="651"/>
      <c r="Z67" s="651"/>
      <c r="AA67" s="651"/>
      <c r="AB67" s="651"/>
      <c r="AC67" s="651"/>
      <c r="AD67" s="9"/>
    </row>
    <row r="68" spans="1:30" ht="20.25" customHeight="1" x14ac:dyDescent="0.25">
      <c r="B68" s="13" t="s">
        <v>120</v>
      </c>
      <c r="C68" s="13"/>
      <c r="D68" s="13"/>
      <c r="E68" s="13"/>
      <c r="F68" s="13"/>
      <c r="H68" s="13"/>
      <c r="I68" s="13"/>
      <c r="J68" s="82"/>
      <c r="K68" s="13"/>
      <c r="L68" s="13"/>
      <c r="O68" s="1"/>
      <c r="V68" s="667" t="s">
        <v>121</v>
      </c>
      <c r="W68" s="667"/>
      <c r="X68" s="667"/>
      <c r="Y68" s="661">
        <f>+I69</f>
        <v>0</v>
      </c>
      <c r="Z68" s="661"/>
      <c r="AA68" s="246" t="s">
        <v>111</v>
      </c>
      <c r="AB68" s="163">
        <f>AB57</f>
        <v>0</v>
      </c>
      <c r="AC68" s="56">
        <f>ROUND(Y68*AB68,0)</f>
        <v>0</v>
      </c>
      <c r="AD68" s="9"/>
    </row>
    <row r="69" spans="1:30" ht="15" customHeight="1" x14ac:dyDescent="0.25">
      <c r="B69" s="170" t="s">
        <v>121</v>
      </c>
      <c r="C69" s="13"/>
      <c r="D69" s="13"/>
      <c r="E69" s="13"/>
      <c r="F69" s="13"/>
      <c r="H69" s="164" t="s">
        <v>23</v>
      </c>
      <c r="I69" s="129">
        <v>0</v>
      </c>
      <c r="J69" s="165" t="s">
        <v>111</v>
      </c>
      <c r="K69" s="166">
        <f>K57</f>
        <v>4.7199999999999998E-4</v>
      </c>
      <c r="L69" s="50">
        <f>ROUND(I69*K69,0)</f>
        <v>0</v>
      </c>
      <c r="O69" s="1"/>
      <c r="V69" s="651" t="s">
        <v>122</v>
      </c>
      <c r="W69" s="651"/>
      <c r="X69" s="651"/>
      <c r="Y69" s="668">
        <f>+I70</f>
        <v>-3460775</v>
      </c>
      <c r="Z69" s="668"/>
      <c r="AA69" s="246" t="s">
        <v>111</v>
      </c>
      <c r="AB69" s="163">
        <f>AB54</f>
        <v>0</v>
      </c>
      <c r="AC69" s="56">
        <f>ROUND(Y69*AB69,0)</f>
        <v>0</v>
      </c>
      <c r="AD69" s="9"/>
    </row>
    <row r="70" spans="1:30" ht="20.25" customHeight="1" x14ac:dyDescent="0.25">
      <c r="B70" s="13" t="s">
        <v>122</v>
      </c>
      <c r="C70" s="13"/>
      <c r="D70" s="13"/>
      <c r="E70" s="13"/>
      <c r="F70" s="13"/>
      <c r="H70" s="164" t="s">
        <v>22</v>
      </c>
      <c r="I70" s="129">
        <v>-3460775</v>
      </c>
      <c r="J70" s="165" t="s">
        <v>111</v>
      </c>
      <c r="K70" s="166">
        <f>K54</f>
        <v>4.3100000000000001E-4</v>
      </c>
      <c r="L70" s="50">
        <f>ROUND(I70*K70,0)</f>
        <v>-1492</v>
      </c>
      <c r="O70" s="1"/>
      <c r="V70" s="651" t="s">
        <v>123</v>
      </c>
      <c r="W70" s="651"/>
      <c r="X70" s="651"/>
      <c r="Y70" s="665">
        <f>+I71</f>
        <v>1874788</v>
      </c>
      <c r="Z70" s="665"/>
      <c r="AA70" s="246" t="s">
        <v>111</v>
      </c>
      <c r="AB70" s="163">
        <f>AB54</f>
        <v>0</v>
      </c>
      <c r="AC70" s="56">
        <f>ROUND(Y70*AB70,0)</f>
        <v>0</v>
      </c>
      <c r="AD70" s="9"/>
    </row>
    <row r="71" spans="1:30" ht="20.25" customHeight="1" x14ac:dyDescent="0.25">
      <c r="B71" s="13" t="s">
        <v>123</v>
      </c>
      <c r="C71" s="13"/>
      <c r="D71" s="13"/>
      <c r="E71" s="13"/>
      <c r="F71" s="13"/>
      <c r="H71" s="164" t="s">
        <v>22</v>
      </c>
      <c r="I71" s="129">
        <v>1874788</v>
      </c>
      <c r="J71" s="165" t="s">
        <v>111</v>
      </c>
      <c r="K71" s="166">
        <f>K54</f>
        <v>4.3100000000000001E-4</v>
      </c>
      <c r="L71" s="50">
        <f>ROUND(I71*K71,0)</f>
        <v>808</v>
      </c>
      <c r="O71" s="1"/>
      <c r="V71" s="651" t="s">
        <v>124</v>
      </c>
      <c r="W71" s="651"/>
      <c r="X71" s="651"/>
      <c r="Y71" s="665">
        <f>+I72</f>
        <v>14223298</v>
      </c>
      <c r="Z71" s="665"/>
      <c r="AA71" s="246" t="s">
        <v>111</v>
      </c>
      <c r="AB71" s="163">
        <f>AB57</f>
        <v>0</v>
      </c>
      <c r="AC71" s="56">
        <f>ROUND(Y71*AB71,0)</f>
        <v>0</v>
      </c>
      <c r="AD71" s="9"/>
    </row>
    <row r="72" spans="1:30" ht="21" customHeight="1" x14ac:dyDescent="0.25">
      <c r="B72" s="13" t="s">
        <v>124</v>
      </c>
      <c r="C72" s="13"/>
      <c r="D72" s="13"/>
      <c r="E72" s="13"/>
      <c r="F72" s="13"/>
      <c r="H72" s="164" t="s">
        <v>23</v>
      </c>
      <c r="I72" s="171">
        <v>14223298</v>
      </c>
      <c r="J72" s="165" t="s">
        <v>111</v>
      </c>
      <c r="K72" s="166">
        <f>K57</f>
        <v>4.7199999999999998E-4</v>
      </c>
      <c r="L72" s="50">
        <f>ROUND(I72*K72,0)</f>
        <v>6713</v>
      </c>
      <c r="O72" s="1"/>
      <c r="V72" s="623" t="s">
        <v>125</v>
      </c>
      <c r="W72" s="623"/>
      <c r="X72" s="623"/>
      <c r="Y72" s="623"/>
      <c r="Z72" s="623"/>
      <c r="AA72" s="623"/>
      <c r="AB72" s="623"/>
      <c r="AC72" s="60"/>
      <c r="AD72" s="9"/>
    </row>
    <row r="73" spans="1:30" ht="17.25" customHeight="1" x14ac:dyDescent="0.25">
      <c r="B73" s="13" t="s">
        <v>125</v>
      </c>
      <c r="C73" s="13"/>
      <c r="D73" s="13"/>
      <c r="E73" s="13"/>
      <c r="F73" s="13"/>
      <c r="H73" s="13"/>
      <c r="I73" s="13"/>
      <c r="J73" s="82"/>
      <c r="K73" s="13"/>
      <c r="L73" s="59"/>
      <c r="O73" s="1"/>
      <c r="V73" s="651" t="s">
        <v>126</v>
      </c>
      <c r="W73" s="651"/>
      <c r="X73" s="651"/>
      <c r="Y73" s="651"/>
      <c r="Z73" s="651"/>
      <c r="AA73" s="651"/>
      <c r="AB73" s="651"/>
      <c r="AC73" s="651"/>
      <c r="AD73" s="9"/>
    </row>
    <row r="74" spans="1:30" ht="31.5" x14ac:dyDescent="0.25">
      <c r="B74" s="13" t="s">
        <v>126</v>
      </c>
      <c r="C74" s="13"/>
      <c r="D74" s="27" t="s">
        <v>13</v>
      </c>
      <c r="E74" s="27" t="s">
        <v>14</v>
      </c>
      <c r="F74" s="27"/>
      <c r="H74" s="164" t="s">
        <v>26</v>
      </c>
      <c r="I74" s="172"/>
      <c r="J74" s="164"/>
      <c r="K74" s="172"/>
      <c r="L74" s="112"/>
      <c r="O74" s="1"/>
      <c r="V74" s="666" t="s">
        <v>127</v>
      </c>
      <c r="W74" s="666"/>
      <c r="X74" s="173" t="s">
        <v>128</v>
      </c>
      <c r="Y74" s="174"/>
      <c r="Z74" s="175">
        <f>+I75</f>
        <v>69</v>
      </c>
      <c r="AA74" s="245" t="s">
        <v>129</v>
      </c>
      <c r="AB74" s="177">
        <f>+K75</f>
        <v>361</v>
      </c>
      <c r="AC74" s="56">
        <f>ROUND(AB74*Z74,0)</f>
        <v>24909</v>
      </c>
      <c r="AD74" s="9"/>
    </row>
    <row r="75" spans="1:30" ht="19.5" customHeight="1" x14ac:dyDescent="0.25">
      <c r="A75" s="1" t="s">
        <v>130</v>
      </c>
      <c r="B75" s="178" t="s">
        <v>127</v>
      </c>
      <c r="C75" s="179" t="s">
        <v>128</v>
      </c>
      <c r="D75" s="178">
        <v>66</v>
      </c>
      <c r="E75" s="178">
        <v>72</v>
      </c>
      <c r="F75" s="178">
        <v>0</v>
      </c>
      <c r="G75" s="180">
        <f>IF(E75=0,D75,E75)</f>
        <v>72</v>
      </c>
      <c r="H75" s="181"/>
      <c r="I75" s="182">
        <f>AVERAGE(G75,D75)</f>
        <v>69</v>
      </c>
      <c r="J75" s="183" t="s">
        <v>129</v>
      </c>
      <c r="K75" s="184">
        <v>361</v>
      </c>
      <c r="L75" s="50">
        <f>ROUND(K75*I75,0)</f>
        <v>24909</v>
      </c>
      <c r="N75" s="1">
        <v>7802</v>
      </c>
      <c r="O75" s="1">
        <v>0</v>
      </c>
      <c r="V75" s="666" t="s">
        <v>127</v>
      </c>
      <c r="W75" s="666"/>
      <c r="X75" s="173" t="s">
        <v>131</v>
      </c>
      <c r="Y75" s="185"/>
      <c r="Z75" s="186">
        <f>+I76</f>
        <v>0</v>
      </c>
      <c r="AA75" s="245" t="s">
        <v>129</v>
      </c>
      <c r="AB75" s="187">
        <f>+K76</f>
        <v>1358</v>
      </c>
      <c r="AC75" s="56">
        <f>ROUND(AB75*Z75,0)</f>
        <v>0</v>
      </c>
      <c r="AD75" s="9"/>
    </row>
    <row r="76" spans="1:30" ht="19.5" customHeight="1" x14ac:dyDescent="0.25">
      <c r="A76" s="1" t="s">
        <v>132</v>
      </c>
      <c r="B76" s="178" t="s">
        <v>127</v>
      </c>
      <c r="C76" s="179" t="s">
        <v>131</v>
      </c>
      <c r="D76" s="178">
        <v>0</v>
      </c>
      <c r="E76" s="178">
        <v>0</v>
      </c>
      <c r="F76" s="178">
        <v>0</v>
      </c>
      <c r="G76" s="180">
        <f>IF(E76=0,D76,E76)</f>
        <v>0</v>
      </c>
      <c r="H76" s="181"/>
      <c r="I76" s="182">
        <f>AVERAGE(G76,D76)</f>
        <v>0</v>
      </c>
      <c r="J76" s="183" t="s">
        <v>129</v>
      </c>
      <c r="K76" s="188">
        <v>1358</v>
      </c>
      <c r="L76" s="50">
        <f>ROUND(K76*I76,0)</f>
        <v>0</v>
      </c>
      <c r="N76" s="1">
        <v>7802</v>
      </c>
      <c r="O76" s="1">
        <v>110</v>
      </c>
      <c r="V76" s="651" t="s">
        <v>133</v>
      </c>
      <c r="W76" s="651"/>
      <c r="X76" s="651"/>
      <c r="Y76" s="661">
        <f>+I77</f>
        <v>33305823</v>
      </c>
      <c r="Z76" s="661"/>
      <c r="AA76" s="245" t="s">
        <v>129</v>
      </c>
      <c r="AB76" s="163">
        <f>AB54</f>
        <v>0</v>
      </c>
      <c r="AC76" s="56">
        <f>ROUND(Y76*AB76,0)</f>
        <v>0</v>
      </c>
      <c r="AD76" s="9"/>
    </row>
    <row r="77" spans="1:30" ht="26.25" customHeight="1" x14ac:dyDescent="0.25">
      <c r="B77" s="13" t="s">
        <v>133</v>
      </c>
      <c r="C77" s="13"/>
      <c r="D77" s="13"/>
      <c r="E77" s="13"/>
      <c r="F77" s="13"/>
      <c r="H77" s="164" t="s">
        <v>134</v>
      </c>
      <c r="I77" s="189">
        <v>33305823</v>
      </c>
      <c r="J77" s="165" t="s">
        <v>111</v>
      </c>
      <c r="K77" s="166">
        <f>K54</f>
        <v>4.3100000000000001E-4</v>
      </c>
      <c r="L77" s="50">
        <f>ROUND(I77*K77,0)</f>
        <v>14355</v>
      </c>
      <c r="O77" s="1"/>
      <c r="V77" s="651" t="str">
        <f>+B78</f>
        <v>15.  Additional Allocation (WFTE share)</v>
      </c>
      <c r="W77" s="651"/>
      <c r="X77" s="651"/>
      <c r="Y77" s="661">
        <f>+I78</f>
        <v>680688</v>
      </c>
      <c r="Z77" s="661"/>
      <c r="AA77" s="245" t="s">
        <v>129</v>
      </c>
      <c r="AB77" s="163">
        <f>AB54</f>
        <v>0</v>
      </c>
      <c r="AC77" s="56">
        <f>ROUND(Y77*AB77,0)</f>
        <v>0</v>
      </c>
      <c r="AD77" s="9"/>
    </row>
    <row r="78" spans="1:30" ht="26.25" customHeight="1" x14ac:dyDescent="0.25">
      <c r="B78" s="669" t="s">
        <v>135</v>
      </c>
      <c r="C78" s="669"/>
      <c r="D78" s="669"/>
      <c r="E78" s="13"/>
      <c r="F78" s="13"/>
      <c r="H78" s="164" t="s">
        <v>136</v>
      </c>
      <c r="I78" s="190">
        <v>680688</v>
      </c>
      <c r="J78" s="165" t="s">
        <v>111</v>
      </c>
      <c r="K78" s="166">
        <f>K54</f>
        <v>4.3100000000000001E-4</v>
      </c>
      <c r="L78" s="50">
        <f>ROUND(I78*K78,0)</f>
        <v>293</v>
      </c>
      <c r="O78" s="1"/>
      <c r="V78" s="651" t="str">
        <f t="shared" ref="V78:V79" si="11">+B79</f>
        <v>16.  Florida Teachers Lead Program Stipend</v>
      </c>
      <c r="W78" s="651"/>
      <c r="X78" s="651"/>
      <c r="Y78" s="191"/>
      <c r="Z78" s="191"/>
      <c r="AA78" s="191"/>
      <c r="AB78" s="191"/>
      <c r="AC78" s="134"/>
      <c r="AD78" s="9"/>
    </row>
    <row r="79" spans="1:30" ht="21" customHeight="1" x14ac:dyDescent="0.25">
      <c r="B79" s="669" t="s">
        <v>137</v>
      </c>
      <c r="C79" s="669"/>
      <c r="D79" s="669"/>
      <c r="E79" s="13"/>
      <c r="F79" s="13"/>
      <c r="H79" s="164"/>
      <c r="I79" s="172"/>
      <c r="J79" s="172"/>
      <c r="K79" s="172"/>
      <c r="L79" s="129"/>
      <c r="N79" s="192"/>
      <c r="O79" s="1"/>
      <c r="Q79" s="164"/>
      <c r="V79" s="651" t="str">
        <f t="shared" si="11"/>
        <v>17.  Food Service Allocation</v>
      </c>
      <c r="W79" s="651"/>
      <c r="X79" s="651"/>
      <c r="Y79" s="191"/>
      <c r="Z79" s="191"/>
      <c r="AA79" s="191"/>
      <c r="AB79" s="191"/>
      <c r="AC79" s="193"/>
      <c r="AD79" s="9"/>
    </row>
    <row r="80" spans="1:30" ht="21" customHeight="1" x14ac:dyDescent="0.25">
      <c r="B80" s="669" t="s">
        <v>138</v>
      </c>
      <c r="C80" s="669"/>
      <c r="D80" s="669"/>
      <c r="E80" s="13"/>
      <c r="F80" s="13"/>
      <c r="H80" s="194" t="s">
        <v>139</v>
      </c>
      <c r="I80" s="195"/>
      <c r="J80" s="195"/>
      <c r="K80" s="195"/>
      <c r="L80" s="196"/>
      <c r="N80" s="197"/>
      <c r="O80" s="1"/>
      <c r="Q80" s="164"/>
      <c r="V80" s="191"/>
      <c r="W80" s="191"/>
      <c r="X80" s="191"/>
      <c r="Y80" s="191"/>
      <c r="Z80" s="191"/>
      <c r="AA80" s="191"/>
      <c r="AB80" s="191"/>
      <c r="AC80" s="193"/>
      <c r="AD80" s="9"/>
    </row>
    <row r="81" spans="1:30" ht="21" customHeight="1" thickBot="1" x14ac:dyDescent="0.3">
      <c r="B81" s="13"/>
      <c r="C81" s="13"/>
      <c r="D81" s="13"/>
      <c r="E81" s="13"/>
      <c r="F81" s="13"/>
      <c r="G81" s="13"/>
      <c r="H81" s="13"/>
      <c r="I81" s="13"/>
      <c r="J81" s="13"/>
      <c r="K81" s="13"/>
      <c r="L81" s="196"/>
      <c r="M81" s="198"/>
      <c r="N81" s="197"/>
      <c r="O81" s="1"/>
      <c r="Q81" s="164"/>
      <c r="V81" s="191" t="s">
        <v>140</v>
      </c>
      <c r="W81" s="191"/>
      <c r="X81" s="191"/>
      <c r="Y81" s="191"/>
      <c r="Z81" s="191"/>
      <c r="AA81" s="191"/>
      <c r="AB81" s="191"/>
      <c r="AC81" s="199">
        <f>SUM(AC44:AC80)</f>
        <v>24909</v>
      </c>
      <c r="AD81" s="200"/>
    </row>
    <row r="82" spans="1:30" ht="22.5" customHeight="1" thickTop="1" thickBot="1" x14ac:dyDescent="0.3">
      <c r="B82" s="13" t="s">
        <v>141</v>
      </c>
      <c r="C82" s="13"/>
      <c r="D82" s="13"/>
      <c r="E82" s="13"/>
      <c r="F82" s="13"/>
      <c r="G82" s="13"/>
      <c r="H82" s="13"/>
      <c r="I82" s="13"/>
      <c r="J82" s="13"/>
      <c r="K82" s="13"/>
      <c r="L82" s="201">
        <f>SUM(L44:L81)</f>
        <v>520861</v>
      </c>
      <c r="M82" s="202"/>
      <c r="N82" s="203"/>
      <c r="O82" s="1"/>
      <c r="Q82" s="164"/>
      <c r="V82" s="191"/>
      <c r="W82" s="191"/>
      <c r="X82" s="191"/>
      <c r="Y82" s="191"/>
      <c r="Z82" s="191"/>
      <c r="AA82" s="191"/>
      <c r="AB82" s="191"/>
      <c r="AC82" s="204"/>
      <c r="AD82" s="200"/>
    </row>
    <row r="83" spans="1:30" ht="27.75" customHeight="1" thickTop="1" x14ac:dyDescent="0.25">
      <c r="B83" s="13" t="s">
        <v>142</v>
      </c>
      <c r="C83" s="13"/>
      <c r="D83" s="13"/>
      <c r="E83" s="13"/>
      <c r="F83" s="13"/>
      <c r="G83" s="13"/>
      <c r="H83" s="13"/>
      <c r="I83" s="13"/>
      <c r="J83" s="13"/>
      <c r="K83" s="82" t="s">
        <v>143</v>
      </c>
      <c r="L83" s="205" t="s">
        <v>144</v>
      </c>
      <c r="M83" s="202"/>
      <c r="N83" s="203"/>
      <c r="O83" s="1"/>
      <c r="Q83" s="164"/>
      <c r="V83" s="9" t="s">
        <v>145</v>
      </c>
      <c r="W83" s="9"/>
      <c r="X83" s="9"/>
      <c r="Y83" s="9"/>
      <c r="Z83" s="9"/>
      <c r="AA83" s="9"/>
      <c r="AB83" s="9"/>
      <c r="AC83" s="9"/>
      <c r="AD83" s="206"/>
    </row>
    <row r="84" spans="1:30" ht="18.75" customHeight="1" thickBot="1" x14ac:dyDescent="0.3">
      <c r="B84" s="13" t="s">
        <v>146</v>
      </c>
      <c r="C84" s="13"/>
      <c r="D84" s="13"/>
      <c r="E84" s="13"/>
      <c r="F84" s="13"/>
      <c r="G84" s="13"/>
      <c r="H84" s="13"/>
      <c r="I84" s="13"/>
      <c r="J84" s="13"/>
      <c r="K84" s="207" t="str">
        <f>IF(G26=0,"",IF((G11+G13+SUM(G15:G21))/G26&gt;0.75,1,""))</f>
        <v/>
      </c>
      <c r="L84" s="201">
        <f>'3441'!AC81</f>
        <v>24909</v>
      </c>
      <c r="M84" s="202"/>
      <c r="N84" s="203"/>
      <c r="O84" s="1"/>
      <c r="Q84" s="164"/>
      <c r="V84" s="208" t="s">
        <v>147</v>
      </c>
      <c r="W84" s="208"/>
      <c r="X84" s="208"/>
      <c r="Y84" s="208"/>
      <c r="Z84" s="208"/>
      <c r="AA84" s="208"/>
      <c r="AB84" s="208"/>
      <c r="AC84" s="208"/>
      <c r="AD84" s="9"/>
    </row>
    <row r="85" spans="1:30" ht="18.75" customHeight="1" thickTop="1" x14ac:dyDescent="0.25">
      <c r="B85" s="13"/>
      <c r="C85" s="13"/>
      <c r="D85" s="13"/>
      <c r="E85" s="13"/>
      <c r="F85" s="13"/>
      <c r="G85" s="13"/>
      <c r="H85" s="13"/>
      <c r="I85" s="13"/>
      <c r="J85" s="13"/>
      <c r="M85" s="202"/>
      <c r="N85" s="203"/>
      <c r="O85" s="1"/>
      <c r="Q85" s="164"/>
      <c r="V85" s="208" t="s">
        <v>148</v>
      </c>
      <c r="W85" s="208"/>
      <c r="X85" s="208"/>
      <c r="Y85" s="208"/>
      <c r="Z85" s="208"/>
      <c r="AA85" s="208"/>
      <c r="AB85" s="208"/>
      <c r="AC85" s="208"/>
      <c r="AD85" s="206"/>
    </row>
    <row r="86" spans="1:30" ht="18.75" customHeight="1" x14ac:dyDescent="0.25">
      <c r="B86" s="2" t="s">
        <v>149</v>
      </c>
      <c r="C86" s="13"/>
      <c r="D86" s="13"/>
      <c r="E86" s="13"/>
      <c r="F86" s="13"/>
      <c r="G86" s="13"/>
      <c r="H86" s="13"/>
      <c r="I86" s="13"/>
      <c r="J86" s="209" t="s">
        <v>150</v>
      </c>
      <c r="K86" s="210">
        <f>IF(K84=1,L84,L82)</f>
        <v>520861</v>
      </c>
      <c r="L86" s="211">
        <f>IF(G26=0,0,IF(G26&gt;250,-(((250/G26)*K86)*IF(M86="H",0.02,0.05)),IF(M86="H",-0.02*K86,-0.05*K86)))</f>
        <v>-26043.050000000003</v>
      </c>
      <c r="M86" s="212" t="str">
        <f>IF(B123="2801","H",IF(B123="2911","H",IF(B123="3382","H"," ")))</f>
        <v xml:space="preserve"> </v>
      </c>
      <c r="N86" s="203"/>
      <c r="O86" s="1"/>
      <c r="Q86" s="164"/>
      <c r="V86" s="208" t="s">
        <v>151</v>
      </c>
      <c r="W86" s="208"/>
      <c r="X86" s="208"/>
      <c r="Y86" s="208"/>
      <c r="Z86" s="208"/>
      <c r="AA86" s="208"/>
      <c r="AB86" s="208"/>
      <c r="AC86" s="208"/>
      <c r="AD86" s="206"/>
    </row>
    <row r="87" spans="1:30" ht="18.75" customHeight="1" x14ac:dyDescent="0.25">
      <c r="B87" s="2" t="s">
        <v>152</v>
      </c>
      <c r="C87" s="13"/>
      <c r="D87" s="13"/>
      <c r="E87" s="13"/>
      <c r="F87" s="13"/>
      <c r="G87" s="13"/>
      <c r="H87" s="13"/>
      <c r="I87" s="13"/>
      <c r="J87" s="13"/>
      <c r="K87" s="213"/>
      <c r="L87" s="205">
        <f>L82+L86</f>
        <v>494817.95</v>
      </c>
      <c r="M87" s="202"/>
      <c r="N87" s="203"/>
      <c r="O87" s="1"/>
      <c r="Q87" s="164"/>
      <c r="V87" s="198"/>
      <c r="W87" s="198"/>
      <c r="X87" s="198"/>
      <c r="Y87" s="198"/>
      <c r="Z87" s="198"/>
      <c r="AA87" s="198"/>
      <c r="AB87" s="198"/>
      <c r="AC87" s="198"/>
      <c r="AD87" s="214"/>
    </row>
    <row r="88" spans="1:30" x14ac:dyDescent="0.25">
      <c r="V88" s="198"/>
      <c r="W88" s="198"/>
      <c r="X88" s="198"/>
      <c r="Y88" s="198"/>
      <c r="Z88" s="198"/>
      <c r="AA88" s="198"/>
      <c r="AB88" s="198"/>
      <c r="AC88" s="198"/>
      <c r="AD88" s="215"/>
    </row>
    <row r="89" spans="1:30" ht="18.75" customHeight="1" x14ac:dyDescent="0.25">
      <c r="A89" s="1" t="s">
        <v>153</v>
      </c>
      <c r="B89" s="13" t="s">
        <v>154</v>
      </c>
      <c r="C89" s="13"/>
      <c r="D89" s="13">
        <v>0</v>
      </c>
      <c r="E89" s="13">
        <v>0</v>
      </c>
      <c r="F89" s="13">
        <v>3941094</v>
      </c>
      <c r="G89" s="13"/>
      <c r="H89" s="13"/>
      <c r="I89" s="13"/>
      <c r="J89" s="13"/>
      <c r="K89" s="213"/>
      <c r="L89" s="84">
        <f>-406704-44057</f>
        <v>-450761</v>
      </c>
      <c r="M89" s="202"/>
      <c r="N89" s="203"/>
      <c r="O89" s="1"/>
      <c r="Q89" s="164"/>
      <c r="V89" s="198">
        <v>2801</v>
      </c>
      <c r="W89" s="198"/>
      <c r="X89" s="198"/>
      <c r="Y89" s="198"/>
      <c r="Z89" s="198"/>
      <c r="AA89" s="198"/>
      <c r="AB89" s="198"/>
      <c r="AC89" s="198"/>
      <c r="AD89" s="214"/>
    </row>
    <row r="90" spans="1:30" ht="18.75" customHeight="1" x14ac:dyDescent="0.25">
      <c r="B90" s="13" t="s">
        <v>155</v>
      </c>
      <c r="C90" s="13"/>
      <c r="D90" s="13"/>
      <c r="E90" s="13"/>
      <c r="F90" s="13"/>
      <c r="G90" s="13"/>
      <c r="H90" s="13"/>
      <c r="I90" s="13"/>
      <c r="J90" s="13"/>
      <c r="K90" s="213"/>
      <c r="L90" s="205">
        <f>L87+L89</f>
        <v>44056.950000000012</v>
      </c>
      <c r="M90" s="202"/>
      <c r="N90" s="203"/>
      <c r="O90" s="1"/>
      <c r="Q90" s="164"/>
      <c r="V90" s="198">
        <v>2911</v>
      </c>
      <c r="W90" s="216"/>
      <c r="X90" s="216"/>
      <c r="Y90" s="216"/>
      <c r="Z90" s="216"/>
      <c r="AA90" s="216"/>
      <c r="AB90" s="216"/>
      <c r="AC90" s="216"/>
      <c r="AD90" s="214"/>
    </row>
    <row r="91" spans="1:30" ht="18.75" customHeight="1" x14ac:dyDescent="0.25">
      <c r="B91" s="13" t="s">
        <v>156</v>
      </c>
      <c r="C91" s="13"/>
      <c r="D91" s="13"/>
      <c r="E91" s="13"/>
      <c r="F91" s="13"/>
      <c r="G91" s="13"/>
      <c r="H91" s="13"/>
      <c r="I91" s="13"/>
      <c r="J91" s="13"/>
      <c r="K91" s="213"/>
      <c r="L91" s="205">
        <v>1</v>
      </c>
      <c r="M91" s="202"/>
      <c r="N91" s="203"/>
      <c r="O91" s="1"/>
      <c r="Q91" s="164"/>
      <c r="V91" s="198">
        <v>3382</v>
      </c>
      <c r="W91" s="216"/>
      <c r="X91" s="216"/>
      <c r="Y91" s="216"/>
      <c r="Z91" s="216"/>
      <c r="AA91" s="216"/>
      <c r="AB91" s="216"/>
      <c r="AC91" s="216"/>
      <c r="AD91" s="214"/>
    </row>
    <row r="92" spans="1:30" ht="18.75" customHeight="1" thickBot="1" x14ac:dyDescent="0.3">
      <c r="B92" s="13" t="s">
        <v>157</v>
      </c>
      <c r="C92" s="13"/>
      <c r="D92" s="13"/>
      <c r="E92" s="13"/>
      <c r="F92" s="13"/>
      <c r="G92" s="13"/>
      <c r="H92" s="13"/>
      <c r="I92" s="13"/>
      <c r="J92" s="13"/>
      <c r="K92" s="213"/>
      <c r="L92" s="217">
        <f>L90/L91</f>
        <v>44056.950000000012</v>
      </c>
      <c r="M92" s="202"/>
      <c r="N92" s="203"/>
      <c r="O92" s="1"/>
      <c r="Q92" s="164"/>
      <c r="V92" s="218"/>
      <c r="W92" s="218"/>
      <c r="X92" s="218"/>
      <c r="Y92" s="218"/>
      <c r="Z92" s="218"/>
      <c r="AA92" s="218"/>
      <c r="AB92" s="218"/>
      <c r="AC92" s="218"/>
      <c r="AD92" s="219"/>
    </row>
    <row r="93" spans="1:30" ht="18.75" customHeight="1" thickTop="1" x14ac:dyDescent="0.25">
      <c r="N93" s="219"/>
      <c r="O93" s="220"/>
      <c r="P93" s="219"/>
      <c r="Q93" s="219"/>
      <c r="V93" s="218"/>
      <c r="W93" s="218"/>
      <c r="X93" s="218"/>
      <c r="Y93" s="218"/>
      <c r="Z93" s="218"/>
      <c r="AA93" s="218"/>
      <c r="AB93" s="218"/>
      <c r="AC93" s="218"/>
      <c r="AD93" s="214"/>
    </row>
    <row r="94" spans="1:30" ht="18.75" customHeight="1" thickBot="1" x14ac:dyDescent="0.3">
      <c r="B94" s="221" t="s">
        <v>158</v>
      </c>
      <c r="C94" s="13"/>
      <c r="D94" s="13"/>
      <c r="E94" s="13"/>
      <c r="G94" s="13"/>
      <c r="H94" s="13"/>
      <c r="I94" s="13"/>
      <c r="J94" s="13"/>
      <c r="L94" s="222">
        <f>IF(M86="H",(K86*0.02)+L86,(K86*0.05)+L86)</f>
        <v>0</v>
      </c>
      <c r="M94" s="202"/>
      <c r="V94" s="223"/>
      <c r="W94" s="223"/>
      <c r="X94" s="223"/>
      <c r="Y94" s="223"/>
      <c r="Z94" s="223"/>
      <c r="AA94" s="223"/>
      <c r="AB94" s="223"/>
      <c r="AC94" s="223"/>
      <c r="AD94" s="214"/>
    </row>
    <row r="95" spans="1:30" ht="21.75" customHeight="1" thickTop="1" x14ac:dyDescent="0.25">
      <c r="B95" s="224" t="s">
        <v>159</v>
      </c>
      <c r="C95" s="224"/>
      <c r="D95" s="224"/>
      <c r="E95" s="224"/>
      <c r="F95" s="224"/>
      <c r="G95" s="224"/>
      <c r="H95" s="224"/>
      <c r="I95" s="224"/>
      <c r="J95" s="224"/>
      <c r="K95" s="224"/>
      <c r="L95" s="224"/>
      <c r="M95" s="219"/>
      <c r="V95" s="223"/>
      <c r="W95" s="223"/>
      <c r="X95" s="223"/>
      <c r="Y95" s="223"/>
      <c r="Z95" s="223"/>
      <c r="AA95" s="223"/>
      <c r="AB95" s="223"/>
      <c r="AC95" s="223"/>
      <c r="AD95" s="214"/>
    </row>
    <row r="96" spans="1:30" x14ac:dyDescent="0.25">
      <c r="B96" s="225"/>
      <c r="V96" s="223"/>
      <c r="W96" s="223"/>
      <c r="X96" s="223"/>
      <c r="Y96" s="223"/>
      <c r="Z96" s="223"/>
      <c r="AA96" s="223"/>
      <c r="AB96" s="223"/>
      <c r="AC96" s="223"/>
      <c r="AD96" s="219"/>
    </row>
    <row r="97" spans="2:30" x14ac:dyDescent="0.25">
      <c r="B97" s="225"/>
      <c r="V97" s="223"/>
      <c r="W97" s="223"/>
      <c r="X97" s="223"/>
      <c r="Y97" s="223"/>
      <c r="Z97" s="223"/>
      <c r="AA97" s="223"/>
      <c r="AB97" s="223"/>
      <c r="AC97" s="223"/>
      <c r="AD97" s="219"/>
    </row>
    <row r="98" spans="2:30" hidden="1" x14ac:dyDescent="0.25">
      <c r="B98" s="226" t="s">
        <v>160</v>
      </c>
      <c r="C98" s="227"/>
      <c r="V98" s="228"/>
      <c r="W98" s="228"/>
      <c r="X98" s="228"/>
      <c r="Y98" s="228"/>
      <c r="Z98" s="228"/>
      <c r="AA98" s="228"/>
      <c r="AB98" s="228"/>
      <c r="AC98" s="228"/>
    </row>
    <row r="99" spans="2:30" hidden="1" x14ac:dyDescent="0.25">
      <c r="B99" s="229"/>
      <c r="C99" s="227"/>
      <c r="V99" s="225"/>
      <c r="W99" s="13"/>
      <c r="X99" s="13"/>
      <c r="Y99" s="13"/>
      <c r="Z99" s="13"/>
      <c r="AA99" s="13"/>
      <c r="AB99" s="13"/>
      <c r="AC99" s="13"/>
    </row>
    <row r="100" spans="2:30" hidden="1" x14ac:dyDescent="0.25">
      <c r="B100" s="230" t="s">
        <v>161</v>
      </c>
      <c r="C100" s="226" t="s">
        <v>162</v>
      </c>
      <c r="V100" s="225"/>
    </row>
    <row r="101" spans="2:30" hidden="1" x14ac:dyDescent="0.25">
      <c r="B101" s="230" t="s">
        <v>163</v>
      </c>
      <c r="C101" s="226" t="s">
        <v>164</v>
      </c>
      <c r="V101" s="225"/>
    </row>
    <row r="102" spans="2:30" hidden="1" x14ac:dyDescent="0.25">
      <c r="B102" s="230" t="s">
        <v>165</v>
      </c>
      <c r="C102" s="226" t="s">
        <v>166</v>
      </c>
      <c r="V102" s="225"/>
      <c r="W102" s="231"/>
      <c r="X102" s="231"/>
      <c r="Y102" s="231"/>
      <c r="Z102" s="231"/>
      <c r="AA102" s="231"/>
      <c r="AB102" s="231"/>
      <c r="AC102" s="231"/>
      <c r="AD102" s="231"/>
    </row>
    <row r="103" spans="2:30" hidden="1" x14ac:dyDescent="0.25">
      <c r="B103" s="230" t="s">
        <v>167</v>
      </c>
      <c r="C103" s="226" t="s">
        <v>168</v>
      </c>
      <c r="V103" s="225"/>
    </row>
    <row r="104" spans="2:30" hidden="1" x14ac:dyDescent="0.25">
      <c r="B104" s="232"/>
      <c r="C104" s="226" t="s">
        <v>169</v>
      </c>
      <c r="V104" s="225"/>
    </row>
    <row r="105" spans="2:30" hidden="1" x14ac:dyDescent="0.25">
      <c r="B105" s="230" t="s">
        <v>170</v>
      </c>
      <c r="C105" s="226" t="s">
        <v>171</v>
      </c>
      <c r="V105" s="225"/>
    </row>
    <row r="106" spans="2:30" hidden="1" x14ac:dyDescent="0.25">
      <c r="B106" s="230" t="s">
        <v>172</v>
      </c>
      <c r="C106" s="226" t="s">
        <v>173</v>
      </c>
      <c r="V106" s="225"/>
    </row>
    <row r="107" spans="2:30" hidden="1" x14ac:dyDescent="0.25">
      <c r="B107" s="230" t="s">
        <v>307</v>
      </c>
      <c r="C107" s="226" t="s">
        <v>175</v>
      </c>
      <c r="V107" s="225"/>
    </row>
    <row r="108" spans="2:30" hidden="1" x14ac:dyDescent="0.25">
      <c r="B108" s="230" t="s">
        <v>176</v>
      </c>
      <c r="C108" s="226" t="s">
        <v>177</v>
      </c>
      <c r="V108" s="225"/>
    </row>
    <row r="109" spans="2:30" hidden="1" x14ac:dyDescent="0.25">
      <c r="B109" s="230" t="s">
        <v>178</v>
      </c>
      <c r="C109" s="226" t="s">
        <v>179</v>
      </c>
      <c r="V109" s="225"/>
    </row>
    <row r="110" spans="2:30" hidden="1" x14ac:dyDescent="0.25">
      <c r="B110" s="232"/>
      <c r="C110" s="226"/>
      <c r="V110" s="225"/>
    </row>
    <row r="111" spans="2:30" hidden="1" x14ac:dyDescent="0.25">
      <c r="B111" s="230" t="s">
        <v>180</v>
      </c>
      <c r="C111" s="226" t="s">
        <v>181</v>
      </c>
      <c r="V111" s="225"/>
    </row>
    <row r="112" spans="2:30" hidden="1" x14ac:dyDescent="0.25">
      <c r="B112" s="230" t="s">
        <v>180</v>
      </c>
      <c r="C112" s="226" t="s">
        <v>182</v>
      </c>
    </row>
    <row r="113" spans="2:3" hidden="1" x14ac:dyDescent="0.25">
      <c r="B113" s="230" t="s">
        <v>183</v>
      </c>
      <c r="C113" s="226" t="s">
        <v>184</v>
      </c>
    </row>
    <row r="114" spans="2:3" hidden="1" x14ac:dyDescent="0.25">
      <c r="B114" s="230" t="s">
        <v>185</v>
      </c>
      <c r="C114" s="226" t="s">
        <v>186</v>
      </c>
    </row>
    <row r="115" spans="2:3" hidden="1" x14ac:dyDescent="0.25">
      <c r="B115" s="230" t="s">
        <v>183</v>
      </c>
      <c r="C115" s="226" t="s">
        <v>187</v>
      </c>
    </row>
    <row r="116" spans="2:3" hidden="1" x14ac:dyDescent="0.25">
      <c r="B116" s="230" t="s">
        <v>188</v>
      </c>
      <c r="C116" s="226" t="s">
        <v>189</v>
      </c>
    </row>
    <row r="117" spans="2:3" hidden="1" x14ac:dyDescent="0.25">
      <c r="B117" s="230" t="s">
        <v>190</v>
      </c>
      <c r="C117" s="226" t="s">
        <v>191</v>
      </c>
    </row>
    <row r="118" spans="2:3" hidden="1" x14ac:dyDescent="0.25">
      <c r="B118" s="232" t="s">
        <v>192</v>
      </c>
      <c r="C118" s="226" t="s">
        <v>193</v>
      </c>
    </row>
    <row r="119" spans="2:3" hidden="1" x14ac:dyDescent="0.25">
      <c r="B119" s="232"/>
      <c r="C119" s="226"/>
    </row>
    <row r="120" spans="2:3" hidden="1" x14ac:dyDescent="0.25">
      <c r="B120" s="230" t="s">
        <v>161</v>
      </c>
      <c r="C120" s="226" t="s">
        <v>194</v>
      </c>
    </row>
    <row r="121" spans="2:3" hidden="1" x14ac:dyDescent="0.25">
      <c r="B121" s="230" t="s">
        <v>195</v>
      </c>
      <c r="C121" s="226" t="s">
        <v>196</v>
      </c>
    </row>
    <row r="122" spans="2:3" hidden="1" x14ac:dyDescent="0.25">
      <c r="B122" s="230" t="s">
        <v>197</v>
      </c>
      <c r="C122" s="226" t="s">
        <v>198</v>
      </c>
    </row>
    <row r="123" spans="2:3" hidden="1" x14ac:dyDescent="0.25">
      <c r="B123" s="230" t="s">
        <v>415</v>
      </c>
      <c r="C123" s="226" t="s">
        <v>200</v>
      </c>
    </row>
    <row r="124" spans="2:3" hidden="1" x14ac:dyDescent="0.25">
      <c r="B124" s="230" t="s">
        <v>416</v>
      </c>
      <c r="C124" s="226" t="s">
        <v>202</v>
      </c>
    </row>
    <row r="125" spans="2:3" hidden="1" x14ac:dyDescent="0.25">
      <c r="B125" s="230" t="s">
        <v>203</v>
      </c>
      <c r="C125" s="226" t="s">
        <v>204</v>
      </c>
    </row>
    <row r="126" spans="2:3" hidden="1" x14ac:dyDescent="0.25">
      <c r="B126" s="230" t="s">
        <v>203</v>
      </c>
      <c r="C126" s="226" t="s">
        <v>205</v>
      </c>
    </row>
    <row r="127" spans="2:3" hidden="1" x14ac:dyDescent="0.25">
      <c r="B127" s="230" t="s">
        <v>203</v>
      </c>
      <c r="C127" s="226" t="s">
        <v>206</v>
      </c>
    </row>
    <row r="128" spans="2:3" hidden="1" x14ac:dyDescent="0.25">
      <c r="B128" s="230" t="s">
        <v>203</v>
      </c>
      <c r="C128" s="226" t="s">
        <v>207</v>
      </c>
    </row>
    <row r="129" spans="2:3" hidden="1" x14ac:dyDescent="0.25">
      <c r="B129" s="230" t="s">
        <v>167</v>
      </c>
      <c r="C129" s="226" t="s">
        <v>208</v>
      </c>
    </row>
    <row r="130" spans="2:3" hidden="1" x14ac:dyDescent="0.25">
      <c r="B130" s="230" t="s">
        <v>209</v>
      </c>
      <c r="C130" s="226" t="s">
        <v>210</v>
      </c>
    </row>
    <row r="131" spans="2:3" hidden="1" x14ac:dyDescent="0.25">
      <c r="B131" s="230" t="s">
        <v>203</v>
      </c>
      <c r="C131" s="226" t="s">
        <v>211</v>
      </c>
    </row>
    <row r="132" spans="2:3" hidden="1" x14ac:dyDescent="0.25">
      <c r="B132" s="226"/>
      <c r="C132" s="226"/>
    </row>
    <row r="133" spans="2:3" hidden="1" x14ac:dyDescent="0.25">
      <c r="B133" s="226"/>
      <c r="C133" s="226"/>
    </row>
    <row r="134" spans="2:3" hidden="1" x14ac:dyDescent="0.25">
      <c r="B134" s="232"/>
      <c r="C134" s="232"/>
    </row>
    <row r="135" spans="2:3" hidden="1" x14ac:dyDescent="0.25">
      <c r="B135" s="232">
        <f>NvsElapsedTime</f>
        <v>1.15740767796524E-5</v>
      </c>
      <c r="C135" s="232"/>
    </row>
    <row r="136" spans="2:3" hidden="1" x14ac:dyDescent="0.25">
      <c r="B136" s="233">
        <f>NvsEndTime</f>
        <v>41754.488055555601</v>
      </c>
      <c r="C136" s="233" t="s">
        <v>212</v>
      </c>
    </row>
    <row r="137" spans="2:3" x14ac:dyDescent="0.25">
      <c r="B137" s="226"/>
      <c r="C137" s="234"/>
    </row>
    <row r="138" spans="2:3" x14ac:dyDescent="0.25">
      <c r="B138" s="226"/>
      <c r="C138" s="226"/>
    </row>
    <row r="139" spans="2:3" x14ac:dyDescent="0.25">
      <c r="B139" s="226"/>
      <c r="C139" s="226"/>
    </row>
    <row r="140" spans="2:3" x14ac:dyDescent="0.25">
      <c r="B140" s="226"/>
      <c r="C140" s="226"/>
    </row>
    <row r="141" spans="2:3" x14ac:dyDescent="0.25">
      <c r="B141" s="226"/>
      <c r="C141" s="226"/>
    </row>
    <row r="142" spans="2:3" x14ac:dyDescent="0.25">
      <c r="B142" s="226"/>
      <c r="C142" s="226"/>
    </row>
    <row r="143" spans="2:3" x14ac:dyDescent="0.25">
      <c r="B143" s="226"/>
      <c r="C143" s="226"/>
    </row>
    <row r="144" spans="2:3" x14ac:dyDescent="0.25">
      <c r="B144" s="226"/>
      <c r="C144" s="226"/>
    </row>
    <row r="145" spans="2:3" x14ac:dyDescent="0.25">
      <c r="B145" s="226"/>
      <c r="C145" s="226"/>
    </row>
    <row r="146" spans="2:3" x14ac:dyDescent="0.25">
      <c r="B146" s="226"/>
      <c r="C146" s="226"/>
    </row>
    <row r="147" spans="2:3" x14ac:dyDescent="0.25">
      <c r="B147" s="226"/>
      <c r="C147" s="226"/>
    </row>
    <row r="148" spans="2:3" x14ac:dyDescent="0.25">
      <c r="B148" s="226"/>
      <c r="C148" s="226"/>
    </row>
    <row r="149" spans="2:3" x14ac:dyDescent="0.25">
      <c r="B149" s="226"/>
      <c r="C149" s="226"/>
    </row>
    <row r="150" spans="2:3" x14ac:dyDescent="0.25">
      <c r="B150" s="226"/>
      <c r="C150" s="226"/>
    </row>
    <row r="151" spans="2:3" x14ac:dyDescent="0.25">
      <c r="B151" s="226"/>
      <c r="C151" s="226"/>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51"/>
  <sheetViews>
    <sheetView topLeftCell="B62" zoomScale="70" zoomScaleNormal="70" workbookViewId="0">
      <selection activeCell="B2" sqref="B2"/>
    </sheetView>
  </sheetViews>
  <sheetFormatPr defaultColWidth="8.85546875" defaultRowHeight="15.75" x14ac:dyDescent="0.25"/>
  <cols>
    <col min="1" max="1" width="11.28515625" style="1" hidden="1" customWidth="1"/>
    <col min="2" max="2" width="10.28515625" style="2" customWidth="1"/>
    <col min="3" max="3" width="29" style="1" customWidth="1"/>
    <col min="4" max="5" width="12.28515625" style="1" customWidth="1"/>
    <col min="6" max="6" width="12.28515625" style="1" hidden="1" customWidth="1"/>
    <col min="7" max="7" width="15.28515625" style="1" customWidth="1"/>
    <col min="8" max="8" width="6.7109375" style="1" customWidth="1"/>
    <col min="9" max="9" width="12.5703125" style="1" customWidth="1"/>
    <col min="10" max="10" width="12.85546875" style="1" customWidth="1"/>
    <col min="11" max="11" width="13" style="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28515625" style="1" customWidth="1"/>
    <col min="18" max="18" width="8.85546875" style="1"/>
    <col min="19" max="21" width="0" style="1" hidden="1" customWidth="1"/>
    <col min="22" max="23" width="8.85546875" style="1"/>
    <col min="24" max="24" width="12.7109375" style="1" customWidth="1"/>
    <col min="25" max="27" width="8.85546875" style="1"/>
    <col min="28" max="28" width="13.140625" style="1" bestFit="1" customWidth="1"/>
    <col min="29" max="16384" width="8.85546875" style="1"/>
  </cols>
  <sheetData>
    <row r="1" spans="1:30" ht="15.6"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7"/>
      <c r="N2" s="3"/>
      <c r="O2" s="1"/>
      <c r="V2" s="8">
        <f>'3443'!B2</f>
        <v>50</v>
      </c>
      <c r="W2" s="606" t="s">
        <v>4</v>
      </c>
      <c r="X2" s="607"/>
      <c r="Y2" s="608"/>
      <c r="Z2" s="608"/>
      <c r="AA2" s="608"/>
      <c r="AB2" s="608"/>
      <c r="AC2" s="608"/>
      <c r="AD2" s="9"/>
    </row>
    <row r="3" spans="1:30" ht="20.25" x14ac:dyDescent="0.3">
      <c r="B3" s="10" t="str">
        <f>"Revenue Estimate Worksheet for "&amp;B124</f>
        <v>Revenue Estimate Worksheet for Riviera Beach Maritime Academy</v>
      </c>
      <c r="C3" s="11"/>
      <c r="D3" s="11"/>
      <c r="E3" s="11"/>
      <c r="F3" s="11"/>
      <c r="G3" s="11"/>
      <c r="H3" s="11"/>
      <c r="I3" s="11"/>
      <c r="J3" s="11"/>
      <c r="K3" s="11"/>
      <c r="L3" s="11"/>
      <c r="M3" s="10"/>
      <c r="N3" s="10"/>
      <c r="O3" s="10"/>
      <c r="P3" s="10"/>
      <c r="Q3" s="10"/>
      <c r="V3" s="609" t="s">
        <v>5</v>
      </c>
      <c r="W3" s="609"/>
      <c r="X3" s="609"/>
      <c r="Y3" s="609"/>
      <c r="Z3" s="609"/>
      <c r="AA3" s="609"/>
      <c r="AB3" s="609"/>
      <c r="AC3" s="609"/>
      <c r="AD3" s="12"/>
    </row>
    <row r="4" spans="1:30" ht="18.75" x14ac:dyDescent="0.3">
      <c r="B4" s="2" t="s">
        <v>6</v>
      </c>
      <c r="C4" s="13"/>
      <c r="D4" s="13"/>
      <c r="E4" s="13"/>
      <c r="F4" s="13"/>
      <c r="G4" s="13"/>
      <c r="H4" s="13"/>
      <c r="I4" s="13"/>
      <c r="J4" s="13"/>
      <c r="K4" s="13"/>
      <c r="L4" s="13"/>
      <c r="M4" s="14"/>
      <c r="N4" s="14"/>
      <c r="O4" s="14"/>
      <c r="P4" s="14"/>
      <c r="Q4" s="14"/>
      <c r="V4" s="610" t="str">
        <f>+Based_on_the_Second_Calculation_of_the_FEFP_2010_11</f>
        <v>Based on the Fourth Calculation of the FEFP 2013-14</v>
      </c>
      <c r="W4" s="610"/>
      <c r="X4" s="610"/>
      <c r="Y4" s="610"/>
      <c r="Z4" s="610"/>
      <c r="AA4" s="610"/>
      <c r="AB4" s="610"/>
      <c r="AC4" s="610"/>
      <c r="AD4" s="15"/>
    </row>
    <row r="5" spans="1:30" ht="18.75" customHeight="1" x14ac:dyDescent="0.25">
      <c r="B5" s="16" t="s">
        <v>7</v>
      </c>
      <c r="C5" s="16"/>
      <c r="D5" s="16"/>
      <c r="E5" s="16"/>
      <c r="F5" s="16"/>
      <c r="G5" s="17" t="s">
        <v>8</v>
      </c>
      <c r="H5" s="17"/>
      <c r="I5" s="17"/>
      <c r="J5" s="17"/>
      <c r="K5" s="17"/>
      <c r="L5" s="17"/>
      <c r="M5" s="18"/>
      <c r="N5" s="18"/>
      <c r="O5" s="18"/>
      <c r="P5" s="18"/>
      <c r="Q5" s="18"/>
      <c r="V5" s="611" t="s">
        <v>7</v>
      </c>
      <c r="W5" s="611"/>
      <c r="X5" s="612" t="s">
        <v>8</v>
      </c>
      <c r="Y5" s="612"/>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613" t="s">
        <v>9</v>
      </c>
      <c r="W6" s="613"/>
      <c r="X6" s="613"/>
      <c r="Y6" s="613"/>
      <c r="Z6" s="613"/>
      <c r="AA6" s="613"/>
      <c r="AB6" s="613"/>
      <c r="AC6" s="613"/>
      <c r="AD6" s="22"/>
    </row>
    <row r="7" spans="1:30" ht="18" customHeight="1" x14ac:dyDescent="0.25">
      <c r="B7" s="23" t="s">
        <v>10</v>
      </c>
      <c r="C7" s="23"/>
      <c r="D7" s="23"/>
      <c r="E7" s="23"/>
      <c r="F7" s="23"/>
      <c r="G7" s="24">
        <v>3752.3</v>
      </c>
      <c r="H7" s="24"/>
      <c r="I7" s="23" t="s">
        <v>11</v>
      </c>
      <c r="J7" s="23"/>
      <c r="K7" s="25">
        <v>1.0326</v>
      </c>
      <c r="L7" s="25"/>
      <c r="O7" s="1"/>
      <c r="V7" s="620" t="s">
        <v>10</v>
      </c>
      <c r="W7" s="620"/>
      <c r="X7" s="621">
        <f>'3443'!G7</f>
        <v>3752.3</v>
      </c>
      <c r="Y7" s="621"/>
      <c r="Z7" s="622" t="s">
        <v>11</v>
      </c>
      <c r="AA7" s="622"/>
      <c r="AB7" s="602">
        <f>+K7</f>
        <v>1.0326</v>
      </c>
      <c r="AC7" s="602"/>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603" t="s">
        <v>12</v>
      </c>
      <c r="W8" s="603"/>
      <c r="X8" s="604" t="s">
        <v>15</v>
      </c>
      <c r="Y8" s="604"/>
      <c r="Z8" s="605" t="s">
        <v>16</v>
      </c>
      <c r="AA8" s="605"/>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614" t="s">
        <v>22</v>
      </c>
      <c r="W9" s="614"/>
      <c r="X9" s="615" t="s">
        <v>23</v>
      </c>
      <c r="Y9" s="615"/>
      <c r="Z9" s="616" t="s">
        <v>24</v>
      </c>
      <c r="AA9" s="616"/>
      <c r="AB9" s="43" t="s">
        <v>25</v>
      </c>
      <c r="AC9" s="44" t="s">
        <v>26</v>
      </c>
      <c r="AD9" s="9"/>
    </row>
    <row r="10" spans="1:30" x14ac:dyDescent="0.25">
      <c r="A10" s="1" t="s">
        <v>27</v>
      </c>
      <c r="B10" s="45" t="s">
        <v>28</v>
      </c>
      <c r="C10" s="45"/>
      <c r="D10" s="45">
        <v>0</v>
      </c>
      <c r="E10" s="45">
        <v>0</v>
      </c>
      <c r="F10" s="45">
        <v>223.71</v>
      </c>
      <c r="G10" s="46">
        <f>D10+E10</f>
        <v>0</v>
      </c>
      <c r="H10" s="47"/>
      <c r="I10" s="48">
        <v>1.125</v>
      </c>
      <c r="J10" s="48"/>
      <c r="K10" s="49">
        <f>ROUND(G10*I10,4)</f>
        <v>0</v>
      </c>
      <c r="L10" s="50">
        <f>ROUND(ROUND(K10*$G$7,4)*($K$7),0)</f>
        <v>0</v>
      </c>
      <c r="N10" s="51">
        <v>5101</v>
      </c>
      <c r="O10" s="52">
        <v>101</v>
      </c>
      <c r="P10" s="53"/>
      <c r="Q10" s="54"/>
      <c r="V10" s="617" t="s">
        <v>28</v>
      </c>
      <c r="W10" s="617"/>
      <c r="X10" s="618">
        <f>IF('3443'!K$84=1,'3443'!G10,0)</f>
        <v>0</v>
      </c>
      <c r="Y10" s="618"/>
      <c r="Z10" s="619">
        <v>1</v>
      </c>
      <c r="AA10" s="619"/>
      <c r="AB10" s="55">
        <f t="shared" ref="AB10:AB25" si="0">ROUND(X10*Z10,4)</f>
        <v>0</v>
      </c>
      <c r="AC10" s="56">
        <f t="shared" ref="AC10:AC25" si="1">ROUND(ROUND(AB10*$X$7,4)*($AB$7),0)</f>
        <v>0</v>
      </c>
      <c r="AD10" s="9">
        <v>1</v>
      </c>
    </row>
    <row r="11" spans="1:30" x14ac:dyDescent="0.25">
      <c r="A11" s="1" t="s">
        <v>29</v>
      </c>
      <c r="B11" s="13" t="s">
        <v>30</v>
      </c>
      <c r="C11" s="13"/>
      <c r="D11" s="13">
        <v>0</v>
      </c>
      <c r="E11" s="13">
        <v>0</v>
      </c>
      <c r="F11" s="13">
        <v>17.989999999999998</v>
      </c>
      <c r="G11" s="46">
        <f t="shared" ref="G11:G25" si="2">D11+E11</f>
        <v>0</v>
      </c>
      <c r="H11" s="47"/>
      <c r="I11" s="57">
        <f>I10</f>
        <v>1.125</v>
      </c>
      <c r="J11" s="57"/>
      <c r="K11" s="49">
        <f t="shared" ref="K11:K25" si="3">ROUND(G11*I11,4)</f>
        <v>0</v>
      </c>
      <c r="L11" s="50">
        <f t="shared" ref="L11:L25" si="4">ROUND(ROUND(K11*$G$7,4)*($K$7),0)</f>
        <v>0</v>
      </c>
      <c r="M11" s="1" t="str">
        <f>IF(ROUND(G11,2)=ROUND(SUM(G28:G30),2)," ","CHECK 2. PK-3 Lines Below")</f>
        <v xml:space="preserve"> </v>
      </c>
      <c r="N11" s="51">
        <v>5101</v>
      </c>
      <c r="O11" s="58" t="s">
        <v>31</v>
      </c>
      <c r="P11" s="53"/>
      <c r="Q11" s="54"/>
      <c r="V11" s="623" t="s">
        <v>30</v>
      </c>
      <c r="W11" s="623"/>
      <c r="X11" s="618">
        <f>IF('3443'!K$84=1,'3443'!G11,0)</f>
        <v>0</v>
      </c>
      <c r="Y11" s="618"/>
      <c r="Z11" s="624">
        <v>1</v>
      </c>
      <c r="AA11" s="624"/>
      <c r="AB11" s="55">
        <f t="shared" si="0"/>
        <v>0</v>
      </c>
      <c r="AC11" s="56">
        <f t="shared" si="1"/>
        <v>0</v>
      </c>
      <c r="AD11" s="9"/>
    </row>
    <row r="12" spans="1:30" x14ac:dyDescent="0.25">
      <c r="A12" s="1" t="s">
        <v>32</v>
      </c>
      <c r="B12" s="13" t="s">
        <v>33</v>
      </c>
      <c r="C12" s="13"/>
      <c r="D12" s="13">
        <v>0</v>
      </c>
      <c r="E12" s="13">
        <v>0</v>
      </c>
      <c r="F12" s="13">
        <v>179.23</v>
      </c>
      <c r="G12" s="46">
        <f t="shared" si="2"/>
        <v>0</v>
      </c>
      <c r="H12" s="47"/>
      <c r="I12" s="57">
        <v>1</v>
      </c>
      <c r="J12" s="57"/>
      <c r="K12" s="49">
        <f t="shared" si="3"/>
        <v>0</v>
      </c>
      <c r="L12" s="50">
        <f t="shared" si="4"/>
        <v>0</v>
      </c>
      <c r="N12" s="51">
        <v>5102</v>
      </c>
      <c r="O12" s="52">
        <v>102</v>
      </c>
      <c r="P12" s="53"/>
      <c r="Q12" s="54"/>
      <c r="V12" s="623" t="s">
        <v>33</v>
      </c>
      <c r="W12" s="623"/>
      <c r="X12" s="618">
        <f>IF('3443'!K$84=1,'3443'!G12,0)</f>
        <v>0</v>
      </c>
      <c r="Y12" s="618"/>
      <c r="Z12" s="624">
        <v>1</v>
      </c>
      <c r="AA12" s="624"/>
      <c r="AB12" s="55">
        <f t="shared" si="0"/>
        <v>0</v>
      </c>
      <c r="AC12" s="56">
        <f t="shared" si="1"/>
        <v>0</v>
      </c>
      <c r="AD12" s="9"/>
    </row>
    <row r="13" spans="1:30" x14ac:dyDescent="0.25">
      <c r="A13" s="1" t="s">
        <v>34</v>
      </c>
      <c r="B13" s="13" t="s">
        <v>35</v>
      </c>
      <c r="C13" s="13"/>
      <c r="D13" s="13">
        <v>0</v>
      </c>
      <c r="E13" s="13">
        <v>0</v>
      </c>
      <c r="F13" s="13">
        <v>20.87</v>
      </c>
      <c r="G13" s="46">
        <f t="shared" si="2"/>
        <v>0</v>
      </c>
      <c r="H13" s="47"/>
      <c r="I13" s="57">
        <f>I12</f>
        <v>1</v>
      </c>
      <c r="J13" s="57"/>
      <c r="K13" s="49">
        <f t="shared" si="3"/>
        <v>0</v>
      </c>
      <c r="L13" s="50">
        <f t="shared" si="4"/>
        <v>0</v>
      </c>
      <c r="M13" s="1" t="str">
        <f>IF(ROUND(G13,2)=ROUND(SUM(G31:G33),2)," ","CHECK 2. PK-3 Lines Below")</f>
        <v xml:space="preserve"> </v>
      </c>
      <c r="N13" s="51">
        <v>5102</v>
      </c>
      <c r="O13" s="58" t="s">
        <v>36</v>
      </c>
      <c r="P13" s="53"/>
      <c r="Q13" s="54"/>
      <c r="V13" s="623" t="s">
        <v>35</v>
      </c>
      <c r="W13" s="623"/>
      <c r="X13" s="618">
        <f>IF('3443'!K$84=1,'3443'!G13,0)</f>
        <v>0</v>
      </c>
      <c r="Y13" s="618"/>
      <c r="Z13" s="624">
        <v>1</v>
      </c>
      <c r="AA13" s="624"/>
      <c r="AB13" s="55">
        <f t="shared" si="0"/>
        <v>0</v>
      </c>
      <c r="AC13" s="56">
        <f t="shared" si="1"/>
        <v>0</v>
      </c>
      <c r="AD13" s="9"/>
    </row>
    <row r="14" spans="1:30" x14ac:dyDescent="0.25">
      <c r="A14" s="1" t="s">
        <v>37</v>
      </c>
      <c r="B14" s="13" t="s">
        <v>38</v>
      </c>
      <c r="C14" s="13"/>
      <c r="D14" s="13">
        <v>62.05</v>
      </c>
      <c r="E14" s="13">
        <v>62.05</v>
      </c>
      <c r="F14" s="13">
        <v>0</v>
      </c>
      <c r="G14" s="46">
        <f t="shared" si="2"/>
        <v>124.1</v>
      </c>
      <c r="H14" s="47"/>
      <c r="I14" s="57">
        <v>1.0109999999999999</v>
      </c>
      <c r="J14" s="57"/>
      <c r="K14" s="49">
        <f t="shared" si="3"/>
        <v>125.46510000000001</v>
      </c>
      <c r="L14" s="50">
        <f t="shared" si="4"/>
        <v>486130</v>
      </c>
      <c r="N14" s="51">
        <v>5103</v>
      </c>
      <c r="O14" s="52">
        <v>103</v>
      </c>
      <c r="P14" s="53"/>
      <c r="Q14" s="54"/>
      <c r="V14" s="623" t="s">
        <v>38</v>
      </c>
      <c r="W14" s="623"/>
      <c r="X14" s="618">
        <f>IF('3443'!K$84=1,'3443'!G14,0)</f>
        <v>0</v>
      </c>
      <c r="Y14" s="618"/>
      <c r="Z14" s="624">
        <v>1</v>
      </c>
      <c r="AA14" s="624"/>
      <c r="AB14" s="55">
        <f t="shared" si="0"/>
        <v>0</v>
      </c>
      <c r="AC14" s="56">
        <f t="shared" si="1"/>
        <v>0</v>
      </c>
      <c r="AD14" s="9"/>
    </row>
    <row r="15" spans="1:30" x14ac:dyDescent="0.25">
      <c r="A15" s="1" t="s">
        <v>39</v>
      </c>
      <c r="B15" s="13" t="s">
        <v>40</v>
      </c>
      <c r="C15" s="13"/>
      <c r="D15" s="13">
        <v>12.96</v>
      </c>
      <c r="E15" s="13">
        <v>12.28</v>
      </c>
      <c r="F15" s="13">
        <v>0</v>
      </c>
      <c r="G15" s="46">
        <f t="shared" si="2"/>
        <v>25.240000000000002</v>
      </c>
      <c r="H15" s="47"/>
      <c r="I15" s="57">
        <f>I14</f>
        <v>1.0109999999999999</v>
      </c>
      <c r="J15" s="57"/>
      <c r="K15" s="49">
        <f t="shared" si="3"/>
        <v>25.517600000000002</v>
      </c>
      <c r="L15" s="59">
        <f t="shared" si="4"/>
        <v>98871</v>
      </c>
      <c r="M15" s="1" t="str">
        <f>IF(ROUND(G15,2)=ROUND(SUM(G34:G36),2)," ","CHECK 2. PK-3 Lines Below")</f>
        <v xml:space="preserve"> </v>
      </c>
      <c r="N15" s="51">
        <v>5103</v>
      </c>
      <c r="O15" s="58" t="s">
        <v>41</v>
      </c>
      <c r="P15" s="53"/>
      <c r="Q15" s="54"/>
      <c r="V15" s="623" t="s">
        <v>40</v>
      </c>
      <c r="W15" s="623"/>
      <c r="X15" s="618">
        <f>IF('3443'!K$84=1,'3443'!G15,0)</f>
        <v>0</v>
      </c>
      <c r="Y15" s="618"/>
      <c r="Z15" s="624">
        <v>1</v>
      </c>
      <c r="AA15" s="624"/>
      <c r="AB15" s="55">
        <f t="shared" si="0"/>
        <v>0</v>
      </c>
      <c r="AC15" s="60">
        <f t="shared" si="1"/>
        <v>0</v>
      </c>
      <c r="AD15" s="9"/>
    </row>
    <row r="16" spans="1:30" x14ac:dyDescent="0.25">
      <c r="A16" s="1" t="s">
        <v>42</v>
      </c>
      <c r="B16" s="13" t="s">
        <v>43</v>
      </c>
      <c r="C16" s="13"/>
      <c r="D16" s="13">
        <v>0</v>
      </c>
      <c r="E16" s="13">
        <v>0</v>
      </c>
      <c r="F16" s="13">
        <v>0</v>
      </c>
      <c r="G16" s="46">
        <f t="shared" si="2"/>
        <v>0</v>
      </c>
      <c r="H16" s="47"/>
      <c r="I16" s="57">
        <v>3.5579999999999998</v>
      </c>
      <c r="J16" s="57"/>
      <c r="K16" s="49">
        <f t="shared" si="3"/>
        <v>0</v>
      </c>
      <c r="L16" s="50">
        <f t="shared" si="4"/>
        <v>0</v>
      </c>
      <c r="N16" s="51">
        <v>5101</v>
      </c>
      <c r="O16" s="53">
        <v>254</v>
      </c>
      <c r="P16" s="53"/>
      <c r="Q16" s="54"/>
      <c r="V16" s="623" t="s">
        <v>43</v>
      </c>
      <c r="W16" s="623"/>
      <c r="X16" s="618">
        <f>IF('3443'!K$84=1,'3443'!G16,0)</f>
        <v>0</v>
      </c>
      <c r="Y16" s="618"/>
      <c r="Z16" s="624">
        <v>1</v>
      </c>
      <c r="AA16" s="624"/>
      <c r="AB16" s="55">
        <f t="shared" si="0"/>
        <v>0</v>
      </c>
      <c r="AC16" s="56">
        <f t="shared" si="1"/>
        <v>0</v>
      </c>
      <c r="AD16" s="9"/>
    </row>
    <row r="17" spans="1:30" x14ac:dyDescent="0.25">
      <c r="A17" s="1" t="s">
        <v>44</v>
      </c>
      <c r="B17" s="13" t="s">
        <v>45</v>
      </c>
      <c r="C17" s="13"/>
      <c r="D17" s="13">
        <v>0</v>
      </c>
      <c r="E17" s="13">
        <v>0</v>
      </c>
      <c r="F17" s="13">
        <v>0</v>
      </c>
      <c r="G17" s="46">
        <f t="shared" si="2"/>
        <v>0</v>
      </c>
      <c r="H17" s="47"/>
      <c r="I17" s="57">
        <f>I16</f>
        <v>3.5579999999999998</v>
      </c>
      <c r="J17" s="57"/>
      <c r="K17" s="49">
        <f t="shared" si="3"/>
        <v>0</v>
      </c>
      <c r="L17" s="50">
        <f t="shared" si="4"/>
        <v>0</v>
      </c>
      <c r="N17" s="51">
        <v>5102</v>
      </c>
      <c r="O17" s="54">
        <v>254</v>
      </c>
      <c r="P17" s="53"/>
      <c r="Q17" s="54"/>
      <c r="V17" s="623" t="s">
        <v>45</v>
      </c>
      <c r="W17" s="623"/>
      <c r="X17" s="618">
        <f>IF('3443'!K$84=1,'3443'!G17,0)</f>
        <v>0</v>
      </c>
      <c r="Y17" s="618"/>
      <c r="Z17" s="624">
        <v>1</v>
      </c>
      <c r="AA17" s="624"/>
      <c r="AB17" s="55">
        <f t="shared" si="0"/>
        <v>0</v>
      </c>
      <c r="AC17" s="56">
        <f t="shared" si="1"/>
        <v>0</v>
      </c>
      <c r="AD17" s="9"/>
    </row>
    <row r="18" spans="1:30" x14ac:dyDescent="0.25">
      <c r="A18" s="1" t="s">
        <v>46</v>
      </c>
      <c r="B18" s="13" t="s">
        <v>47</v>
      </c>
      <c r="C18" s="13"/>
      <c r="D18" s="13">
        <v>0</v>
      </c>
      <c r="E18" s="13">
        <v>0</v>
      </c>
      <c r="F18" s="13">
        <v>0</v>
      </c>
      <c r="G18" s="46">
        <f t="shared" si="2"/>
        <v>0</v>
      </c>
      <c r="H18" s="47"/>
      <c r="I18" s="57">
        <f>I17</f>
        <v>3.5579999999999998</v>
      </c>
      <c r="J18" s="57"/>
      <c r="K18" s="49">
        <f t="shared" si="3"/>
        <v>0</v>
      </c>
      <c r="L18" s="50">
        <f t="shared" si="4"/>
        <v>0</v>
      </c>
      <c r="N18" s="51">
        <v>5103</v>
      </c>
      <c r="O18" s="54">
        <v>254</v>
      </c>
      <c r="P18" s="53"/>
      <c r="Q18" s="54"/>
      <c r="V18" s="623" t="s">
        <v>47</v>
      </c>
      <c r="W18" s="623"/>
      <c r="X18" s="618">
        <f>IF('3443'!K$84=1,'3443'!G18,0)</f>
        <v>0</v>
      </c>
      <c r="Y18" s="618"/>
      <c r="Z18" s="624">
        <v>1</v>
      </c>
      <c r="AA18" s="624"/>
      <c r="AB18" s="55">
        <f t="shared" si="0"/>
        <v>0</v>
      </c>
      <c r="AC18" s="56">
        <f t="shared" si="1"/>
        <v>0</v>
      </c>
      <c r="AD18" s="9"/>
    </row>
    <row r="19" spans="1:30" ht="15" customHeight="1" x14ac:dyDescent="0.25">
      <c r="A19" s="1" t="s">
        <v>48</v>
      </c>
      <c r="B19" s="13" t="s">
        <v>49</v>
      </c>
      <c r="C19" s="13"/>
      <c r="D19" s="13">
        <v>0</v>
      </c>
      <c r="E19" s="13">
        <v>0</v>
      </c>
      <c r="F19" s="13">
        <v>0</v>
      </c>
      <c r="G19" s="46">
        <f t="shared" si="2"/>
        <v>0</v>
      </c>
      <c r="H19" s="47"/>
      <c r="I19" s="57">
        <v>5.0890000000000004</v>
      </c>
      <c r="J19" s="57"/>
      <c r="K19" s="49">
        <f t="shared" si="3"/>
        <v>0</v>
      </c>
      <c r="L19" s="50">
        <f t="shared" si="4"/>
        <v>0</v>
      </c>
      <c r="N19" s="51">
        <v>5101</v>
      </c>
      <c r="O19" s="53">
        <v>255</v>
      </c>
      <c r="P19" s="53"/>
      <c r="Q19" s="54"/>
      <c r="V19" s="623" t="s">
        <v>49</v>
      </c>
      <c r="W19" s="623"/>
      <c r="X19" s="618">
        <f>IF('3443'!K$84=1,'3443'!G19,0)</f>
        <v>0</v>
      </c>
      <c r="Y19" s="618"/>
      <c r="Z19" s="624">
        <v>1</v>
      </c>
      <c r="AA19" s="624"/>
      <c r="AB19" s="55">
        <f t="shared" si="0"/>
        <v>0</v>
      </c>
      <c r="AC19" s="56">
        <f t="shared" si="1"/>
        <v>0</v>
      </c>
      <c r="AD19" s="9"/>
    </row>
    <row r="20" spans="1:30" ht="15" customHeight="1" x14ac:dyDescent="0.25">
      <c r="A20" s="1" t="s">
        <v>50</v>
      </c>
      <c r="B20" s="13" t="s">
        <v>51</v>
      </c>
      <c r="C20" s="13"/>
      <c r="D20" s="13">
        <v>0</v>
      </c>
      <c r="E20" s="13">
        <v>0</v>
      </c>
      <c r="F20" s="13">
        <v>0</v>
      </c>
      <c r="G20" s="46">
        <f t="shared" si="2"/>
        <v>0</v>
      </c>
      <c r="H20" s="47"/>
      <c r="I20" s="57">
        <f>I19</f>
        <v>5.0890000000000004</v>
      </c>
      <c r="J20" s="57"/>
      <c r="K20" s="49">
        <f t="shared" si="3"/>
        <v>0</v>
      </c>
      <c r="L20" s="50">
        <f t="shared" si="4"/>
        <v>0</v>
      </c>
      <c r="N20" s="51">
        <v>5102</v>
      </c>
      <c r="O20" s="54">
        <v>255</v>
      </c>
      <c r="P20" s="53"/>
      <c r="Q20" s="54"/>
      <c r="V20" s="623" t="s">
        <v>51</v>
      </c>
      <c r="W20" s="623"/>
      <c r="X20" s="618">
        <f>IF('3443'!K$84=1,'3443'!G20,0)</f>
        <v>0</v>
      </c>
      <c r="Y20" s="618"/>
      <c r="Z20" s="624">
        <v>1</v>
      </c>
      <c r="AA20" s="624"/>
      <c r="AB20" s="55">
        <f t="shared" si="0"/>
        <v>0</v>
      </c>
      <c r="AC20" s="56">
        <f t="shared" si="1"/>
        <v>0</v>
      </c>
      <c r="AD20" s="9"/>
    </row>
    <row r="21" spans="1:30" ht="15" customHeight="1" x14ac:dyDescent="0.25">
      <c r="A21" s="1" t="s">
        <v>52</v>
      </c>
      <c r="B21" s="13" t="s">
        <v>53</v>
      </c>
      <c r="C21" s="13"/>
      <c r="D21" s="13">
        <v>0</v>
      </c>
      <c r="E21" s="13">
        <v>0</v>
      </c>
      <c r="F21" s="13">
        <v>0</v>
      </c>
      <c r="G21" s="46">
        <f t="shared" si="2"/>
        <v>0</v>
      </c>
      <c r="H21" s="47"/>
      <c r="I21" s="57">
        <f>I20</f>
        <v>5.0890000000000004</v>
      </c>
      <c r="J21" s="57"/>
      <c r="K21" s="49">
        <f t="shared" si="3"/>
        <v>0</v>
      </c>
      <c r="L21" s="50">
        <f t="shared" si="4"/>
        <v>0</v>
      </c>
      <c r="N21" s="51">
        <v>5103</v>
      </c>
      <c r="O21" s="54">
        <v>255</v>
      </c>
      <c r="P21" s="53"/>
      <c r="Q21" s="54"/>
      <c r="V21" s="623" t="s">
        <v>53</v>
      </c>
      <c r="W21" s="623"/>
      <c r="X21" s="618">
        <f>IF('3443'!K$84=1,'3443'!G21,0)</f>
        <v>0</v>
      </c>
      <c r="Y21" s="618"/>
      <c r="Z21" s="624">
        <v>1</v>
      </c>
      <c r="AA21" s="624"/>
      <c r="AB21" s="55">
        <f t="shared" si="0"/>
        <v>0</v>
      </c>
      <c r="AC21" s="56">
        <f t="shared" si="1"/>
        <v>0</v>
      </c>
      <c r="AD21" s="9"/>
    </row>
    <row r="22" spans="1:30" x14ac:dyDescent="0.25">
      <c r="A22" s="1" t="s">
        <v>54</v>
      </c>
      <c r="B22" s="13" t="s">
        <v>55</v>
      </c>
      <c r="C22" s="13"/>
      <c r="D22" s="13">
        <v>0</v>
      </c>
      <c r="E22" s="13">
        <v>0</v>
      </c>
      <c r="F22" s="13">
        <v>22.31</v>
      </c>
      <c r="G22" s="46">
        <f t="shared" si="2"/>
        <v>0</v>
      </c>
      <c r="H22" s="47"/>
      <c r="I22" s="57">
        <v>1.145</v>
      </c>
      <c r="J22" s="57"/>
      <c r="K22" s="49">
        <f t="shared" si="3"/>
        <v>0</v>
      </c>
      <c r="L22" s="50">
        <f t="shared" si="4"/>
        <v>0</v>
      </c>
      <c r="N22" s="51">
        <v>5101</v>
      </c>
      <c r="O22" s="52">
        <v>130</v>
      </c>
      <c r="P22" s="53"/>
      <c r="Q22" s="54"/>
      <c r="V22" s="623" t="s">
        <v>55</v>
      </c>
      <c r="W22" s="623"/>
      <c r="X22" s="618">
        <f>IF('3443'!K$84=1,'3443'!G22,0)</f>
        <v>0</v>
      </c>
      <c r="Y22" s="618"/>
      <c r="Z22" s="624">
        <v>1</v>
      </c>
      <c r="AA22" s="624"/>
      <c r="AB22" s="55">
        <f t="shared" si="0"/>
        <v>0</v>
      </c>
      <c r="AC22" s="56">
        <f t="shared" si="1"/>
        <v>0</v>
      </c>
      <c r="AD22" s="9"/>
    </row>
    <row r="23" spans="1:30" x14ac:dyDescent="0.25">
      <c r="A23" s="1" t="s">
        <v>56</v>
      </c>
      <c r="B23" s="13" t="s">
        <v>57</v>
      </c>
      <c r="C23" s="13"/>
      <c r="D23" s="13">
        <v>0</v>
      </c>
      <c r="E23" s="13">
        <v>0</v>
      </c>
      <c r="F23" s="13">
        <v>0</v>
      </c>
      <c r="G23" s="46">
        <f t="shared" si="2"/>
        <v>0</v>
      </c>
      <c r="H23" s="47"/>
      <c r="I23" s="57">
        <f>I22</f>
        <v>1.145</v>
      </c>
      <c r="J23" s="57"/>
      <c r="K23" s="49">
        <f t="shared" si="3"/>
        <v>0</v>
      </c>
      <c r="L23" s="50">
        <f t="shared" si="4"/>
        <v>0</v>
      </c>
      <c r="N23" s="51">
        <v>5102</v>
      </c>
      <c r="O23" s="52">
        <v>130</v>
      </c>
      <c r="P23" s="53"/>
      <c r="Q23" s="54"/>
      <c r="V23" s="623" t="s">
        <v>57</v>
      </c>
      <c r="W23" s="623"/>
      <c r="X23" s="618">
        <f>IF('3443'!K$84=1,'3443'!G23,0)</f>
        <v>0</v>
      </c>
      <c r="Y23" s="618"/>
      <c r="Z23" s="624">
        <v>1</v>
      </c>
      <c r="AA23" s="624"/>
      <c r="AB23" s="55">
        <f t="shared" si="0"/>
        <v>0</v>
      </c>
      <c r="AC23" s="56">
        <f t="shared" si="1"/>
        <v>0</v>
      </c>
      <c r="AD23" s="9"/>
    </row>
    <row r="24" spans="1:30" x14ac:dyDescent="0.25">
      <c r="A24" s="1" t="s">
        <v>58</v>
      </c>
      <c r="B24" s="13" t="s">
        <v>59</v>
      </c>
      <c r="C24" s="13"/>
      <c r="D24" s="13">
        <v>0</v>
      </c>
      <c r="E24" s="13">
        <v>0</v>
      </c>
      <c r="F24" s="13">
        <v>0</v>
      </c>
      <c r="G24" s="46">
        <f t="shared" si="2"/>
        <v>0</v>
      </c>
      <c r="H24" s="47"/>
      <c r="I24" s="57">
        <f>I23</f>
        <v>1.145</v>
      </c>
      <c r="J24" s="57"/>
      <c r="K24" s="49">
        <f t="shared" si="3"/>
        <v>0</v>
      </c>
      <c r="L24" s="50">
        <f t="shared" si="4"/>
        <v>0</v>
      </c>
      <c r="N24" s="51">
        <v>5103</v>
      </c>
      <c r="O24" s="52">
        <v>130</v>
      </c>
      <c r="P24" s="53"/>
      <c r="Q24" s="54"/>
      <c r="V24" s="623" t="s">
        <v>59</v>
      </c>
      <c r="W24" s="623"/>
      <c r="X24" s="618">
        <f>IF('3443'!K$84=1,'3443'!G24,0)</f>
        <v>0</v>
      </c>
      <c r="Y24" s="618"/>
      <c r="Z24" s="624">
        <v>1</v>
      </c>
      <c r="AA24" s="624"/>
      <c r="AB24" s="55">
        <f t="shared" si="0"/>
        <v>0</v>
      </c>
      <c r="AC24" s="56">
        <f t="shared" si="1"/>
        <v>0</v>
      </c>
      <c r="AD24" s="9"/>
    </row>
    <row r="25" spans="1:30" ht="16.5" thickBot="1" x14ac:dyDescent="0.3">
      <c r="A25" s="1" t="s">
        <v>60</v>
      </c>
      <c r="B25" s="13" t="s">
        <v>61</v>
      </c>
      <c r="C25" s="13"/>
      <c r="D25" s="13">
        <v>20.239999999999998</v>
      </c>
      <c r="E25" s="13">
        <v>20.07</v>
      </c>
      <c r="F25" s="13">
        <v>0</v>
      </c>
      <c r="G25" s="46">
        <f t="shared" si="2"/>
        <v>40.31</v>
      </c>
      <c r="H25" s="47"/>
      <c r="I25" s="57">
        <v>1.0109999999999999</v>
      </c>
      <c r="J25" s="57"/>
      <c r="K25" s="49">
        <f t="shared" si="3"/>
        <v>40.753399999999999</v>
      </c>
      <c r="L25" s="50">
        <f t="shared" si="4"/>
        <v>157904</v>
      </c>
      <c r="N25" s="51">
        <v>5310</v>
      </c>
      <c r="O25" s="52">
        <v>300</v>
      </c>
      <c r="P25" s="53"/>
      <c r="Q25" s="54"/>
      <c r="V25" s="623" t="s">
        <v>61</v>
      </c>
      <c r="W25" s="623"/>
      <c r="X25" s="618">
        <f>IF('3443'!K$84=1,'3443'!G25,0)</f>
        <v>0</v>
      </c>
      <c r="Y25" s="618"/>
      <c r="Z25" s="624">
        <v>1</v>
      </c>
      <c r="AA25" s="624"/>
      <c r="AB25" s="55">
        <f t="shared" si="0"/>
        <v>0</v>
      </c>
      <c r="AC25" s="56">
        <f t="shared" si="1"/>
        <v>0</v>
      </c>
      <c r="AD25" s="9"/>
    </row>
    <row r="26" spans="1:30" ht="20.25" customHeight="1" thickBot="1" x14ac:dyDescent="0.3">
      <c r="B26" s="62" t="s">
        <v>62</v>
      </c>
      <c r="C26" s="62"/>
      <c r="D26" s="63">
        <f t="shared" ref="D26:E26" si="5">SUM(D10:D25)</f>
        <v>95.249999999999986</v>
      </c>
      <c r="E26" s="63">
        <f t="shared" si="5"/>
        <v>94.4</v>
      </c>
      <c r="F26" s="63"/>
      <c r="G26" s="63">
        <f>SUM(G10:G25)</f>
        <v>189.65</v>
      </c>
      <c r="H26" s="64"/>
      <c r="I26" s="64"/>
      <c r="J26" s="65"/>
      <c r="K26" s="66">
        <f>SUM(K10:K25)</f>
        <v>191.73610000000002</v>
      </c>
      <c r="L26" s="67">
        <f>SUM(L10:L25)</f>
        <v>742905</v>
      </c>
      <c r="N26" s="54"/>
      <c r="O26" s="68"/>
      <c r="P26" s="54"/>
      <c r="Q26" s="54"/>
      <c r="V26" s="625" t="s">
        <v>62</v>
      </c>
      <c r="W26" s="625"/>
      <c r="X26" s="626">
        <f>SUM(X10:X25)</f>
        <v>0</v>
      </c>
      <c r="Y26" s="626"/>
      <c r="Z26" s="627"/>
      <c r="AA26" s="628"/>
      <c r="AB26" s="69">
        <f>SUM(AB10:AB25)</f>
        <v>0</v>
      </c>
      <c r="AC26" s="70">
        <f>SUM(AC10:AC25)</f>
        <v>0</v>
      </c>
      <c r="AD26" s="9"/>
    </row>
    <row r="27" spans="1:30" ht="51.75" customHeight="1" x14ac:dyDescent="0.25">
      <c r="B27" s="62" t="s">
        <v>63</v>
      </c>
      <c r="C27" s="62"/>
      <c r="D27" s="71" t="s">
        <v>13</v>
      </c>
      <c r="E27" s="71" t="s">
        <v>14</v>
      </c>
      <c r="F27" s="27"/>
      <c r="G27" s="72" t="s">
        <v>64</v>
      </c>
      <c r="H27" s="73"/>
      <c r="I27" s="74" t="s">
        <v>65</v>
      </c>
      <c r="J27" s="74" t="s">
        <v>66</v>
      </c>
      <c r="K27" s="75" t="s">
        <v>67</v>
      </c>
      <c r="N27" s="54"/>
      <c r="O27" s="68"/>
      <c r="P27" s="54"/>
      <c r="Q27" s="54"/>
      <c r="V27" s="629" t="s">
        <v>63</v>
      </c>
      <c r="W27" s="629"/>
      <c r="X27" s="630" t="s">
        <v>64</v>
      </c>
      <c r="Y27" s="630"/>
      <c r="Z27" s="76" t="s">
        <v>65</v>
      </c>
      <c r="AA27" s="77" t="s">
        <v>66</v>
      </c>
      <c r="AB27" s="78" t="s">
        <v>67</v>
      </c>
      <c r="AC27" s="9"/>
      <c r="AD27" s="9"/>
    </row>
    <row r="28" spans="1:30" ht="15.75" customHeight="1" x14ac:dyDescent="0.25">
      <c r="A28" s="1" t="s">
        <v>68</v>
      </c>
      <c r="B28" s="631" t="s">
        <v>69</v>
      </c>
      <c r="C28" s="632"/>
      <c r="D28" s="13">
        <v>0</v>
      </c>
      <c r="E28" s="13">
        <v>0</v>
      </c>
      <c r="F28" s="79">
        <v>12.5</v>
      </c>
      <c r="G28" s="46">
        <f t="shared" ref="G28:G36" si="6">D28+E28</f>
        <v>0</v>
      </c>
      <c r="H28" s="80"/>
      <c r="I28" s="81" t="s">
        <v>70</v>
      </c>
      <c r="J28" s="82">
        <v>251</v>
      </c>
      <c r="K28" s="83">
        <v>1047</v>
      </c>
      <c r="L28" s="84">
        <f>ROUND(G28*K28,0)</f>
        <v>0</v>
      </c>
      <c r="N28" s="251">
        <v>5101</v>
      </c>
      <c r="O28" s="54">
        <v>251</v>
      </c>
      <c r="P28" s="86"/>
      <c r="Q28" s="87"/>
      <c r="V28" s="637" t="s">
        <v>69</v>
      </c>
      <c r="W28" s="637"/>
      <c r="X28" s="638"/>
      <c r="Y28" s="638"/>
      <c r="Z28" s="88" t="s">
        <v>70</v>
      </c>
      <c r="AA28" s="244">
        <v>251</v>
      </c>
      <c r="AB28" s="90">
        <f>+K28</f>
        <v>1047</v>
      </c>
      <c r="AC28" s="91">
        <f t="shared" ref="AC28:AC36" si="7">ROUND(X28*AB28,0)</f>
        <v>0</v>
      </c>
      <c r="AD28" s="9"/>
    </row>
    <row r="29" spans="1:30" x14ac:dyDescent="0.25">
      <c r="A29" s="1" t="s">
        <v>71</v>
      </c>
      <c r="B29" s="633"/>
      <c r="C29" s="634"/>
      <c r="D29" s="13">
        <v>0</v>
      </c>
      <c r="E29" s="13">
        <v>0</v>
      </c>
      <c r="F29" s="92">
        <v>0.5</v>
      </c>
      <c r="G29" s="46">
        <f t="shared" si="6"/>
        <v>0</v>
      </c>
      <c r="H29" s="80"/>
      <c r="I29" s="82" t="s">
        <v>70</v>
      </c>
      <c r="J29" s="82">
        <v>252</v>
      </c>
      <c r="K29" s="83">
        <v>3380</v>
      </c>
      <c r="L29" s="84">
        <f t="shared" ref="L29:L36" si="8">ROUND(G29*K29,0)</f>
        <v>0</v>
      </c>
      <c r="N29" s="251">
        <v>5101</v>
      </c>
      <c r="O29" s="54">
        <v>252</v>
      </c>
      <c r="P29" s="86"/>
      <c r="Q29" s="87"/>
      <c r="V29" s="637"/>
      <c r="W29" s="637"/>
      <c r="X29" s="638"/>
      <c r="Y29" s="638"/>
      <c r="Z29" s="244" t="s">
        <v>70</v>
      </c>
      <c r="AA29" s="244">
        <v>252</v>
      </c>
      <c r="AB29" s="90">
        <f t="shared" ref="AB29:AB36" si="9">+K29</f>
        <v>3380</v>
      </c>
      <c r="AC29" s="91">
        <f t="shared" si="7"/>
        <v>0</v>
      </c>
      <c r="AD29" s="9"/>
    </row>
    <row r="30" spans="1:30" x14ac:dyDescent="0.25">
      <c r="A30" s="1" t="s">
        <v>72</v>
      </c>
      <c r="B30" s="633"/>
      <c r="C30" s="634"/>
      <c r="D30" s="13">
        <v>0</v>
      </c>
      <c r="E30" s="13">
        <v>0</v>
      </c>
      <c r="F30" s="92">
        <v>0</v>
      </c>
      <c r="G30" s="46">
        <f t="shared" si="6"/>
        <v>0</v>
      </c>
      <c r="H30" s="80"/>
      <c r="I30" s="82" t="s">
        <v>70</v>
      </c>
      <c r="J30" s="82">
        <v>253</v>
      </c>
      <c r="K30" s="83">
        <v>6896</v>
      </c>
      <c r="L30" s="84">
        <f t="shared" si="8"/>
        <v>0</v>
      </c>
      <c r="N30" s="251">
        <v>5101</v>
      </c>
      <c r="O30" s="54">
        <v>253</v>
      </c>
      <c r="P30" s="86"/>
      <c r="Q30" s="68"/>
      <c r="V30" s="637"/>
      <c r="W30" s="637"/>
      <c r="X30" s="638"/>
      <c r="Y30" s="638"/>
      <c r="Z30" s="244" t="s">
        <v>70</v>
      </c>
      <c r="AA30" s="244">
        <v>253</v>
      </c>
      <c r="AB30" s="90">
        <f t="shared" si="9"/>
        <v>6896</v>
      </c>
      <c r="AC30" s="91">
        <f t="shared" si="7"/>
        <v>0</v>
      </c>
      <c r="AD30" s="9"/>
    </row>
    <row r="31" spans="1:30" x14ac:dyDescent="0.25">
      <c r="A31" s="1" t="s">
        <v>73</v>
      </c>
      <c r="B31" s="633"/>
      <c r="C31" s="634"/>
      <c r="D31" s="13">
        <v>0</v>
      </c>
      <c r="E31" s="13">
        <v>0</v>
      </c>
      <c r="F31" s="92">
        <v>10</v>
      </c>
      <c r="G31" s="46">
        <f t="shared" si="6"/>
        <v>0</v>
      </c>
      <c r="H31" s="80"/>
      <c r="I31" s="93" t="s">
        <v>74</v>
      </c>
      <c r="J31" s="82">
        <v>251</v>
      </c>
      <c r="K31" s="83">
        <v>1173</v>
      </c>
      <c r="L31" s="84">
        <f t="shared" si="8"/>
        <v>0</v>
      </c>
      <c r="N31" s="251">
        <v>5102</v>
      </c>
      <c r="O31" s="54">
        <v>251</v>
      </c>
      <c r="P31" s="86"/>
      <c r="Q31" s="68"/>
      <c r="V31" s="637"/>
      <c r="W31" s="637"/>
      <c r="X31" s="638"/>
      <c r="Y31" s="638"/>
      <c r="Z31" s="94" t="s">
        <v>74</v>
      </c>
      <c r="AA31" s="244">
        <v>251</v>
      </c>
      <c r="AB31" s="90">
        <f t="shared" si="9"/>
        <v>1173</v>
      </c>
      <c r="AC31" s="91">
        <f t="shared" si="7"/>
        <v>0</v>
      </c>
      <c r="AD31" s="9"/>
    </row>
    <row r="32" spans="1:30" x14ac:dyDescent="0.25">
      <c r="A32" s="1" t="s">
        <v>75</v>
      </c>
      <c r="B32" s="633"/>
      <c r="C32" s="634"/>
      <c r="D32" s="13">
        <v>0</v>
      </c>
      <c r="E32" s="13">
        <v>0</v>
      </c>
      <c r="F32" s="92">
        <v>1.5</v>
      </c>
      <c r="G32" s="46">
        <f t="shared" si="6"/>
        <v>0</v>
      </c>
      <c r="H32" s="80"/>
      <c r="I32" s="93" t="s">
        <v>74</v>
      </c>
      <c r="J32" s="82">
        <v>252</v>
      </c>
      <c r="K32" s="83">
        <v>3506</v>
      </c>
      <c r="L32" s="84">
        <f t="shared" si="8"/>
        <v>0</v>
      </c>
      <c r="N32" s="251">
        <v>5102</v>
      </c>
      <c r="O32" s="54">
        <v>252</v>
      </c>
      <c r="P32" s="86"/>
      <c r="Q32" s="54"/>
      <c r="V32" s="637"/>
      <c r="W32" s="637"/>
      <c r="X32" s="638"/>
      <c r="Y32" s="638"/>
      <c r="Z32" s="94" t="s">
        <v>74</v>
      </c>
      <c r="AA32" s="244">
        <v>252</v>
      </c>
      <c r="AB32" s="90">
        <f t="shared" si="9"/>
        <v>3506</v>
      </c>
      <c r="AC32" s="91">
        <f t="shared" si="7"/>
        <v>0</v>
      </c>
      <c r="AD32" s="9"/>
    </row>
    <row r="33" spans="1:30" x14ac:dyDescent="0.25">
      <c r="A33" s="1" t="s">
        <v>76</v>
      </c>
      <c r="B33" s="633"/>
      <c r="C33" s="634"/>
      <c r="D33" s="13">
        <v>0</v>
      </c>
      <c r="E33" s="13">
        <v>0</v>
      </c>
      <c r="F33" s="92">
        <v>0</v>
      </c>
      <c r="G33" s="46">
        <f t="shared" si="6"/>
        <v>0</v>
      </c>
      <c r="H33" s="80"/>
      <c r="I33" s="93" t="s">
        <v>74</v>
      </c>
      <c r="J33" s="82">
        <v>253</v>
      </c>
      <c r="K33" s="83">
        <v>7023</v>
      </c>
      <c r="L33" s="84">
        <f t="shared" si="8"/>
        <v>0</v>
      </c>
      <c r="N33" s="251">
        <v>5102</v>
      </c>
      <c r="O33" s="54">
        <v>253</v>
      </c>
      <c r="P33" s="86"/>
      <c r="Q33" s="87"/>
      <c r="V33" s="637"/>
      <c r="W33" s="637"/>
      <c r="X33" s="638"/>
      <c r="Y33" s="638"/>
      <c r="Z33" s="94" t="s">
        <v>74</v>
      </c>
      <c r="AA33" s="244">
        <v>253</v>
      </c>
      <c r="AB33" s="90">
        <f t="shared" si="9"/>
        <v>7023</v>
      </c>
      <c r="AC33" s="91">
        <f t="shared" si="7"/>
        <v>0</v>
      </c>
      <c r="AD33" s="9"/>
    </row>
    <row r="34" spans="1:30" x14ac:dyDescent="0.25">
      <c r="A34" s="1" t="s">
        <v>77</v>
      </c>
      <c r="B34" s="633"/>
      <c r="C34" s="634"/>
      <c r="D34" s="13">
        <v>12.96</v>
      </c>
      <c r="E34" s="13">
        <v>12.28</v>
      </c>
      <c r="F34" s="92">
        <v>0</v>
      </c>
      <c r="G34" s="46">
        <f t="shared" si="6"/>
        <v>25.240000000000002</v>
      </c>
      <c r="H34" s="80"/>
      <c r="I34" s="93" t="s">
        <v>78</v>
      </c>
      <c r="J34" s="82">
        <v>251</v>
      </c>
      <c r="K34" s="83">
        <v>835</v>
      </c>
      <c r="L34" s="84">
        <f t="shared" si="8"/>
        <v>21075</v>
      </c>
      <c r="N34" s="251">
        <v>5103</v>
      </c>
      <c r="O34" s="54">
        <v>251</v>
      </c>
      <c r="P34" s="86"/>
      <c r="Q34" s="87"/>
      <c r="V34" s="637"/>
      <c r="W34" s="637"/>
      <c r="X34" s="638"/>
      <c r="Y34" s="638"/>
      <c r="Z34" s="94" t="s">
        <v>78</v>
      </c>
      <c r="AA34" s="244">
        <v>251</v>
      </c>
      <c r="AB34" s="90">
        <f t="shared" si="9"/>
        <v>835</v>
      </c>
      <c r="AC34" s="91">
        <f t="shared" si="7"/>
        <v>0</v>
      </c>
      <c r="AD34" s="9"/>
    </row>
    <row r="35" spans="1:30" x14ac:dyDescent="0.25">
      <c r="A35" s="1" t="s">
        <v>79</v>
      </c>
      <c r="B35" s="633"/>
      <c r="C35" s="634"/>
      <c r="D35" s="13">
        <v>0</v>
      </c>
      <c r="E35" s="13">
        <v>0</v>
      </c>
      <c r="F35" s="92">
        <v>0</v>
      </c>
      <c r="G35" s="46">
        <f t="shared" si="6"/>
        <v>0</v>
      </c>
      <c r="H35" s="80"/>
      <c r="I35" s="93" t="s">
        <v>78</v>
      </c>
      <c r="J35" s="82">
        <v>252</v>
      </c>
      <c r="K35" s="83">
        <v>3168</v>
      </c>
      <c r="L35" s="84">
        <f t="shared" si="8"/>
        <v>0</v>
      </c>
      <c r="N35" s="251">
        <v>5103</v>
      </c>
      <c r="O35" s="54">
        <v>252</v>
      </c>
      <c r="P35" s="86"/>
      <c r="Q35" s="95"/>
      <c r="V35" s="637"/>
      <c r="W35" s="637"/>
      <c r="X35" s="638"/>
      <c r="Y35" s="638"/>
      <c r="Z35" s="94" t="s">
        <v>78</v>
      </c>
      <c r="AA35" s="244">
        <v>252</v>
      </c>
      <c r="AB35" s="90">
        <f t="shared" si="9"/>
        <v>3168</v>
      </c>
      <c r="AC35" s="91">
        <f t="shared" si="7"/>
        <v>0</v>
      </c>
      <c r="AD35" s="9"/>
    </row>
    <row r="36" spans="1:30" ht="16.5" thickBot="1" x14ac:dyDescent="0.3">
      <c r="A36" s="1" t="s">
        <v>80</v>
      </c>
      <c r="B36" s="635"/>
      <c r="C36" s="636"/>
      <c r="D36" s="13">
        <v>0</v>
      </c>
      <c r="E36" s="13">
        <v>0</v>
      </c>
      <c r="F36" s="92">
        <v>0</v>
      </c>
      <c r="G36" s="46">
        <f t="shared" si="6"/>
        <v>0</v>
      </c>
      <c r="H36" s="80"/>
      <c r="I36" s="93" t="s">
        <v>78</v>
      </c>
      <c r="J36" s="82">
        <v>253</v>
      </c>
      <c r="K36" s="83">
        <v>6685</v>
      </c>
      <c r="L36" s="96">
        <f t="shared" si="8"/>
        <v>0</v>
      </c>
      <c r="N36" s="251">
        <v>5103</v>
      </c>
      <c r="O36" s="54">
        <v>253</v>
      </c>
      <c r="P36" s="86"/>
      <c r="Q36" s="97"/>
      <c r="V36" s="637"/>
      <c r="W36" s="637"/>
      <c r="X36" s="645"/>
      <c r="Y36" s="645"/>
      <c r="Z36" s="94" t="s">
        <v>78</v>
      </c>
      <c r="AA36" s="244">
        <v>253</v>
      </c>
      <c r="AB36" s="90">
        <f t="shared" si="9"/>
        <v>6685</v>
      </c>
      <c r="AC36" s="98">
        <f t="shared" si="7"/>
        <v>0</v>
      </c>
      <c r="AD36" s="9"/>
    </row>
    <row r="37" spans="1:30" ht="18.75" customHeight="1" x14ac:dyDescent="0.25">
      <c r="B37" s="13" t="s">
        <v>81</v>
      </c>
      <c r="C37" s="13"/>
      <c r="D37" s="63">
        <f t="shared" ref="D37:E37" si="10">SUM(D28:D36)</f>
        <v>12.96</v>
      </c>
      <c r="E37" s="63">
        <f t="shared" si="10"/>
        <v>12.28</v>
      </c>
      <c r="F37" s="63"/>
      <c r="G37" s="63">
        <f>SUM(G28:G36)</f>
        <v>25.240000000000002</v>
      </c>
      <c r="H37" s="64"/>
      <c r="I37" s="13" t="s">
        <v>82</v>
      </c>
      <c r="J37" s="13"/>
      <c r="K37" s="13"/>
      <c r="L37" s="50">
        <f>SUM(L28:L36)</f>
        <v>21075</v>
      </c>
      <c r="N37" s="54"/>
      <c r="O37" s="68"/>
      <c r="P37" s="54"/>
      <c r="Q37" s="54"/>
      <c r="V37" s="646" t="s">
        <v>81</v>
      </c>
      <c r="W37" s="646"/>
      <c r="X37" s="626">
        <f>SUM(X28:X36)</f>
        <v>0</v>
      </c>
      <c r="Y37" s="626"/>
      <c r="Z37" s="646" t="s">
        <v>82</v>
      </c>
      <c r="AA37" s="646"/>
      <c r="AB37" s="646"/>
      <c r="AC37" s="56">
        <f>SUM(AC28:AC36)</f>
        <v>0</v>
      </c>
      <c r="AD37" s="9"/>
    </row>
    <row r="38" spans="1:30" ht="30.75" customHeight="1" x14ac:dyDescent="0.25">
      <c r="B38" s="99" t="s">
        <v>83</v>
      </c>
      <c r="C38" s="99"/>
      <c r="D38" s="99"/>
      <c r="E38" s="99"/>
      <c r="F38" s="99"/>
      <c r="G38" s="99"/>
      <c r="H38" s="100"/>
      <c r="I38" s="99"/>
      <c r="J38" s="99"/>
      <c r="K38" s="99"/>
      <c r="L38" s="99"/>
      <c r="M38" s="101"/>
      <c r="N38" s="54"/>
      <c r="O38" s="68"/>
      <c r="P38" s="54"/>
      <c r="Q38" s="54"/>
      <c r="V38" s="639" t="s">
        <v>83</v>
      </c>
      <c r="W38" s="639"/>
      <c r="X38" s="639"/>
      <c r="Y38" s="639"/>
      <c r="Z38" s="639"/>
      <c r="AA38" s="639"/>
      <c r="AB38" s="639"/>
      <c r="AC38" s="639"/>
      <c r="AD38" s="102"/>
    </row>
    <row r="39" spans="1:30" ht="15.75" customHeight="1" x14ac:dyDescent="0.25">
      <c r="B39" s="103" t="s">
        <v>84</v>
      </c>
      <c r="C39" s="103"/>
      <c r="D39" s="103"/>
      <c r="E39" s="103"/>
      <c r="F39" s="103"/>
      <c r="G39" s="104">
        <v>34389540</v>
      </c>
      <c r="H39" s="104"/>
      <c r="I39" s="13" t="s">
        <v>85</v>
      </c>
      <c r="J39" s="13"/>
      <c r="K39" s="13"/>
      <c r="L39" s="13"/>
      <c r="O39" s="1"/>
      <c r="V39" s="640" t="s">
        <v>84</v>
      </c>
      <c r="W39" s="640"/>
      <c r="X39" s="641">
        <f>+G39</f>
        <v>34389540</v>
      </c>
      <c r="Y39" s="641"/>
      <c r="Z39" s="642" t="s">
        <v>85</v>
      </c>
      <c r="AA39" s="642"/>
      <c r="AB39" s="642"/>
      <c r="AC39" s="642"/>
      <c r="AD39" s="9"/>
    </row>
    <row r="40" spans="1:30" ht="15.75" customHeight="1" x14ac:dyDescent="0.25">
      <c r="B40" s="105" t="s">
        <v>86</v>
      </c>
      <c r="C40" s="105"/>
      <c r="D40" s="105"/>
      <c r="E40" s="105"/>
      <c r="F40" s="105"/>
      <c r="G40" s="106">
        <v>180284.81</v>
      </c>
      <c r="H40" s="106"/>
      <c r="I40" s="106"/>
      <c r="J40" s="106"/>
      <c r="K40" s="50">
        <f>ROUND(G39/G40,0)</f>
        <v>191</v>
      </c>
      <c r="L40" s="50">
        <f>ROUND(K40*$G$26,0)</f>
        <v>36223</v>
      </c>
      <c r="N40" s="107"/>
      <c r="O40" s="107"/>
      <c r="P40" s="107"/>
      <c r="Q40" s="107"/>
      <c r="V40" s="643" t="s">
        <v>86</v>
      </c>
      <c r="W40" s="643"/>
      <c r="X40" s="644">
        <f>+G40</f>
        <v>180284.81</v>
      </c>
      <c r="Y40" s="644"/>
      <c r="Z40" s="644"/>
      <c r="AA40" s="644"/>
      <c r="AB40" s="56">
        <f>ROUND(X39/X40,0)</f>
        <v>191</v>
      </c>
      <c r="AC40" s="56">
        <f>ROUND(AB40*$X$26,0)</f>
        <v>0</v>
      </c>
      <c r="AD40" s="9"/>
    </row>
    <row r="41" spans="1:30" ht="15.75" customHeight="1" x14ac:dyDescent="0.25">
      <c r="B41" s="108" t="s">
        <v>87</v>
      </c>
      <c r="C41" s="108"/>
      <c r="D41" s="108"/>
      <c r="E41" s="108"/>
      <c r="F41" s="108"/>
      <c r="G41" s="108"/>
      <c r="H41" s="108"/>
      <c r="I41" s="108"/>
      <c r="J41" s="108"/>
      <c r="K41" s="108"/>
      <c r="L41" s="108"/>
      <c r="N41" s="101"/>
      <c r="O41" s="109"/>
      <c r="P41" s="101"/>
      <c r="Q41" s="101"/>
      <c r="V41" s="652" t="s">
        <v>87</v>
      </c>
      <c r="W41" s="652"/>
      <c r="X41" s="652"/>
      <c r="Y41" s="652"/>
      <c r="Z41" s="652"/>
      <c r="AA41" s="652"/>
      <c r="AB41" s="652"/>
      <c r="AC41" s="652"/>
      <c r="AD41" s="9"/>
    </row>
    <row r="42" spans="1:30" ht="28.5" customHeight="1" x14ac:dyDescent="0.25">
      <c r="B42" s="99" t="s">
        <v>88</v>
      </c>
      <c r="C42" s="99"/>
      <c r="D42" s="99"/>
      <c r="E42" s="99"/>
      <c r="F42" s="99"/>
      <c r="G42" s="99"/>
      <c r="H42" s="99"/>
      <c r="I42" s="99"/>
      <c r="J42" s="99"/>
      <c r="K42" s="99"/>
      <c r="L42" s="99"/>
      <c r="M42" s="107"/>
      <c r="O42" s="1"/>
      <c r="V42" s="639" t="s">
        <v>88</v>
      </c>
      <c r="W42" s="639"/>
      <c r="X42" s="639"/>
      <c r="Y42" s="639"/>
      <c r="Z42" s="639"/>
      <c r="AA42" s="639"/>
      <c r="AB42" s="639"/>
      <c r="AC42" s="639"/>
      <c r="AD42" s="248"/>
    </row>
    <row r="43" spans="1:30" x14ac:dyDescent="0.25">
      <c r="B43" s="111" t="s">
        <v>89</v>
      </c>
      <c r="C43" s="111"/>
      <c r="D43" s="111"/>
      <c r="E43" s="111"/>
      <c r="F43" s="111"/>
      <c r="G43" s="111"/>
      <c r="H43" s="111"/>
      <c r="I43" s="111"/>
      <c r="J43" s="111"/>
      <c r="K43" s="111"/>
      <c r="L43" s="111"/>
      <c r="M43" s="112"/>
      <c r="N43" s="101"/>
      <c r="O43" s="101"/>
      <c r="P43" s="101"/>
      <c r="Q43" s="101"/>
      <c r="V43" s="653" t="s">
        <v>89</v>
      </c>
      <c r="W43" s="653"/>
      <c r="X43" s="653"/>
      <c r="Y43" s="653"/>
      <c r="Z43" s="653"/>
      <c r="AA43" s="653"/>
      <c r="AB43" s="653"/>
      <c r="AC43" s="653"/>
      <c r="AD43" s="113"/>
    </row>
    <row r="44" spans="1:30" ht="24" customHeight="1" x14ac:dyDescent="0.25">
      <c r="B44" s="62" t="s">
        <v>90</v>
      </c>
      <c r="C44" s="62"/>
      <c r="D44" s="62"/>
      <c r="E44" s="62"/>
      <c r="F44" s="62"/>
      <c r="G44" s="62"/>
      <c r="H44" s="62"/>
      <c r="I44" s="62"/>
      <c r="J44" s="62"/>
      <c r="K44" s="62"/>
      <c r="L44" s="114">
        <f>SUM(L26,L37,L40)</f>
        <v>800203</v>
      </c>
      <c r="O44" s="1"/>
      <c r="V44" s="654" t="s">
        <v>90</v>
      </c>
      <c r="W44" s="654"/>
      <c r="X44" s="654"/>
      <c r="Y44" s="654"/>
      <c r="Z44" s="654"/>
      <c r="AA44" s="654"/>
      <c r="AB44" s="654"/>
      <c r="AC44" s="115">
        <f>SUM(AC26,AC37,AC40)</f>
        <v>0</v>
      </c>
      <c r="AD44" s="9"/>
    </row>
    <row r="45" spans="1:30" ht="30.75" customHeight="1" x14ac:dyDescent="0.25">
      <c r="B45" s="99" t="s">
        <v>91</v>
      </c>
      <c r="C45" s="99"/>
      <c r="D45" s="99"/>
      <c r="E45" s="99"/>
      <c r="F45" s="99"/>
      <c r="G45" s="99"/>
      <c r="H45" s="99"/>
      <c r="I45" s="99"/>
      <c r="J45" s="99"/>
      <c r="K45" s="99"/>
      <c r="L45" s="99"/>
      <c r="M45" s="116"/>
      <c r="O45" s="1"/>
      <c r="V45" s="639" t="s">
        <v>91</v>
      </c>
      <c r="W45" s="639"/>
      <c r="X45" s="639"/>
      <c r="Y45" s="639"/>
      <c r="Z45" s="639"/>
      <c r="AA45" s="639"/>
      <c r="AB45" s="639"/>
      <c r="AC45" s="639"/>
      <c r="AD45" s="247"/>
    </row>
    <row r="46" spans="1:30" ht="18.75" customHeight="1" x14ac:dyDescent="0.25">
      <c r="B46" s="1"/>
      <c r="C46" s="118" t="s">
        <v>92</v>
      </c>
      <c r="D46" s="118"/>
      <c r="E46" s="118"/>
      <c r="F46" s="118"/>
      <c r="G46" s="118" t="s">
        <v>93</v>
      </c>
      <c r="H46" s="119"/>
      <c r="I46" s="120" t="s">
        <v>94</v>
      </c>
      <c r="J46" s="121"/>
      <c r="K46" s="121"/>
      <c r="L46" s="121"/>
      <c r="M46" s="122"/>
      <c r="O46" s="1"/>
      <c r="V46" s="9"/>
      <c r="W46" s="250" t="s">
        <v>92</v>
      </c>
      <c r="X46" s="655" t="s">
        <v>95</v>
      </c>
      <c r="Y46" s="655"/>
      <c r="Z46" s="656" t="s">
        <v>94</v>
      </c>
      <c r="AA46" s="656"/>
      <c r="AB46" s="656"/>
      <c r="AC46" s="656"/>
      <c r="AD46" s="124"/>
    </row>
    <row r="47" spans="1:30" ht="18.75" customHeight="1" x14ac:dyDescent="0.25">
      <c r="B47" s="107" t="s">
        <v>96</v>
      </c>
      <c r="C47" s="125">
        <f>K10+K11+K16+K19+K22</f>
        <v>0</v>
      </c>
      <c r="D47" s="125"/>
      <c r="E47" s="125"/>
      <c r="F47" s="125"/>
      <c r="G47" s="126">
        <f>K7</f>
        <v>1.0326</v>
      </c>
      <c r="H47" s="126"/>
      <c r="I47" s="127">
        <v>1316.85</v>
      </c>
      <c r="J47" s="128" t="s">
        <v>97</v>
      </c>
      <c r="K47" s="129">
        <f>ROUND(C47*G47*I47,0)</f>
        <v>0</v>
      </c>
      <c r="L47" s="130"/>
      <c r="O47" s="1"/>
      <c r="V47" s="248" t="s">
        <v>96</v>
      </c>
      <c r="W47" s="131">
        <f>AB10+AB11+AB16+AB19+AB22</f>
        <v>0</v>
      </c>
      <c r="X47" s="647">
        <f>AB7</f>
        <v>1.0326</v>
      </c>
      <c r="Y47" s="647"/>
      <c r="Z47" s="132">
        <f>+I47</f>
        <v>1316.85</v>
      </c>
      <c r="AA47" s="133" t="s">
        <v>97</v>
      </c>
      <c r="AB47" s="134">
        <f>ROUND(W47*X47*Z47,0)</f>
        <v>0</v>
      </c>
      <c r="AC47" s="135"/>
      <c r="AD47" s="9"/>
    </row>
    <row r="48" spans="1:30" ht="18" customHeight="1" x14ac:dyDescent="0.25">
      <c r="B48" s="136" t="s">
        <v>74</v>
      </c>
      <c r="C48" s="125">
        <f>K12+K13+K17+K20+K23</f>
        <v>0</v>
      </c>
      <c r="D48" s="125"/>
      <c r="E48" s="125"/>
      <c r="F48" s="125"/>
      <c r="G48" s="126">
        <f>K7</f>
        <v>1.0326</v>
      </c>
      <c r="H48" s="126"/>
      <c r="I48" s="127">
        <v>898.23</v>
      </c>
      <c r="J48" s="128" t="s">
        <v>97</v>
      </c>
      <c r="K48" s="129">
        <f>ROUND(C48*G48*I48,0)</f>
        <v>0</v>
      </c>
      <c r="L48" s="62"/>
      <c r="O48" s="1"/>
      <c r="V48" s="137" t="s">
        <v>74</v>
      </c>
      <c r="W48" s="131">
        <f>AB12+AB13+AB17+AB20+AB23</f>
        <v>0</v>
      </c>
      <c r="X48" s="647">
        <f>AB7</f>
        <v>1.0326</v>
      </c>
      <c r="Y48" s="647"/>
      <c r="Z48" s="132">
        <f>+I48</f>
        <v>898.23</v>
      </c>
      <c r="AA48" s="133" t="s">
        <v>97</v>
      </c>
      <c r="AB48" s="134">
        <f>ROUND(W48*X48*Z48,0)</f>
        <v>0</v>
      </c>
      <c r="AC48" s="138"/>
      <c r="AD48" s="9"/>
    </row>
    <row r="49" spans="2:30" ht="19.5" customHeight="1" thickBot="1" x14ac:dyDescent="0.3">
      <c r="B49" s="139" t="s">
        <v>78</v>
      </c>
      <c r="C49" s="140">
        <f>K14+K15+K18+K21+K24+K25</f>
        <v>191.73610000000002</v>
      </c>
      <c r="D49" s="125"/>
      <c r="E49" s="125"/>
      <c r="F49" s="125"/>
      <c r="G49" s="126">
        <f>K7</f>
        <v>1.0326</v>
      </c>
      <c r="H49" s="126"/>
      <c r="I49" s="127">
        <v>900.39</v>
      </c>
      <c r="J49" s="128" t="s">
        <v>97</v>
      </c>
      <c r="K49" s="129">
        <f>ROUND(C49*G49*I49,0)</f>
        <v>178265</v>
      </c>
      <c r="L49" s="62"/>
      <c r="M49" s="112"/>
      <c r="N49" s="141"/>
      <c r="O49" s="142"/>
      <c r="P49" s="101"/>
      <c r="Q49" s="143"/>
      <c r="V49" s="144" t="s">
        <v>78</v>
      </c>
      <c r="W49" s="145">
        <f>AB14+AB15+AB18+AB21+AB24+AB25</f>
        <v>0</v>
      </c>
      <c r="X49" s="647">
        <f>AB7</f>
        <v>1.0326</v>
      </c>
      <c r="Y49" s="647"/>
      <c r="Z49" s="132">
        <f>+I49</f>
        <v>900.39</v>
      </c>
      <c r="AA49" s="133" t="s">
        <v>97</v>
      </c>
      <c r="AB49" s="134">
        <f>ROUND(W49*X49*Z49,0)</f>
        <v>0</v>
      </c>
      <c r="AC49" s="138"/>
      <c r="AD49" s="113"/>
    </row>
    <row r="50" spans="2:30" ht="24" customHeight="1" thickBot="1" x14ac:dyDescent="0.3">
      <c r="B50" s="146" t="s">
        <v>98</v>
      </c>
      <c r="C50" s="147">
        <f>SUM(C47:C49)</f>
        <v>191.73610000000002</v>
      </c>
      <c r="D50" s="148"/>
      <c r="E50" s="149"/>
      <c r="F50" s="149"/>
      <c r="G50" s="150" t="s">
        <v>99</v>
      </c>
      <c r="H50" s="150"/>
      <c r="I50" s="150"/>
      <c r="J50" s="150"/>
      <c r="K50" s="150"/>
      <c r="L50" s="50">
        <f>IF(B2=75,0,K49+K48+K47)</f>
        <v>178265</v>
      </c>
      <c r="N50" s="3"/>
      <c r="O50" s="1"/>
      <c r="V50" s="249" t="s">
        <v>98</v>
      </c>
      <c r="W50" s="152">
        <f>SUM(W47:W49)</f>
        <v>0</v>
      </c>
      <c r="X50" s="648" t="s">
        <v>99</v>
      </c>
      <c r="Y50" s="649"/>
      <c r="Z50" s="649"/>
      <c r="AA50" s="649"/>
      <c r="AB50" s="649"/>
      <c r="AC50" s="56">
        <f>IF(V2=75,0,AB49+AB48+AB47)</f>
        <v>0</v>
      </c>
      <c r="AD50" s="9"/>
    </row>
    <row r="51" spans="2:30" ht="19.5" customHeight="1" x14ac:dyDescent="0.25">
      <c r="B51" s="153" t="s">
        <v>100</v>
      </c>
      <c r="C51" s="153"/>
      <c r="D51" s="153"/>
      <c r="E51" s="153"/>
      <c r="F51" s="153"/>
      <c r="G51" s="153"/>
      <c r="H51" s="153"/>
      <c r="I51" s="153"/>
      <c r="J51" s="153"/>
      <c r="K51" s="153"/>
      <c r="L51" s="153"/>
      <c r="M51" s="141"/>
      <c r="N51" s="101"/>
      <c r="O51" s="1"/>
      <c r="V51" s="650" t="s">
        <v>100</v>
      </c>
      <c r="W51" s="650"/>
      <c r="X51" s="650"/>
      <c r="Y51" s="650"/>
      <c r="Z51" s="650"/>
      <c r="AA51" s="650"/>
      <c r="AB51" s="650"/>
      <c r="AC51" s="650"/>
      <c r="AD51" s="154"/>
    </row>
    <row r="52" spans="2:30" ht="27.75" customHeight="1" x14ac:dyDescent="0.25">
      <c r="B52" s="13" t="s">
        <v>101</v>
      </c>
      <c r="C52" s="13"/>
      <c r="D52" s="13"/>
      <c r="E52" s="13"/>
      <c r="F52" s="13"/>
      <c r="G52" s="13"/>
      <c r="H52" s="13"/>
      <c r="I52" s="13"/>
      <c r="J52" s="13"/>
      <c r="K52" s="13"/>
      <c r="L52" s="13"/>
      <c r="O52" s="1"/>
      <c r="V52" s="651" t="s">
        <v>101</v>
      </c>
      <c r="W52" s="651"/>
      <c r="X52" s="651"/>
      <c r="Y52" s="651"/>
      <c r="Z52" s="651"/>
      <c r="AA52" s="651"/>
      <c r="AB52" s="651"/>
      <c r="AC52" s="651"/>
      <c r="AD52" s="9"/>
    </row>
    <row r="53" spans="2:30" x14ac:dyDescent="0.25">
      <c r="B53" s="13" t="s">
        <v>102</v>
      </c>
      <c r="C53" s="13"/>
      <c r="D53" s="13"/>
      <c r="E53" s="13"/>
      <c r="F53" s="13"/>
      <c r="G53" s="155">
        <f>K26</f>
        <v>191.73610000000002</v>
      </c>
      <c r="H53" s="57" t="s">
        <v>103</v>
      </c>
      <c r="I53" s="57"/>
      <c r="J53" s="156">
        <v>197823.77</v>
      </c>
      <c r="K53" s="156"/>
      <c r="L53" s="156"/>
      <c r="N53" s="3"/>
      <c r="O53" s="1"/>
      <c r="V53" s="657" t="s">
        <v>102</v>
      </c>
      <c r="W53" s="657"/>
      <c r="X53" s="157">
        <f>AB26</f>
        <v>0</v>
      </c>
      <c r="Y53" s="658" t="s">
        <v>103</v>
      </c>
      <c r="Z53" s="658"/>
      <c r="AA53" s="659">
        <f>+J53</f>
        <v>197823.77</v>
      </c>
      <c r="AB53" s="659"/>
      <c r="AC53" s="659"/>
      <c r="AD53" s="9"/>
    </row>
    <row r="54" spans="2:30" x14ac:dyDescent="0.25">
      <c r="B54" s="13" t="s">
        <v>104</v>
      </c>
      <c r="C54" s="13"/>
      <c r="D54" s="13"/>
      <c r="E54" s="13"/>
      <c r="F54" s="13"/>
      <c r="G54" s="13"/>
      <c r="H54" s="13"/>
      <c r="I54" s="13"/>
      <c r="J54" s="13"/>
      <c r="K54" s="158">
        <f>ROUND(G53/J53,6)</f>
        <v>9.6900000000000003E-4</v>
      </c>
      <c r="L54" s="158"/>
      <c r="N54" s="101"/>
      <c r="O54" s="1"/>
      <c r="V54" s="657" t="s">
        <v>104</v>
      </c>
      <c r="W54" s="657"/>
      <c r="X54" s="657"/>
      <c r="Y54" s="657"/>
      <c r="Z54" s="657"/>
      <c r="AA54" s="657"/>
      <c r="AB54" s="660">
        <f>ROUND(X53/AA53,6)</f>
        <v>0</v>
      </c>
      <c r="AC54" s="660"/>
      <c r="AD54" s="9"/>
    </row>
    <row r="55" spans="2:30" ht="24" customHeight="1" x14ac:dyDescent="0.25">
      <c r="B55" s="13" t="s">
        <v>105</v>
      </c>
      <c r="C55" s="13"/>
      <c r="D55" s="13"/>
      <c r="E55" s="13"/>
      <c r="F55" s="13"/>
      <c r="G55" s="13"/>
      <c r="H55" s="13"/>
      <c r="I55" s="13"/>
      <c r="J55" s="13"/>
      <c r="K55" s="13"/>
      <c r="L55" s="13"/>
      <c r="O55" s="1"/>
      <c r="V55" s="651" t="s">
        <v>105</v>
      </c>
      <c r="W55" s="651"/>
      <c r="X55" s="651"/>
      <c r="Y55" s="651"/>
      <c r="Z55" s="651"/>
      <c r="AA55" s="651"/>
      <c r="AB55" s="651"/>
      <c r="AC55" s="651"/>
      <c r="AD55" s="9"/>
    </row>
    <row r="56" spans="2:30" x14ac:dyDescent="0.25">
      <c r="B56" s="13" t="s">
        <v>106</v>
      </c>
      <c r="C56" s="13"/>
      <c r="D56" s="13"/>
      <c r="E56" s="13"/>
      <c r="F56" s="13"/>
      <c r="G56" s="159">
        <f>G26</f>
        <v>189.65</v>
      </c>
      <c r="H56" s="57" t="s">
        <v>107</v>
      </c>
      <c r="I56" s="57"/>
      <c r="J56" s="156">
        <f>+G40</f>
        <v>180284.81</v>
      </c>
      <c r="K56" s="156"/>
      <c r="L56" s="156"/>
      <c r="O56" s="1"/>
      <c r="V56" s="657" t="s">
        <v>106</v>
      </c>
      <c r="W56" s="657"/>
      <c r="X56" s="160">
        <f>X26</f>
        <v>0</v>
      </c>
      <c r="Y56" s="658" t="s">
        <v>107</v>
      </c>
      <c r="Z56" s="658"/>
      <c r="AA56" s="659">
        <f>+J56</f>
        <v>180284.81</v>
      </c>
      <c r="AB56" s="659"/>
      <c r="AC56" s="659"/>
      <c r="AD56" s="9"/>
    </row>
    <row r="57" spans="2:30" x14ac:dyDescent="0.25">
      <c r="B57" s="13" t="s">
        <v>108</v>
      </c>
      <c r="C57" s="13"/>
      <c r="D57" s="13"/>
      <c r="E57" s="13"/>
      <c r="F57" s="13"/>
      <c r="G57" s="13"/>
      <c r="H57" s="13"/>
      <c r="I57" s="13"/>
      <c r="J57" s="13"/>
      <c r="K57" s="158">
        <f>ROUND(G56/J56,6)</f>
        <v>1.052E-3</v>
      </c>
      <c r="L57" s="158"/>
      <c r="O57" s="1"/>
      <c r="V57" s="657" t="s">
        <v>108</v>
      </c>
      <c r="W57" s="657"/>
      <c r="X57" s="657"/>
      <c r="Y57" s="657"/>
      <c r="Z57" s="657"/>
      <c r="AA57" s="657"/>
      <c r="AB57" s="660">
        <f>ROUND(X56/AA56,6)</f>
        <v>0</v>
      </c>
      <c r="AC57" s="660"/>
      <c r="AD57" s="9"/>
    </row>
    <row r="58" spans="2:30" ht="20.25" customHeight="1" x14ac:dyDescent="0.25">
      <c r="B58" s="161" t="s">
        <v>109</v>
      </c>
      <c r="C58" s="161"/>
      <c r="D58" s="161"/>
      <c r="E58" s="161"/>
      <c r="F58" s="161"/>
      <c r="G58" s="161"/>
      <c r="H58" s="161"/>
      <c r="I58" s="161"/>
      <c r="J58" s="161"/>
      <c r="K58" s="161"/>
      <c r="L58" s="161"/>
      <c r="N58" s="18"/>
      <c r="O58" s="18"/>
      <c r="V58" s="629" t="s">
        <v>110</v>
      </c>
      <c r="W58" s="629"/>
      <c r="X58" s="629"/>
      <c r="Y58" s="661">
        <f>X65+X64+X62+X61+X60</f>
        <v>4123852</v>
      </c>
      <c r="Z58" s="661"/>
      <c r="AA58" s="246" t="s">
        <v>111</v>
      </c>
      <c r="AB58" s="163">
        <f>AB54</f>
        <v>0</v>
      </c>
      <c r="AC58" s="56">
        <f>ROUND(Y58*AB58,0)</f>
        <v>0</v>
      </c>
      <c r="AD58" s="9"/>
    </row>
    <row r="59" spans="2:30" x14ac:dyDescent="0.25">
      <c r="B59" s="62" t="s">
        <v>110</v>
      </c>
      <c r="C59" s="62"/>
      <c r="D59" s="62"/>
      <c r="E59" s="62"/>
      <c r="F59" s="62"/>
      <c r="G59" s="62"/>
      <c r="H59" s="164" t="s">
        <v>22</v>
      </c>
      <c r="I59" s="129">
        <v>4123852</v>
      </c>
      <c r="J59" s="165" t="s">
        <v>111</v>
      </c>
      <c r="K59" s="166">
        <f>K54</f>
        <v>9.6900000000000003E-4</v>
      </c>
      <c r="L59" s="50">
        <f>ROUND(I59*K59,0)</f>
        <v>3996</v>
      </c>
      <c r="O59" s="1"/>
      <c r="P59" s="165"/>
      <c r="Q59" s="165"/>
      <c r="V59" s="662" t="s">
        <v>112</v>
      </c>
      <c r="W59" s="662"/>
      <c r="X59" s="662"/>
      <c r="Y59" s="662"/>
      <c r="Z59" s="662"/>
      <c r="AA59" s="662"/>
      <c r="AB59" s="662"/>
      <c r="AC59" s="662"/>
      <c r="AD59" s="9"/>
    </row>
    <row r="60" spans="2:30" x14ac:dyDescent="0.25">
      <c r="B60" s="62" t="s">
        <v>112</v>
      </c>
      <c r="C60" s="62"/>
      <c r="D60" s="62"/>
      <c r="E60" s="62"/>
      <c r="F60" s="62"/>
      <c r="G60" s="62"/>
      <c r="H60" s="62"/>
      <c r="I60" s="62"/>
      <c r="J60" s="62"/>
      <c r="K60" s="62"/>
      <c r="L60" s="62"/>
      <c r="O60" s="1"/>
      <c r="P60" s="165"/>
      <c r="Q60" s="165"/>
      <c r="V60" s="663" t="s">
        <v>113</v>
      </c>
      <c r="W60" s="663"/>
      <c r="X60" s="664">
        <f>+G61</f>
        <v>0</v>
      </c>
      <c r="Y60" s="664"/>
      <c r="Z60" s="664"/>
      <c r="AA60" s="664"/>
      <c r="AB60" s="664"/>
      <c r="AC60" s="664"/>
      <c r="AD60" s="9"/>
    </row>
    <row r="61" spans="2:30" ht="15" customHeight="1" x14ac:dyDescent="0.25">
      <c r="B61" s="167" t="s">
        <v>113</v>
      </c>
      <c r="C61" s="62"/>
      <c r="D61" s="62"/>
      <c r="E61" s="62"/>
      <c r="F61" s="62"/>
      <c r="G61" s="168">
        <v>0</v>
      </c>
      <c r="H61" s="168"/>
      <c r="I61" s="168"/>
      <c r="J61" s="168"/>
      <c r="K61" s="168"/>
      <c r="L61" s="168"/>
      <c r="O61" s="1"/>
      <c r="P61" s="165"/>
      <c r="Q61" s="165"/>
      <c r="V61" s="663" t="s">
        <v>114</v>
      </c>
      <c r="W61" s="663"/>
      <c r="X61" s="664">
        <f>+G62</f>
        <v>0</v>
      </c>
      <c r="Y61" s="664"/>
      <c r="Z61" s="664"/>
      <c r="AA61" s="664"/>
      <c r="AB61" s="664"/>
      <c r="AC61" s="664"/>
      <c r="AD61" s="9"/>
    </row>
    <row r="62" spans="2:30" ht="13.5" customHeight="1" x14ac:dyDescent="0.25">
      <c r="B62" s="167" t="s">
        <v>114</v>
      </c>
      <c r="C62" s="62"/>
      <c r="D62" s="62"/>
      <c r="E62" s="62"/>
      <c r="F62" s="62"/>
      <c r="G62" s="168">
        <v>0</v>
      </c>
      <c r="H62" s="168"/>
      <c r="I62" s="168"/>
      <c r="J62" s="168"/>
      <c r="K62" s="168"/>
      <c r="L62" s="168"/>
      <c r="N62" s="165"/>
      <c r="O62" s="165"/>
      <c r="P62" s="165"/>
      <c r="Q62" s="165"/>
      <c r="V62" s="663" t="s">
        <v>115</v>
      </c>
      <c r="W62" s="663"/>
      <c r="X62" s="664">
        <v>0</v>
      </c>
      <c r="Y62" s="664"/>
      <c r="Z62" s="664"/>
      <c r="AA62" s="664"/>
      <c r="AB62" s="664"/>
      <c r="AC62" s="664"/>
      <c r="AD62" s="9"/>
    </row>
    <row r="63" spans="2:30" ht="13.5" hidden="1" customHeight="1" x14ac:dyDescent="0.25">
      <c r="B63" s="62" t="s">
        <v>115</v>
      </c>
      <c r="C63" s="62"/>
      <c r="D63" s="62"/>
      <c r="E63" s="62"/>
      <c r="F63" s="62"/>
      <c r="G63" s="168">
        <v>0</v>
      </c>
      <c r="H63" s="168"/>
      <c r="I63" s="168"/>
      <c r="J63" s="168"/>
      <c r="K63" s="168"/>
      <c r="L63" s="168"/>
      <c r="O63" s="1"/>
      <c r="P63" s="165"/>
      <c r="Q63" s="165"/>
      <c r="V63" s="662" t="s">
        <v>116</v>
      </c>
      <c r="W63" s="662"/>
      <c r="X63" s="662"/>
      <c r="Y63" s="662"/>
      <c r="Z63" s="662"/>
      <c r="AA63" s="662"/>
      <c r="AB63" s="662"/>
      <c r="AC63" s="662"/>
      <c r="AD63" s="247"/>
    </row>
    <row r="64" spans="2:30" ht="13.5" customHeight="1" x14ac:dyDescent="0.25">
      <c r="B64" s="62" t="s">
        <v>116</v>
      </c>
      <c r="C64" s="62"/>
      <c r="D64" s="62"/>
      <c r="E64" s="62"/>
      <c r="F64" s="62"/>
      <c r="G64" s="62"/>
      <c r="H64" s="62"/>
      <c r="I64" s="62"/>
      <c r="J64" s="62"/>
      <c r="K64" s="62"/>
      <c r="L64" s="62"/>
      <c r="M64" s="116"/>
      <c r="N64" s="18"/>
      <c r="O64" s="1"/>
      <c r="V64" s="663" t="s">
        <v>117</v>
      </c>
      <c r="W64" s="663"/>
      <c r="X64" s="664">
        <f>+G65</f>
        <v>4123852</v>
      </c>
      <c r="Y64" s="664"/>
      <c r="Z64" s="664"/>
      <c r="AA64" s="664"/>
      <c r="AB64" s="664"/>
      <c r="AC64" s="664"/>
      <c r="AD64" s="9"/>
    </row>
    <row r="65" spans="1:30" ht="12.75" customHeight="1" x14ac:dyDescent="0.25">
      <c r="B65" s="167" t="s">
        <v>117</v>
      </c>
      <c r="C65" s="62"/>
      <c r="D65" s="62"/>
      <c r="E65" s="62"/>
      <c r="F65" s="62"/>
      <c r="G65" s="168">
        <f>+I59</f>
        <v>4123852</v>
      </c>
      <c r="H65" s="168"/>
      <c r="I65" s="168"/>
      <c r="J65" s="168"/>
      <c r="K65" s="168"/>
      <c r="L65" s="168"/>
      <c r="O65" s="1"/>
      <c r="V65" s="663" t="s">
        <v>118</v>
      </c>
      <c r="W65" s="663"/>
      <c r="X65" s="664">
        <f>+G66</f>
        <v>0</v>
      </c>
      <c r="Y65" s="664"/>
      <c r="Z65" s="664"/>
      <c r="AA65" s="664"/>
      <c r="AB65" s="664"/>
      <c r="AC65" s="664"/>
      <c r="AD65" s="20"/>
    </row>
    <row r="66" spans="1:30" ht="15" customHeight="1" x14ac:dyDescent="0.25">
      <c r="B66" s="167" t="s">
        <v>118</v>
      </c>
      <c r="C66" s="62"/>
      <c r="D66" s="62"/>
      <c r="E66" s="62"/>
      <c r="F66" s="62"/>
      <c r="G66" s="168">
        <v>0</v>
      </c>
      <c r="H66" s="168"/>
      <c r="I66" s="168"/>
      <c r="J66" s="168"/>
      <c r="K66" s="168"/>
      <c r="L66" s="168"/>
      <c r="M66" s="18"/>
      <c r="N66" s="3"/>
      <c r="O66" s="169"/>
      <c r="P66" s="169"/>
      <c r="Q66" s="169"/>
      <c r="V66" s="651" t="s">
        <v>119</v>
      </c>
      <c r="W66" s="651"/>
      <c r="X66" s="651"/>
      <c r="Y66" s="661">
        <f>+I67</f>
        <v>96774526</v>
      </c>
      <c r="Z66" s="661"/>
      <c r="AA66" s="246" t="s">
        <v>111</v>
      </c>
      <c r="AB66" s="163">
        <f>AB54</f>
        <v>0</v>
      </c>
      <c r="AC66" s="56">
        <f>ROUND(Y66*AB66,0)</f>
        <v>0</v>
      </c>
      <c r="AD66" s="9"/>
    </row>
    <row r="67" spans="1:30" ht="20.25" customHeight="1" x14ac:dyDescent="0.25">
      <c r="B67" s="13" t="s">
        <v>119</v>
      </c>
      <c r="C67" s="13"/>
      <c r="D67" s="13"/>
      <c r="E67" s="13"/>
      <c r="F67" s="13"/>
      <c r="H67" s="164" t="s">
        <v>25</v>
      </c>
      <c r="I67" s="129">
        <v>96774526</v>
      </c>
      <c r="J67" s="165" t="s">
        <v>111</v>
      </c>
      <c r="K67" s="166">
        <f>K54</f>
        <v>9.6900000000000003E-4</v>
      </c>
      <c r="L67" s="50">
        <f>ROUND(I67*K67,0)</f>
        <v>93775</v>
      </c>
      <c r="O67" s="1"/>
      <c r="V67" s="651" t="s">
        <v>120</v>
      </c>
      <c r="W67" s="651"/>
      <c r="X67" s="651"/>
      <c r="Y67" s="651"/>
      <c r="Z67" s="651"/>
      <c r="AA67" s="651"/>
      <c r="AB67" s="651"/>
      <c r="AC67" s="651"/>
      <c r="AD67" s="9"/>
    </row>
    <row r="68" spans="1:30" ht="20.25" customHeight="1" x14ac:dyDescent="0.25">
      <c r="B68" s="13" t="s">
        <v>120</v>
      </c>
      <c r="C68" s="13"/>
      <c r="D68" s="13"/>
      <c r="E68" s="13"/>
      <c r="F68" s="13"/>
      <c r="H68" s="13"/>
      <c r="I68" s="13"/>
      <c r="J68" s="82"/>
      <c r="K68" s="13"/>
      <c r="L68" s="13"/>
      <c r="O68" s="1"/>
      <c r="V68" s="667" t="s">
        <v>121</v>
      </c>
      <c r="W68" s="667"/>
      <c r="X68" s="667"/>
      <c r="Y68" s="661">
        <f>+I69</f>
        <v>0</v>
      </c>
      <c r="Z68" s="661"/>
      <c r="AA68" s="246" t="s">
        <v>111</v>
      </c>
      <c r="AB68" s="163">
        <f>AB57</f>
        <v>0</v>
      </c>
      <c r="AC68" s="56">
        <f>ROUND(Y68*AB68,0)</f>
        <v>0</v>
      </c>
      <c r="AD68" s="9"/>
    </row>
    <row r="69" spans="1:30" ht="15" customHeight="1" x14ac:dyDescent="0.25">
      <c r="B69" s="170" t="s">
        <v>121</v>
      </c>
      <c r="C69" s="13"/>
      <c r="D69" s="13"/>
      <c r="E69" s="13"/>
      <c r="F69" s="13"/>
      <c r="H69" s="164" t="s">
        <v>23</v>
      </c>
      <c r="I69" s="129">
        <v>0</v>
      </c>
      <c r="J69" s="165" t="s">
        <v>111</v>
      </c>
      <c r="K69" s="166">
        <f>K57</f>
        <v>1.052E-3</v>
      </c>
      <c r="L69" s="50">
        <f>ROUND(I69*K69,0)</f>
        <v>0</v>
      </c>
      <c r="O69" s="1"/>
      <c r="V69" s="651" t="s">
        <v>122</v>
      </c>
      <c r="W69" s="651"/>
      <c r="X69" s="651"/>
      <c r="Y69" s="668">
        <f>+I70</f>
        <v>-3460775</v>
      </c>
      <c r="Z69" s="668"/>
      <c r="AA69" s="246" t="s">
        <v>111</v>
      </c>
      <c r="AB69" s="163">
        <f>AB54</f>
        <v>0</v>
      </c>
      <c r="AC69" s="56">
        <f>ROUND(Y69*AB69,0)</f>
        <v>0</v>
      </c>
      <c r="AD69" s="9"/>
    </row>
    <row r="70" spans="1:30" ht="20.25" customHeight="1" x14ac:dyDescent="0.25">
      <c r="B70" s="13" t="s">
        <v>122</v>
      </c>
      <c r="C70" s="13"/>
      <c r="D70" s="13"/>
      <c r="E70" s="13"/>
      <c r="F70" s="13"/>
      <c r="H70" s="164" t="s">
        <v>22</v>
      </c>
      <c r="I70" s="129">
        <v>-3460775</v>
      </c>
      <c r="J70" s="165" t="s">
        <v>111</v>
      </c>
      <c r="K70" s="166">
        <f>K54</f>
        <v>9.6900000000000003E-4</v>
      </c>
      <c r="L70" s="50">
        <f>ROUND(I70*K70,0)</f>
        <v>-3353</v>
      </c>
      <c r="O70" s="1"/>
      <c r="V70" s="651" t="s">
        <v>123</v>
      </c>
      <c r="W70" s="651"/>
      <c r="X70" s="651"/>
      <c r="Y70" s="665">
        <f>+I71</f>
        <v>1874788</v>
      </c>
      <c r="Z70" s="665"/>
      <c r="AA70" s="246" t="s">
        <v>111</v>
      </c>
      <c r="AB70" s="163">
        <f>AB54</f>
        <v>0</v>
      </c>
      <c r="AC70" s="56">
        <f>ROUND(Y70*AB70,0)</f>
        <v>0</v>
      </c>
      <c r="AD70" s="9"/>
    </row>
    <row r="71" spans="1:30" ht="20.25" customHeight="1" x14ac:dyDescent="0.25">
      <c r="B71" s="13" t="s">
        <v>123</v>
      </c>
      <c r="C71" s="13"/>
      <c r="D71" s="13"/>
      <c r="E71" s="13"/>
      <c r="F71" s="13"/>
      <c r="H71" s="164" t="s">
        <v>22</v>
      </c>
      <c r="I71" s="129">
        <v>1874788</v>
      </c>
      <c r="J71" s="165" t="s">
        <v>111</v>
      </c>
      <c r="K71" s="166">
        <f>K54</f>
        <v>9.6900000000000003E-4</v>
      </c>
      <c r="L71" s="50">
        <f>ROUND(I71*K71,0)</f>
        <v>1817</v>
      </c>
      <c r="O71" s="1"/>
      <c r="V71" s="651" t="s">
        <v>124</v>
      </c>
      <c r="W71" s="651"/>
      <c r="X71" s="651"/>
      <c r="Y71" s="665">
        <f>+I72</f>
        <v>14223298</v>
      </c>
      <c r="Z71" s="665"/>
      <c r="AA71" s="246" t="s">
        <v>111</v>
      </c>
      <c r="AB71" s="163">
        <f>AB57</f>
        <v>0</v>
      </c>
      <c r="AC71" s="56">
        <f>ROUND(Y71*AB71,0)</f>
        <v>0</v>
      </c>
      <c r="AD71" s="9"/>
    </row>
    <row r="72" spans="1:30" ht="21" customHeight="1" x14ac:dyDescent="0.25">
      <c r="B72" s="13" t="s">
        <v>124</v>
      </c>
      <c r="C72" s="13"/>
      <c r="D72" s="13"/>
      <c r="E72" s="13"/>
      <c r="F72" s="13"/>
      <c r="H72" s="164" t="s">
        <v>23</v>
      </c>
      <c r="I72" s="171">
        <v>14223298</v>
      </c>
      <c r="J72" s="165" t="s">
        <v>111</v>
      </c>
      <c r="K72" s="166">
        <f>K57</f>
        <v>1.052E-3</v>
      </c>
      <c r="L72" s="50">
        <f>ROUND(I72*K72,0)</f>
        <v>14963</v>
      </c>
      <c r="O72" s="1"/>
      <c r="V72" s="623" t="s">
        <v>125</v>
      </c>
      <c r="W72" s="623"/>
      <c r="X72" s="623"/>
      <c r="Y72" s="623"/>
      <c r="Z72" s="623"/>
      <c r="AA72" s="623"/>
      <c r="AB72" s="623"/>
      <c r="AC72" s="60"/>
      <c r="AD72" s="9"/>
    </row>
    <row r="73" spans="1:30" ht="17.25" customHeight="1" x14ac:dyDescent="0.25">
      <c r="B73" s="13" t="s">
        <v>125</v>
      </c>
      <c r="C73" s="13"/>
      <c r="D73" s="13"/>
      <c r="E73" s="13"/>
      <c r="F73" s="13"/>
      <c r="H73" s="13"/>
      <c r="I73" s="13"/>
      <c r="J73" s="82"/>
      <c r="K73" s="13"/>
      <c r="L73" s="59"/>
      <c r="O73" s="1"/>
      <c r="V73" s="651" t="s">
        <v>126</v>
      </c>
      <c r="W73" s="651"/>
      <c r="X73" s="651"/>
      <c r="Y73" s="651"/>
      <c r="Z73" s="651"/>
      <c r="AA73" s="651"/>
      <c r="AB73" s="651"/>
      <c r="AC73" s="651"/>
      <c r="AD73" s="9"/>
    </row>
    <row r="74" spans="1:30" ht="31.5" x14ac:dyDescent="0.25">
      <c r="B74" s="13" t="s">
        <v>126</v>
      </c>
      <c r="C74" s="13"/>
      <c r="D74" s="27" t="s">
        <v>13</v>
      </c>
      <c r="E74" s="27" t="s">
        <v>14</v>
      </c>
      <c r="F74" s="27"/>
      <c r="H74" s="164" t="s">
        <v>26</v>
      </c>
      <c r="I74" s="172"/>
      <c r="J74" s="164"/>
      <c r="K74" s="172"/>
      <c r="L74" s="112"/>
      <c r="O74" s="1"/>
      <c r="V74" s="666" t="s">
        <v>127</v>
      </c>
      <c r="W74" s="666"/>
      <c r="X74" s="173" t="s">
        <v>128</v>
      </c>
      <c r="Y74" s="174"/>
      <c r="Z74" s="175">
        <f>+I75</f>
        <v>122.5</v>
      </c>
      <c r="AA74" s="245" t="s">
        <v>129</v>
      </c>
      <c r="AB74" s="177">
        <f>+K75</f>
        <v>361</v>
      </c>
      <c r="AC74" s="56">
        <f>ROUND(AB74*Z74,0)</f>
        <v>44223</v>
      </c>
      <c r="AD74" s="9"/>
    </row>
    <row r="75" spans="1:30" ht="19.5" customHeight="1" x14ac:dyDescent="0.25">
      <c r="A75" s="1" t="s">
        <v>130</v>
      </c>
      <c r="B75" s="178" t="s">
        <v>127</v>
      </c>
      <c r="C75" s="179" t="s">
        <v>128</v>
      </c>
      <c r="D75" s="178">
        <v>117</v>
      </c>
      <c r="E75" s="178">
        <v>128</v>
      </c>
      <c r="F75" s="178">
        <v>0</v>
      </c>
      <c r="G75" s="180">
        <f>IF(E75=0,D75,E75)</f>
        <v>128</v>
      </c>
      <c r="H75" s="181"/>
      <c r="I75" s="182">
        <f>AVERAGE(G75,D75)</f>
        <v>122.5</v>
      </c>
      <c r="J75" s="183" t="s">
        <v>129</v>
      </c>
      <c r="K75" s="184">
        <v>361</v>
      </c>
      <c r="L75" s="50">
        <f>ROUND(K75*I75,0)</f>
        <v>44223</v>
      </c>
      <c r="N75" s="1">
        <v>7802</v>
      </c>
      <c r="O75" s="1">
        <v>0</v>
      </c>
      <c r="V75" s="666" t="s">
        <v>127</v>
      </c>
      <c r="W75" s="666"/>
      <c r="X75" s="173" t="s">
        <v>131</v>
      </c>
      <c r="Y75" s="185"/>
      <c r="Z75" s="186">
        <f>+I76</f>
        <v>0</v>
      </c>
      <c r="AA75" s="245" t="s">
        <v>129</v>
      </c>
      <c r="AB75" s="187">
        <f>+K76</f>
        <v>1358</v>
      </c>
      <c r="AC75" s="56">
        <f>ROUND(AB75*Z75,0)</f>
        <v>0</v>
      </c>
      <c r="AD75" s="9"/>
    </row>
    <row r="76" spans="1:30" ht="19.5" customHeight="1" x14ac:dyDescent="0.25">
      <c r="A76" s="1" t="s">
        <v>132</v>
      </c>
      <c r="B76" s="178" t="s">
        <v>127</v>
      </c>
      <c r="C76" s="179" t="s">
        <v>131</v>
      </c>
      <c r="D76" s="178">
        <v>0</v>
      </c>
      <c r="E76" s="178">
        <v>0</v>
      </c>
      <c r="F76" s="178">
        <v>0</v>
      </c>
      <c r="G76" s="180">
        <f>IF(E76=0,D76,E76)</f>
        <v>0</v>
      </c>
      <c r="H76" s="181"/>
      <c r="I76" s="182">
        <f>AVERAGE(G76,D76)</f>
        <v>0</v>
      </c>
      <c r="J76" s="183" t="s">
        <v>129</v>
      </c>
      <c r="K76" s="188">
        <v>1358</v>
      </c>
      <c r="L76" s="50">
        <f>ROUND(K76*I76,0)</f>
        <v>0</v>
      </c>
      <c r="N76" s="1">
        <v>7802</v>
      </c>
      <c r="O76" s="1">
        <v>110</v>
      </c>
      <c r="V76" s="651" t="s">
        <v>133</v>
      </c>
      <c r="W76" s="651"/>
      <c r="X76" s="651"/>
      <c r="Y76" s="661">
        <f>+I77</f>
        <v>33305823</v>
      </c>
      <c r="Z76" s="661"/>
      <c r="AA76" s="245" t="s">
        <v>129</v>
      </c>
      <c r="AB76" s="163">
        <f>AB54</f>
        <v>0</v>
      </c>
      <c r="AC76" s="56">
        <f>ROUND(Y76*AB76,0)</f>
        <v>0</v>
      </c>
      <c r="AD76" s="9"/>
    </row>
    <row r="77" spans="1:30" ht="26.25" customHeight="1" x14ac:dyDescent="0.25">
      <c r="B77" s="13" t="s">
        <v>133</v>
      </c>
      <c r="C77" s="13"/>
      <c r="D77" s="13"/>
      <c r="E77" s="13"/>
      <c r="F77" s="13"/>
      <c r="H77" s="164" t="s">
        <v>134</v>
      </c>
      <c r="I77" s="189">
        <v>33305823</v>
      </c>
      <c r="J77" s="165" t="s">
        <v>111</v>
      </c>
      <c r="K77" s="166">
        <f>K54</f>
        <v>9.6900000000000003E-4</v>
      </c>
      <c r="L77" s="50">
        <f>ROUND(I77*K77,0)</f>
        <v>32273</v>
      </c>
      <c r="O77" s="1"/>
      <c r="V77" s="651" t="str">
        <f>+B78</f>
        <v>15.  Additional Allocation (WFTE share)</v>
      </c>
      <c r="W77" s="651"/>
      <c r="X77" s="651"/>
      <c r="Y77" s="661">
        <f>+I78</f>
        <v>680688</v>
      </c>
      <c r="Z77" s="661"/>
      <c r="AA77" s="245" t="s">
        <v>129</v>
      </c>
      <c r="AB77" s="163">
        <f>AB54</f>
        <v>0</v>
      </c>
      <c r="AC77" s="56">
        <f>ROUND(Y77*AB77,0)</f>
        <v>0</v>
      </c>
      <c r="AD77" s="9"/>
    </row>
    <row r="78" spans="1:30" ht="26.25" customHeight="1" x14ac:dyDescent="0.25">
      <c r="B78" s="669" t="s">
        <v>135</v>
      </c>
      <c r="C78" s="669"/>
      <c r="D78" s="669"/>
      <c r="E78" s="13"/>
      <c r="F78" s="13"/>
      <c r="H78" s="164" t="s">
        <v>136</v>
      </c>
      <c r="I78" s="190">
        <v>680688</v>
      </c>
      <c r="J78" s="165" t="s">
        <v>111</v>
      </c>
      <c r="K78" s="166">
        <f>K54</f>
        <v>9.6900000000000003E-4</v>
      </c>
      <c r="L78" s="50">
        <f>ROUND(I78*K78,0)</f>
        <v>660</v>
      </c>
      <c r="O78" s="1"/>
      <c r="V78" s="651" t="str">
        <f t="shared" ref="V78:V79" si="11">+B79</f>
        <v>16.  Florida Teachers Lead Program Stipend</v>
      </c>
      <c r="W78" s="651"/>
      <c r="X78" s="651"/>
      <c r="Y78" s="191"/>
      <c r="Z78" s="191"/>
      <c r="AA78" s="191"/>
      <c r="AB78" s="191"/>
      <c r="AC78" s="134"/>
      <c r="AD78" s="9"/>
    </row>
    <row r="79" spans="1:30" ht="21" customHeight="1" x14ac:dyDescent="0.25">
      <c r="B79" s="669" t="s">
        <v>137</v>
      </c>
      <c r="C79" s="669"/>
      <c r="D79" s="669"/>
      <c r="E79" s="13"/>
      <c r="F79" s="13"/>
      <c r="H79" s="164"/>
      <c r="I79" s="172"/>
      <c r="J79" s="172"/>
      <c r="K79" s="172"/>
      <c r="L79" s="129"/>
      <c r="N79" s="192"/>
      <c r="O79" s="1"/>
      <c r="Q79" s="164"/>
      <c r="V79" s="651" t="str">
        <f t="shared" si="11"/>
        <v>17.  Food Service Allocation</v>
      </c>
      <c r="W79" s="651"/>
      <c r="X79" s="651"/>
      <c r="Y79" s="191"/>
      <c r="Z79" s="191"/>
      <c r="AA79" s="191"/>
      <c r="AB79" s="191"/>
      <c r="AC79" s="193"/>
      <c r="AD79" s="9"/>
    </row>
    <row r="80" spans="1:30" ht="21" customHeight="1" x14ac:dyDescent="0.25">
      <c r="B80" s="669" t="s">
        <v>138</v>
      </c>
      <c r="C80" s="669"/>
      <c r="D80" s="669"/>
      <c r="E80" s="13"/>
      <c r="F80" s="13"/>
      <c r="H80" s="194" t="s">
        <v>139</v>
      </c>
      <c r="I80" s="195"/>
      <c r="J80" s="195"/>
      <c r="K80" s="195"/>
      <c r="L80" s="196"/>
      <c r="N80" s="197"/>
      <c r="O80" s="1"/>
      <c r="Q80" s="164"/>
      <c r="V80" s="191"/>
      <c r="W80" s="191"/>
      <c r="X80" s="191"/>
      <c r="Y80" s="191"/>
      <c r="Z80" s="191"/>
      <c r="AA80" s="191"/>
      <c r="AB80" s="191"/>
      <c r="AC80" s="193"/>
      <c r="AD80" s="9"/>
    </row>
    <row r="81" spans="1:30" ht="21" customHeight="1" thickBot="1" x14ac:dyDescent="0.3">
      <c r="B81" s="13"/>
      <c r="C81" s="13"/>
      <c r="D81" s="13"/>
      <c r="E81" s="13"/>
      <c r="F81" s="13"/>
      <c r="G81" s="13"/>
      <c r="H81" s="13"/>
      <c r="I81" s="13"/>
      <c r="J81" s="13"/>
      <c r="K81" s="13"/>
      <c r="L81" s="196"/>
      <c r="M81" s="198"/>
      <c r="N81" s="197"/>
      <c r="O81" s="1"/>
      <c r="Q81" s="164"/>
      <c r="V81" s="191" t="s">
        <v>140</v>
      </c>
      <c r="W81" s="191"/>
      <c r="X81" s="191"/>
      <c r="Y81" s="191"/>
      <c r="Z81" s="191"/>
      <c r="AA81" s="191"/>
      <c r="AB81" s="191"/>
      <c r="AC81" s="199">
        <f>SUM(AC44:AC80)</f>
        <v>44223</v>
      </c>
      <c r="AD81" s="200"/>
    </row>
    <row r="82" spans="1:30" ht="22.5" customHeight="1" thickTop="1" thickBot="1" x14ac:dyDescent="0.3">
      <c r="B82" s="13" t="s">
        <v>141</v>
      </c>
      <c r="C82" s="13"/>
      <c r="D82" s="13"/>
      <c r="E82" s="13"/>
      <c r="F82" s="13"/>
      <c r="G82" s="13"/>
      <c r="H82" s="13"/>
      <c r="I82" s="13"/>
      <c r="J82" s="13"/>
      <c r="K82" s="13"/>
      <c r="L82" s="201">
        <f>SUM(L44:L81)</f>
        <v>1166822</v>
      </c>
      <c r="M82" s="202"/>
      <c r="N82" s="203"/>
      <c r="O82" s="1"/>
      <c r="Q82" s="164"/>
      <c r="V82" s="191"/>
      <c r="W82" s="191"/>
      <c r="X82" s="191"/>
      <c r="Y82" s="191"/>
      <c r="Z82" s="191"/>
      <c r="AA82" s="191"/>
      <c r="AB82" s="191"/>
      <c r="AC82" s="204"/>
      <c r="AD82" s="200"/>
    </row>
    <row r="83" spans="1:30" ht="27.75" customHeight="1" thickTop="1" x14ac:dyDescent="0.25">
      <c r="B83" s="13" t="s">
        <v>142</v>
      </c>
      <c r="C83" s="13"/>
      <c r="D83" s="13"/>
      <c r="E83" s="13"/>
      <c r="F83" s="13"/>
      <c r="G83" s="13"/>
      <c r="H83" s="13"/>
      <c r="I83" s="13"/>
      <c r="J83" s="13"/>
      <c r="K83" s="82" t="s">
        <v>143</v>
      </c>
      <c r="L83" s="205" t="s">
        <v>144</v>
      </c>
      <c r="M83" s="202"/>
      <c r="N83" s="203"/>
      <c r="O83" s="1"/>
      <c r="Q83" s="164"/>
      <c r="V83" s="9" t="s">
        <v>145</v>
      </c>
      <c r="W83" s="9"/>
      <c r="X83" s="9"/>
      <c r="Y83" s="9"/>
      <c r="Z83" s="9"/>
      <c r="AA83" s="9"/>
      <c r="AB83" s="9"/>
      <c r="AC83" s="9"/>
      <c r="AD83" s="206"/>
    </row>
    <row r="84" spans="1:30" ht="18.75" customHeight="1" thickBot="1" x14ac:dyDescent="0.3">
      <c r="B84" s="13" t="s">
        <v>146</v>
      </c>
      <c r="C84" s="13"/>
      <c r="D84" s="13"/>
      <c r="E84" s="13"/>
      <c r="F84" s="13"/>
      <c r="G84" s="13"/>
      <c r="H84" s="13"/>
      <c r="I84" s="13"/>
      <c r="J84" s="13"/>
      <c r="K84" s="207" t="str">
        <f>IF(G26=0,"",IF((G11+G13+SUM(G15:G21))/G26&gt;0.75,1,""))</f>
        <v/>
      </c>
      <c r="L84" s="201">
        <f>'3443'!AC81</f>
        <v>44223</v>
      </c>
      <c r="M84" s="202"/>
      <c r="N84" s="203"/>
      <c r="O84" s="1"/>
      <c r="Q84" s="164"/>
      <c r="V84" s="208" t="s">
        <v>147</v>
      </c>
      <c r="W84" s="208"/>
      <c r="X84" s="208"/>
      <c r="Y84" s="208"/>
      <c r="Z84" s="208"/>
      <c r="AA84" s="208"/>
      <c r="AB84" s="208"/>
      <c r="AC84" s="208"/>
      <c r="AD84" s="9"/>
    </row>
    <row r="85" spans="1:30" ht="18.75" customHeight="1" thickTop="1" x14ac:dyDescent="0.25">
      <c r="B85" s="13"/>
      <c r="C85" s="13"/>
      <c r="D85" s="13"/>
      <c r="E85" s="13"/>
      <c r="F85" s="13"/>
      <c r="G85" s="13"/>
      <c r="H85" s="13"/>
      <c r="I85" s="13"/>
      <c r="J85" s="13"/>
      <c r="M85" s="202"/>
      <c r="N85" s="203"/>
      <c r="O85" s="1"/>
      <c r="Q85" s="164"/>
      <c r="V85" s="208" t="s">
        <v>148</v>
      </c>
      <c r="W85" s="208"/>
      <c r="X85" s="208"/>
      <c r="Y85" s="208"/>
      <c r="Z85" s="208"/>
      <c r="AA85" s="208"/>
      <c r="AB85" s="208"/>
      <c r="AC85" s="208"/>
      <c r="AD85" s="206"/>
    </row>
    <row r="86" spans="1:30" ht="18.75" customHeight="1" x14ac:dyDescent="0.25">
      <c r="B86" s="2" t="s">
        <v>149</v>
      </c>
      <c r="C86" s="13"/>
      <c r="D86" s="13"/>
      <c r="E86" s="13"/>
      <c r="F86" s="13"/>
      <c r="G86" s="13"/>
      <c r="H86" s="13"/>
      <c r="I86" s="13"/>
      <c r="J86" s="209" t="s">
        <v>150</v>
      </c>
      <c r="K86" s="210">
        <f>IF(K84=1,L84,L82)</f>
        <v>1166822</v>
      </c>
      <c r="L86" s="211">
        <f>IF(G26=0,0,IF(G26&gt;250,-(((250/G26)*K86)*IF(M86="H",0.02,0.05)),IF(M86="H",-0.02*K86,-0.05*K86)))</f>
        <v>-58341.100000000006</v>
      </c>
      <c r="M86" s="212" t="str">
        <f>IF(B123="2801","H",IF(B123="2911","H",IF(B123="3382","H"," ")))</f>
        <v xml:space="preserve"> </v>
      </c>
      <c r="N86" s="203"/>
      <c r="O86" s="1"/>
      <c r="Q86" s="164"/>
      <c r="V86" s="208" t="s">
        <v>151</v>
      </c>
      <c r="W86" s="208"/>
      <c r="X86" s="208"/>
      <c r="Y86" s="208"/>
      <c r="Z86" s="208"/>
      <c r="AA86" s="208"/>
      <c r="AB86" s="208"/>
      <c r="AC86" s="208"/>
      <c r="AD86" s="206"/>
    </row>
    <row r="87" spans="1:30" ht="18.75" customHeight="1" x14ac:dyDescent="0.25">
      <c r="B87" s="2" t="s">
        <v>152</v>
      </c>
      <c r="C87" s="13"/>
      <c r="D87" s="13"/>
      <c r="E87" s="13"/>
      <c r="F87" s="13"/>
      <c r="G87" s="13"/>
      <c r="H87" s="13"/>
      <c r="I87" s="13"/>
      <c r="J87" s="13"/>
      <c r="K87" s="213"/>
      <c r="L87" s="205">
        <f>L82+L86</f>
        <v>1108480.8999999999</v>
      </c>
      <c r="M87" s="202"/>
      <c r="N87" s="203"/>
      <c r="O87" s="1"/>
      <c r="Q87" s="164"/>
      <c r="V87" s="198"/>
      <c r="W87" s="198"/>
      <c r="X87" s="198"/>
      <c r="Y87" s="198"/>
      <c r="Z87" s="198"/>
      <c r="AA87" s="198"/>
      <c r="AB87" s="198"/>
      <c r="AC87" s="198"/>
      <c r="AD87" s="214"/>
    </row>
    <row r="88" spans="1:30" x14ac:dyDescent="0.25">
      <c r="V88" s="198"/>
      <c r="W88" s="198"/>
      <c r="X88" s="198"/>
      <c r="Y88" s="198"/>
      <c r="Z88" s="198"/>
      <c r="AA88" s="198"/>
      <c r="AB88" s="198"/>
      <c r="AC88" s="198"/>
      <c r="AD88" s="215"/>
    </row>
    <row r="89" spans="1:30" ht="18.75" customHeight="1" x14ac:dyDescent="0.25">
      <c r="A89" s="1" t="s">
        <v>153</v>
      </c>
      <c r="B89" s="13" t="s">
        <v>154</v>
      </c>
      <c r="C89" s="13"/>
      <c r="D89" s="13">
        <v>0</v>
      </c>
      <c r="E89" s="13">
        <v>0</v>
      </c>
      <c r="F89" s="13">
        <v>3941094</v>
      </c>
      <c r="G89" s="13"/>
      <c r="H89" s="13"/>
      <c r="I89" s="13"/>
      <c r="J89" s="13"/>
      <c r="K89" s="213"/>
      <c r="L89" s="84">
        <f>-920661-94081</f>
        <v>-1014742</v>
      </c>
      <c r="M89" s="202"/>
      <c r="N89" s="203"/>
      <c r="O89" s="1"/>
      <c r="Q89" s="164"/>
      <c r="V89" s="198">
        <v>2801</v>
      </c>
      <c r="W89" s="198"/>
      <c r="X89" s="198"/>
      <c r="Y89" s="198"/>
      <c r="Z89" s="198"/>
      <c r="AA89" s="198"/>
      <c r="AB89" s="198"/>
      <c r="AC89" s="198"/>
      <c r="AD89" s="214"/>
    </row>
    <row r="90" spans="1:30" ht="18.75" customHeight="1" x14ac:dyDescent="0.25">
      <c r="B90" s="13" t="s">
        <v>155</v>
      </c>
      <c r="C90" s="13"/>
      <c r="D90" s="13"/>
      <c r="E90" s="13"/>
      <c r="F90" s="13"/>
      <c r="G90" s="13"/>
      <c r="H90" s="13"/>
      <c r="I90" s="13"/>
      <c r="J90" s="13"/>
      <c r="K90" s="213"/>
      <c r="L90" s="205">
        <f>L87+L89</f>
        <v>93738.899999999907</v>
      </c>
      <c r="M90" s="202"/>
      <c r="N90" s="203"/>
      <c r="O90" s="1"/>
      <c r="Q90" s="164"/>
      <c r="V90" s="198">
        <v>2911</v>
      </c>
      <c r="W90" s="216"/>
      <c r="X90" s="216"/>
      <c r="Y90" s="216"/>
      <c r="Z90" s="216"/>
      <c r="AA90" s="216"/>
      <c r="AB90" s="216"/>
      <c r="AC90" s="216"/>
      <c r="AD90" s="214"/>
    </row>
    <row r="91" spans="1:30" ht="18.75" customHeight="1" x14ac:dyDescent="0.25">
      <c r="B91" s="13" t="s">
        <v>156</v>
      </c>
      <c r="C91" s="13"/>
      <c r="D91" s="13"/>
      <c r="E91" s="13"/>
      <c r="F91" s="13"/>
      <c r="G91" s="13"/>
      <c r="H91" s="13"/>
      <c r="I91" s="13"/>
      <c r="J91" s="13"/>
      <c r="K91" s="213"/>
      <c r="L91" s="205">
        <v>1</v>
      </c>
      <c r="M91" s="202"/>
      <c r="N91" s="203"/>
      <c r="O91" s="1"/>
      <c r="Q91" s="164"/>
      <c r="V91" s="198">
        <v>3382</v>
      </c>
      <c r="W91" s="216"/>
      <c r="X91" s="216"/>
      <c r="Y91" s="216"/>
      <c r="Z91" s="216"/>
      <c r="AA91" s="216"/>
      <c r="AB91" s="216"/>
      <c r="AC91" s="216"/>
      <c r="AD91" s="214"/>
    </row>
    <row r="92" spans="1:30" ht="18.75" customHeight="1" thickBot="1" x14ac:dyDescent="0.3">
      <c r="B92" s="13" t="s">
        <v>157</v>
      </c>
      <c r="C92" s="13"/>
      <c r="D92" s="13"/>
      <c r="E92" s="13"/>
      <c r="F92" s="13"/>
      <c r="G92" s="13"/>
      <c r="H92" s="13"/>
      <c r="I92" s="13"/>
      <c r="J92" s="13"/>
      <c r="K92" s="213"/>
      <c r="L92" s="217">
        <f>L90/L91</f>
        <v>93738.899999999907</v>
      </c>
      <c r="M92" s="202"/>
      <c r="N92" s="203"/>
      <c r="O92" s="1"/>
      <c r="Q92" s="164"/>
      <c r="V92" s="218"/>
      <c r="W92" s="218"/>
      <c r="X92" s="218"/>
      <c r="Y92" s="218"/>
      <c r="Z92" s="218"/>
      <c r="AA92" s="218"/>
      <c r="AB92" s="218"/>
      <c r="AC92" s="218"/>
      <c r="AD92" s="219"/>
    </row>
    <row r="93" spans="1:30" ht="18.75" customHeight="1" thickTop="1" x14ac:dyDescent="0.25">
      <c r="N93" s="219"/>
      <c r="O93" s="220"/>
      <c r="P93" s="219"/>
      <c r="Q93" s="219"/>
      <c r="V93" s="218"/>
      <c r="W93" s="218"/>
      <c r="X93" s="218"/>
      <c r="Y93" s="218"/>
      <c r="Z93" s="218"/>
      <c r="AA93" s="218"/>
      <c r="AB93" s="218"/>
      <c r="AC93" s="218"/>
      <c r="AD93" s="214"/>
    </row>
    <row r="94" spans="1:30" ht="18.75" customHeight="1" thickBot="1" x14ac:dyDescent="0.3">
      <c r="B94" s="221" t="s">
        <v>158</v>
      </c>
      <c r="C94" s="13"/>
      <c r="D94" s="13"/>
      <c r="E94" s="13"/>
      <c r="G94" s="13"/>
      <c r="H94" s="13"/>
      <c r="I94" s="13"/>
      <c r="J94" s="13"/>
      <c r="L94" s="222">
        <f>IF(M86="H",(K86*0.02)+L86,(K86*0.05)+L86)</f>
        <v>0</v>
      </c>
      <c r="M94" s="202"/>
      <c r="V94" s="223"/>
      <c r="W94" s="223"/>
      <c r="X94" s="223"/>
      <c r="Y94" s="223"/>
      <c r="Z94" s="223"/>
      <c r="AA94" s="223"/>
      <c r="AB94" s="223"/>
      <c r="AC94" s="223"/>
      <c r="AD94" s="214"/>
    </row>
    <row r="95" spans="1:30" ht="21.75" customHeight="1" thickTop="1" x14ac:dyDescent="0.25">
      <c r="B95" s="224" t="s">
        <v>159</v>
      </c>
      <c r="C95" s="224"/>
      <c r="D95" s="224"/>
      <c r="E95" s="224"/>
      <c r="F95" s="224"/>
      <c r="G95" s="224"/>
      <c r="H95" s="224"/>
      <c r="I95" s="224"/>
      <c r="J95" s="224"/>
      <c r="K95" s="224"/>
      <c r="L95" s="224"/>
      <c r="M95" s="219"/>
      <c r="V95" s="223"/>
      <c r="W95" s="223"/>
      <c r="X95" s="223"/>
      <c r="Y95" s="223"/>
      <c r="Z95" s="223"/>
      <c r="AA95" s="223"/>
      <c r="AB95" s="223"/>
      <c r="AC95" s="223"/>
      <c r="AD95" s="214"/>
    </row>
    <row r="96" spans="1:30" x14ac:dyDescent="0.25">
      <c r="B96" s="225"/>
      <c r="V96" s="223"/>
      <c r="W96" s="223"/>
      <c r="X96" s="223"/>
      <c r="Y96" s="223"/>
      <c r="Z96" s="223"/>
      <c r="AA96" s="223"/>
      <c r="AB96" s="223"/>
      <c r="AC96" s="223"/>
      <c r="AD96" s="219"/>
    </row>
    <row r="97" spans="2:30" x14ac:dyDescent="0.25">
      <c r="B97" s="225"/>
      <c r="V97" s="223"/>
      <c r="W97" s="223"/>
      <c r="X97" s="223"/>
      <c r="Y97" s="223"/>
      <c r="Z97" s="223"/>
      <c r="AA97" s="223"/>
      <c r="AB97" s="223"/>
      <c r="AC97" s="223"/>
      <c r="AD97" s="219"/>
    </row>
    <row r="98" spans="2:30" hidden="1" x14ac:dyDescent="0.25">
      <c r="B98" s="226" t="s">
        <v>160</v>
      </c>
      <c r="C98" s="227"/>
      <c r="V98" s="228"/>
      <c r="W98" s="228"/>
      <c r="X98" s="228"/>
      <c r="Y98" s="228"/>
      <c r="Z98" s="228"/>
      <c r="AA98" s="228"/>
      <c r="AB98" s="228"/>
      <c r="AC98" s="228"/>
    </row>
    <row r="99" spans="2:30" hidden="1" x14ac:dyDescent="0.25">
      <c r="B99" s="229"/>
      <c r="C99" s="227"/>
      <c r="V99" s="225"/>
      <c r="W99" s="13"/>
      <c r="X99" s="13"/>
      <c r="Y99" s="13"/>
      <c r="Z99" s="13"/>
      <c r="AA99" s="13"/>
      <c r="AB99" s="13"/>
      <c r="AC99" s="13"/>
    </row>
    <row r="100" spans="2:30" hidden="1" x14ac:dyDescent="0.25">
      <c r="B100" s="230" t="s">
        <v>161</v>
      </c>
      <c r="C100" s="226" t="s">
        <v>162</v>
      </c>
      <c r="V100" s="225"/>
    </row>
    <row r="101" spans="2:30" hidden="1" x14ac:dyDescent="0.25">
      <c r="B101" s="230" t="s">
        <v>163</v>
      </c>
      <c r="C101" s="226" t="s">
        <v>164</v>
      </c>
      <c r="V101" s="225"/>
    </row>
    <row r="102" spans="2:30" hidden="1" x14ac:dyDescent="0.25">
      <c r="B102" s="230" t="s">
        <v>165</v>
      </c>
      <c r="C102" s="226" t="s">
        <v>166</v>
      </c>
      <c r="V102" s="225"/>
      <c r="W102" s="231"/>
      <c r="X102" s="231"/>
      <c r="Y102" s="231"/>
      <c r="Z102" s="231"/>
      <c r="AA102" s="231"/>
      <c r="AB102" s="231"/>
      <c r="AC102" s="231"/>
      <c r="AD102" s="231"/>
    </row>
    <row r="103" spans="2:30" hidden="1" x14ac:dyDescent="0.25">
      <c r="B103" s="230" t="s">
        <v>167</v>
      </c>
      <c r="C103" s="226" t="s">
        <v>168</v>
      </c>
      <c r="V103" s="225"/>
    </row>
    <row r="104" spans="2:30" hidden="1" x14ac:dyDescent="0.25">
      <c r="B104" s="232"/>
      <c r="C104" s="226" t="s">
        <v>169</v>
      </c>
      <c r="V104" s="225"/>
    </row>
    <row r="105" spans="2:30" hidden="1" x14ac:dyDescent="0.25">
      <c r="B105" s="230" t="s">
        <v>170</v>
      </c>
      <c r="C105" s="226" t="s">
        <v>171</v>
      </c>
      <c r="V105" s="225"/>
    </row>
    <row r="106" spans="2:30" hidden="1" x14ac:dyDescent="0.25">
      <c r="B106" s="230" t="s">
        <v>172</v>
      </c>
      <c r="C106" s="226" t="s">
        <v>173</v>
      </c>
      <c r="V106" s="225"/>
    </row>
    <row r="107" spans="2:30" hidden="1" x14ac:dyDescent="0.25">
      <c r="B107" s="230" t="s">
        <v>307</v>
      </c>
      <c r="C107" s="226" t="s">
        <v>175</v>
      </c>
      <c r="V107" s="225"/>
    </row>
    <row r="108" spans="2:30" hidden="1" x14ac:dyDescent="0.25">
      <c r="B108" s="230" t="s">
        <v>176</v>
      </c>
      <c r="C108" s="226" t="s">
        <v>177</v>
      </c>
      <c r="V108" s="225"/>
    </row>
    <row r="109" spans="2:30" hidden="1" x14ac:dyDescent="0.25">
      <c r="B109" s="230" t="s">
        <v>178</v>
      </c>
      <c r="C109" s="226" t="s">
        <v>179</v>
      </c>
      <c r="V109" s="225"/>
    </row>
    <row r="110" spans="2:30" hidden="1" x14ac:dyDescent="0.25">
      <c r="B110" s="232"/>
      <c r="C110" s="226"/>
      <c r="V110" s="225"/>
    </row>
    <row r="111" spans="2:30" hidden="1" x14ac:dyDescent="0.25">
      <c r="B111" s="230" t="s">
        <v>180</v>
      </c>
      <c r="C111" s="226" t="s">
        <v>181</v>
      </c>
      <c r="V111" s="225"/>
    </row>
    <row r="112" spans="2:30" hidden="1" x14ac:dyDescent="0.25">
      <c r="B112" s="230" t="s">
        <v>180</v>
      </c>
      <c r="C112" s="226" t="s">
        <v>182</v>
      </c>
    </row>
    <row r="113" spans="2:3" hidden="1" x14ac:dyDescent="0.25">
      <c r="B113" s="230" t="s">
        <v>183</v>
      </c>
      <c r="C113" s="226" t="s">
        <v>184</v>
      </c>
    </row>
    <row r="114" spans="2:3" hidden="1" x14ac:dyDescent="0.25">
      <c r="B114" s="230" t="s">
        <v>185</v>
      </c>
      <c r="C114" s="226" t="s">
        <v>186</v>
      </c>
    </row>
    <row r="115" spans="2:3" hidden="1" x14ac:dyDescent="0.25">
      <c r="B115" s="230" t="s">
        <v>183</v>
      </c>
      <c r="C115" s="226" t="s">
        <v>187</v>
      </c>
    </row>
    <row r="116" spans="2:3" hidden="1" x14ac:dyDescent="0.25">
      <c r="B116" s="230" t="s">
        <v>188</v>
      </c>
      <c r="C116" s="226" t="s">
        <v>189</v>
      </c>
    </row>
    <row r="117" spans="2:3" hidden="1" x14ac:dyDescent="0.25">
      <c r="B117" s="230" t="s">
        <v>190</v>
      </c>
      <c r="C117" s="226" t="s">
        <v>191</v>
      </c>
    </row>
    <row r="118" spans="2:3" hidden="1" x14ac:dyDescent="0.25">
      <c r="B118" s="232" t="s">
        <v>192</v>
      </c>
      <c r="C118" s="226" t="s">
        <v>193</v>
      </c>
    </row>
    <row r="119" spans="2:3" hidden="1" x14ac:dyDescent="0.25">
      <c r="B119" s="232"/>
      <c r="C119" s="226"/>
    </row>
    <row r="120" spans="2:3" hidden="1" x14ac:dyDescent="0.25">
      <c r="B120" s="230" t="s">
        <v>161</v>
      </c>
      <c r="C120" s="226" t="s">
        <v>194</v>
      </c>
    </row>
    <row r="121" spans="2:3" hidden="1" x14ac:dyDescent="0.25">
      <c r="B121" s="230" t="s">
        <v>195</v>
      </c>
      <c r="C121" s="226" t="s">
        <v>196</v>
      </c>
    </row>
    <row r="122" spans="2:3" hidden="1" x14ac:dyDescent="0.25">
      <c r="B122" s="230" t="s">
        <v>197</v>
      </c>
      <c r="C122" s="226" t="s">
        <v>198</v>
      </c>
    </row>
    <row r="123" spans="2:3" hidden="1" x14ac:dyDescent="0.25">
      <c r="B123" s="230" t="s">
        <v>310</v>
      </c>
      <c r="C123" s="226" t="s">
        <v>200</v>
      </c>
    </row>
    <row r="124" spans="2:3" hidden="1" x14ac:dyDescent="0.25">
      <c r="B124" s="230" t="s">
        <v>311</v>
      </c>
      <c r="C124" s="226" t="s">
        <v>202</v>
      </c>
    </row>
    <row r="125" spans="2:3" hidden="1" x14ac:dyDescent="0.25">
      <c r="B125" s="230" t="s">
        <v>203</v>
      </c>
      <c r="C125" s="226" t="s">
        <v>204</v>
      </c>
    </row>
    <row r="126" spans="2:3" hidden="1" x14ac:dyDescent="0.25">
      <c r="B126" s="230" t="s">
        <v>203</v>
      </c>
      <c r="C126" s="226" t="s">
        <v>205</v>
      </c>
    </row>
    <row r="127" spans="2:3" hidden="1" x14ac:dyDescent="0.25">
      <c r="B127" s="230" t="s">
        <v>203</v>
      </c>
      <c r="C127" s="226" t="s">
        <v>206</v>
      </c>
    </row>
    <row r="128" spans="2:3" hidden="1" x14ac:dyDescent="0.25">
      <c r="B128" s="230" t="s">
        <v>203</v>
      </c>
      <c r="C128" s="226" t="s">
        <v>207</v>
      </c>
    </row>
    <row r="129" spans="2:3" hidden="1" x14ac:dyDescent="0.25">
      <c r="B129" s="230" t="s">
        <v>167</v>
      </c>
      <c r="C129" s="226" t="s">
        <v>208</v>
      </c>
    </row>
    <row r="130" spans="2:3" hidden="1" x14ac:dyDescent="0.25">
      <c r="B130" s="230" t="s">
        <v>209</v>
      </c>
      <c r="C130" s="226" t="s">
        <v>210</v>
      </c>
    </row>
    <row r="131" spans="2:3" hidden="1" x14ac:dyDescent="0.25">
      <c r="B131" s="230" t="s">
        <v>203</v>
      </c>
      <c r="C131" s="226" t="s">
        <v>211</v>
      </c>
    </row>
    <row r="132" spans="2:3" hidden="1" x14ac:dyDescent="0.25">
      <c r="B132" s="226"/>
      <c r="C132" s="226"/>
    </row>
    <row r="133" spans="2:3" hidden="1" x14ac:dyDescent="0.25">
      <c r="B133" s="226"/>
      <c r="C133" s="226"/>
    </row>
    <row r="134" spans="2:3" hidden="1" x14ac:dyDescent="0.25">
      <c r="B134" s="232"/>
      <c r="C134" s="232"/>
    </row>
    <row r="135" spans="2:3" hidden="1" x14ac:dyDescent="0.25">
      <c r="B135" s="232">
        <f>NvsElapsedTime</f>
        <v>1.15740767796524E-5</v>
      </c>
      <c r="C135" s="232"/>
    </row>
    <row r="136" spans="2:3" hidden="1" x14ac:dyDescent="0.25">
      <c r="B136" s="233">
        <f>NvsEndTime</f>
        <v>41754.488055555601</v>
      </c>
      <c r="C136" s="233" t="s">
        <v>212</v>
      </c>
    </row>
    <row r="137" spans="2:3" x14ac:dyDescent="0.25">
      <c r="B137" s="226"/>
      <c r="C137" s="234"/>
    </row>
    <row r="138" spans="2:3" x14ac:dyDescent="0.25">
      <c r="B138" s="226"/>
      <c r="C138" s="226"/>
    </row>
    <row r="139" spans="2:3" x14ac:dyDescent="0.25">
      <c r="B139" s="226"/>
      <c r="C139" s="226"/>
    </row>
    <row r="140" spans="2:3" x14ac:dyDescent="0.25">
      <c r="B140" s="226"/>
      <c r="C140" s="226"/>
    </row>
    <row r="141" spans="2:3" x14ac:dyDescent="0.25">
      <c r="B141" s="226"/>
      <c r="C141" s="226"/>
    </row>
    <row r="142" spans="2:3" x14ac:dyDescent="0.25">
      <c r="B142" s="226"/>
      <c r="C142" s="226"/>
    </row>
    <row r="143" spans="2:3" x14ac:dyDescent="0.25">
      <c r="B143" s="226"/>
      <c r="C143" s="226"/>
    </row>
    <row r="144" spans="2:3" x14ac:dyDescent="0.25">
      <c r="B144" s="226"/>
      <c r="C144" s="226"/>
    </row>
    <row r="145" spans="2:3" x14ac:dyDescent="0.25">
      <c r="B145" s="226"/>
      <c r="C145" s="226"/>
    </row>
    <row r="146" spans="2:3" x14ac:dyDescent="0.25">
      <c r="B146" s="226"/>
      <c r="C146" s="226"/>
    </row>
    <row r="147" spans="2:3" x14ac:dyDescent="0.25">
      <c r="B147" s="226"/>
      <c r="C147" s="226"/>
    </row>
    <row r="148" spans="2:3" x14ac:dyDescent="0.25">
      <c r="B148" s="226"/>
      <c r="C148" s="226"/>
    </row>
    <row r="149" spans="2:3" x14ac:dyDescent="0.25">
      <c r="B149" s="226"/>
      <c r="C149" s="226"/>
    </row>
    <row r="150" spans="2:3" x14ac:dyDescent="0.25">
      <c r="B150" s="226"/>
      <c r="C150" s="226"/>
    </row>
    <row r="151" spans="2:3" x14ac:dyDescent="0.25">
      <c r="B151" s="226"/>
      <c r="C151" s="226"/>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pageSetUpPr fitToPage="1"/>
  </sheetPr>
  <dimension ref="A1:AD151"/>
  <sheetViews>
    <sheetView topLeftCell="B2" zoomScale="70" zoomScaleNormal="70" workbookViewId="0">
      <selection activeCell="D22" sqref="D22"/>
    </sheetView>
  </sheetViews>
  <sheetFormatPr defaultColWidth="8.85546875" defaultRowHeight="15.75" x14ac:dyDescent="0.25"/>
  <cols>
    <col min="1" max="1" width="11.28515625" style="1" hidden="1" customWidth="1"/>
    <col min="2" max="2" width="10.28515625" style="2" customWidth="1"/>
    <col min="3" max="3" width="29" style="1" customWidth="1"/>
    <col min="4" max="5" width="12.28515625" style="1" customWidth="1"/>
    <col min="6" max="6" width="12.28515625" style="1" hidden="1" customWidth="1"/>
    <col min="7" max="7" width="17.42578125" style="1" customWidth="1"/>
    <col min="8" max="8" width="6.7109375" style="1" customWidth="1"/>
    <col min="9" max="9" width="14.28515625" style="1" customWidth="1"/>
    <col min="10" max="10" width="12.85546875" style="1" customWidth="1"/>
    <col min="11" max="11" width="17.140625" style="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28515625" style="1" customWidth="1"/>
    <col min="18" max="18" width="8.85546875" style="1"/>
    <col min="19" max="21" width="0" style="1" hidden="1" customWidth="1"/>
    <col min="22" max="23" width="8.85546875" style="1"/>
    <col min="24" max="24" width="12.7109375" style="1" customWidth="1"/>
    <col min="25" max="27" width="8.85546875" style="1"/>
    <col min="28" max="28" width="13.140625" style="1" bestFit="1" customWidth="1"/>
    <col min="29" max="16384" width="8.85546875" style="1"/>
  </cols>
  <sheetData>
    <row r="1" spans="1:30" ht="15.6"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7"/>
      <c r="N2" s="3"/>
      <c r="O2" s="1"/>
      <c r="V2" s="8">
        <f>'3941'!B2</f>
        <v>50</v>
      </c>
      <c r="W2" s="606" t="s">
        <v>4</v>
      </c>
      <c r="X2" s="607"/>
      <c r="Y2" s="608"/>
      <c r="Z2" s="608"/>
      <c r="AA2" s="608"/>
      <c r="AB2" s="608"/>
      <c r="AC2" s="608"/>
      <c r="AD2" s="9"/>
    </row>
    <row r="3" spans="1:30" ht="20.25" x14ac:dyDescent="0.3">
      <c r="B3" s="10" t="str">
        <f>"Revenue Estimate Worksheet for "&amp;B124</f>
        <v>Revenue Estimate Worksheet for Ben Gamla - Palm Beach</v>
      </c>
      <c r="C3" s="11"/>
      <c r="D3" s="11"/>
      <c r="E3" s="11"/>
      <c r="F3" s="11"/>
      <c r="G3" s="11"/>
      <c r="H3" s="11"/>
      <c r="I3" s="11"/>
      <c r="J3" s="11"/>
      <c r="K3" s="11"/>
      <c r="L3" s="11"/>
      <c r="M3" s="10"/>
      <c r="N3" s="10"/>
      <c r="O3" s="10"/>
      <c r="P3" s="10"/>
      <c r="Q3" s="10"/>
      <c r="V3" s="609" t="s">
        <v>5</v>
      </c>
      <c r="W3" s="609"/>
      <c r="X3" s="609"/>
      <c r="Y3" s="609"/>
      <c r="Z3" s="609"/>
      <c r="AA3" s="609"/>
      <c r="AB3" s="609"/>
      <c r="AC3" s="609"/>
      <c r="AD3" s="12"/>
    </row>
    <row r="4" spans="1:30" ht="18.75" x14ac:dyDescent="0.3">
      <c r="B4" s="2" t="s">
        <v>6</v>
      </c>
      <c r="C4" s="13"/>
      <c r="D4" s="13"/>
      <c r="E4" s="13"/>
      <c r="F4" s="13"/>
      <c r="G4" s="13"/>
      <c r="H4" s="13"/>
      <c r="I4" s="13"/>
      <c r="J4" s="13"/>
      <c r="K4" s="13"/>
      <c r="L4" s="13"/>
      <c r="M4" s="14"/>
      <c r="N4" s="14"/>
      <c r="O4" s="14"/>
      <c r="P4" s="14"/>
      <c r="Q4" s="14"/>
      <c r="V4" s="610" t="str">
        <f>+Based_on_the_Second_Calculation_of_the_FEFP_2010_11</f>
        <v>Based on the Fourth Calculation of the FEFP 2013-14</v>
      </c>
      <c r="W4" s="610"/>
      <c r="X4" s="610"/>
      <c r="Y4" s="610"/>
      <c r="Z4" s="610"/>
      <c r="AA4" s="610"/>
      <c r="AB4" s="610"/>
      <c r="AC4" s="610"/>
      <c r="AD4" s="15"/>
    </row>
    <row r="5" spans="1:30" ht="18.75" customHeight="1" x14ac:dyDescent="0.25">
      <c r="B5" s="16" t="s">
        <v>7</v>
      </c>
      <c r="C5" s="16"/>
      <c r="D5" s="16"/>
      <c r="E5" s="16"/>
      <c r="F5" s="16"/>
      <c r="G5" s="17" t="s">
        <v>8</v>
      </c>
      <c r="H5" s="17"/>
      <c r="I5" s="17"/>
      <c r="J5" s="17"/>
      <c r="K5" s="17"/>
      <c r="L5" s="17"/>
      <c r="M5" s="18"/>
      <c r="N5" s="18"/>
      <c r="O5" s="18"/>
      <c r="P5" s="18"/>
      <c r="Q5" s="18"/>
      <c r="V5" s="611" t="s">
        <v>7</v>
      </c>
      <c r="W5" s="611"/>
      <c r="X5" s="612" t="s">
        <v>8</v>
      </c>
      <c r="Y5" s="612"/>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613" t="s">
        <v>9</v>
      </c>
      <c r="W6" s="613"/>
      <c r="X6" s="613"/>
      <c r="Y6" s="613"/>
      <c r="Z6" s="613"/>
      <c r="AA6" s="613"/>
      <c r="AB6" s="613"/>
      <c r="AC6" s="613"/>
      <c r="AD6" s="22"/>
    </row>
    <row r="7" spans="1:30" ht="18" customHeight="1" x14ac:dyDescent="0.25">
      <c r="B7" s="23" t="s">
        <v>10</v>
      </c>
      <c r="C7" s="23"/>
      <c r="D7" s="23"/>
      <c r="E7" s="23"/>
      <c r="F7" s="23"/>
      <c r="G7" s="24">
        <v>3752.3</v>
      </c>
      <c r="H7" s="24"/>
      <c r="I7" s="23" t="s">
        <v>11</v>
      </c>
      <c r="J7" s="23"/>
      <c r="K7" s="25">
        <v>1.0326</v>
      </c>
      <c r="L7" s="25"/>
      <c r="O7" s="1"/>
      <c r="V7" s="620" t="s">
        <v>10</v>
      </c>
      <c r="W7" s="620"/>
      <c r="X7" s="621">
        <f>'3941'!G7</f>
        <v>3752.3</v>
      </c>
      <c r="Y7" s="621"/>
      <c r="Z7" s="622" t="s">
        <v>11</v>
      </c>
      <c r="AA7" s="622"/>
      <c r="AB7" s="602">
        <f>+K7</f>
        <v>1.0326</v>
      </c>
      <c r="AC7" s="602"/>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603" t="s">
        <v>12</v>
      </c>
      <c r="W8" s="603"/>
      <c r="X8" s="604" t="s">
        <v>15</v>
      </c>
      <c r="Y8" s="604"/>
      <c r="Z8" s="605" t="s">
        <v>16</v>
      </c>
      <c r="AA8" s="605"/>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614" t="s">
        <v>22</v>
      </c>
      <c r="W9" s="614"/>
      <c r="X9" s="615" t="s">
        <v>23</v>
      </c>
      <c r="Y9" s="615"/>
      <c r="Z9" s="616" t="s">
        <v>24</v>
      </c>
      <c r="AA9" s="616"/>
      <c r="AB9" s="43" t="s">
        <v>25</v>
      </c>
      <c r="AC9" s="44" t="s">
        <v>26</v>
      </c>
      <c r="AD9" s="9"/>
    </row>
    <row r="10" spans="1:30" x14ac:dyDescent="0.25">
      <c r="A10" s="1" t="s">
        <v>27</v>
      </c>
      <c r="B10" s="45" t="s">
        <v>28</v>
      </c>
      <c r="C10" s="45"/>
      <c r="D10" s="45">
        <v>86.06</v>
      </c>
      <c r="E10" s="45">
        <v>83.08</v>
      </c>
      <c r="F10" s="45">
        <v>91.41</v>
      </c>
      <c r="G10" s="46">
        <f>D10+E10</f>
        <v>169.14</v>
      </c>
      <c r="H10" s="47"/>
      <c r="I10" s="48">
        <v>1.125</v>
      </c>
      <c r="J10" s="48"/>
      <c r="K10" s="49">
        <f>ROUND(G10*I10,4)</f>
        <v>190.2825</v>
      </c>
      <c r="L10" s="50">
        <f>ROUND(ROUND(K10*$G$7,4)*($K$7),0)</f>
        <v>737273</v>
      </c>
      <c r="N10" s="51">
        <v>5101</v>
      </c>
      <c r="O10" s="52">
        <v>101</v>
      </c>
      <c r="P10" s="53"/>
      <c r="Q10" s="54"/>
      <c r="V10" s="617" t="s">
        <v>28</v>
      </c>
      <c r="W10" s="617"/>
      <c r="X10" s="618">
        <f>IF('3941'!K$84=1,'3941'!G10,0)</f>
        <v>0</v>
      </c>
      <c r="Y10" s="618"/>
      <c r="Z10" s="619">
        <v>1</v>
      </c>
      <c r="AA10" s="619"/>
      <c r="AB10" s="55">
        <f t="shared" ref="AB10:AB25" si="0">ROUND(X10*Z10,4)</f>
        <v>0</v>
      </c>
      <c r="AC10" s="56">
        <f t="shared" ref="AC10:AC25" si="1">ROUND(ROUND(AB10*$X$7,4)*($AB$7),0)</f>
        <v>0</v>
      </c>
      <c r="AD10" s="9">
        <v>1</v>
      </c>
    </row>
    <row r="11" spans="1:30" x14ac:dyDescent="0.25">
      <c r="A11" s="1" t="s">
        <v>29</v>
      </c>
      <c r="B11" s="13" t="s">
        <v>30</v>
      </c>
      <c r="C11" s="13"/>
      <c r="D11" s="13">
        <v>20.440000000000001</v>
      </c>
      <c r="E11" s="13">
        <v>24.57</v>
      </c>
      <c r="F11" s="13">
        <v>22.41</v>
      </c>
      <c r="G11" s="46">
        <f t="shared" ref="G11:G25" si="2">D11+E11</f>
        <v>45.010000000000005</v>
      </c>
      <c r="H11" s="47"/>
      <c r="I11" s="57">
        <f>I10</f>
        <v>1.125</v>
      </c>
      <c r="J11" s="57"/>
      <c r="K11" s="49">
        <f t="shared" ref="K11:K25" si="3">ROUND(G11*I11,4)</f>
        <v>50.636299999999999</v>
      </c>
      <c r="L11" s="50">
        <f t="shared" ref="L11:L25" si="4">ROUND(ROUND(K11*$G$7,4)*($K$7),0)</f>
        <v>196197</v>
      </c>
      <c r="M11" s="1" t="str">
        <f>IF(ROUND(G11,2)=ROUND(SUM(G28:G30),2)," ","CHECK 2. PK-3 Lines Below")</f>
        <v xml:space="preserve"> </v>
      </c>
      <c r="N11" s="51">
        <v>5101</v>
      </c>
      <c r="O11" s="58" t="s">
        <v>31</v>
      </c>
      <c r="P11" s="53"/>
      <c r="Q11" s="54"/>
      <c r="V11" s="623" t="s">
        <v>30</v>
      </c>
      <c r="W11" s="623"/>
      <c r="X11" s="618">
        <f>IF('3941'!K$84=1,'3941'!G11,0)</f>
        <v>0</v>
      </c>
      <c r="Y11" s="618"/>
      <c r="Z11" s="624">
        <v>1</v>
      </c>
      <c r="AA11" s="624"/>
      <c r="AB11" s="55">
        <f t="shared" si="0"/>
        <v>0</v>
      </c>
      <c r="AC11" s="56">
        <f t="shared" si="1"/>
        <v>0</v>
      </c>
      <c r="AD11" s="9"/>
    </row>
    <row r="12" spans="1:30" x14ac:dyDescent="0.25">
      <c r="A12" s="1" t="s">
        <v>32</v>
      </c>
      <c r="B12" s="13" t="s">
        <v>33</v>
      </c>
      <c r="C12" s="13"/>
      <c r="D12" s="13">
        <v>23.55</v>
      </c>
      <c r="E12" s="13">
        <v>21.05</v>
      </c>
      <c r="F12" s="13">
        <v>23.63</v>
      </c>
      <c r="G12" s="46">
        <f t="shared" si="2"/>
        <v>44.6</v>
      </c>
      <c r="H12" s="47"/>
      <c r="I12" s="57">
        <v>1</v>
      </c>
      <c r="J12" s="57"/>
      <c r="K12" s="49">
        <f t="shared" si="3"/>
        <v>44.6</v>
      </c>
      <c r="L12" s="50">
        <f t="shared" si="4"/>
        <v>172808</v>
      </c>
      <c r="N12" s="51">
        <v>5102</v>
      </c>
      <c r="O12" s="52">
        <v>102</v>
      </c>
      <c r="P12" s="53"/>
      <c r="Q12" s="54"/>
      <c r="V12" s="623" t="s">
        <v>33</v>
      </c>
      <c r="W12" s="623"/>
      <c r="X12" s="618">
        <f>IF('3941'!K$84=1,'3941'!G12,0)</f>
        <v>0</v>
      </c>
      <c r="Y12" s="618"/>
      <c r="Z12" s="624">
        <v>1</v>
      </c>
      <c r="AA12" s="624"/>
      <c r="AB12" s="55">
        <f t="shared" si="0"/>
        <v>0</v>
      </c>
      <c r="AC12" s="56">
        <f t="shared" si="1"/>
        <v>0</v>
      </c>
      <c r="AD12" s="9"/>
    </row>
    <row r="13" spans="1:30" x14ac:dyDescent="0.25">
      <c r="A13" s="1" t="s">
        <v>34</v>
      </c>
      <c r="B13" s="13" t="s">
        <v>35</v>
      </c>
      <c r="C13" s="13"/>
      <c r="D13" s="13">
        <v>8.5</v>
      </c>
      <c r="E13" s="13">
        <v>10.5</v>
      </c>
      <c r="F13" s="13">
        <v>8.73</v>
      </c>
      <c r="G13" s="46">
        <f t="shared" si="2"/>
        <v>19</v>
      </c>
      <c r="H13" s="47"/>
      <c r="I13" s="57">
        <f>I12</f>
        <v>1</v>
      </c>
      <c r="J13" s="57"/>
      <c r="K13" s="49">
        <f t="shared" si="3"/>
        <v>19</v>
      </c>
      <c r="L13" s="50">
        <f t="shared" si="4"/>
        <v>73618</v>
      </c>
      <c r="M13" s="1" t="str">
        <f>IF(ROUND(G13,2)=ROUND(SUM(G31:G33),2)," ","CHECK 2. PK-3 Lines Below")</f>
        <v xml:space="preserve"> </v>
      </c>
      <c r="N13" s="51">
        <v>5102</v>
      </c>
      <c r="O13" s="58" t="s">
        <v>36</v>
      </c>
      <c r="P13" s="53"/>
      <c r="Q13" s="54"/>
      <c r="V13" s="623" t="s">
        <v>35</v>
      </c>
      <c r="W13" s="623"/>
      <c r="X13" s="618">
        <f>IF('3941'!K$84=1,'3941'!G13,0)</f>
        <v>0</v>
      </c>
      <c r="Y13" s="618"/>
      <c r="Z13" s="624">
        <v>1</v>
      </c>
      <c r="AA13" s="624"/>
      <c r="AB13" s="55">
        <f t="shared" si="0"/>
        <v>0</v>
      </c>
      <c r="AC13" s="56">
        <f t="shared" si="1"/>
        <v>0</v>
      </c>
      <c r="AD13" s="9"/>
    </row>
    <row r="14" spans="1:30" x14ac:dyDescent="0.25">
      <c r="A14" s="1" t="s">
        <v>37</v>
      </c>
      <c r="B14" s="13" t="s">
        <v>38</v>
      </c>
      <c r="C14" s="13"/>
      <c r="D14" s="13">
        <v>0</v>
      </c>
      <c r="E14" s="13">
        <v>0</v>
      </c>
      <c r="F14" s="13">
        <v>0</v>
      </c>
      <c r="G14" s="46">
        <f t="shared" si="2"/>
        <v>0</v>
      </c>
      <c r="H14" s="47"/>
      <c r="I14" s="57">
        <v>1.0109999999999999</v>
      </c>
      <c r="J14" s="57"/>
      <c r="K14" s="49">
        <f t="shared" si="3"/>
        <v>0</v>
      </c>
      <c r="L14" s="50">
        <f t="shared" si="4"/>
        <v>0</v>
      </c>
      <c r="N14" s="51">
        <v>5103</v>
      </c>
      <c r="O14" s="52">
        <v>103</v>
      </c>
      <c r="P14" s="53"/>
      <c r="Q14" s="54"/>
      <c r="V14" s="623" t="s">
        <v>38</v>
      </c>
      <c r="W14" s="623"/>
      <c r="X14" s="618">
        <f>IF('3941'!K$84=1,'3941'!G14,0)</f>
        <v>0</v>
      </c>
      <c r="Y14" s="618"/>
      <c r="Z14" s="624">
        <v>1</v>
      </c>
      <c r="AA14" s="624"/>
      <c r="AB14" s="55">
        <f t="shared" si="0"/>
        <v>0</v>
      </c>
      <c r="AC14" s="56">
        <f t="shared" si="1"/>
        <v>0</v>
      </c>
      <c r="AD14" s="9"/>
    </row>
    <row r="15" spans="1:30" x14ac:dyDescent="0.25">
      <c r="A15" s="1" t="s">
        <v>39</v>
      </c>
      <c r="B15" s="13" t="s">
        <v>40</v>
      </c>
      <c r="C15" s="13"/>
      <c r="D15" s="13">
        <v>0</v>
      </c>
      <c r="E15" s="13">
        <v>0</v>
      </c>
      <c r="F15" s="13">
        <v>0</v>
      </c>
      <c r="G15" s="46">
        <f t="shared" si="2"/>
        <v>0</v>
      </c>
      <c r="H15" s="47"/>
      <c r="I15" s="57">
        <f>I14</f>
        <v>1.0109999999999999</v>
      </c>
      <c r="J15" s="57"/>
      <c r="K15" s="49">
        <f t="shared" si="3"/>
        <v>0</v>
      </c>
      <c r="L15" s="59">
        <f t="shared" si="4"/>
        <v>0</v>
      </c>
      <c r="M15" s="1" t="str">
        <f>IF(ROUND(G15,2)=ROUND(SUM(G34:G36),2)," ","CHECK 2. PK-3 Lines Below")</f>
        <v xml:space="preserve"> </v>
      </c>
      <c r="N15" s="51">
        <v>5103</v>
      </c>
      <c r="O15" s="58" t="s">
        <v>41</v>
      </c>
      <c r="P15" s="53"/>
      <c r="Q15" s="54"/>
      <c r="V15" s="623" t="s">
        <v>40</v>
      </c>
      <c r="W15" s="623"/>
      <c r="X15" s="618">
        <f>IF('3941'!K$84=1,'3941'!G15,0)</f>
        <v>0</v>
      </c>
      <c r="Y15" s="618"/>
      <c r="Z15" s="624">
        <v>1</v>
      </c>
      <c r="AA15" s="624"/>
      <c r="AB15" s="55">
        <f t="shared" si="0"/>
        <v>0</v>
      </c>
      <c r="AC15" s="60">
        <f t="shared" si="1"/>
        <v>0</v>
      </c>
      <c r="AD15" s="9"/>
    </row>
    <row r="16" spans="1:30" x14ac:dyDescent="0.25">
      <c r="A16" s="1" t="s">
        <v>42</v>
      </c>
      <c r="B16" s="13" t="s">
        <v>43</v>
      </c>
      <c r="C16" s="13"/>
      <c r="D16" s="13">
        <v>0</v>
      </c>
      <c r="E16" s="13">
        <v>0</v>
      </c>
      <c r="F16" s="13">
        <v>0</v>
      </c>
      <c r="G16" s="46">
        <f t="shared" si="2"/>
        <v>0</v>
      </c>
      <c r="H16" s="47"/>
      <c r="I16" s="57">
        <v>3.5579999999999998</v>
      </c>
      <c r="J16" s="57"/>
      <c r="K16" s="49">
        <f t="shared" si="3"/>
        <v>0</v>
      </c>
      <c r="L16" s="50">
        <f t="shared" si="4"/>
        <v>0</v>
      </c>
      <c r="N16" s="51">
        <v>5101</v>
      </c>
      <c r="O16" s="53">
        <v>254</v>
      </c>
      <c r="P16" s="53"/>
      <c r="Q16" s="54"/>
      <c r="V16" s="623" t="s">
        <v>43</v>
      </c>
      <c r="W16" s="623"/>
      <c r="X16" s="618">
        <f>IF('3941'!K$84=1,'3941'!G16,0)</f>
        <v>0</v>
      </c>
      <c r="Y16" s="618"/>
      <c r="Z16" s="624">
        <v>1</v>
      </c>
      <c r="AA16" s="624"/>
      <c r="AB16" s="55">
        <f t="shared" si="0"/>
        <v>0</v>
      </c>
      <c r="AC16" s="56">
        <f t="shared" si="1"/>
        <v>0</v>
      </c>
      <c r="AD16" s="9"/>
    </row>
    <row r="17" spans="1:30" x14ac:dyDescent="0.25">
      <c r="A17" s="1" t="s">
        <v>44</v>
      </c>
      <c r="B17" s="13" t="s">
        <v>45</v>
      </c>
      <c r="C17" s="13"/>
      <c r="D17" s="13">
        <v>0</v>
      </c>
      <c r="E17" s="13">
        <v>0</v>
      </c>
      <c r="F17" s="13">
        <v>0</v>
      </c>
      <c r="G17" s="46">
        <f t="shared" si="2"/>
        <v>0</v>
      </c>
      <c r="H17" s="47"/>
      <c r="I17" s="57">
        <f>I16</f>
        <v>3.5579999999999998</v>
      </c>
      <c r="J17" s="57"/>
      <c r="K17" s="49">
        <f t="shared" si="3"/>
        <v>0</v>
      </c>
      <c r="L17" s="50">
        <f t="shared" si="4"/>
        <v>0</v>
      </c>
      <c r="N17" s="51">
        <v>5102</v>
      </c>
      <c r="O17" s="54">
        <v>254</v>
      </c>
      <c r="P17" s="53"/>
      <c r="Q17" s="54"/>
      <c r="V17" s="623" t="s">
        <v>45</v>
      </c>
      <c r="W17" s="623"/>
      <c r="X17" s="618">
        <f>IF('3941'!K$84=1,'3941'!G17,0)</f>
        <v>0</v>
      </c>
      <c r="Y17" s="618"/>
      <c r="Z17" s="624">
        <v>1</v>
      </c>
      <c r="AA17" s="624"/>
      <c r="AB17" s="55">
        <f t="shared" si="0"/>
        <v>0</v>
      </c>
      <c r="AC17" s="56">
        <f t="shared" si="1"/>
        <v>0</v>
      </c>
      <c r="AD17" s="9"/>
    </row>
    <row r="18" spans="1:30" x14ac:dyDescent="0.25">
      <c r="A18" s="1" t="s">
        <v>46</v>
      </c>
      <c r="B18" s="13" t="s">
        <v>47</v>
      </c>
      <c r="C18" s="13"/>
      <c r="D18" s="13">
        <v>0</v>
      </c>
      <c r="E18" s="13">
        <v>0</v>
      </c>
      <c r="F18" s="13">
        <v>0</v>
      </c>
      <c r="G18" s="46">
        <f t="shared" si="2"/>
        <v>0</v>
      </c>
      <c r="H18" s="47"/>
      <c r="I18" s="57">
        <f>I17</f>
        <v>3.5579999999999998</v>
      </c>
      <c r="J18" s="57"/>
      <c r="K18" s="49">
        <f t="shared" si="3"/>
        <v>0</v>
      </c>
      <c r="L18" s="50">
        <f t="shared" si="4"/>
        <v>0</v>
      </c>
      <c r="N18" s="51">
        <v>5103</v>
      </c>
      <c r="O18" s="54">
        <v>254</v>
      </c>
      <c r="P18" s="53"/>
      <c r="Q18" s="54"/>
      <c r="V18" s="623" t="s">
        <v>47</v>
      </c>
      <c r="W18" s="623"/>
      <c r="X18" s="618">
        <f>IF('3941'!K$84=1,'3941'!G18,0)</f>
        <v>0</v>
      </c>
      <c r="Y18" s="618"/>
      <c r="Z18" s="624">
        <v>1</v>
      </c>
      <c r="AA18" s="624"/>
      <c r="AB18" s="55">
        <f t="shared" si="0"/>
        <v>0</v>
      </c>
      <c r="AC18" s="56">
        <f t="shared" si="1"/>
        <v>0</v>
      </c>
      <c r="AD18" s="9"/>
    </row>
    <row r="19" spans="1:30" ht="15" customHeight="1" x14ac:dyDescent="0.25">
      <c r="A19" s="1" t="s">
        <v>48</v>
      </c>
      <c r="B19" s="13" t="s">
        <v>49</v>
      </c>
      <c r="C19" s="13"/>
      <c r="D19" s="13">
        <v>0</v>
      </c>
      <c r="E19" s="13">
        <v>0</v>
      </c>
      <c r="F19" s="13">
        <v>0</v>
      </c>
      <c r="G19" s="46">
        <f t="shared" si="2"/>
        <v>0</v>
      </c>
      <c r="H19" s="47"/>
      <c r="I19" s="57">
        <v>5.0890000000000004</v>
      </c>
      <c r="J19" s="57"/>
      <c r="K19" s="49">
        <f t="shared" si="3"/>
        <v>0</v>
      </c>
      <c r="L19" s="50">
        <f t="shared" si="4"/>
        <v>0</v>
      </c>
      <c r="N19" s="51">
        <v>5101</v>
      </c>
      <c r="O19" s="53">
        <v>255</v>
      </c>
      <c r="P19" s="53"/>
      <c r="Q19" s="54"/>
      <c r="V19" s="623" t="s">
        <v>49</v>
      </c>
      <c r="W19" s="623"/>
      <c r="X19" s="618">
        <f>IF('3941'!K$84=1,'3941'!G19,0)</f>
        <v>0</v>
      </c>
      <c r="Y19" s="618"/>
      <c r="Z19" s="624">
        <v>1</v>
      </c>
      <c r="AA19" s="624"/>
      <c r="AB19" s="55">
        <f t="shared" si="0"/>
        <v>0</v>
      </c>
      <c r="AC19" s="56">
        <f t="shared" si="1"/>
        <v>0</v>
      </c>
      <c r="AD19" s="9"/>
    </row>
    <row r="20" spans="1:30" ht="15" customHeight="1" x14ac:dyDescent="0.25">
      <c r="A20" s="1" t="s">
        <v>50</v>
      </c>
      <c r="B20" s="13" t="s">
        <v>51</v>
      </c>
      <c r="C20" s="13"/>
      <c r="D20" s="13">
        <v>0</v>
      </c>
      <c r="E20" s="13">
        <v>0</v>
      </c>
      <c r="F20" s="13">
        <v>0</v>
      </c>
      <c r="G20" s="46">
        <f t="shared" si="2"/>
        <v>0</v>
      </c>
      <c r="H20" s="47"/>
      <c r="I20" s="57">
        <f>I19</f>
        <v>5.0890000000000004</v>
      </c>
      <c r="J20" s="57"/>
      <c r="K20" s="49">
        <f t="shared" si="3"/>
        <v>0</v>
      </c>
      <c r="L20" s="50">
        <f t="shared" si="4"/>
        <v>0</v>
      </c>
      <c r="N20" s="51">
        <v>5102</v>
      </c>
      <c r="O20" s="54">
        <v>255</v>
      </c>
      <c r="P20" s="53"/>
      <c r="Q20" s="54"/>
      <c r="V20" s="623" t="s">
        <v>51</v>
      </c>
      <c r="W20" s="623"/>
      <c r="X20" s="618">
        <f>IF('3941'!K$84=1,'3941'!G20,0)</f>
        <v>0</v>
      </c>
      <c r="Y20" s="618"/>
      <c r="Z20" s="624">
        <v>1</v>
      </c>
      <c r="AA20" s="624"/>
      <c r="AB20" s="55">
        <f t="shared" si="0"/>
        <v>0</v>
      </c>
      <c r="AC20" s="56">
        <f t="shared" si="1"/>
        <v>0</v>
      </c>
      <c r="AD20" s="9"/>
    </row>
    <row r="21" spans="1:30" ht="15" customHeight="1" x14ac:dyDescent="0.25">
      <c r="A21" s="1" t="s">
        <v>52</v>
      </c>
      <c r="B21" s="13" t="s">
        <v>53</v>
      </c>
      <c r="C21" s="13"/>
      <c r="D21" s="13">
        <v>0</v>
      </c>
      <c r="E21" s="13">
        <v>0</v>
      </c>
      <c r="F21" s="13">
        <v>0</v>
      </c>
      <c r="G21" s="46">
        <f t="shared" si="2"/>
        <v>0</v>
      </c>
      <c r="H21" s="47"/>
      <c r="I21" s="57">
        <f>I20</f>
        <v>5.0890000000000004</v>
      </c>
      <c r="J21" s="57"/>
      <c r="K21" s="49">
        <f t="shared" si="3"/>
        <v>0</v>
      </c>
      <c r="L21" s="50">
        <f t="shared" si="4"/>
        <v>0</v>
      </c>
      <c r="N21" s="51">
        <v>5103</v>
      </c>
      <c r="O21" s="54">
        <v>255</v>
      </c>
      <c r="P21" s="53"/>
      <c r="Q21" s="54"/>
      <c r="V21" s="623" t="s">
        <v>53</v>
      </c>
      <c r="W21" s="623"/>
      <c r="X21" s="618">
        <f>IF('3941'!K$84=1,'3941'!G21,0)</f>
        <v>0</v>
      </c>
      <c r="Y21" s="618"/>
      <c r="Z21" s="624">
        <v>1</v>
      </c>
      <c r="AA21" s="624"/>
      <c r="AB21" s="55">
        <f t="shared" si="0"/>
        <v>0</v>
      </c>
      <c r="AC21" s="56">
        <f t="shared" si="1"/>
        <v>0</v>
      </c>
      <c r="AD21" s="9"/>
    </row>
    <row r="22" spans="1:30" x14ac:dyDescent="0.25">
      <c r="A22" s="1" t="s">
        <v>54</v>
      </c>
      <c r="B22" s="13" t="s">
        <v>55</v>
      </c>
      <c r="C22" s="13"/>
      <c r="D22" s="13">
        <v>1.36</v>
      </c>
      <c r="E22" s="13">
        <v>1.36</v>
      </c>
      <c r="F22" s="13">
        <v>1.51</v>
      </c>
      <c r="G22" s="46">
        <f t="shared" si="2"/>
        <v>2.72</v>
      </c>
      <c r="H22" s="47"/>
      <c r="I22" s="57">
        <v>1.145</v>
      </c>
      <c r="J22" s="57"/>
      <c r="K22" s="49">
        <f t="shared" si="3"/>
        <v>3.1143999999999998</v>
      </c>
      <c r="L22" s="50">
        <f t="shared" si="4"/>
        <v>12067</v>
      </c>
      <c r="N22" s="51">
        <v>5101</v>
      </c>
      <c r="O22" s="52">
        <v>130</v>
      </c>
      <c r="P22" s="53"/>
      <c r="Q22" s="54"/>
      <c r="V22" s="623" t="s">
        <v>55</v>
      </c>
      <c r="W22" s="623"/>
      <c r="X22" s="618">
        <f>IF('3941'!K$84=1,'3941'!G22,0)</f>
        <v>0</v>
      </c>
      <c r="Y22" s="618"/>
      <c r="Z22" s="624">
        <v>1</v>
      </c>
      <c r="AA22" s="624"/>
      <c r="AB22" s="55">
        <f t="shared" si="0"/>
        <v>0</v>
      </c>
      <c r="AC22" s="56">
        <f t="shared" si="1"/>
        <v>0</v>
      </c>
      <c r="AD22" s="9"/>
    </row>
    <row r="23" spans="1:30" x14ac:dyDescent="0.25">
      <c r="A23" s="1" t="s">
        <v>56</v>
      </c>
      <c r="B23" s="13" t="s">
        <v>57</v>
      </c>
      <c r="C23" s="13"/>
      <c r="D23" s="13">
        <v>0</v>
      </c>
      <c r="E23" s="13">
        <v>0</v>
      </c>
      <c r="F23" s="13">
        <v>0</v>
      </c>
      <c r="G23" s="46">
        <f t="shared" si="2"/>
        <v>0</v>
      </c>
      <c r="H23" s="47"/>
      <c r="I23" s="57">
        <f>I22</f>
        <v>1.145</v>
      </c>
      <c r="J23" s="57"/>
      <c r="K23" s="49">
        <f t="shared" si="3"/>
        <v>0</v>
      </c>
      <c r="L23" s="50">
        <f t="shared" si="4"/>
        <v>0</v>
      </c>
      <c r="N23" s="51">
        <v>5102</v>
      </c>
      <c r="O23" s="52">
        <v>130</v>
      </c>
      <c r="P23" s="53"/>
      <c r="Q23" s="54"/>
      <c r="V23" s="623" t="s">
        <v>57</v>
      </c>
      <c r="W23" s="623"/>
      <c r="X23" s="618">
        <f>IF('3941'!K$84=1,'3941'!G23,0)</f>
        <v>0</v>
      </c>
      <c r="Y23" s="618"/>
      <c r="Z23" s="624">
        <v>1</v>
      </c>
      <c r="AA23" s="624"/>
      <c r="AB23" s="55">
        <f t="shared" si="0"/>
        <v>0</v>
      </c>
      <c r="AC23" s="56">
        <f t="shared" si="1"/>
        <v>0</v>
      </c>
      <c r="AD23" s="9"/>
    </row>
    <row r="24" spans="1:30" x14ac:dyDescent="0.25">
      <c r="A24" s="1" t="s">
        <v>58</v>
      </c>
      <c r="B24" s="13" t="s">
        <v>59</v>
      </c>
      <c r="C24" s="13"/>
      <c r="D24" s="13">
        <v>0</v>
      </c>
      <c r="E24" s="13">
        <v>0</v>
      </c>
      <c r="F24" s="13">
        <v>0</v>
      </c>
      <c r="G24" s="46">
        <f t="shared" si="2"/>
        <v>0</v>
      </c>
      <c r="H24" s="47"/>
      <c r="I24" s="57">
        <f>I23</f>
        <v>1.145</v>
      </c>
      <c r="J24" s="57"/>
      <c r="K24" s="49">
        <f t="shared" si="3"/>
        <v>0</v>
      </c>
      <c r="L24" s="50">
        <f t="shared" si="4"/>
        <v>0</v>
      </c>
      <c r="N24" s="51">
        <v>5103</v>
      </c>
      <c r="O24" s="52">
        <v>130</v>
      </c>
      <c r="P24" s="53"/>
      <c r="Q24" s="54"/>
      <c r="V24" s="623" t="s">
        <v>59</v>
      </c>
      <c r="W24" s="623"/>
      <c r="X24" s="618">
        <f>IF('3941'!K$84=1,'3941'!G24,0)</f>
        <v>0</v>
      </c>
      <c r="Y24" s="618"/>
      <c r="Z24" s="624">
        <v>1</v>
      </c>
      <c r="AA24" s="624"/>
      <c r="AB24" s="55">
        <f t="shared" si="0"/>
        <v>0</v>
      </c>
      <c r="AC24" s="56">
        <f t="shared" si="1"/>
        <v>0</v>
      </c>
      <c r="AD24" s="9"/>
    </row>
    <row r="25" spans="1:30" ht="16.5" thickBot="1" x14ac:dyDescent="0.3">
      <c r="A25" s="1" t="s">
        <v>60</v>
      </c>
      <c r="B25" s="13" t="s">
        <v>61</v>
      </c>
      <c r="C25" s="13"/>
      <c r="D25" s="13">
        <v>0</v>
      </c>
      <c r="E25" s="13">
        <v>0</v>
      </c>
      <c r="F25" s="13">
        <v>0</v>
      </c>
      <c r="G25" s="46">
        <f t="shared" si="2"/>
        <v>0</v>
      </c>
      <c r="H25" s="47"/>
      <c r="I25" s="57">
        <v>1.0109999999999999</v>
      </c>
      <c r="J25" s="57"/>
      <c r="K25" s="49">
        <f t="shared" si="3"/>
        <v>0</v>
      </c>
      <c r="L25" s="50">
        <f t="shared" si="4"/>
        <v>0</v>
      </c>
      <c r="N25" s="51">
        <v>5310</v>
      </c>
      <c r="O25" s="52">
        <v>300</v>
      </c>
      <c r="P25" s="53"/>
      <c r="Q25" s="54"/>
      <c r="V25" s="623" t="s">
        <v>61</v>
      </c>
      <c r="W25" s="623"/>
      <c r="X25" s="618">
        <f>IF('3941'!K$84=1,'3941'!G25,0)</f>
        <v>0</v>
      </c>
      <c r="Y25" s="618"/>
      <c r="Z25" s="624">
        <v>1</v>
      </c>
      <c r="AA25" s="624"/>
      <c r="AB25" s="55">
        <f t="shared" si="0"/>
        <v>0</v>
      </c>
      <c r="AC25" s="56">
        <f t="shared" si="1"/>
        <v>0</v>
      </c>
      <c r="AD25" s="9"/>
    </row>
    <row r="26" spans="1:30" ht="20.25" customHeight="1" thickBot="1" x14ac:dyDescent="0.3">
      <c r="B26" s="62" t="s">
        <v>62</v>
      </c>
      <c r="C26" s="62"/>
      <c r="D26" s="63">
        <f t="shared" ref="D26:E26" si="5">SUM(D10:D25)</f>
        <v>139.91000000000003</v>
      </c>
      <c r="E26" s="63">
        <f t="shared" si="5"/>
        <v>140.56000000000003</v>
      </c>
      <c r="F26" s="63"/>
      <c r="G26" s="63">
        <f>SUM(G10:G25)</f>
        <v>280.47000000000003</v>
      </c>
      <c r="H26" s="64"/>
      <c r="I26" s="64"/>
      <c r="J26" s="65"/>
      <c r="K26" s="66">
        <f>SUM(K10:K25)</f>
        <v>307.63319999999999</v>
      </c>
      <c r="L26" s="67">
        <f>SUM(L10:L25)</f>
        <v>1191963</v>
      </c>
      <c r="N26" s="54"/>
      <c r="O26" s="68"/>
      <c r="P26" s="54"/>
      <c r="Q26" s="54"/>
      <c r="V26" s="625" t="s">
        <v>62</v>
      </c>
      <c r="W26" s="625"/>
      <c r="X26" s="626">
        <f>SUM(X10:X25)</f>
        <v>0</v>
      </c>
      <c r="Y26" s="626"/>
      <c r="Z26" s="627"/>
      <c r="AA26" s="628"/>
      <c r="AB26" s="69">
        <f>SUM(AB10:AB25)</f>
        <v>0</v>
      </c>
      <c r="AC26" s="70">
        <f>SUM(AC10:AC25)</f>
        <v>0</v>
      </c>
      <c r="AD26" s="9"/>
    </row>
    <row r="27" spans="1:30" ht="51.75" customHeight="1" x14ac:dyDescent="0.25">
      <c r="B27" s="62" t="s">
        <v>63</v>
      </c>
      <c r="C27" s="62"/>
      <c r="D27" s="71" t="s">
        <v>13</v>
      </c>
      <c r="E27" s="71" t="s">
        <v>14</v>
      </c>
      <c r="F27" s="27"/>
      <c r="G27" s="72" t="s">
        <v>64</v>
      </c>
      <c r="H27" s="73"/>
      <c r="I27" s="74" t="s">
        <v>65</v>
      </c>
      <c r="J27" s="74" t="s">
        <v>66</v>
      </c>
      <c r="K27" s="75" t="s">
        <v>67</v>
      </c>
      <c r="N27" s="54"/>
      <c r="O27" s="68"/>
      <c r="P27" s="54"/>
      <c r="Q27" s="54"/>
      <c r="V27" s="629" t="s">
        <v>63</v>
      </c>
      <c r="W27" s="629"/>
      <c r="X27" s="630" t="s">
        <v>64</v>
      </c>
      <c r="Y27" s="630"/>
      <c r="Z27" s="76" t="s">
        <v>65</v>
      </c>
      <c r="AA27" s="77" t="s">
        <v>66</v>
      </c>
      <c r="AB27" s="78" t="s">
        <v>67</v>
      </c>
      <c r="AC27" s="9"/>
      <c r="AD27" s="9"/>
    </row>
    <row r="28" spans="1:30" ht="15.75" customHeight="1" x14ac:dyDescent="0.25">
      <c r="A28" s="1" t="s">
        <v>68</v>
      </c>
      <c r="B28" s="631" t="s">
        <v>69</v>
      </c>
      <c r="C28" s="632"/>
      <c r="D28" s="13">
        <v>16.489999999999998</v>
      </c>
      <c r="E28" s="13">
        <v>20.02</v>
      </c>
      <c r="F28" s="79">
        <v>11</v>
      </c>
      <c r="G28" s="46">
        <f t="shared" ref="G28:G36" si="6">D28+E28</f>
        <v>36.51</v>
      </c>
      <c r="H28" s="80"/>
      <c r="I28" s="81" t="s">
        <v>70</v>
      </c>
      <c r="J28" s="82">
        <v>251</v>
      </c>
      <c r="K28" s="83">
        <v>1047</v>
      </c>
      <c r="L28" s="84">
        <f>ROUND(G28*K28,0)</f>
        <v>38226</v>
      </c>
      <c r="N28" s="85">
        <v>5101</v>
      </c>
      <c r="O28" s="54">
        <v>251</v>
      </c>
      <c r="P28" s="86"/>
      <c r="Q28" s="87"/>
      <c r="V28" s="637" t="s">
        <v>69</v>
      </c>
      <c r="W28" s="637"/>
      <c r="X28" s="638"/>
      <c r="Y28" s="638"/>
      <c r="Z28" s="88" t="s">
        <v>70</v>
      </c>
      <c r="AA28" s="89">
        <v>251</v>
      </c>
      <c r="AB28" s="90">
        <f>+K28</f>
        <v>1047</v>
      </c>
      <c r="AC28" s="91">
        <f t="shared" ref="AC28:AC36" si="7">ROUND(X28*AB28,0)</f>
        <v>0</v>
      </c>
      <c r="AD28" s="9"/>
    </row>
    <row r="29" spans="1:30" x14ac:dyDescent="0.25">
      <c r="A29" s="1" t="s">
        <v>71</v>
      </c>
      <c r="B29" s="633"/>
      <c r="C29" s="634"/>
      <c r="D29" s="13">
        <v>3.95</v>
      </c>
      <c r="E29" s="13">
        <v>4.03</v>
      </c>
      <c r="F29" s="92">
        <v>3.5</v>
      </c>
      <c r="G29" s="46">
        <f t="shared" si="6"/>
        <v>7.98</v>
      </c>
      <c r="H29" s="80"/>
      <c r="I29" s="82" t="s">
        <v>70</v>
      </c>
      <c r="J29" s="82">
        <v>252</v>
      </c>
      <c r="K29" s="83">
        <v>3380</v>
      </c>
      <c r="L29" s="84">
        <f t="shared" ref="L29:L36" si="8">ROUND(G29*K29,0)</f>
        <v>26972</v>
      </c>
      <c r="N29" s="85">
        <v>5101</v>
      </c>
      <c r="O29" s="54">
        <v>252</v>
      </c>
      <c r="P29" s="86"/>
      <c r="Q29" s="87"/>
      <c r="V29" s="637"/>
      <c r="W29" s="637"/>
      <c r="X29" s="638"/>
      <c r="Y29" s="638"/>
      <c r="Z29" s="89" t="s">
        <v>70</v>
      </c>
      <c r="AA29" s="89">
        <v>252</v>
      </c>
      <c r="AB29" s="90">
        <f t="shared" ref="AB29:AB36" si="9">+K29</f>
        <v>3380</v>
      </c>
      <c r="AC29" s="91">
        <f t="shared" si="7"/>
        <v>0</v>
      </c>
      <c r="AD29" s="9"/>
    </row>
    <row r="30" spans="1:30" x14ac:dyDescent="0.25">
      <c r="A30" s="1" t="s">
        <v>72</v>
      </c>
      <c r="B30" s="633"/>
      <c r="C30" s="634"/>
      <c r="D30" s="13">
        <v>0</v>
      </c>
      <c r="E30" s="13">
        <v>0.52</v>
      </c>
      <c r="F30" s="92">
        <v>0</v>
      </c>
      <c r="G30" s="46">
        <f t="shared" si="6"/>
        <v>0.52</v>
      </c>
      <c r="H30" s="80"/>
      <c r="I30" s="82" t="s">
        <v>70</v>
      </c>
      <c r="J30" s="82">
        <v>253</v>
      </c>
      <c r="K30" s="83">
        <v>6896</v>
      </c>
      <c r="L30" s="84">
        <f t="shared" si="8"/>
        <v>3586</v>
      </c>
      <c r="N30" s="85">
        <v>5101</v>
      </c>
      <c r="O30" s="54">
        <v>253</v>
      </c>
      <c r="P30" s="86"/>
      <c r="Q30" s="68"/>
      <c r="V30" s="637"/>
      <c r="W30" s="637"/>
      <c r="X30" s="638"/>
      <c r="Y30" s="638"/>
      <c r="Z30" s="89" t="s">
        <v>70</v>
      </c>
      <c r="AA30" s="89">
        <v>253</v>
      </c>
      <c r="AB30" s="90">
        <f t="shared" si="9"/>
        <v>6896</v>
      </c>
      <c r="AC30" s="91">
        <f t="shared" si="7"/>
        <v>0</v>
      </c>
      <c r="AD30" s="9"/>
    </row>
    <row r="31" spans="1:30" x14ac:dyDescent="0.25">
      <c r="A31" s="1" t="s">
        <v>73</v>
      </c>
      <c r="B31" s="633"/>
      <c r="C31" s="634"/>
      <c r="D31" s="13">
        <v>7.51</v>
      </c>
      <c r="E31" s="13">
        <v>8.99</v>
      </c>
      <c r="F31" s="92">
        <v>5</v>
      </c>
      <c r="G31" s="46">
        <f t="shared" si="6"/>
        <v>16.5</v>
      </c>
      <c r="H31" s="80"/>
      <c r="I31" s="93" t="s">
        <v>74</v>
      </c>
      <c r="J31" s="82">
        <v>251</v>
      </c>
      <c r="K31" s="83">
        <v>1173</v>
      </c>
      <c r="L31" s="84">
        <f t="shared" si="8"/>
        <v>19355</v>
      </c>
      <c r="N31" s="85">
        <v>5102</v>
      </c>
      <c r="O31" s="54">
        <v>251</v>
      </c>
      <c r="P31" s="86"/>
      <c r="Q31" s="68"/>
      <c r="V31" s="637"/>
      <c r="W31" s="637"/>
      <c r="X31" s="638"/>
      <c r="Y31" s="638"/>
      <c r="Z31" s="94" t="s">
        <v>74</v>
      </c>
      <c r="AA31" s="89">
        <v>251</v>
      </c>
      <c r="AB31" s="90">
        <f t="shared" si="9"/>
        <v>1173</v>
      </c>
      <c r="AC31" s="91">
        <f t="shared" si="7"/>
        <v>0</v>
      </c>
      <c r="AD31" s="9"/>
    </row>
    <row r="32" spans="1:30" x14ac:dyDescent="0.25">
      <c r="A32" s="1" t="s">
        <v>75</v>
      </c>
      <c r="B32" s="633"/>
      <c r="C32" s="634"/>
      <c r="D32" s="13">
        <v>0.99</v>
      </c>
      <c r="E32" s="13">
        <v>1.51</v>
      </c>
      <c r="F32" s="92">
        <v>1</v>
      </c>
      <c r="G32" s="46">
        <f t="shared" si="6"/>
        <v>2.5</v>
      </c>
      <c r="H32" s="80"/>
      <c r="I32" s="93" t="s">
        <v>74</v>
      </c>
      <c r="J32" s="82">
        <v>252</v>
      </c>
      <c r="K32" s="83">
        <v>3506</v>
      </c>
      <c r="L32" s="84">
        <f t="shared" si="8"/>
        <v>8765</v>
      </c>
      <c r="N32" s="85">
        <v>5102</v>
      </c>
      <c r="O32" s="54">
        <v>252</v>
      </c>
      <c r="P32" s="86"/>
      <c r="Q32" s="54"/>
      <c r="V32" s="637"/>
      <c r="W32" s="637"/>
      <c r="X32" s="638"/>
      <c r="Y32" s="638"/>
      <c r="Z32" s="94" t="s">
        <v>74</v>
      </c>
      <c r="AA32" s="89">
        <v>252</v>
      </c>
      <c r="AB32" s="90">
        <f t="shared" si="9"/>
        <v>3506</v>
      </c>
      <c r="AC32" s="91">
        <f t="shared" si="7"/>
        <v>0</v>
      </c>
      <c r="AD32" s="9"/>
    </row>
    <row r="33" spans="1:30" x14ac:dyDescent="0.25">
      <c r="A33" s="1" t="s">
        <v>76</v>
      </c>
      <c r="B33" s="633"/>
      <c r="C33" s="634"/>
      <c r="D33" s="13">
        <v>0</v>
      </c>
      <c r="E33" s="13">
        <v>0</v>
      </c>
      <c r="F33" s="92">
        <v>0</v>
      </c>
      <c r="G33" s="46">
        <f t="shared" si="6"/>
        <v>0</v>
      </c>
      <c r="H33" s="80"/>
      <c r="I33" s="93" t="s">
        <v>74</v>
      </c>
      <c r="J33" s="82">
        <v>253</v>
      </c>
      <c r="K33" s="83">
        <v>7023</v>
      </c>
      <c r="L33" s="84">
        <f t="shared" si="8"/>
        <v>0</v>
      </c>
      <c r="N33" s="85">
        <v>5102</v>
      </c>
      <c r="O33" s="54">
        <v>253</v>
      </c>
      <c r="P33" s="86"/>
      <c r="Q33" s="87"/>
      <c r="V33" s="637"/>
      <c r="W33" s="637"/>
      <c r="X33" s="638"/>
      <c r="Y33" s="638"/>
      <c r="Z33" s="94" t="s">
        <v>74</v>
      </c>
      <c r="AA33" s="89">
        <v>253</v>
      </c>
      <c r="AB33" s="90">
        <f t="shared" si="9"/>
        <v>7023</v>
      </c>
      <c r="AC33" s="91">
        <f t="shared" si="7"/>
        <v>0</v>
      </c>
      <c r="AD33" s="9"/>
    </row>
    <row r="34" spans="1:30" x14ac:dyDescent="0.25">
      <c r="A34" s="1" t="s">
        <v>77</v>
      </c>
      <c r="B34" s="633"/>
      <c r="C34" s="634"/>
      <c r="D34" s="13">
        <v>0</v>
      </c>
      <c r="E34" s="13">
        <v>0</v>
      </c>
      <c r="F34" s="92">
        <v>0</v>
      </c>
      <c r="G34" s="46">
        <f t="shared" si="6"/>
        <v>0</v>
      </c>
      <c r="H34" s="80"/>
      <c r="I34" s="93" t="s">
        <v>78</v>
      </c>
      <c r="J34" s="82">
        <v>251</v>
      </c>
      <c r="K34" s="83">
        <v>835</v>
      </c>
      <c r="L34" s="84">
        <f t="shared" si="8"/>
        <v>0</v>
      </c>
      <c r="N34" s="85">
        <v>5103</v>
      </c>
      <c r="O34" s="54">
        <v>251</v>
      </c>
      <c r="P34" s="86"/>
      <c r="Q34" s="87"/>
      <c r="V34" s="637"/>
      <c r="W34" s="637"/>
      <c r="X34" s="638"/>
      <c r="Y34" s="638"/>
      <c r="Z34" s="94" t="s">
        <v>78</v>
      </c>
      <c r="AA34" s="89">
        <v>251</v>
      </c>
      <c r="AB34" s="90">
        <f t="shared" si="9"/>
        <v>835</v>
      </c>
      <c r="AC34" s="91">
        <f t="shared" si="7"/>
        <v>0</v>
      </c>
      <c r="AD34" s="9"/>
    </row>
    <row r="35" spans="1:30" x14ac:dyDescent="0.25">
      <c r="A35" s="1" t="s">
        <v>79</v>
      </c>
      <c r="B35" s="633"/>
      <c r="C35" s="634"/>
      <c r="D35" s="13">
        <v>0</v>
      </c>
      <c r="E35" s="13">
        <v>0</v>
      </c>
      <c r="F35" s="92">
        <v>0</v>
      </c>
      <c r="G35" s="46">
        <f t="shared" si="6"/>
        <v>0</v>
      </c>
      <c r="H35" s="80"/>
      <c r="I35" s="93" t="s">
        <v>78</v>
      </c>
      <c r="J35" s="82">
        <v>252</v>
      </c>
      <c r="K35" s="83">
        <v>3168</v>
      </c>
      <c r="L35" s="84">
        <f t="shared" si="8"/>
        <v>0</v>
      </c>
      <c r="N35" s="85">
        <v>5103</v>
      </c>
      <c r="O35" s="54">
        <v>252</v>
      </c>
      <c r="P35" s="86"/>
      <c r="Q35" s="95"/>
      <c r="V35" s="637"/>
      <c r="W35" s="637"/>
      <c r="X35" s="638"/>
      <c r="Y35" s="638"/>
      <c r="Z35" s="94" t="s">
        <v>78</v>
      </c>
      <c r="AA35" s="89">
        <v>252</v>
      </c>
      <c r="AB35" s="90">
        <f t="shared" si="9"/>
        <v>3168</v>
      </c>
      <c r="AC35" s="91">
        <f t="shared" si="7"/>
        <v>0</v>
      </c>
      <c r="AD35" s="9"/>
    </row>
    <row r="36" spans="1:30" ht="16.5" thickBot="1" x14ac:dyDescent="0.3">
      <c r="A36" s="1" t="s">
        <v>80</v>
      </c>
      <c r="B36" s="635"/>
      <c r="C36" s="636"/>
      <c r="D36" s="13">
        <v>0</v>
      </c>
      <c r="E36" s="13">
        <v>0</v>
      </c>
      <c r="F36" s="92">
        <v>0</v>
      </c>
      <c r="G36" s="46">
        <f t="shared" si="6"/>
        <v>0</v>
      </c>
      <c r="H36" s="80"/>
      <c r="I36" s="93" t="s">
        <v>78</v>
      </c>
      <c r="J36" s="82">
        <v>253</v>
      </c>
      <c r="K36" s="83">
        <v>6685</v>
      </c>
      <c r="L36" s="96">
        <f t="shared" si="8"/>
        <v>0</v>
      </c>
      <c r="N36" s="85">
        <v>5103</v>
      </c>
      <c r="O36" s="54">
        <v>253</v>
      </c>
      <c r="P36" s="86"/>
      <c r="Q36" s="97"/>
      <c r="V36" s="637"/>
      <c r="W36" s="637"/>
      <c r="X36" s="645"/>
      <c r="Y36" s="645"/>
      <c r="Z36" s="94" t="s">
        <v>78</v>
      </c>
      <c r="AA36" s="89">
        <v>253</v>
      </c>
      <c r="AB36" s="90">
        <f t="shared" si="9"/>
        <v>6685</v>
      </c>
      <c r="AC36" s="98">
        <f t="shared" si="7"/>
        <v>0</v>
      </c>
      <c r="AD36" s="9"/>
    </row>
    <row r="37" spans="1:30" ht="18.75" customHeight="1" x14ac:dyDescent="0.25">
      <c r="B37" s="13" t="s">
        <v>81</v>
      </c>
      <c r="C37" s="13"/>
      <c r="D37" s="63">
        <f t="shared" ref="D37:E37" si="10">SUM(D28:D36)</f>
        <v>28.939999999999994</v>
      </c>
      <c r="E37" s="63">
        <f t="shared" si="10"/>
        <v>35.07</v>
      </c>
      <c r="F37" s="63"/>
      <c r="G37" s="63">
        <f>SUM(G28:G36)</f>
        <v>64.009999999999991</v>
      </c>
      <c r="H37" s="64"/>
      <c r="I37" s="13" t="s">
        <v>82</v>
      </c>
      <c r="J37" s="13"/>
      <c r="K37" s="13"/>
      <c r="L37" s="50">
        <f>SUM(L28:L36)</f>
        <v>96904</v>
      </c>
      <c r="N37" s="54"/>
      <c r="O37" s="68"/>
      <c r="P37" s="54"/>
      <c r="Q37" s="54"/>
      <c r="V37" s="646" t="s">
        <v>81</v>
      </c>
      <c r="W37" s="646"/>
      <c r="X37" s="626">
        <f>SUM(X28:X36)</f>
        <v>0</v>
      </c>
      <c r="Y37" s="626"/>
      <c r="Z37" s="646" t="s">
        <v>82</v>
      </c>
      <c r="AA37" s="646"/>
      <c r="AB37" s="646"/>
      <c r="AC37" s="56">
        <f>SUM(AC28:AC36)</f>
        <v>0</v>
      </c>
      <c r="AD37" s="9"/>
    </row>
    <row r="38" spans="1:30" ht="30.75" customHeight="1" x14ac:dyDescent="0.25">
      <c r="B38" s="99" t="s">
        <v>83</v>
      </c>
      <c r="C38" s="99"/>
      <c r="D38" s="99"/>
      <c r="E38" s="99"/>
      <c r="F38" s="99"/>
      <c r="G38" s="99"/>
      <c r="H38" s="100"/>
      <c r="I38" s="99"/>
      <c r="J38" s="99"/>
      <c r="K38" s="99"/>
      <c r="L38" s="99"/>
      <c r="M38" s="101"/>
      <c r="N38" s="54"/>
      <c r="O38" s="68"/>
      <c r="P38" s="54"/>
      <c r="Q38" s="54"/>
      <c r="V38" s="639" t="s">
        <v>83</v>
      </c>
      <c r="W38" s="639"/>
      <c r="X38" s="639"/>
      <c r="Y38" s="639"/>
      <c r="Z38" s="639"/>
      <c r="AA38" s="639"/>
      <c r="AB38" s="639"/>
      <c r="AC38" s="639"/>
      <c r="AD38" s="102"/>
    </row>
    <row r="39" spans="1:30" ht="15.75" customHeight="1" x14ac:dyDescent="0.25">
      <c r="B39" s="103" t="s">
        <v>84</v>
      </c>
      <c r="C39" s="103"/>
      <c r="D39" s="103"/>
      <c r="E39" s="103"/>
      <c r="F39" s="103"/>
      <c r="G39" s="104">
        <v>34389540</v>
      </c>
      <c r="H39" s="104"/>
      <c r="I39" s="13" t="s">
        <v>85</v>
      </c>
      <c r="J39" s="13"/>
      <c r="K39" s="13"/>
      <c r="L39" s="13"/>
      <c r="O39" s="1"/>
      <c r="V39" s="640" t="s">
        <v>84</v>
      </c>
      <c r="W39" s="640"/>
      <c r="X39" s="641">
        <f>+G39</f>
        <v>34389540</v>
      </c>
      <c r="Y39" s="641"/>
      <c r="Z39" s="642" t="s">
        <v>85</v>
      </c>
      <c r="AA39" s="642"/>
      <c r="AB39" s="642"/>
      <c r="AC39" s="642"/>
      <c r="AD39" s="9"/>
    </row>
    <row r="40" spans="1:30" ht="15.75" customHeight="1" x14ac:dyDescent="0.25">
      <c r="B40" s="105" t="s">
        <v>86</v>
      </c>
      <c r="C40" s="105"/>
      <c r="D40" s="105"/>
      <c r="E40" s="105"/>
      <c r="F40" s="105"/>
      <c r="G40" s="106">
        <v>180284.81</v>
      </c>
      <c r="H40" s="106"/>
      <c r="I40" s="106"/>
      <c r="J40" s="106"/>
      <c r="K40" s="50">
        <f>ROUND(G39/G40,0)</f>
        <v>191</v>
      </c>
      <c r="L40" s="50">
        <f>ROUND(K40*$G$26,0)</f>
        <v>53570</v>
      </c>
      <c r="N40" s="107"/>
      <c r="O40" s="107"/>
      <c r="P40" s="107"/>
      <c r="Q40" s="107"/>
      <c r="V40" s="643" t="s">
        <v>86</v>
      </c>
      <c r="W40" s="643"/>
      <c r="X40" s="644">
        <f>+G40</f>
        <v>180284.81</v>
      </c>
      <c r="Y40" s="644"/>
      <c r="Z40" s="644"/>
      <c r="AA40" s="644"/>
      <c r="AB40" s="56">
        <f>ROUND(X39/X40,0)</f>
        <v>191</v>
      </c>
      <c r="AC40" s="56">
        <f>ROUND(AB40*$X$26,0)</f>
        <v>0</v>
      </c>
      <c r="AD40" s="9"/>
    </row>
    <row r="41" spans="1:30" ht="15.75" customHeight="1" x14ac:dyDescent="0.25">
      <c r="B41" s="108" t="s">
        <v>87</v>
      </c>
      <c r="C41" s="108"/>
      <c r="D41" s="108"/>
      <c r="E41" s="108"/>
      <c r="F41" s="108"/>
      <c r="G41" s="108"/>
      <c r="H41" s="108"/>
      <c r="I41" s="108"/>
      <c r="J41" s="108"/>
      <c r="K41" s="108"/>
      <c r="L41" s="108"/>
      <c r="N41" s="101"/>
      <c r="O41" s="109"/>
      <c r="P41" s="101"/>
      <c r="Q41" s="101"/>
      <c r="V41" s="652" t="s">
        <v>87</v>
      </c>
      <c r="W41" s="652"/>
      <c r="X41" s="652"/>
      <c r="Y41" s="652"/>
      <c r="Z41" s="652"/>
      <c r="AA41" s="652"/>
      <c r="AB41" s="652"/>
      <c r="AC41" s="652"/>
      <c r="AD41" s="9"/>
    </row>
    <row r="42" spans="1:30" ht="28.5" customHeight="1" x14ac:dyDescent="0.25">
      <c r="B42" s="99" t="s">
        <v>88</v>
      </c>
      <c r="C42" s="99"/>
      <c r="D42" s="99"/>
      <c r="E42" s="99"/>
      <c r="F42" s="99"/>
      <c r="G42" s="99"/>
      <c r="H42" s="99"/>
      <c r="I42" s="99"/>
      <c r="J42" s="99"/>
      <c r="K42" s="99"/>
      <c r="L42" s="99"/>
      <c r="M42" s="107"/>
      <c r="O42" s="1"/>
      <c r="V42" s="639" t="s">
        <v>88</v>
      </c>
      <c r="W42" s="639"/>
      <c r="X42" s="639"/>
      <c r="Y42" s="639"/>
      <c r="Z42" s="639"/>
      <c r="AA42" s="639"/>
      <c r="AB42" s="639"/>
      <c r="AC42" s="639"/>
      <c r="AD42" s="110"/>
    </row>
    <row r="43" spans="1:30" x14ac:dyDescent="0.25">
      <c r="B43" s="111" t="s">
        <v>89</v>
      </c>
      <c r="C43" s="111"/>
      <c r="D43" s="111"/>
      <c r="E43" s="111"/>
      <c r="F43" s="111"/>
      <c r="G43" s="111"/>
      <c r="H43" s="111"/>
      <c r="I43" s="111"/>
      <c r="J43" s="111"/>
      <c r="K43" s="111"/>
      <c r="L43" s="111"/>
      <c r="M43" s="112"/>
      <c r="N43" s="101"/>
      <c r="O43" s="101"/>
      <c r="P43" s="101"/>
      <c r="Q43" s="101"/>
      <c r="V43" s="653" t="s">
        <v>89</v>
      </c>
      <c r="W43" s="653"/>
      <c r="X43" s="653"/>
      <c r="Y43" s="653"/>
      <c r="Z43" s="653"/>
      <c r="AA43" s="653"/>
      <c r="AB43" s="653"/>
      <c r="AC43" s="653"/>
      <c r="AD43" s="113"/>
    </row>
    <row r="44" spans="1:30" ht="24" customHeight="1" x14ac:dyDescent="0.25">
      <c r="B44" s="62" t="s">
        <v>90</v>
      </c>
      <c r="C44" s="62"/>
      <c r="D44" s="62"/>
      <c r="E44" s="62"/>
      <c r="F44" s="62"/>
      <c r="G44" s="62"/>
      <c r="H44" s="62"/>
      <c r="I44" s="62"/>
      <c r="J44" s="62"/>
      <c r="K44" s="62"/>
      <c r="L44" s="114">
        <f>SUM(L26,L37,L40)</f>
        <v>1342437</v>
      </c>
      <c r="O44" s="1"/>
      <c r="V44" s="654" t="s">
        <v>90</v>
      </c>
      <c r="W44" s="654"/>
      <c r="X44" s="654"/>
      <c r="Y44" s="654"/>
      <c r="Z44" s="654"/>
      <c r="AA44" s="654"/>
      <c r="AB44" s="654"/>
      <c r="AC44" s="115">
        <f>SUM(AC26,AC37,AC40)</f>
        <v>0</v>
      </c>
      <c r="AD44" s="9"/>
    </row>
    <row r="45" spans="1:30" ht="30.75" customHeight="1" x14ac:dyDescent="0.25">
      <c r="B45" s="99" t="s">
        <v>91</v>
      </c>
      <c r="C45" s="99"/>
      <c r="D45" s="99"/>
      <c r="E45" s="99"/>
      <c r="F45" s="99"/>
      <c r="G45" s="99"/>
      <c r="H45" s="99"/>
      <c r="I45" s="99"/>
      <c r="J45" s="99"/>
      <c r="K45" s="99"/>
      <c r="L45" s="99"/>
      <c r="M45" s="116"/>
      <c r="O45" s="1"/>
      <c r="V45" s="639" t="s">
        <v>91</v>
      </c>
      <c r="W45" s="639"/>
      <c r="X45" s="639"/>
      <c r="Y45" s="639"/>
      <c r="Z45" s="639"/>
      <c r="AA45" s="639"/>
      <c r="AB45" s="639"/>
      <c r="AC45" s="639"/>
      <c r="AD45" s="117"/>
    </row>
    <row r="46" spans="1:30" ht="18.75" customHeight="1" x14ac:dyDescent="0.25">
      <c r="B46" s="1"/>
      <c r="C46" s="118" t="s">
        <v>92</v>
      </c>
      <c r="D46" s="118"/>
      <c r="E46" s="118"/>
      <c r="F46" s="118"/>
      <c r="G46" s="118" t="s">
        <v>93</v>
      </c>
      <c r="H46" s="119"/>
      <c r="I46" s="120" t="s">
        <v>94</v>
      </c>
      <c r="J46" s="121"/>
      <c r="K46" s="121"/>
      <c r="L46" s="121"/>
      <c r="M46" s="122"/>
      <c r="O46" s="1"/>
      <c r="V46" s="9"/>
      <c r="W46" s="123" t="s">
        <v>92</v>
      </c>
      <c r="X46" s="655" t="s">
        <v>95</v>
      </c>
      <c r="Y46" s="655"/>
      <c r="Z46" s="656" t="s">
        <v>94</v>
      </c>
      <c r="AA46" s="656"/>
      <c r="AB46" s="656"/>
      <c r="AC46" s="656"/>
      <c r="AD46" s="124"/>
    </row>
    <row r="47" spans="1:30" ht="18.75" customHeight="1" x14ac:dyDescent="0.25">
      <c r="B47" s="107" t="s">
        <v>96</v>
      </c>
      <c r="C47" s="125">
        <f>K10+K11+K16+K19+K22</f>
        <v>244.03319999999999</v>
      </c>
      <c r="D47" s="125"/>
      <c r="E47" s="125"/>
      <c r="F47" s="125"/>
      <c r="G47" s="126">
        <f>K7</f>
        <v>1.0326</v>
      </c>
      <c r="H47" s="126"/>
      <c r="I47" s="127">
        <v>1316.85</v>
      </c>
      <c r="J47" s="128" t="s">
        <v>97</v>
      </c>
      <c r="K47" s="129">
        <f>ROUND(C47*G47*I47,0)</f>
        <v>331831</v>
      </c>
      <c r="L47" s="130"/>
      <c r="O47" s="1"/>
      <c r="V47" s="110" t="s">
        <v>96</v>
      </c>
      <c r="W47" s="131">
        <f>AB10+AB11+AB16+AB19+AB22</f>
        <v>0</v>
      </c>
      <c r="X47" s="647">
        <f>AB7</f>
        <v>1.0326</v>
      </c>
      <c r="Y47" s="647"/>
      <c r="Z47" s="132">
        <f>+I47</f>
        <v>1316.85</v>
      </c>
      <c r="AA47" s="133" t="s">
        <v>97</v>
      </c>
      <c r="AB47" s="134">
        <f>ROUND(W47*X47*Z47,0)</f>
        <v>0</v>
      </c>
      <c r="AC47" s="135"/>
      <c r="AD47" s="9"/>
    </row>
    <row r="48" spans="1:30" ht="18" customHeight="1" x14ac:dyDescent="0.25">
      <c r="B48" s="136" t="s">
        <v>74</v>
      </c>
      <c r="C48" s="125">
        <f>K12+K13+K17+K20+K23</f>
        <v>63.6</v>
      </c>
      <c r="D48" s="125"/>
      <c r="E48" s="125"/>
      <c r="F48" s="125"/>
      <c r="G48" s="126">
        <f>K7</f>
        <v>1.0326</v>
      </c>
      <c r="H48" s="126"/>
      <c r="I48" s="127">
        <v>898.23</v>
      </c>
      <c r="J48" s="128" t="s">
        <v>97</v>
      </c>
      <c r="K48" s="129">
        <f>ROUND(C48*G48*I48,0)</f>
        <v>58990</v>
      </c>
      <c r="L48" s="62"/>
      <c r="O48" s="1"/>
      <c r="V48" s="137" t="s">
        <v>74</v>
      </c>
      <c r="W48" s="131">
        <f>AB12+AB13+AB17+AB20+AB23</f>
        <v>0</v>
      </c>
      <c r="X48" s="647">
        <f>AB7</f>
        <v>1.0326</v>
      </c>
      <c r="Y48" s="647"/>
      <c r="Z48" s="132">
        <f>+I48</f>
        <v>898.23</v>
      </c>
      <c r="AA48" s="133" t="s">
        <v>97</v>
      </c>
      <c r="AB48" s="134">
        <f>ROUND(W48*X48*Z48,0)</f>
        <v>0</v>
      </c>
      <c r="AC48" s="138"/>
      <c r="AD48" s="9"/>
    </row>
    <row r="49" spans="2:30" ht="19.5" customHeight="1" thickBot="1" x14ac:dyDescent="0.3">
      <c r="B49" s="139" t="s">
        <v>78</v>
      </c>
      <c r="C49" s="140">
        <f>K14+K15+K18+K21+K24+K25</f>
        <v>0</v>
      </c>
      <c r="D49" s="125"/>
      <c r="E49" s="125"/>
      <c r="F49" s="125"/>
      <c r="G49" s="126">
        <f>K7</f>
        <v>1.0326</v>
      </c>
      <c r="H49" s="126"/>
      <c r="I49" s="127">
        <v>900.39</v>
      </c>
      <c r="J49" s="128" t="s">
        <v>97</v>
      </c>
      <c r="K49" s="129">
        <f>ROUND(C49*G49*I49,0)</f>
        <v>0</v>
      </c>
      <c r="L49" s="62"/>
      <c r="M49" s="112"/>
      <c r="N49" s="141"/>
      <c r="O49" s="142"/>
      <c r="P49" s="101"/>
      <c r="Q49" s="143"/>
      <c r="V49" s="144" t="s">
        <v>78</v>
      </c>
      <c r="W49" s="145">
        <f>AB14+AB15+AB18+AB21+AB24+AB25</f>
        <v>0</v>
      </c>
      <c r="X49" s="647">
        <f>AB7</f>
        <v>1.0326</v>
      </c>
      <c r="Y49" s="647"/>
      <c r="Z49" s="132">
        <f>+I49</f>
        <v>900.39</v>
      </c>
      <c r="AA49" s="133" t="s">
        <v>97</v>
      </c>
      <c r="AB49" s="134">
        <f>ROUND(W49*X49*Z49,0)</f>
        <v>0</v>
      </c>
      <c r="AC49" s="138"/>
      <c r="AD49" s="113"/>
    </row>
    <row r="50" spans="2:30" ht="24" customHeight="1" thickBot="1" x14ac:dyDescent="0.3">
      <c r="B50" s="146" t="s">
        <v>98</v>
      </c>
      <c r="C50" s="147">
        <f>SUM(C47:C49)</f>
        <v>307.63319999999999</v>
      </c>
      <c r="D50" s="148"/>
      <c r="E50" s="149"/>
      <c r="F50" s="149"/>
      <c r="G50" s="150" t="s">
        <v>99</v>
      </c>
      <c r="H50" s="150"/>
      <c r="I50" s="150"/>
      <c r="J50" s="150"/>
      <c r="K50" s="150"/>
      <c r="L50" s="50">
        <f>IF(B2=75,0,K49+K48+K47)</f>
        <v>390821</v>
      </c>
      <c r="N50" s="3"/>
      <c r="O50" s="1"/>
      <c r="V50" s="151" t="s">
        <v>98</v>
      </c>
      <c r="W50" s="152">
        <f>SUM(W47:W49)</f>
        <v>0</v>
      </c>
      <c r="X50" s="648" t="s">
        <v>99</v>
      </c>
      <c r="Y50" s="649"/>
      <c r="Z50" s="649"/>
      <c r="AA50" s="649"/>
      <c r="AB50" s="649"/>
      <c r="AC50" s="56">
        <f>IF(V2=75,0,AB49+AB48+AB47)</f>
        <v>0</v>
      </c>
      <c r="AD50" s="9"/>
    </row>
    <row r="51" spans="2:30" ht="19.5" customHeight="1" x14ac:dyDescent="0.25">
      <c r="B51" s="153" t="s">
        <v>100</v>
      </c>
      <c r="C51" s="153"/>
      <c r="D51" s="153"/>
      <c r="E51" s="153"/>
      <c r="F51" s="153"/>
      <c r="G51" s="153"/>
      <c r="H51" s="153"/>
      <c r="I51" s="153"/>
      <c r="J51" s="153"/>
      <c r="K51" s="153"/>
      <c r="L51" s="153"/>
      <c r="M51" s="141"/>
      <c r="N51" s="101"/>
      <c r="O51" s="1"/>
      <c r="V51" s="650" t="s">
        <v>100</v>
      </c>
      <c r="W51" s="650"/>
      <c r="X51" s="650"/>
      <c r="Y51" s="650"/>
      <c r="Z51" s="650"/>
      <c r="AA51" s="650"/>
      <c r="AB51" s="650"/>
      <c r="AC51" s="650"/>
      <c r="AD51" s="154"/>
    </row>
    <row r="52" spans="2:30" ht="27.75" customHeight="1" x14ac:dyDescent="0.25">
      <c r="B52" s="13" t="s">
        <v>101</v>
      </c>
      <c r="C52" s="13"/>
      <c r="D52" s="13"/>
      <c r="E52" s="13"/>
      <c r="F52" s="13"/>
      <c r="G52" s="13"/>
      <c r="H52" s="13"/>
      <c r="I52" s="13"/>
      <c r="J52" s="13"/>
      <c r="K52" s="13"/>
      <c r="L52" s="13"/>
      <c r="O52" s="1"/>
      <c r="V52" s="651" t="s">
        <v>101</v>
      </c>
      <c r="W52" s="651"/>
      <c r="X52" s="651"/>
      <c r="Y52" s="651"/>
      <c r="Z52" s="651"/>
      <c r="AA52" s="651"/>
      <c r="AB52" s="651"/>
      <c r="AC52" s="651"/>
      <c r="AD52" s="9"/>
    </row>
    <row r="53" spans="2:30" x14ac:dyDescent="0.25">
      <c r="B53" s="13" t="s">
        <v>102</v>
      </c>
      <c r="C53" s="13"/>
      <c r="D53" s="13"/>
      <c r="E53" s="13"/>
      <c r="F53" s="13"/>
      <c r="G53" s="155">
        <f>K26</f>
        <v>307.63319999999999</v>
      </c>
      <c r="H53" s="57" t="s">
        <v>103</v>
      </c>
      <c r="I53" s="57"/>
      <c r="J53" s="156">
        <v>197823.77</v>
      </c>
      <c r="K53" s="156"/>
      <c r="L53" s="156"/>
      <c r="N53" s="3"/>
      <c r="O53" s="1"/>
      <c r="V53" s="657" t="s">
        <v>102</v>
      </c>
      <c r="W53" s="657"/>
      <c r="X53" s="157">
        <f>AB26</f>
        <v>0</v>
      </c>
      <c r="Y53" s="658" t="s">
        <v>103</v>
      </c>
      <c r="Z53" s="658"/>
      <c r="AA53" s="659">
        <f>+J53</f>
        <v>197823.77</v>
      </c>
      <c r="AB53" s="659"/>
      <c r="AC53" s="659"/>
      <c r="AD53" s="9"/>
    </row>
    <row r="54" spans="2:30" x14ac:dyDescent="0.25">
      <c r="B54" s="13" t="s">
        <v>104</v>
      </c>
      <c r="C54" s="13"/>
      <c r="D54" s="13"/>
      <c r="E54" s="13"/>
      <c r="F54" s="13"/>
      <c r="G54" s="13"/>
      <c r="H54" s="13"/>
      <c r="I54" s="13"/>
      <c r="J54" s="13"/>
      <c r="K54" s="158">
        <f>ROUND(G53/J53,6)</f>
        <v>1.555E-3</v>
      </c>
      <c r="L54" s="158"/>
      <c r="N54" s="101"/>
      <c r="O54" s="1"/>
      <c r="V54" s="657" t="s">
        <v>104</v>
      </c>
      <c r="W54" s="657"/>
      <c r="X54" s="657"/>
      <c r="Y54" s="657"/>
      <c r="Z54" s="657"/>
      <c r="AA54" s="657"/>
      <c r="AB54" s="660">
        <f>ROUND(X53/AA53,6)</f>
        <v>0</v>
      </c>
      <c r="AC54" s="660"/>
      <c r="AD54" s="9"/>
    </row>
    <row r="55" spans="2:30" ht="24" customHeight="1" x14ac:dyDescent="0.25">
      <c r="B55" s="13" t="s">
        <v>105</v>
      </c>
      <c r="C55" s="13"/>
      <c r="D55" s="13"/>
      <c r="E55" s="13"/>
      <c r="F55" s="13"/>
      <c r="G55" s="13"/>
      <c r="H55" s="13"/>
      <c r="I55" s="13"/>
      <c r="J55" s="13"/>
      <c r="K55" s="13"/>
      <c r="L55" s="13"/>
      <c r="O55" s="1"/>
      <c r="V55" s="651" t="s">
        <v>105</v>
      </c>
      <c r="W55" s="651"/>
      <c r="X55" s="651"/>
      <c r="Y55" s="651"/>
      <c r="Z55" s="651"/>
      <c r="AA55" s="651"/>
      <c r="AB55" s="651"/>
      <c r="AC55" s="651"/>
      <c r="AD55" s="9"/>
    </row>
    <row r="56" spans="2:30" x14ac:dyDescent="0.25">
      <c r="B56" s="13" t="s">
        <v>106</v>
      </c>
      <c r="C56" s="13"/>
      <c r="D56" s="13"/>
      <c r="E56" s="13"/>
      <c r="F56" s="13"/>
      <c r="G56" s="159">
        <f>G26</f>
        <v>280.47000000000003</v>
      </c>
      <c r="H56" s="57" t="s">
        <v>107</v>
      </c>
      <c r="I56" s="57"/>
      <c r="J56" s="156">
        <f>+G40</f>
        <v>180284.81</v>
      </c>
      <c r="K56" s="156"/>
      <c r="L56" s="156"/>
      <c r="O56" s="1"/>
      <c r="V56" s="657" t="s">
        <v>106</v>
      </c>
      <c r="W56" s="657"/>
      <c r="X56" s="160">
        <f>X26</f>
        <v>0</v>
      </c>
      <c r="Y56" s="658" t="s">
        <v>107</v>
      </c>
      <c r="Z56" s="658"/>
      <c r="AA56" s="659">
        <f>+J56</f>
        <v>180284.81</v>
      </c>
      <c r="AB56" s="659"/>
      <c r="AC56" s="659"/>
      <c r="AD56" s="9"/>
    </row>
    <row r="57" spans="2:30" x14ac:dyDescent="0.25">
      <c r="B57" s="13" t="s">
        <v>108</v>
      </c>
      <c r="C57" s="13"/>
      <c r="D57" s="13"/>
      <c r="E57" s="13"/>
      <c r="F57" s="13"/>
      <c r="G57" s="13"/>
      <c r="H57" s="13"/>
      <c r="I57" s="13"/>
      <c r="J57" s="13"/>
      <c r="K57" s="158">
        <f>ROUND(G56/J56,6)</f>
        <v>1.5560000000000001E-3</v>
      </c>
      <c r="L57" s="158"/>
      <c r="O57" s="1"/>
      <c r="V57" s="657" t="s">
        <v>108</v>
      </c>
      <c r="W57" s="657"/>
      <c r="X57" s="657"/>
      <c r="Y57" s="657"/>
      <c r="Z57" s="657"/>
      <c r="AA57" s="657"/>
      <c r="AB57" s="660">
        <f>ROUND(X56/AA56,6)</f>
        <v>0</v>
      </c>
      <c r="AC57" s="660"/>
      <c r="AD57" s="9"/>
    </row>
    <row r="58" spans="2:30" ht="20.25" customHeight="1" x14ac:dyDescent="0.25">
      <c r="B58" s="161" t="s">
        <v>109</v>
      </c>
      <c r="C58" s="161"/>
      <c r="D58" s="161"/>
      <c r="E58" s="161"/>
      <c r="F58" s="161"/>
      <c r="G58" s="161"/>
      <c r="H58" s="161"/>
      <c r="I58" s="161"/>
      <c r="J58" s="161"/>
      <c r="K58" s="161"/>
      <c r="L58" s="161"/>
      <c r="N58" s="18"/>
      <c r="O58" s="18"/>
      <c r="V58" s="629" t="s">
        <v>110</v>
      </c>
      <c r="W58" s="629"/>
      <c r="X58" s="629"/>
      <c r="Y58" s="661">
        <f>X65+X64+X62+X61+X60</f>
        <v>4123852</v>
      </c>
      <c r="Z58" s="661"/>
      <c r="AA58" s="162" t="s">
        <v>111</v>
      </c>
      <c r="AB58" s="163">
        <f>AB54</f>
        <v>0</v>
      </c>
      <c r="AC58" s="56">
        <f>ROUND(Y58*AB58,0)</f>
        <v>0</v>
      </c>
      <c r="AD58" s="9"/>
    </row>
    <row r="59" spans="2:30" x14ac:dyDescent="0.25">
      <c r="B59" s="62" t="s">
        <v>110</v>
      </c>
      <c r="C59" s="62"/>
      <c r="D59" s="62"/>
      <c r="E59" s="62"/>
      <c r="F59" s="62"/>
      <c r="G59" s="62"/>
      <c r="H59" s="164" t="s">
        <v>22</v>
      </c>
      <c r="I59" s="129">
        <v>4123852</v>
      </c>
      <c r="J59" s="165" t="s">
        <v>111</v>
      </c>
      <c r="K59" s="166">
        <f>K54</f>
        <v>1.555E-3</v>
      </c>
      <c r="L59" s="50">
        <f>ROUND(I59*K59,0)</f>
        <v>6413</v>
      </c>
      <c r="O59" s="1"/>
      <c r="P59" s="165"/>
      <c r="Q59" s="165"/>
      <c r="V59" s="662" t="s">
        <v>112</v>
      </c>
      <c r="W59" s="662"/>
      <c r="X59" s="662"/>
      <c r="Y59" s="662"/>
      <c r="Z59" s="662"/>
      <c r="AA59" s="662"/>
      <c r="AB59" s="662"/>
      <c r="AC59" s="662"/>
      <c r="AD59" s="9"/>
    </row>
    <row r="60" spans="2:30" x14ac:dyDescent="0.25">
      <c r="B60" s="62" t="s">
        <v>112</v>
      </c>
      <c r="C60" s="62"/>
      <c r="D60" s="62"/>
      <c r="E60" s="62"/>
      <c r="F60" s="62"/>
      <c r="G60" s="62"/>
      <c r="H60" s="62"/>
      <c r="I60" s="62"/>
      <c r="J60" s="62"/>
      <c r="K60" s="62"/>
      <c r="L60" s="62"/>
      <c r="O60" s="1"/>
      <c r="P60" s="165"/>
      <c r="Q60" s="165"/>
      <c r="V60" s="663" t="s">
        <v>113</v>
      </c>
      <c r="W60" s="663"/>
      <c r="X60" s="664">
        <f>+G61</f>
        <v>0</v>
      </c>
      <c r="Y60" s="664"/>
      <c r="Z60" s="664"/>
      <c r="AA60" s="664"/>
      <c r="AB60" s="664"/>
      <c r="AC60" s="664"/>
      <c r="AD60" s="9"/>
    </row>
    <row r="61" spans="2:30" ht="15" customHeight="1" x14ac:dyDescent="0.25">
      <c r="B61" s="167" t="s">
        <v>113</v>
      </c>
      <c r="C61" s="62"/>
      <c r="D61" s="62"/>
      <c r="E61" s="62"/>
      <c r="F61" s="62"/>
      <c r="G61" s="168">
        <v>0</v>
      </c>
      <c r="H61" s="168"/>
      <c r="I61" s="168"/>
      <c r="J61" s="168"/>
      <c r="K61" s="168"/>
      <c r="L61" s="168"/>
      <c r="O61" s="1"/>
      <c r="P61" s="165"/>
      <c r="Q61" s="165"/>
      <c r="V61" s="663" t="s">
        <v>114</v>
      </c>
      <c r="W61" s="663"/>
      <c r="X61" s="664">
        <f>+G62</f>
        <v>0</v>
      </c>
      <c r="Y61" s="664"/>
      <c r="Z61" s="664"/>
      <c r="AA61" s="664"/>
      <c r="AB61" s="664"/>
      <c r="AC61" s="664"/>
      <c r="AD61" s="9"/>
    </row>
    <row r="62" spans="2:30" ht="13.5" customHeight="1" x14ac:dyDescent="0.25">
      <c r="B62" s="167" t="s">
        <v>114</v>
      </c>
      <c r="C62" s="62"/>
      <c r="D62" s="62"/>
      <c r="E62" s="62"/>
      <c r="F62" s="62"/>
      <c r="G62" s="168">
        <v>0</v>
      </c>
      <c r="H62" s="168"/>
      <c r="I62" s="168"/>
      <c r="J62" s="168"/>
      <c r="K62" s="168"/>
      <c r="L62" s="168"/>
      <c r="N62" s="165"/>
      <c r="O62" s="165"/>
      <c r="P62" s="165"/>
      <c r="Q62" s="165"/>
      <c r="V62" s="663" t="s">
        <v>115</v>
      </c>
      <c r="W62" s="663"/>
      <c r="X62" s="664">
        <v>0</v>
      </c>
      <c r="Y62" s="664"/>
      <c r="Z62" s="664"/>
      <c r="AA62" s="664"/>
      <c r="AB62" s="664"/>
      <c r="AC62" s="664"/>
      <c r="AD62" s="9"/>
    </row>
    <row r="63" spans="2:30" ht="13.5" hidden="1" customHeight="1" x14ac:dyDescent="0.25">
      <c r="B63" s="62" t="s">
        <v>115</v>
      </c>
      <c r="C63" s="62"/>
      <c r="D63" s="62"/>
      <c r="E63" s="62"/>
      <c r="F63" s="62"/>
      <c r="G63" s="168">
        <v>0</v>
      </c>
      <c r="H63" s="168"/>
      <c r="I63" s="168"/>
      <c r="J63" s="168"/>
      <c r="K63" s="168"/>
      <c r="L63" s="168"/>
      <c r="O63" s="1"/>
      <c r="P63" s="165"/>
      <c r="Q63" s="165"/>
      <c r="V63" s="662" t="s">
        <v>116</v>
      </c>
      <c r="W63" s="662"/>
      <c r="X63" s="662"/>
      <c r="Y63" s="662"/>
      <c r="Z63" s="662"/>
      <c r="AA63" s="662"/>
      <c r="AB63" s="662"/>
      <c r="AC63" s="662"/>
      <c r="AD63" s="117"/>
    </row>
    <row r="64" spans="2:30" ht="13.5" customHeight="1" x14ac:dyDescent="0.25">
      <c r="B64" s="62" t="s">
        <v>116</v>
      </c>
      <c r="C64" s="62"/>
      <c r="D64" s="62"/>
      <c r="E64" s="62"/>
      <c r="F64" s="62"/>
      <c r="G64" s="62"/>
      <c r="H64" s="62"/>
      <c r="I64" s="62"/>
      <c r="J64" s="62"/>
      <c r="K64" s="62"/>
      <c r="L64" s="62"/>
      <c r="M64" s="116"/>
      <c r="N64" s="18"/>
      <c r="O64" s="1"/>
      <c r="V64" s="663" t="s">
        <v>117</v>
      </c>
      <c r="W64" s="663"/>
      <c r="X64" s="664">
        <f>+G65</f>
        <v>4123852</v>
      </c>
      <c r="Y64" s="664"/>
      <c r="Z64" s="664"/>
      <c r="AA64" s="664"/>
      <c r="AB64" s="664"/>
      <c r="AC64" s="664"/>
      <c r="AD64" s="9"/>
    </row>
    <row r="65" spans="1:30" ht="12.75" customHeight="1" x14ac:dyDescent="0.25">
      <c r="B65" s="167" t="s">
        <v>117</v>
      </c>
      <c r="C65" s="62"/>
      <c r="D65" s="62"/>
      <c r="E65" s="62"/>
      <c r="F65" s="62"/>
      <c r="G65" s="168">
        <f>+I59</f>
        <v>4123852</v>
      </c>
      <c r="H65" s="168"/>
      <c r="I65" s="168"/>
      <c r="J65" s="168"/>
      <c r="K65" s="168"/>
      <c r="L65" s="168"/>
      <c r="O65" s="1"/>
      <c r="V65" s="663" t="s">
        <v>118</v>
      </c>
      <c r="W65" s="663"/>
      <c r="X65" s="664">
        <f>+G66</f>
        <v>0</v>
      </c>
      <c r="Y65" s="664"/>
      <c r="Z65" s="664"/>
      <c r="AA65" s="664"/>
      <c r="AB65" s="664"/>
      <c r="AC65" s="664"/>
      <c r="AD65" s="20"/>
    </row>
    <row r="66" spans="1:30" ht="15" customHeight="1" x14ac:dyDescent="0.25">
      <c r="B66" s="167" t="s">
        <v>118</v>
      </c>
      <c r="C66" s="62"/>
      <c r="D66" s="62"/>
      <c r="E66" s="62"/>
      <c r="F66" s="62"/>
      <c r="G66" s="168">
        <v>0</v>
      </c>
      <c r="H66" s="168"/>
      <c r="I66" s="168"/>
      <c r="J66" s="168"/>
      <c r="K66" s="168"/>
      <c r="L66" s="168"/>
      <c r="M66" s="18"/>
      <c r="N66" s="3"/>
      <c r="O66" s="169"/>
      <c r="P66" s="169"/>
      <c r="Q66" s="169"/>
      <c r="V66" s="651" t="s">
        <v>119</v>
      </c>
      <c r="W66" s="651"/>
      <c r="X66" s="651"/>
      <c r="Y66" s="661">
        <f>+I67</f>
        <v>96774526</v>
      </c>
      <c r="Z66" s="661"/>
      <c r="AA66" s="162" t="s">
        <v>111</v>
      </c>
      <c r="AB66" s="163">
        <f>AB54</f>
        <v>0</v>
      </c>
      <c r="AC66" s="56">
        <f>ROUND(Y66*AB66,0)</f>
        <v>0</v>
      </c>
      <c r="AD66" s="9"/>
    </row>
    <row r="67" spans="1:30" ht="20.25" customHeight="1" x14ac:dyDescent="0.25">
      <c r="B67" s="13" t="s">
        <v>119</v>
      </c>
      <c r="C67" s="13"/>
      <c r="D67" s="13"/>
      <c r="E67" s="13"/>
      <c r="F67" s="13"/>
      <c r="H67" s="164" t="s">
        <v>25</v>
      </c>
      <c r="I67" s="129">
        <v>96774526</v>
      </c>
      <c r="J67" s="165" t="s">
        <v>111</v>
      </c>
      <c r="K67" s="166">
        <f>K54</f>
        <v>1.555E-3</v>
      </c>
      <c r="L67" s="50">
        <f>ROUND(I67*K67,0)</f>
        <v>150484</v>
      </c>
      <c r="O67" s="1"/>
      <c r="V67" s="651" t="s">
        <v>120</v>
      </c>
      <c r="W67" s="651"/>
      <c r="X67" s="651"/>
      <c r="Y67" s="651"/>
      <c r="Z67" s="651"/>
      <c r="AA67" s="651"/>
      <c r="AB67" s="651"/>
      <c r="AC67" s="651"/>
      <c r="AD67" s="9"/>
    </row>
    <row r="68" spans="1:30" ht="20.25" customHeight="1" x14ac:dyDescent="0.25">
      <c r="B68" s="13" t="s">
        <v>120</v>
      </c>
      <c r="C68" s="13"/>
      <c r="D68" s="13"/>
      <c r="E68" s="13"/>
      <c r="F68" s="13"/>
      <c r="H68" s="13"/>
      <c r="I68" s="13"/>
      <c r="J68" s="82"/>
      <c r="K68" s="13"/>
      <c r="L68" s="13"/>
      <c r="O68" s="1"/>
      <c r="V68" s="667" t="s">
        <v>121</v>
      </c>
      <c r="W68" s="667"/>
      <c r="X68" s="667"/>
      <c r="Y68" s="661">
        <f>+I69</f>
        <v>0</v>
      </c>
      <c r="Z68" s="661"/>
      <c r="AA68" s="162" t="s">
        <v>111</v>
      </c>
      <c r="AB68" s="163">
        <f>AB57</f>
        <v>0</v>
      </c>
      <c r="AC68" s="56">
        <f>ROUND(Y68*AB68,0)</f>
        <v>0</v>
      </c>
      <c r="AD68" s="9"/>
    </row>
    <row r="69" spans="1:30" ht="15" customHeight="1" x14ac:dyDescent="0.25">
      <c r="B69" s="170" t="s">
        <v>121</v>
      </c>
      <c r="C69" s="13"/>
      <c r="D69" s="13"/>
      <c r="E69" s="13"/>
      <c r="F69" s="13"/>
      <c r="H69" s="164" t="s">
        <v>23</v>
      </c>
      <c r="I69" s="129">
        <v>0</v>
      </c>
      <c r="J69" s="165" t="s">
        <v>111</v>
      </c>
      <c r="K69" s="166">
        <f>K57</f>
        <v>1.5560000000000001E-3</v>
      </c>
      <c r="L69" s="50">
        <f>ROUND(I69*K69,0)</f>
        <v>0</v>
      </c>
      <c r="O69" s="1"/>
      <c r="V69" s="651" t="s">
        <v>122</v>
      </c>
      <c r="W69" s="651"/>
      <c r="X69" s="651"/>
      <c r="Y69" s="668">
        <f>+I70</f>
        <v>-3460775</v>
      </c>
      <c r="Z69" s="668"/>
      <c r="AA69" s="162" t="s">
        <v>111</v>
      </c>
      <c r="AB69" s="163">
        <f>AB54</f>
        <v>0</v>
      </c>
      <c r="AC69" s="56">
        <f>ROUND(Y69*AB69,0)</f>
        <v>0</v>
      </c>
      <c r="AD69" s="9"/>
    </row>
    <row r="70" spans="1:30" ht="20.25" customHeight="1" x14ac:dyDescent="0.25">
      <c r="B70" s="13" t="s">
        <v>122</v>
      </c>
      <c r="C70" s="13"/>
      <c r="D70" s="13"/>
      <c r="E70" s="13"/>
      <c r="F70" s="13"/>
      <c r="H70" s="164" t="s">
        <v>22</v>
      </c>
      <c r="I70" s="129">
        <v>-3460775</v>
      </c>
      <c r="J70" s="165" t="s">
        <v>111</v>
      </c>
      <c r="K70" s="166">
        <f>K54</f>
        <v>1.555E-3</v>
      </c>
      <c r="L70" s="50">
        <f>ROUND(I70*K70,0)</f>
        <v>-5382</v>
      </c>
      <c r="O70" s="1"/>
      <c r="V70" s="651" t="s">
        <v>123</v>
      </c>
      <c r="W70" s="651"/>
      <c r="X70" s="651"/>
      <c r="Y70" s="665">
        <f>+I71</f>
        <v>1874788</v>
      </c>
      <c r="Z70" s="665"/>
      <c r="AA70" s="162" t="s">
        <v>111</v>
      </c>
      <c r="AB70" s="163">
        <f>AB54</f>
        <v>0</v>
      </c>
      <c r="AC70" s="56">
        <f>ROUND(Y70*AB70,0)</f>
        <v>0</v>
      </c>
      <c r="AD70" s="9"/>
    </row>
    <row r="71" spans="1:30" ht="20.25" customHeight="1" x14ac:dyDescent="0.25">
      <c r="B71" s="13" t="s">
        <v>123</v>
      </c>
      <c r="C71" s="13"/>
      <c r="D71" s="13"/>
      <c r="E71" s="13"/>
      <c r="F71" s="13"/>
      <c r="H71" s="164" t="s">
        <v>22</v>
      </c>
      <c r="I71" s="129">
        <v>1874788</v>
      </c>
      <c r="J71" s="165" t="s">
        <v>111</v>
      </c>
      <c r="K71" s="166">
        <f>K54</f>
        <v>1.555E-3</v>
      </c>
      <c r="L71" s="50">
        <f>ROUND(I71*K71,0)</f>
        <v>2915</v>
      </c>
      <c r="O71" s="1"/>
      <c r="V71" s="651" t="s">
        <v>124</v>
      </c>
      <c r="W71" s="651"/>
      <c r="X71" s="651"/>
      <c r="Y71" s="665">
        <f>+I72</f>
        <v>14223298</v>
      </c>
      <c r="Z71" s="665"/>
      <c r="AA71" s="162" t="s">
        <v>111</v>
      </c>
      <c r="AB71" s="163">
        <f>AB57</f>
        <v>0</v>
      </c>
      <c r="AC71" s="56">
        <f>ROUND(Y71*AB71,0)</f>
        <v>0</v>
      </c>
      <c r="AD71" s="9"/>
    </row>
    <row r="72" spans="1:30" ht="21" customHeight="1" x14ac:dyDescent="0.25">
      <c r="B72" s="13" t="s">
        <v>124</v>
      </c>
      <c r="C72" s="13"/>
      <c r="D72" s="13"/>
      <c r="E72" s="13"/>
      <c r="F72" s="13"/>
      <c r="H72" s="164" t="s">
        <v>23</v>
      </c>
      <c r="I72" s="171">
        <v>14223298</v>
      </c>
      <c r="J72" s="165" t="s">
        <v>111</v>
      </c>
      <c r="K72" s="166">
        <f>K57</f>
        <v>1.5560000000000001E-3</v>
      </c>
      <c r="L72" s="50">
        <f>ROUND(I72*K72,0)</f>
        <v>22131</v>
      </c>
      <c r="O72" s="1"/>
      <c r="V72" s="623" t="s">
        <v>125</v>
      </c>
      <c r="W72" s="623"/>
      <c r="X72" s="623"/>
      <c r="Y72" s="623"/>
      <c r="Z72" s="623"/>
      <c r="AA72" s="623"/>
      <c r="AB72" s="623"/>
      <c r="AC72" s="60"/>
      <c r="AD72" s="9"/>
    </row>
    <row r="73" spans="1:30" ht="17.25" customHeight="1" x14ac:dyDescent="0.25">
      <c r="B73" s="13" t="s">
        <v>125</v>
      </c>
      <c r="C73" s="13"/>
      <c r="D73" s="13"/>
      <c r="E73" s="13"/>
      <c r="F73" s="13"/>
      <c r="H73" s="13"/>
      <c r="I73" s="13"/>
      <c r="J73" s="82"/>
      <c r="K73" s="13"/>
      <c r="L73" s="59"/>
      <c r="O73" s="1"/>
      <c r="V73" s="651" t="s">
        <v>126</v>
      </c>
      <c r="W73" s="651"/>
      <c r="X73" s="651"/>
      <c r="Y73" s="651"/>
      <c r="Z73" s="651"/>
      <c r="AA73" s="651"/>
      <c r="AB73" s="651"/>
      <c r="AC73" s="651"/>
      <c r="AD73" s="9"/>
    </row>
    <row r="74" spans="1:30" ht="31.5" x14ac:dyDescent="0.25">
      <c r="B74" s="13" t="s">
        <v>126</v>
      </c>
      <c r="C74" s="13"/>
      <c r="D74" s="27" t="s">
        <v>13</v>
      </c>
      <c r="E74" s="27" t="s">
        <v>14</v>
      </c>
      <c r="F74" s="27"/>
      <c r="H74" s="164" t="s">
        <v>26</v>
      </c>
      <c r="I74" s="172"/>
      <c r="J74" s="164"/>
      <c r="K74" s="172"/>
      <c r="L74" s="112"/>
      <c r="O74" s="1"/>
      <c r="V74" s="666" t="s">
        <v>127</v>
      </c>
      <c r="W74" s="666"/>
      <c r="X74" s="173" t="s">
        <v>128</v>
      </c>
      <c r="Y74" s="174"/>
      <c r="Z74" s="175">
        <f>+I75</f>
        <v>0</v>
      </c>
      <c r="AA74" s="176" t="s">
        <v>129</v>
      </c>
      <c r="AB74" s="177">
        <f>+K75</f>
        <v>361</v>
      </c>
      <c r="AC74" s="56">
        <f>ROUND(AB74*Z74,0)</f>
        <v>0</v>
      </c>
      <c r="AD74" s="9"/>
    </row>
    <row r="75" spans="1:30" ht="19.5" customHeight="1" x14ac:dyDescent="0.25">
      <c r="A75" s="1" t="s">
        <v>130</v>
      </c>
      <c r="B75" s="178" t="s">
        <v>127</v>
      </c>
      <c r="C75" s="179" t="s">
        <v>128</v>
      </c>
      <c r="D75" s="178">
        <v>0</v>
      </c>
      <c r="E75" s="178">
        <v>0</v>
      </c>
      <c r="F75" s="178">
        <v>0</v>
      </c>
      <c r="G75" s="180">
        <f>IF(E75=0,D75,E75)</f>
        <v>0</v>
      </c>
      <c r="H75" s="181"/>
      <c r="I75" s="182">
        <f>AVERAGE(G75,D75)</f>
        <v>0</v>
      </c>
      <c r="J75" s="183" t="s">
        <v>129</v>
      </c>
      <c r="K75" s="184">
        <v>361</v>
      </c>
      <c r="L75" s="50">
        <f>ROUND(K75*I75,0)</f>
        <v>0</v>
      </c>
      <c r="N75" s="1">
        <v>7802</v>
      </c>
      <c r="O75" s="1">
        <v>0</v>
      </c>
      <c r="V75" s="666" t="s">
        <v>127</v>
      </c>
      <c r="W75" s="666"/>
      <c r="X75" s="173" t="s">
        <v>131</v>
      </c>
      <c r="Y75" s="185"/>
      <c r="Z75" s="186">
        <f>+I76</f>
        <v>0</v>
      </c>
      <c r="AA75" s="176" t="s">
        <v>129</v>
      </c>
      <c r="AB75" s="187">
        <f>+K76</f>
        <v>1358</v>
      </c>
      <c r="AC75" s="56">
        <f>ROUND(AB75*Z75,0)</f>
        <v>0</v>
      </c>
      <c r="AD75" s="9"/>
    </row>
    <row r="76" spans="1:30" ht="19.5" customHeight="1" x14ac:dyDescent="0.25">
      <c r="A76" s="1" t="s">
        <v>132</v>
      </c>
      <c r="B76" s="178" t="s">
        <v>127</v>
      </c>
      <c r="C76" s="179" t="s">
        <v>131</v>
      </c>
      <c r="D76" s="178">
        <v>0</v>
      </c>
      <c r="E76" s="178">
        <v>0</v>
      </c>
      <c r="F76" s="178">
        <v>0</v>
      </c>
      <c r="G76" s="180">
        <f>IF(E76=0,D76,E76)</f>
        <v>0</v>
      </c>
      <c r="H76" s="181"/>
      <c r="I76" s="182">
        <f>AVERAGE(G76,D76)</f>
        <v>0</v>
      </c>
      <c r="J76" s="183" t="s">
        <v>129</v>
      </c>
      <c r="K76" s="188">
        <v>1358</v>
      </c>
      <c r="L76" s="50">
        <f>ROUND(K76*I76,0)</f>
        <v>0</v>
      </c>
      <c r="N76" s="1">
        <v>7802</v>
      </c>
      <c r="O76" s="1">
        <v>110</v>
      </c>
      <c r="V76" s="651" t="s">
        <v>133</v>
      </c>
      <c r="W76" s="651"/>
      <c r="X76" s="651"/>
      <c r="Y76" s="661">
        <f>+I77</f>
        <v>33305823</v>
      </c>
      <c r="Z76" s="661"/>
      <c r="AA76" s="176" t="s">
        <v>129</v>
      </c>
      <c r="AB76" s="163">
        <f>AB54</f>
        <v>0</v>
      </c>
      <c r="AC76" s="56">
        <f>ROUND(Y76*AB76,0)</f>
        <v>0</v>
      </c>
      <c r="AD76" s="9"/>
    </row>
    <row r="77" spans="1:30" ht="26.25" customHeight="1" x14ac:dyDescent="0.25">
      <c r="B77" s="13" t="s">
        <v>133</v>
      </c>
      <c r="C77" s="13"/>
      <c r="D77" s="13"/>
      <c r="E77" s="13"/>
      <c r="F77" s="13"/>
      <c r="H77" s="164" t="s">
        <v>134</v>
      </c>
      <c r="I77" s="189">
        <v>33305823</v>
      </c>
      <c r="J77" s="165" t="s">
        <v>111</v>
      </c>
      <c r="K77" s="166">
        <f>K54</f>
        <v>1.555E-3</v>
      </c>
      <c r="L77" s="50">
        <f>ROUND(I77*K77,0)</f>
        <v>51791</v>
      </c>
      <c r="O77" s="1"/>
      <c r="V77" s="651" t="str">
        <f>+B78</f>
        <v>15.  Additional Allocation (WFTE share)</v>
      </c>
      <c r="W77" s="651"/>
      <c r="X77" s="651"/>
      <c r="Y77" s="661">
        <f>+I78</f>
        <v>680688</v>
      </c>
      <c r="Z77" s="661"/>
      <c r="AA77" s="176" t="s">
        <v>129</v>
      </c>
      <c r="AB77" s="163">
        <f>AB54</f>
        <v>0</v>
      </c>
      <c r="AC77" s="56">
        <f>ROUND(Y77*AB77,0)</f>
        <v>0</v>
      </c>
      <c r="AD77" s="9"/>
    </row>
    <row r="78" spans="1:30" ht="26.25" customHeight="1" x14ac:dyDescent="0.25">
      <c r="B78" s="669" t="s">
        <v>135</v>
      </c>
      <c r="C78" s="669"/>
      <c r="D78" s="669"/>
      <c r="E78" s="13"/>
      <c r="F78" s="13"/>
      <c r="H78" s="164" t="s">
        <v>136</v>
      </c>
      <c r="I78" s="190">
        <v>680688</v>
      </c>
      <c r="J78" s="165" t="s">
        <v>111</v>
      </c>
      <c r="K78" s="166">
        <f>K54</f>
        <v>1.555E-3</v>
      </c>
      <c r="L78" s="50">
        <f>ROUND(I78*K78,0)</f>
        <v>1058</v>
      </c>
      <c r="O78" s="1"/>
      <c r="V78" s="651" t="str">
        <f t="shared" ref="V78:V79" si="11">+B79</f>
        <v>16.  Florida Teachers Lead Program Stipend</v>
      </c>
      <c r="W78" s="651"/>
      <c r="X78" s="651"/>
      <c r="Y78" s="191"/>
      <c r="Z78" s="191"/>
      <c r="AA78" s="191"/>
      <c r="AB78" s="191"/>
      <c r="AC78" s="134"/>
      <c r="AD78" s="9"/>
    </row>
    <row r="79" spans="1:30" ht="21" customHeight="1" x14ac:dyDescent="0.25">
      <c r="B79" s="669" t="s">
        <v>137</v>
      </c>
      <c r="C79" s="669"/>
      <c r="D79" s="669"/>
      <c r="E79" s="13"/>
      <c r="F79" s="13"/>
      <c r="H79" s="164"/>
      <c r="I79" s="172"/>
      <c r="J79" s="172"/>
      <c r="K79" s="172"/>
      <c r="L79" s="129"/>
      <c r="N79" s="192"/>
      <c r="O79" s="1"/>
      <c r="Q79" s="164"/>
      <c r="V79" s="651" t="str">
        <f t="shared" si="11"/>
        <v>17.  Food Service Allocation</v>
      </c>
      <c r="W79" s="651"/>
      <c r="X79" s="651"/>
      <c r="Y79" s="191"/>
      <c r="Z79" s="191"/>
      <c r="AA79" s="191"/>
      <c r="AB79" s="191"/>
      <c r="AC79" s="193"/>
      <c r="AD79" s="9"/>
    </row>
    <row r="80" spans="1:30" ht="21" customHeight="1" x14ac:dyDescent="0.25">
      <c r="B80" s="669" t="s">
        <v>138</v>
      </c>
      <c r="C80" s="669"/>
      <c r="D80" s="669"/>
      <c r="E80" s="13"/>
      <c r="F80" s="13"/>
      <c r="H80" s="194" t="s">
        <v>139</v>
      </c>
      <c r="I80" s="195"/>
      <c r="J80" s="195"/>
      <c r="K80" s="195"/>
      <c r="L80" s="196"/>
      <c r="N80" s="197"/>
      <c r="O80" s="1"/>
      <c r="Q80" s="164"/>
      <c r="V80" s="191"/>
      <c r="W80" s="191"/>
      <c r="X80" s="191"/>
      <c r="Y80" s="191"/>
      <c r="Z80" s="191"/>
      <c r="AA80" s="191"/>
      <c r="AB80" s="191"/>
      <c r="AC80" s="193"/>
      <c r="AD80" s="9"/>
    </row>
    <row r="81" spans="1:30" ht="21" customHeight="1" thickBot="1" x14ac:dyDescent="0.3">
      <c r="B81" s="13"/>
      <c r="C81" s="13"/>
      <c r="D81" s="13"/>
      <c r="E81" s="13"/>
      <c r="F81" s="13"/>
      <c r="G81" s="13"/>
      <c r="H81" s="13"/>
      <c r="I81" s="13"/>
      <c r="J81" s="13"/>
      <c r="K81" s="13"/>
      <c r="L81" s="196"/>
      <c r="M81" s="198"/>
      <c r="N81" s="197"/>
      <c r="O81" s="1"/>
      <c r="Q81" s="164"/>
      <c r="V81" s="191" t="s">
        <v>140</v>
      </c>
      <c r="W81" s="191"/>
      <c r="X81" s="191"/>
      <c r="Y81" s="191"/>
      <c r="Z81" s="191"/>
      <c r="AA81" s="191"/>
      <c r="AB81" s="191"/>
      <c r="AC81" s="199">
        <f>SUM(AC44:AC80)</f>
        <v>0</v>
      </c>
      <c r="AD81" s="200"/>
    </row>
    <row r="82" spans="1:30" ht="22.5" customHeight="1" thickTop="1" thickBot="1" x14ac:dyDescent="0.3">
      <c r="B82" s="13" t="s">
        <v>141</v>
      </c>
      <c r="C82" s="13"/>
      <c r="D82" s="13"/>
      <c r="E82" s="13"/>
      <c r="F82" s="13"/>
      <c r="G82" s="13"/>
      <c r="H82" s="13"/>
      <c r="I82" s="13"/>
      <c r="J82" s="13"/>
      <c r="K82" s="13"/>
      <c r="L82" s="201">
        <f>SUM(L44:L81)</f>
        <v>1962668</v>
      </c>
      <c r="M82" s="202"/>
      <c r="N82" s="203"/>
      <c r="O82" s="1"/>
      <c r="Q82" s="164"/>
      <c r="V82" s="191"/>
      <c r="W82" s="191"/>
      <c r="X82" s="191"/>
      <c r="Y82" s="191"/>
      <c r="Z82" s="191"/>
      <c r="AA82" s="191"/>
      <c r="AB82" s="191"/>
      <c r="AC82" s="204"/>
      <c r="AD82" s="200"/>
    </row>
    <row r="83" spans="1:30" ht="27.75" customHeight="1" thickTop="1" x14ac:dyDescent="0.25">
      <c r="B83" s="13" t="s">
        <v>142</v>
      </c>
      <c r="C83" s="13"/>
      <c r="D83" s="13"/>
      <c r="E83" s="13"/>
      <c r="F83" s="13"/>
      <c r="G83" s="13"/>
      <c r="H83" s="13"/>
      <c r="I83" s="13"/>
      <c r="J83" s="13"/>
      <c r="K83" s="82" t="s">
        <v>143</v>
      </c>
      <c r="L83" s="205" t="s">
        <v>144</v>
      </c>
      <c r="M83" s="202"/>
      <c r="N83" s="203"/>
      <c r="O83" s="1"/>
      <c r="Q83" s="164"/>
      <c r="V83" s="9" t="s">
        <v>145</v>
      </c>
      <c r="W83" s="9"/>
      <c r="X83" s="9"/>
      <c r="Y83" s="9"/>
      <c r="Z83" s="9"/>
      <c r="AA83" s="9"/>
      <c r="AB83" s="9"/>
      <c r="AC83" s="9"/>
      <c r="AD83" s="206"/>
    </row>
    <row r="84" spans="1:30" ht="18.75" customHeight="1" thickBot="1" x14ac:dyDescent="0.3">
      <c r="B84" s="13" t="s">
        <v>146</v>
      </c>
      <c r="C84" s="13"/>
      <c r="D84" s="13"/>
      <c r="E84" s="13"/>
      <c r="F84" s="13"/>
      <c r="G84" s="13"/>
      <c r="H84" s="13"/>
      <c r="I84" s="13"/>
      <c r="J84" s="13"/>
      <c r="K84" s="207" t="str">
        <f>IF(G26=0,"",IF((G11+G13+SUM(G15:G21))/G26&gt;0.75,1,""))</f>
        <v/>
      </c>
      <c r="L84" s="201">
        <f>'3941'!AC81</f>
        <v>0</v>
      </c>
      <c r="M84" s="202"/>
      <c r="N84" s="203"/>
      <c r="O84" s="1"/>
      <c r="Q84" s="164"/>
      <c r="V84" s="208" t="s">
        <v>147</v>
      </c>
      <c r="W84" s="208"/>
      <c r="X84" s="208"/>
      <c r="Y84" s="208"/>
      <c r="Z84" s="208"/>
      <c r="AA84" s="208"/>
      <c r="AB84" s="208"/>
      <c r="AC84" s="208"/>
      <c r="AD84" s="9"/>
    </row>
    <row r="85" spans="1:30" ht="18.75" customHeight="1" thickTop="1" x14ac:dyDescent="0.25">
      <c r="B85" s="13"/>
      <c r="C85" s="13"/>
      <c r="D85" s="13"/>
      <c r="E85" s="13"/>
      <c r="F85" s="13"/>
      <c r="G85" s="13"/>
      <c r="H85" s="13"/>
      <c r="I85" s="13"/>
      <c r="J85" s="13"/>
      <c r="M85" s="202"/>
      <c r="N85" s="203"/>
      <c r="O85" s="1"/>
      <c r="Q85" s="164"/>
      <c r="V85" s="208" t="s">
        <v>148</v>
      </c>
      <c r="W85" s="208"/>
      <c r="X85" s="208"/>
      <c r="Y85" s="208"/>
      <c r="Z85" s="208"/>
      <c r="AA85" s="208"/>
      <c r="AB85" s="208"/>
      <c r="AC85" s="208"/>
      <c r="AD85" s="206"/>
    </row>
    <row r="86" spans="1:30" ht="18.75" customHeight="1" x14ac:dyDescent="0.25">
      <c r="B86" s="2" t="s">
        <v>149</v>
      </c>
      <c r="C86" s="13"/>
      <c r="D86" s="13"/>
      <c r="E86" s="13"/>
      <c r="F86" s="13"/>
      <c r="G86" s="13"/>
      <c r="H86" s="13"/>
      <c r="I86" s="13"/>
      <c r="J86" s="209" t="s">
        <v>150</v>
      </c>
      <c r="K86" s="210">
        <f>IF(K84=1,L84,L82)</f>
        <v>1962668</v>
      </c>
      <c r="L86" s="211">
        <f>IF(G26=0,0,IF(G26&gt;250,-(((250/G26)*K86)*IF(M86="H",0.02,0.05)),IF(M86="H",-0.02*K86,-0.05*K86)))</f>
        <v>-87472.278675081106</v>
      </c>
      <c r="M86" s="212" t="str">
        <f>IF(B123="2801","H",IF(B123="2911","H",IF(B123="3382","H"," ")))</f>
        <v xml:space="preserve"> </v>
      </c>
      <c r="N86" s="203"/>
      <c r="O86" s="1"/>
      <c r="Q86" s="164"/>
      <c r="V86" s="208" t="s">
        <v>151</v>
      </c>
      <c r="W86" s="208"/>
      <c r="X86" s="208"/>
      <c r="Y86" s="208"/>
      <c r="Z86" s="208"/>
      <c r="AA86" s="208"/>
      <c r="AB86" s="208"/>
      <c r="AC86" s="208"/>
      <c r="AD86" s="206"/>
    </row>
    <row r="87" spans="1:30" ht="18.75" customHeight="1" x14ac:dyDescent="0.25">
      <c r="B87" s="2" t="s">
        <v>152</v>
      </c>
      <c r="C87" s="13"/>
      <c r="D87" s="13"/>
      <c r="E87" s="13"/>
      <c r="F87" s="13"/>
      <c r="G87" s="13"/>
      <c r="H87" s="13"/>
      <c r="I87" s="13"/>
      <c r="J87" s="13"/>
      <c r="K87" s="213"/>
      <c r="L87" s="205">
        <f>L82+L86</f>
        <v>1875195.7213249188</v>
      </c>
      <c r="M87" s="202"/>
      <c r="N87" s="203"/>
      <c r="O87" s="1"/>
      <c r="Q87" s="164"/>
      <c r="V87" s="198"/>
      <c r="W87" s="198"/>
      <c r="X87" s="198"/>
      <c r="Y87" s="198"/>
      <c r="Z87" s="198"/>
      <c r="AA87" s="198"/>
      <c r="AB87" s="198"/>
      <c r="AC87" s="198"/>
      <c r="AD87" s="214"/>
    </row>
    <row r="88" spans="1:30" x14ac:dyDescent="0.25">
      <c r="V88" s="198"/>
      <c r="W88" s="198"/>
      <c r="X88" s="198"/>
      <c r="Y88" s="198"/>
      <c r="Z88" s="198"/>
      <c r="AA88" s="198"/>
      <c r="AB88" s="198"/>
      <c r="AC88" s="198"/>
      <c r="AD88" s="215"/>
    </row>
    <row r="89" spans="1:30" ht="18.75" customHeight="1" x14ac:dyDescent="0.25">
      <c r="A89" s="1" t="s">
        <v>153</v>
      </c>
      <c r="B89" s="13" t="s">
        <v>154</v>
      </c>
      <c r="C89" s="13"/>
      <c r="D89" s="13">
        <v>919181</v>
      </c>
      <c r="E89" s="13">
        <v>157716</v>
      </c>
      <c r="F89" s="13">
        <v>1550045</v>
      </c>
      <c r="G89" s="13"/>
      <c r="H89" s="13"/>
      <c r="I89" s="13"/>
      <c r="J89" s="13"/>
      <c r="K89" s="213"/>
      <c r="L89" s="84">
        <f>-F89-162575</f>
        <v>-1712620</v>
      </c>
      <c r="M89" s="202"/>
      <c r="N89" s="203"/>
      <c r="O89" s="1"/>
      <c r="Q89" s="164"/>
      <c r="V89" s="198">
        <v>2801</v>
      </c>
      <c r="W89" s="198"/>
      <c r="X89" s="198"/>
      <c r="Y89" s="198"/>
      <c r="Z89" s="198"/>
      <c r="AA89" s="198"/>
      <c r="AB89" s="198"/>
      <c r="AC89" s="198"/>
      <c r="AD89" s="214"/>
    </row>
    <row r="90" spans="1:30" ht="18.75" customHeight="1" x14ac:dyDescent="0.25">
      <c r="B90" s="13" t="s">
        <v>155</v>
      </c>
      <c r="C90" s="13"/>
      <c r="D90" s="13"/>
      <c r="E90" s="13"/>
      <c r="F90" s="13"/>
      <c r="G90" s="13"/>
      <c r="H90" s="13"/>
      <c r="I90" s="13"/>
      <c r="J90" s="13"/>
      <c r="K90" s="213"/>
      <c r="L90" s="205">
        <f>L87+L89</f>
        <v>162575.72132491879</v>
      </c>
      <c r="M90" s="202"/>
      <c r="N90" s="203"/>
      <c r="O90" s="1"/>
      <c r="Q90" s="164"/>
      <c r="V90" s="198">
        <v>2911</v>
      </c>
      <c r="W90" s="216"/>
      <c r="X90" s="216"/>
      <c r="Y90" s="216"/>
      <c r="Z90" s="216"/>
      <c r="AA90" s="216"/>
      <c r="AB90" s="216"/>
      <c r="AC90" s="216"/>
      <c r="AD90" s="214"/>
    </row>
    <row r="91" spans="1:30" ht="18.75" customHeight="1" x14ac:dyDescent="0.25">
      <c r="B91" s="13" t="s">
        <v>156</v>
      </c>
      <c r="C91" s="13"/>
      <c r="D91" s="13"/>
      <c r="E91" s="13"/>
      <c r="F91" s="13"/>
      <c r="G91" s="13"/>
      <c r="H91" s="13"/>
      <c r="I91" s="13"/>
      <c r="J91" s="13"/>
      <c r="K91" s="213"/>
      <c r="L91" s="205">
        <v>1</v>
      </c>
      <c r="M91" s="202"/>
      <c r="N91" s="203"/>
      <c r="O91" s="1"/>
      <c r="Q91" s="164"/>
      <c r="V91" s="198">
        <v>3382</v>
      </c>
      <c r="W91" s="216"/>
      <c r="X91" s="216"/>
      <c r="Y91" s="216"/>
      <c r="Z91" s="216"/>
      <c r="AA91" s="216"/>
      <c r="AB91" s="216"/>
      <c r="AC91" s="216"/>
      <c r="AD91" s="214"/>
    </row>
    <row r="92" spans="1:30" ht="18.75" customHeight="1" thickBot="1" x14ac:dyDescent="0.3">
      <c r="B92" s="13" t="s">
        <v>157</v>
      </c>
      <c r="C92" s="13"/>
      <c r="D92" s="13"/>
      <c r="E92" s="13"/>
      <c r="F92" s="13"/>
      <c r="G92" s="13"/>
      <c r="H92" s="13"/>
      <c r="I92" s="13"/>
      <c r="J92" s="13"/>
      <c r="K92" s="213"/>
      <c r="L92" s="217">
        <f>L90/L91</f>
        <v>162575.72132491879</v>
      </c>
      <c r="M92" s="202"/>
      <c r="N92" s="203"/>
      <c r="O92" s="1"/>
      <c r="Q92" s="164"/>
      <c r="V92" s="218"/>
      <c r="W92" s="218"/>
      <c r="X92" s="218"/>
      <c r="Y92" s="218"/>
      <c r="Z92" s="218"/>
      <c r="AA92" s="218"/>
      <c r="AB92" s="218"/>
      <c r="AC92" s="218"/>
      <c r="AD92" s="219"/>
    </row>
    <row r="93" spans="1:30" ht="18.75" customHeight="1" thickTop="1" x14ac:dyDescent="0.25">
      <c r="N93" s="219"/>
      <c r="O93" s="220"/>
      <c r="P93" s="219"/>
      <c r="Q93" s="219"/>
      <c r="V93" s="218"/>
      <c r="W93" s="218"/>
      <c r="X93" s="218"/>
      <c r="Y93" s="218"/>
      <c r="Z93" s="218"/>
      <c r="AA93" s="218"/>
      <c r="AB93" s="218"/>
      <c r="AC93" s="218"/>
      <c r="AD93" s="214"/>
    </row>
    <row r="94" spans="1:30" ht="18.75" customHeight="1" thickBot="1" x14ac:dyDescent="0.3">
      <c r="B94" s="221" t="s">
        <v>158</v>
      </c>
      <c r="C94" s="13"/>
      <c r="D94" s="13"/>
      <c r="E94" s="13"/>
      <c r="G94" s="13"/>
      <c r="H94" s="13"/>
      <c r="I94" s="13"/>
      <c r="J94" s="13"/>
      <c r="L94" s="222">
        <f>IF(M86="H",(K86*0.02)+L86,(K86*0.05)+L86)</f>
        <v>10661.121324918902</v>
      </c>
      <c r="M94" s="202"/>
      <c r="V94" s="223"/>
      <c r="W94" s="223"/>
      <c r="X94" s="223"/>
      <c r="Y94" s="223"/>
      <c r="Z94" s="223"/>
      <c r="AA94" s="223"/>
      <c r="AB94" s="223"/>
      <c r="AC94" s="223"/>
      <c r="AD94" s="214"/>
    </row>
    <row r="95" spans="1:30" ht="21.75" customHeight="1" thickTop="1" x14ac:dyDescent="0.25">
      <c r="B95" s="224" t="s">
        <v>159</v>
      </c>
      <c r="C95" s="224"/>
      <c r="D95" s="224"/>
      <c r="E95" s="224"/>
      <c r="F95" s="224"/>
      <c r="G95" s="224"/>
      <c r="H95" s="224"/>
      <c r="I95" s="224"/>
      <c r="J95" s="224"/>
      <c r="K95" s="224"/>
      <c r="L95" s="224"/>
      <c r="M95" s="219"/>
      <c r="V95" s="223"/>
      <c r="W95" s="223"/>
      <c r="X95" s="223"/>
      <c r="Y95" s="223"/>
      <c r="Z95" s="223"/>
      <c r="AA95" s="223"/>
      <c r="AB95" s="223"/>
      <c r="AC95" s="223"/>
      <c r="AD95" s="214"/>
    </row>
    <row r="96" spans="1:30" x14ac:dyDescent="0.25">
      <c r="B96" s="225"/>
      <c r="V96" s="223"/>
      <c r="W96" s="223"/>
      <c r="X96" s="223"/>
      <c r="Y96" s="223"/>
      <c r="Z96" s="223"/>
      <c r="AA96" s="223"/>
      <c r="AB96" s="223"/>
      <c r="AC96" s="223"/>
      <c r="AD96" s="219"/>
    </row>
    <row r="97" spans="2:30" x14ac:dyDescent="0.25">
      <c r="B97" s="225"/>
      <c r="V97" s="223"/>
      <c r="W97" s="223"/>
      <c r="X97" s="223"/>
      <c r="Y97" s="223"/>
      <c r="Z97" s="223"/>
      <c r="AA97" s="223"/>
      <c r="AB97" s="223"/>
      <c r="AC97" s="223"/>
      <c r="AD97" s="219"/>
    </row>
    <row r="98" spans="2:30" hidden="1" x14ac:dyDescent="0.25">
      <c r="B98" s="226" t="s">
        <v>160</v>
      </c>
      <c r="C98" s="227"/>
      <c r="V98" s="228"/>
      <c r="W98" s="228"/>
      <c r="X98" s="228"/>
      <c r="Y98" s="228"/>
      <c r="Z98" s="228"/>
      <c r="AA98" s="228"/>
      <c r="AB98" s="228"/>
      <c r="AC98" s="228"/>
    </row>
    <row r="99" spans="2:30" hidden="1" x14ac:dyDescent="0.25">
      <c r="B99" s="229"/>
      <c r="C99" s="227"/>
      <c r="V99" s="225"/>
      <c r="W99" s="13"/>
      <c r="X99" s="13"/>
      <c r="Y99" s="13"/>
      <c r="Z99" s="13"/>
      <c r="AA99" s="13"/>
      <c r="AB99" s="13"/>
      <c r="AC99" s="13"/>
    </row>
    <row r="100" spans="2:30" hidden="1" x14ac:dyDescent="0.25">
      <c r="B100" s="230" t="s">
        <v>161</v>
      </c>
      <c r="C100" s="226" t="s">
        <v>162</v>
      </c>
      <c r="V100" s="225"/>
    </row>
    <row r="101" spans="2:30" hidden="1" x14ac:dyDescent="0.25">
      <c r="B101" s="230" t="s">
        <v>163</v>
      </c>
      <c r="C101" s="226" t="s">
        <v>164</v>
      </c>
      <c r="V101" s="225"/>
    </row>
    <row r="102" spans="2:30" hidden="1" x14ac:dyDescent="0.25">
      <c r="B102" s="230" t="s">
        <v>165</v>
      </c>
      <c r="C102" s="226" t="s">
        <v>166</v>
      </c>
      <c r="V102" s="225"/>
      <c r="W102" s="231"/>
      <c r="X102" s="231"/>
      <c r="Y102" s="231"/>
      <c r="Z102" s="231"/>
      <c r="AA102" s="231"/>
      <c r="AB102" s="231"/>
      <c r="AC102" s="231"/>
      <c r="AD102" s="231"/>
    </row>
    <row r="103" spans="2:30" hidden="1" x14ac:dyDescent="0.25">
      <c r="B103" s="230" t="s">
        <v>167</v>
      </c>
      <c r="C103" s="226" t="s">
        <v>168</v>
      </c>
      <c r="V103" s="225"/>
    </row>
    <row r="104" spans="2:30" hidden="1" x14ac:dyDescent="0.25">
      <c r="B104" s="232"/>
      <c r="C104" s="226" t="s">
        <v>169</v>
      </c>
      <c r="V104" s="225"/>
    </row>
    <row r="105" spans="2:30" hidden="1" x14ac:dyDescent="0.25">
      <c r="B105" s="230" t="s">
        <v>170</v>
      </c>
      <c r="C105" s="226" t="s">
        <v>171</v>
      </c>
      <c r="V105" s="225"/>
    </row>
    <row r="106" spans="2:30" hidden="1" x14ac:dyDescent="0.25">
      <c r="B106" s="230" t="s">
        <v>172</v>
      </c>
      <c r="C106" s="226" t="s">
        <v>173</v>
      </c>
      <c r="V106" s="225"/>
    </row>
    <row r="107" spans="2:30" hidden="1" x14ac:dyDescent="0.25">
      <c r="B107" s="230" t="s">
        <v>312</v>
      </c>
      <c r="C107" s="226" t="s">
        <v>175</v>
      </c>
      <c r="V107" s="225"/>
    </row>
    <row r="108" spans="2:30" hidden="1" x14ac:dyDescent="0.25">
      <c r="B108" s="230" t="s">
        <v>176</v>
      </c>
      <c r="C108" s="226" t="s">
        <v>177</v>
      </c>
      <c r="V108" s="225"/>
    </row>
    <row r="109" spans="2:30" hidden="1" x14ac:dyDescent="0.25">
      <c r="B109" s="230" t="s">
        <v>178</v>
      </c>
      <c r="C109" s="226" t="s">
        <v>179</v>
      </c>
      <c r="V109" s="225"/>
    </row>
    <row r="110" spans="2:30" hidden="1" x14ac:dyDescent="0.25">
      <c r="B110" s="232"/>
      <c r="C110" s="226"/>
      <c r="V110" s="225"/>
    </row>
    <row r="111" spans="2:30" hidden="1" x14ac:dyDescent="0.25">
      <c r="B111" s="230" t="s">
        <v>180</v>
      </c>
      <c r="C111" s="226" t="s">
        <v>181</v>
      </c>
      <c r="V111" s="225"/>
    </row>
    <row r="112" spans="2:30" hidden="1" x14ac:dyDescent="0.25">
      <c r="B112" s="230" t="s">
        <v>180</v>
      </c>
      <c r="C112" s="226" t="s">
        <v>182</v>
      </c>
    </row>
    <row r="113" spans="2:3" hidden="1" x14ac:dyDescent="0.25">
      <c r="B113" s="230" t="s">
        <v>183</v>
      </c>
      <c r="C113" s="226" t="s">
        <v>184</v>
      </c>
    </row>
    <row r="114" spans="2:3" hidden="1" x14ac:dyDescent="0.25">
      <c r="B114" s="230" t="s">
        <v>185</v>
      </c>
      <c r="C114" s="226" t="s">
        <v>186</v>
      </c>
    </row>
    <row r="115" spans="2:3" hidden="1" x14ac:dyDescent="0.25">
      <c r="B115" s="230" t="s">
        <v>183</v>
      </c>
      <c r="C115" s="226" t="s">
        <v>187</v>
      </c>
    </row>
    <row r="116" spans="2:3" hidden="1" x14ac:dyDescent="0.25">
      <c r="B116" s="230" t="s">
        <v>188</v>
      </c>
      <c r="C116" s="226" t="s">
        <v>189</v>
      </c>
    </row>
    <row r="117" spans="2:3" hidden="1" x14ac:dyDescent="0.25">
      <c r="B117" s="230" t="s">
        <v>190</v>
      </c>
      <c r="C117" s="226" t="s">
        <v>191</v>
      </c>
    </row>
    <row r="118" spans="2:3" hidden="1" x14ac:dyDescent="0.25">
      <c r="B118" s="232" t="s">
        <v>192</v>
      </c>
      <c r="C118" s="226" t="s">
        <v>193</v>
      </c>
    </row>
    <row r="119" spans="2:3" hidden="1" x14ac:dyDescent="0.25">
      <c r="B119" s="232"/>
      <c r="C119" s="226"/>
    </row>
    <row r="120" spans="2:3" hidden="1" x14ac:dyDescent="0.25">
      <c r="B120" s="230" t="s">
        <v>161</v>
      </c>
      <c r="C120" s="226" t="s">
        <v>194</v>
      </c>
    </row>
    <row r="121" spans="2:3" hidden="1" x14ac:dyDescent="0.25">
      <c r="B121" s="230" t="s">
        <v>195</v>
      </c>
      <c r="C121" s="226" t="s">
        <v>196</v>
      </c>
    </row>
    <row r="122" spans="2:3" hidden="1" x14ac:dyDescent="0.25">
      <c r="B122" s="230" t="s">
        <v>197</v>
      </c>
      <c r="C122" s="226" t="s">
        <v>198</v>
      </c>
    </row>
    <row r="123" spans="2:3" hidden="1" x14ac:dyDescent="0.25">
      <c r="B123" s="230" t="s">
        <v>313</v>
      </c>
      <c r="C123" s="226" t="s">
        <v>200</v>
      </c>
    </row>
    <row r="124" spans="2:3" hidden="1" x14ac:dyDescent="0.25">
      <c r="B124" s="230" t="s">
        <v>314</v>
      </c>
      <c r="C124" s="226" t="s">
        <v>202</v>
      </c>
    </row>
    <row r="125" spans="2:3" hidden="1" x14ac:dyDescent="0.25">
      <c r="B125" s="230" t="s">
        <v>203</v>
      </c>
      <c r="C125" s="226" t="s">
        <v>204</v>
      </c>
    </row>
    <row r="126" spans="2:3" hidden="1" x14ac:dyDescent="0.25">
      <c r="B126" s="230" t="s">
        <v>203</v>
      </c>
      <c r="C126" s="226" t="s">
        <v>205</v>
      </c>
    </row>
    <row r="127" spans="2:3" hidden="1" x14ac:dyDescent="0.25">
      <c r="B127" s="230" t="s">
        <v>203</v>
      </c>
      <c r="C127" s="226" t="s">
        <v>206</v>
      </c>
    </row>
    <row r="128" spans="2:3" hidden="1" x14ac:dyDescent="0.25">
      <c r="B128" s="230" t="s">
        <v>203</v>
      </c>
      <c r="C128" s="226" t="s">
        <v>207</v>
      </c>
    </row>
    <row r="129" spans="2:3" hidden="1" x14ac:dyDescent="0.25">
      <c r="B129" s="230" t="s">
        <v>167</v>
      </c>
      <c r="C129" s="226" t="s">
        <v>208</v>
      </c>
    </row>
    <row r="130" spans="2:3" hidden="1" x14ac:dyDescent="0.25">
      <c r="B130" s="230" t="s">
        <v>209</v>
      </c>
      <c r="C130" s="226" t="s">
        <v>210</v>
      </c>
    </row>
    <row r="131" spans="2:3" hidden="1" x14ac:dyDescent="0.25">
      <c r="B131" s="230" t="s">
        <v>203</v>
      </c>
      <c r="C131" s="226" t="s">
        <v>211</v>
      </c>
    </row>
    <row r="132" spans="2:3" hidden="1" x14ac:dyDescent="0.25">
      <c r="B132" s="226"/>
      <c r="C132" s="226"/>
    </row>
    <row r="133" spans="2:3" hidden="1" x14ac:dyDescent="0.25">
      <c r="B133" s="226"/>
      <c r="C133" s="226"/>
    </row>
    <row r="134" spans="2:3" hidden="1" x14ac:dyDescent="0.25">
      <c r="B134" s="232"/>
      <c r="C134" s="232"/>
    </row>
    <row r="135" spans="2:3" hidden="1" x14ac:dyDescent="0.25">
      <c r="B135" s="232">
        <f>NvsElapsedTime</f>
        <v>1.15740767796524E-5</v>
      </c>
      <c r="C135" s="232"/>
    </row>
    <row r="136" spans="2:3" hidden="1" x14ac:dyDescent="0.25">
      <c r="B136" s="233">
        <f>NvsEndTime</f>
        <v>41754.488078703696</v>
      </c>
      <c r="C136" s="233" t="s">
        <v>212</v>
      </c>
    </row>
    <row r="137" spans="2:3" x14ac:dyDescent="0.25">
      <c r="B137" s="226"/>
      <c r="C137" s="234"/>
    </row>
    <row r="138" spans="2:3" x14ac:dyDescent="0.25">
      <c r="B138" s="226"/>
      <c r="C138" s="226"/>
    </row>
    <row r="139" spans="2:3" x14ac:dyDescent="0.25">
      <c r="B139" s="226"/>
      <c r="C139" s="226"/>
    </row>
    <row r="140" spans="2:3" x14ac:dyDescent="0.25">
      <c r="B140" s="226"/>
      <c r="C140" s="226"/>
    </row>
    <row r="141" spans="2:3" x14ac:dyDescent="0.25">
      <c r="B141" s="226"/>
      <c r="C141" s="226"/>
    </row>
    <row r="142" spans="2:3" x14ac:dyDescent="0.25">
      <c r="B142" s="226"/>
      <c r="C142" s="226"/>
    </row>
    <row r="143" spans="2:3" x14ac:dyDescent="0.25">
      <c r="B143" s="226"/>
      <c r="C143" s="226"/>
    </row>
    <row r="144" spans="2:3" x14ac:dyDescent="0.25">
      <c r="B144" s="226"/>
      <c r="C144" s="226"/>
    </row>
    <row r="145" spans="2:3" x14ac:dyDescent="0.25">
      <c r="B145" s="226"/>
      <c r="C145" s="226"/>
    </row>
    <row r="146" spans="2:3" x14ac:dyDescent="0.25">
      <c r="B146" s="226"/>
      <c r="C146" s="226"/>
    </row>
    <row r="147" spans="2:3" x14ac:dyDescent="0.25">
      <c r="B147" s="226"/>
      <c r="C147" s="226"/>
    </row>
    <row r="148" spans="2:3" x14ac:dyDescent="0.25">
      <c r="B148" s="226"/>
      <c r="C148" s="226"/>
    </row>
    <row r="149" spans="2:3" x14ac:dyDescent="0.25">
      <c r="B149" s="226"/>
      <c r="C149" s="226"/>
    </row>
    <row r="150" spans="2:3" x14ac:dyDescent="0.25">
      <c r="B150" s="226"/>
      <c r="C150" s="226"/>
    </row>
    <row r="151" spans="2:3" x14ac:dyDescent="0.25">
      <c r="B151" s="226"/>
      <c r="C151" s="226"/>
    </row>
  </sheetData>
  <mergeCells count="151">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9:W9"/>
    <mergeCell ref="X9:Y9"/>
    <mergeCell ref="Z9:AA9"/>
    <mergeCell ref="V10:W10"/>
    <mergeCell ref="X10:Y10"/>
    <mergeCell ref="Z10:AA10"/>
    <mergeCell ref="V7:W7"/>
    <mergeCell ref="X7:Y7"/>
    <mergeCell ref="Z7:AA7"/>
    <mergeCell ref="AB7:AC7"/>
    <mergeCell ref="V8:W8"/>
    <mergeCell ref="X8:Y8"/>
    <mergeCell ref="Z8:AA8"/>
    <mergeCell ref="W2:AC2"/>
    <mergeCell ref="V3:AC3"/>
    <mergeCell ref="V4:AC4"/>
    <mergeCell ref="V5:W5"/>
    <mergeCell ref="X5:Y5"/>
    <mergeCell ref="V6:AC6"/>
  </mergeCells>
  <printOptions horizontalCentered="1"/>
  <pageMargins left="0" right="0" top="0.67" bottom="0.2" header="0.25" footer="0.196850393700787"/>
  <pageSetup scale="63" fitToWidth="2" fitToHeight="2" orientation="portrait" horizontalDpi="4294967295" verticalDpi="4294967295" r:id="rId1"/>
  <headerFooter alignWithMargins="0">
    <oddHeader>&amp;L&amp;8&amp;F
&amp;D &amp;T</oddHeader>
    <oddFooter>&amp;C&amp;P</oddFooter>
  </headerFooter>
  <rowBreaks count="1" manualBreakCount="1">
    <brk id="51" max="16383"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D151"/>
  <sheetViews>
    <sheetView topLeftCell="B2" zoomScale="70" zoomScaleNormal="70" workbookViewId="0">
      <selection activeCell="B2" sqref="B2"/>
    </sheetView>
  </sheetViews>
  <sheetFormatPr defaultColWidth="8.85546875" defaultRowHeight="15.75" x14ac:dyDescent="0.25"/>
  <cols>
    <col min="1" max="1" width="11.28515625" style="1" hidden="1" customWidth="1"/>
    <col min="2" max="2" width="10.28515625" style="2" customWidth="1"/>
    <col min="3" max="3" width="29" style="1" customWidth="1"/>
    <col min="4" max="5" width="12.28515625" style="1" customWidth="1"/>
    <col min="6" max="6" width="12.28515625" style="1" hidden="1" customWidth="1"/>
    <col min="7" max="7" width="15.28515625" style="1" customWidth="1"/>
    <col min="8" max="8" width="6.7109375" style="1" customWidth="1"/>
    <col min="9" max="9" width="12.5703125" style="1" customWidth="1"/>
    <col min="10" max="10" width="12.85546875" style="1" customWidth="1"/>
    <col min="11" max="11" width="15.5703125" style="1" bestFit="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28515625" style="1" customWidth="1"/>
    <col min="18" max="18" width="8.85546875" style="1"/>
    <col min="19" max="21" width="0" style="1" hidden="1" customWidth="1"/>
    <col min="22" max="23" width="8.85546875" style="1"/>
    <col min="24" max="24" width="12.7109375" style="1" customWidth="1"/>
    <col min="25" max="27" width="8.85546875" style="1"/>
    <col min="28" max="28" width="13.140625" style="1" bestFit="1" customWidth="1"/>
    <col min="29" max="16384" width="8.85546875" style="1"/>
  </cols>
  <sheetData>
    <row r="1" spans="1:30" ht="15.6"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7"/>
      <c r="N2" s="3"/>
      <c r="O2" s="1"/>
      <c r="V2" s="8">
        <f>'0642'!B2</f>
        <v>50</v>
      </c>
      <c r="W2" s="606" t="s">
        <v>4</v>
      </c>
      <c r="X2" s="607"/>
      <c r="Y2" s="608"/>
      <c r="Z2" s="608"/>
      <c r="AA2" s="608"/>
      <c r="AB2" s="608"/>
      <c r="AC2" s="608"/>
      <c r="AD2" s="9"/>
    </row>
    <row r="3" spans="1:30" ht="20.25" x14ac:dyDescent="0.3">
      <c r="B3" s="10" t="str">
        <f>"Revenue Estimate Worksheet for "&amp;B124</f>
        <v>Revenue Estimate Worksheet for Day Star Acad of Excellence CS</v>
      </c>
      <c r="C3" s="11"/>
      <c r="D3" s="11"/>
      <c r="E3" s="11"/>
      <c r="F3" s="11"/>
      <c r="G3" s="11"/>
      <c r="H3" s="11"/>
      <c r="I3" s="11"/>
      <c r="J3" s="11"/>
      <c r="K3" s="11"/>
      <c r="L3" s="11"/>
      <c r="M3" s="10"/>
      <c r="N3" s="10"/>
      <c r="O3" s="10"/>
      <c r="P3" s="10"/>
      <c r="Q3" s="10"/>
      <c r="V3" s="609" t="s">
        <v>5</v>
      </c>
      <c r="W3" s="609"/>
      <c r="X3" s="609"/>
      <c r="Y3" s="609"/>
      <c r="Z3" s="609"/>
      <c r="AA3" s="609"/>
      <c r="AB3" s="609"/>
      <c r="AC3" s="609"/>
      <c r="AD3" s="12"/>
    </row>
    <row r="4" spans="1:30" ht="18.75" x14ac:dyDescent="0.3">
      <c r="B4" s="2" t="s">
        <v>6</v>
      </c>
      <c r="C4" s="13"/>
      <c r="D4" s="13"/>
      <c r="E4" s="13"/>
      <c r="F4" s="13"/>
      <c r="G4" s="13"/>
      <c r="H4" s="13"/>
      <c r="I4" s="13"/>
      <c r="J4" s="13"/>
      <c r="K4" s="13"/>
      <c r="L4" s="13"/>
      <c r="M4" s="14"/>
      <c r="N4" s="14"/>
      <c r="O4" s="14"/>
      <c r="P4" s="14"/>
      <c r="Q4" s="14"/>
      <c r="V4" s="610" t="str">
        <f>+Based_on_the_Second_Calculation_of_the_FEFP_2010_11</f>
        <v>Based on the Fourth Calculation of the FEFP 2013-14</v>
      </c>
      <c r="W4" s="610"/>
      <c r="X4" s="610"/>
      <c r="Y4" s="610"/>
      <c r="Z4" s="610"/>
      <c r="AA4" s="610"/>
      <c r="AB4" s="610"/>
      <c r="AC4" s="610"/>
      <c r="AD4" s="15"/>
    </row>
    <row r="5" spans="1:30" ht="18.75" customHeight="1" x14ac:dyDescent="0.25">
      <c r="B5" s="16" t="s">
        <v>7</v>
      </c>
      <c r="C5" s="16"/>
      <c r="D5" s="16"/>
      <c r="E5" s="16"/>
      <c r="F5" s="16"/>
      <c r="G5" s="17" t="s">
        <v>8</v>
      </c>
      <c r="H5" s="17"/>
      <c r="I5" s="17"/>
      <c r="J5" s="17"/>
      <c r="K5" s="17"/>
      <c r="L5" s="17"/>
      <c r="M5" s="18"/>
      <c r="N5" s="18"/>
      <c r="O5" s="18"/>
      <c r="P5" s="18"/>
      <c r="Q5" s="18"/>
      <c r="V5" s="611" t="s">
        <v>7</v>
      </c>
      <c r="W5" s="611"/>
      <c r="X5" s="612" t="s">
        <v>8</v>
      </c>
      <c r="Y5" s="612"/>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613" t="s">
        <v>9</v>
      </c>
      <c r="W6" s="613"/>
      <c r="X6" s="613"/>
      <c r="Y6" s="613"/>
      <c r="Z6" s="613"/>
      <c r="AA6" s="613"/>
      <c r="AB6" s="613"/>
      <c r="AC6" s="613"/>
      <c r="AD6" s="22"/>
    </row>
    <row r="7" spans="1:30" ht="18" customHeight="1" x14ac:dyDescent="0.25">
      <c r="B7" s="23" t="s">
        <v>10</v>
      </c>
      <c r="C7" s="23"/>
      <c r="D7" s="23"/>
      <c r="E7" s="23"/>
      <c r="F7" s="23"/>
      <c r="G7" s="24">
        <v>3752.3</v>
      </c>
      <c r="H7" s="24"/>
      <c r="I7" s="23" t="s">
        <v>11</v>
      </c>
      <c r="J7" s="23"/>
      <c r="K7" s="25">
        <v>1.0326</v>
      </c>
      <c r="L7" s="25"/>
      <c r="O7" s="1"/>
      <c r="V7" s="620" t="s">
        <v>10</v>
      </c>
      <c r="W7" s="620"/>
      <c r="X7" s="621">
        <f>'0642'!G7</f>
        <v>3752.3</v>
      </c>
      <c r="Y7" s="621"/>
      <c r="Z7" s="622" t="s">
        <v>11</v>
      </c>
      <c r="AA7" s="622"/>
      <c r="AB7" s="602">
        <f>+K7</f>
        <v>1.0326</v>
      </c>
      <c r="AC7" s="602"/>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603" t="s">
        <v>12</v>
      </c>
      <c r="W8" s="603"/>
      <c r="X8" s="604" t="s">
        <v>15</v>
      </c>
      <c r="Y8" s="604"/>
      <c r="Z8" s="605" t="s">
        <v>16</v>
      </c>
      <c r="AA8" s="605"/>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614" t="s">
        <v>22</v>
      </c>
      <c r="W9" s="614"/>
      <c r="X9" s="615" t="s">
        <v>23</v>
      </c>
      <c r="Y9" s="615"/>
      <c r="Z9" s="616" t="s">
        <v>24</v>
      </c>
      <c r="AA9" s="616"/>
      <c r="AB9" s="43" t="s">
        <v>25</v>
      </c>
      <c r="AC9" s="44" t="s">
        <v>26</v>
      </c>
      <c r="AD9" s="9"/>
    </row>
    <row r="10" spans="1:30" x14ac:dyDescent="0.25">
      <c r="A10" s="1" t="s">
        <v>27</v>
      </c>
      <c r="B10" s="45" t="s">
        <v>28</v>
      </c>
      <c r="C10" s="45"/>
      <c r="D10" s="45">
        <v>22.82</v>
      </c>
      <c r="E10" s="45">
        <v>20.62</v>
      </c>
      <c r="F10" s="45">
        <v>26.34</v>
      </c>
      <c r="G10" s="46">
        <f>D10+E10</f>
        <v>43.44</v>
      </c>
      <c r="H10" s="47"/>
      <c r="I10" s="48">
        <v>1.125</v>
      </c>
      <c r="J10" s="48"/>
      <c r="K10" s="49">
        <f>ROUND(G10*I10,4)</f>
        <v>48.87</v>
      </c>
      <c r="L10" s="50">
        <f>ROUND(ROUND(K10*$G$7,4)*($K$7),0)</f>
        <v>189353</v>
      </c>
      <c r="N10" s="51">
        <v>5101</v>
      </c>
      <c r="O10" s="52">
        <v>101</v>
      </c>
      <c r="P10" s="53"/>
      <c r="Q10" s="54"/>
      <c r="V10" s="617" t="s">
        <v>28</v>
      </c>
      <c r="W10" s="617"/>
      <c r="X10" s="618">
        <f>IF('0642'!K$84=1,'0642'!G10,0)</f>
        <v>0</v>
      </c>
      <c r="Y10" s="618"/>
      <c r="Z10" s="619">
        <v>1</v>
      </c>
      <c r="AA10" s="619"/>
      <c r="AB10" s="55">
        <f t="shared" ref="AB10:AB25" si="0">ROUND(X10*Z10,4)</f>
        <v>0</v>
      </c>
      <c r="AC10" s="56">
        <f t="shared" ref="AC10:AC25" si="1">ROUND(ROUND(AB10*$X$7,4)*($AB$7),0)</f>
        <v>0</v>
      </c>
      <c r="AD10" s="9">
        <v>1</v>
      </c>
    </row>
    <row r="11" spans="1:30" x14ac:dyDescent="0.25">
      <c r="A11" s="1" t="s">
        <v>29</v>
      </c>
      <c r="B11" s="13" t="s">
        <v>30</v>
      </c>
      <c r="C11" s="13"/>
      <c r="D11" s="13">
        <v>2</v>
      </c>
      <c r="E11" s="13">
        <v>2</v>
      </c>
      <c r="F11" s="13">
        <v>2.41</v>
      </c>
      <c r="G11" s="46">
        <f t="shared" ref="G11:G25" si="2">D11+E11</f>
        <v>4</v>
      </c>
      <c r="H11" s="47"/>
      <c r="I11" s="57">
        <f>I10</f>
        <v>1.125</v>
      </c>
      <c r="J11" s="57"/>
      <c r="K11" s="49">
        <f t="shared" ref="K11:K25" si="3">ROUND(G11*I11,4)</f>
        <v>4.5</v>
      </c>
      <c r="L11" s="50">
        <f t="shared" ref="L11:L25" si="4">ROUND(ROUND(K11*$G$7,4)*($K$7),0)</f>
        <v>17436</v>
      </c>
      <c r="M11" s="1" t="str">
        <f>IF(ROUND(G11,2)=ROUND(SUM(G28:G30),2)," ","CHECK 2. PK-3 Lines Below")</f>
        <v xml:space="preserve"> </v>
      </c>
      <c r="N11" s="51">
        <v>5101</v>
      </c>
      <c r="O11" s="58" t="s">
        <v>31</v>
      </c>
      <c r="P11" s="53"/>
      <c r="Q11" s="54"/>
      <c r="V11" s="623" t="s">
        <v>30</v>
      </c>
      <c r="W11" s="623"/>
      <c r="X11" s="618">
        <f>IF('0642'!K$84=1,'0642'!G11,0)</f>
        <v>0</v>
      </c>
      <c r="Y11" s="618"/>
      <c r="Z11" s="624">
        <v>1</v>
      </c>
      <c r="AA11" s="624"/>
      <c r="AB11" s="55">
        <f t="shared" si="0"/>
        <v>0</v>
      </c>
      <c r="AC11" s="56">
        <f t="shared" si="1"/>
        <v>0</v>
      </c>
      <c r="AD11" s="9"/>
    </row>
    <row r="12" spans="1:30" x14ac:dyDescent="0.25">
      <c r="A12" s="1" t="s">
        <v>32</v>
      </c>
      <c r="B12" s="13" t="s">
        <v>33</v>
      </c>
      <c r="C12" s="13"/>
      <c r="D12" s="13">
        <v>12.53</v>
      </c>
      <c r="E12" s="13">
        <v>12.39</v>
      </c>
      <c r="F12" s="13">
        <v>14.32</v>
      </c>
      <c r="G12" s="46">
        <f t="shared" si="2"/>
        <v>24.92</v>
      </c>
      <c r="H12" s="47"/>
      <c r="I12" s="57">
        <v>1</v>
      </c>
      <c r="J12" s="57"/>
      <c r="K12" s="49">
        <f t="shared" si="3"/>
        <v>24.92</v>
      </c>
      <c r="L12" s="50">
        <f t="shared" si="4"/>
        <v>96556</v>
      </c>
      <c r="N12" s="51">
        <v>5102</v>
      </c>
      <c r="O12" s="52">
        <v>102</v>
      </c>
      <c r="P12" s="53"/>
      <c r="Q12" s="54"/>
      <c r="V12" s="623" t="s">
        <v>33</v>
      </c>
      <c r="W12" s="623"/>
      <c r="X12" s="618">
        <f>IF('0642'!K$84=1,'0642'!G12,0)</f>
        <v>0</v>
      </c>
      <c r="Y12" s="618"/>
      <c r="Z12" s="624">
        <v>1</v>
      </c>
      <c r="AA12" s="624"/>
      <c r="AB12" s="55">
        <f t="shared" si="0"/>
        <v>0</v>
      </c>
      <c r="AC12" s="56">
        <f t="shared" si="1"/>
        <v>0</v>
      </c>
      <c r="AD12" s="9"/>
    </row>
    <row r="13" spans="1:30" x14ac:dyDescent="0.25">
      <c r="A13" s="1" t="s">
        <v>34</v>
      </c>
      <c r="B13" s="13" t="s">
        <v>35</v>
      </c>
      <c r="C13" s="13"/>
      <c r="D13" s="13">
        <v>1</v>
      </c>
      <c r="E13" s="13">
        <v>1</v>
      </c>
      <c r="F13" s="13">
        <v>1.19</v>
      </c>
      <c r="G13" s="46">
        <f t="shared" si="2"/>
        <v>2</v>
      </c>
      <c r="H13" s="47"/>
      <c r="I13" s="57">
        <f>I12</f>
        <v>1</v>
      </c>
      <c r="J13" s="57"/>
      <c r="K13" s="49">
        <f t="shared" si="3"/>
        <v>2</v>
      </c>
      <c r="L13" s="50">
        <f t="shared" si="4"/>
        <v>7749</v>
      </c>
      <c r="M13" s="1" t="str">
        <f>IF(ROUND(G13,2)=ROUND(SUM(G31:G33),2)," ","CHECK 2. PK-3 Lines Below")</f>
        <v xml:space="preserve"> </v>
      </c>
      <c r="N13" s="51">
        <v>5102</v>
      </c>
      <c r="O13" s="58" t="s">
        <v>36</v>
      </c>
      <c r="P13" s="53"/>
      <c r="Q13" s="54"/>
      <c r="V13" s="623" t="s">
        <v>35</v>
      </c>
      <c r="W13" s="623"/>
      <c r="X13" s="618">
        <f>IF('0642'!K$84=1,'0642'!G13,0)</f>
        <v>0</v>
      </c>
      <c r="Y13" s="618"/>
      <c r="Z13" s="624">
        <v>1</v>
      </c>
      <c r="AA13" s="624"/>
      <c r="AB13" s="55">
        <f t="shared" si="0"/>
        <v>0</v>
      </c>
      <c r="AC13" s="56">
        <f t="shared" si="1"/>
        <v>0</v>
      </c>
      <c r="AD13" s="9"/>
    </row>
    <row r="14" spans="1:30" x14ac:dyDescent="0.25">
      <c r="A14" s="1" t="s">
        <v>37</v>
      </c>
      <c r="B14" s="13" t="s">
        <v>38</v>
      </c>
      <c r="C14" s="13"/>
      <c r="D14" s="13">
        <v>0</v>
      </c>
      <c r="E14" s="13">
        <v>0</v>
      </c>
      <c r="F14" s="13">
        <v>0</v>
      </c>
      <c r="G14" s="46">
        <f t="shared" si="2"/>
        <v>0</v>
      </c>
      <c r="H14" s="47"/>
      <c r="I14" s="57">
        <v>1.0109999999999999</v>
      </c>
      <c r="J14" s="57"/>
      <c r="K14" s="49">
        <f t="shared" si="3"/>
        <v>0</v>
      </c>
      <c r="L14" s="50">
        <f t="shared" si="4"/>
        <v>0</v>
      </c>
      <c r="N14" s="51">
        <v>5103</v>
      </c>
      <c r="O14" s="52">
        <v>103</v>
      </c>
      <c r="P14" s="53"/>
      <c r="Q14" s="54"/>
      <c r="V14" s="623" t="s">
        <v>38</v>
      </c>
      <c r="W14" s="623"/>
      <c r="X14" s="618">
        <f>IF('0642'!K$84=1,'0642'!G14,0)</f>
        <v>0</v>
      </c>
      <c r="Y14" s="618"/>
      <c r="Z14" s="624">
        <v>1</v>
      </c>
      <c r="AA14" s="624"/>
      <c r="AB14" s="55">
        <f t="shared" si="0"/>
        <v>0</v>
      </c>
      <c r="AC14" s="56">
        <f t="shared" si="1"/>
        <v>0</v>
      </c>
      <c r="AD14" s="9"/>
    </row>
    <row r="15" spans="1:30" x14ac:dyDescent="0.25">
      <c r="A15" s="1" t="s">
        <v>39</v>
      </c>
      <c r="B15" s="13" t="s">
        <v>40</v>
      </c>
      <c r="C15" s="13"/>
      <c r="D15" s="13">
        <v>0</v>
      </c>
      <c r="E15" s="13">
        <v>0</v>
      </c>
      <c r="F15" s="13">
        <v>0</v>
      </c>
      <c r="G15" s="46">
        <f t="shared" si="2"/>
        <v>0</v>
      </c>
      <c r="H15" s="47"/>
      <c r="I15" s="57">
        <f>I14</f>
        <v>1.0109999999999999</v>
      </c>
      <c r="J15" s="57"/>
      <c r="K15" s="49">
        <f t="shared" si="3"/>
        <v>0</v>
      </c>
      <c r="L15" s="59">
        <f t="shared" si="4"/>
        <v>0</v>
      </c>
      <c r="M15" s="1" t="str">
        <f>IF(ROUND(G15,2)=ROUND(SUM(G34:G36),2)," ","CHECK 2. PK-3 Lines Below")</f>
        <v xml:space="preserve"> </v>
      </c>
      <c r="N15" s="51">
        <v>5103</v>
      </c>
      <c r="O15" s="58" t="s">
        <v>41</v>
      </c>
      <c r="P15" s="53"/>
      <c r="Q15" s="54"/>
      <c r="V15" s="623" t="s">
        <v>40</v>
      </c>
      <c r="W15" s="623"/>
      <c r="X15" s="618">
        <f>IF('0642'!K$84=1,'0642'!G15,0)</f>
        <v>0</v>
      </c>
      <c r="Y15" s="618"/>
      <c r="Z15" s="624">
        <v>1</v>
      </c>
      <c r="AA15" s="624"/>
      <c r="AB15" s="55">
        <f t="shared" si="0"/>
        <v>0</v>
      </c>
      <c r="AC15" s="60">
        <f t="shared" si="1"/>
        <v>0</v>
      </c>
      <c r="AD15" s="9"/>
    </row>
    <row r="16" spans="1:30" x14ac:dyDescent="0.25">
      <c r="A16" s="1" t="s">
        <v>42</v>
      </c>
      <c r="B16" s="13" t="s">
        <v>43</v>
      </c>
      <c r="C16" s="13"/>
      <c r="D16" s="13">
        <v>0</v>
      </c>
      <c r="E16" s="13">
        <v>0</v>
      </c>
      <c r="F16" s="13">
        <v>0</v>
      </c>
      <c r="G16" s="46">
        <f t="shared" si="2"/>
        <v>0</v>
      </c>
      <c r="H16" s="47"/>
      <c r="I16" s="57">
        <v>3.5579999999999998</v>
      </c>
      <c r="J16" s="57"/>
      <c r="K16" s="49">
        <f t="shared" si="3"/>
        <v>0</v>
      </c>
      <c r="L16" s="50">
        <f t="shared" si="4"/>
        <v>0</v>
      </c>
      <c r="N16" s="51">
        <v>5101</v>
      </c>
      <c r="O16" s="53">
        <v>254</v>
      </c>
      <c r="P16" s="53"/>
      <c r="Q16" s="54"/>
      <c r="V16" s="623" t="s">
        <v>43</v>
      </c>
      <c r="W16" s="623"/>
      <c r="X16" s="618">
        <f>IF('0642'!K$84=1,'0642'!G16,0)</f>
        <v>0</v>
      </c>
      <c r="Y16" s="618"/>
      <c r="Z16" s="624">
        <v>1</v>
      </c>
      <c r="AA16" s="624"/>
      <c r="AB16" s="55">
        <f t="shared" si="0"/>
        <v>0</v>
      </c>
      <c r="AC16" s="56">
        <f t="shared" si="1"/>
        <v>0</v>
      </c>
      <c r="AD16" s="9"/>
    </row>
    <row r="17" spans="1:30" x14ac:dyDescent="0.25">
      <c r="A17" s="1" t="s">
        <v>44</v>
      </c>
      <c r="B17" s="13" t="s">
        <v>45</v>
      </c>
      <c r="C17" s="13"/>
      <c r="D17" s="13">
        <v>0</v>
      </c>
      <c r="E17" s="13">
        <v>0</v>
      </c>
      <c r="F17" s="13">
        <v>0</v>
      </c>
      <c r="G17" s="46">
        <f t="shared" si="2"/>
        <v>0</v>
      </c>
      <c r="H17" s="47"/>
      <c r="I17" s="57">
        <f>I16</f>
        <v>3.5579999999999998</v>
      </c>
      <c r="J17" s="57"/>
      <c r="K17" s="49">
        <f t="shared" si="3"/>
        <v>0</v>
      </c>
      <c r="L17" s="50">
        <f t="shared" si="4"/>
        <v>0</v>
      </c>
      <c r="N17" s="51">
        <v>5102</v>
      </c>
      <c r="O17" s="54">
        <v>254</v>
      </c>
      <c r="P17" s="53"/>
      <c r="Q17" s="54"/>
      <c r="V17" s="623" t="s">
        <v>45</v>
      </c>
      <c r="W17" s="623"/>
      <c r="X17" s="618">
        <f>IF('0642'!K$84=1,'0642'!G17,0)</f>
        <v>0</v>
      </c>
      <c r="Y17" s="618"/>
      <c r="Z17" s="624">
        <v>1</v>
      </c>
      <c r="AA17" s="624"/>
      <c r="AB17" s="55">
        <f t="shared" si="0"/>
        <v>0</v>
      </c>
      <c r="AC17" s="56">
        <f t="shared" si="1"/>
        <v>0</v>
      </c>
      <c r="AD17" s="9"/>
    </row>
    <row r="18" spans="1:30" x14ac:dyDescent="0.25">
      <c r="A18" s="1" t="s">
        <v>46</v>
      </c>
      <c r="B18" s="13" t="s">
        <v>47</v>
      </c>
      <c r="C18" s="13"/>
      <c r="D18" s="13">
        <v>0</v>
      </c>
      <c r="E18" s="13">
        <v>0</v>
      </c>
      <c r="F18" s="13">
        <v>0</v>
      </c>
      <c r="G18" s="46">
        <f t="shared" si="2"/>
        <v>0</v>
      </c>
      <c r="H18" s="47"/>
      <c r="I18" s="57">
        <f>I17</f>
        <v>3.5579999999999998</v>
      </c>
      <c r="J18" s="57"/>
      <c r="K18" s="49">
        <f t="shared" si="3"/>
        <v>0</v>
      </c>
      <c r="L18" s="50">
        <f t="shared" si="4"/>
        <v>0</v>
      </c>
      <c r="N18" s="51">
        <v>5103</v>
      </c>
      <c r="O18" s="54">
        <v>254</v>
      </c>
      <c r="P18" s="53"/>
      <c r="Q18" s="54"/>
      <c r="V18" s="623" t="s">
        <v>47</v>
      </c>
      <c r="W18" s="623"/>
      <c r="X18" s="618">
        <f>IF('0642'!K$84=1,'0642'!G18,0)</f>
        <v>0</v>
      </c>
      <c r="Y18" s="618"/>
      <c r="Z18" s="624">
        <v>1</v>
      </c>
      <c r="AA18" s="624"/>
      <c r="AB18" s="55">
        <f t="shared" si="0"/>
        <v>0</v>
      </c>
      <c r="AC18" s="56">
        <f t="shared" si="1"/>
        <v>0</v>
      </c>
      <c r="AD18" s="9"/>
    </row>
    <row r="19" spans="1:30" ht="15" customHeight="1" x14ac:dyDescent="0.25">
      <c r="A19" s="1" t="s">
        <v>48</v>
      </c>
      <c r="B19" s="13" t="s">
        <v>49</v>
      </c>
      <c r="C19" s="13"/>
      <c r="D19" s="13">
        <v>0</v>
      </c>
      <c r="E19" s="13">
        <v>0</v>
      </c>
      <c r="F19" s="13">
        <v>0</v>
      </c>
      <c r="G19" s="46">
        <f t="shared" si="2"/>
        <v>0</v>
      </c>
      <c r="H19" s="47"/>
      <c r="I19" s="57">
        <v>5.0890000000000004</v>
      </c>
      <c r="J19" s="57"/>
      <c r="K19" s="49">
        <f t="shared" si="3"/>
        <v>0</v>
      </c>
      <c r="L19" s="50">
        <f t="shared" si="4"/>
        <v>0</v>
      </c>
      <c r="N19" s="51">
        <v>5101</v>
      </c>
      <c r="O19" s="53">
        <v>255</v>
      </c>
      <c r="P19" s="53"/>
      <c r="Q19" s="54"/>
      <c r="V19" s="623" t="s">
        <v>49</v>
      </c>
      <c r="W19" s="623"/>
      <c r="X19" s="618">
        <f>IF('0642'!K$84=1,'0642'!G19,0)</f>
        <v>0</v>
      </c>
      <c r="Y19" s="618"/>
      <c r="Z19" s="624">
        <v>1</v>
      </c>
      <c r="AA19" s="624"/>
      <c r="AB19" s="55">
        <f t="shared" si="0"/>
        <v>0</v>
      </c>
      <c r="AC19" s="56">
        <f t="shared" si="1"/>
        <v>0</v>
      </c>
      <c r="AD19" s="9"/>
    </row>
    <row r="20" spans="1:30" ht="15" customHeight="1" x14ac:dyDescent="0.25">
      <c r="A20" s="1" t="s">
        <v>50</v>
      </c>
      <c r="B20" s="13" t="s">
        <v>51</v>
      </c>
      <c r="C20" s="13"/>
      <c r="D20" s="13">
        <v>0</v>
      </c>
      <c r="E20" s="13">
        <v>0</v>
      </c>
      <c r="F20" s="13">
        <v>0</v>
      </c>
      <c r="G20" s="46">
        <f t="shared" si="2"/>
        <v>0</v>
      </c>
      <c r="H20" s="47"/>
      <c r="I20" s="57">
        <f>I19</f>
        <v>5.0890000000000004</v>
      </c>
      <c r="J20" s="57"/>
      <c r="K20" s="49">
        <f t="shared" si="3"/>
        <v>0</v>
      </c>
      <c r="L20" s="50">
        <f t="shared" si="4"/>
        <v>0</v>
      </c>
      <c r="N20" s="51">
        <v>5102</v>
      </c>
      <c r="O20" s="54">
        <v>255</v>
      </c>
      <c r="P20" s="53"/>
      <c r="Q20" s="54"/>
      <c r="V20" s="623" t="s">
        <v>51</v>
      </c>
      <c r="W20" s="623"/>
      <c r="X20" s="618">
        <f>IF('0642'!K$84=1,'0642'!G20,0)</f>
        <v>0</v>
      </c>
      <c r="Y20" s="618"/>
      <c r="Z20" s="624">
        <v>1</v>
      </c>
      <c r="AA20" s="624"/>
      <c r="AB20" s="55">
        <f t="shared" si="0"/>
        <v>0</v>
      </c>
      <c r="AC20" s="56">
        <f t="shared" si="1"/>
        <v>0</v>
      </c>
      <c r="AD20" s="9"/>
    </row>
    <row r="21" spans="1:30" ht="15" customHeight="1" x14ac:dyDescent="0.25">
      <c r="A21" s="1" t="s">
        <v>52</v>
      </c>
      <c r="B21" s="13" t="s">
        <v>53</v>
      </c>
      <c r="C21" s="13"/>
      <c r="D21" s="13">
        <v>0</v>
      </c>
      <c r="E21" s="13">
        <v>0</v>
      </c>
      <c r="F21" s="13">
        <v>0</v>
      </c>
      <c r="G21" s="46">
        <f t="shared" si="2"/>
        <v>0</v>
      </c>
      <c r="H21" s="47"/>
      <c r="I21" s="57">
        <f>I20</f>
        <v>5.0890000000000004</v>
      </c>
      <c r="J21" s="57"/>
      <c r="K21" s="49">
        <f t="shared" si="3"/>
        <v>0</v>
      </c>
      <c r="L21" s="50">
        <f t="shared" si="4"/>
        <v>0</v>
      </c>
      <c r="N21" s="51">
        <v>5103</v>
      </c>
      <c r="O21" s="54">
        <v>255</v>
      </c>
      <c r="P21" s="53"/>
      <c r="Q21" s="54"/>
      <c r="V21" s="623" t="s">
        <v>53</v>
      </c>
      <c r="W21" s="623"/>
      <c r="X21" s="618">
        <f>IF('0642'!K$84=1,'0642'!G21,0)</f>
        <v>0</v>
      </c>
      <c r="Y21" s="618"/>
      <c r="Z21" s="624">
        <v>1</v>
      </c>
      <c r="AA21" s="624"/>
      <c r="AB21" s="55">
        <f t="shared" si="0"/>
        <v>0</v>
      </c>
      <c r="AC21" s="56">
        <f t="shared" si="1"/>
        <v>0</v>
      </c>
      <c r="AD21" s="9"/>
    </row>
    <row r="22" spans="1:30" x14ac:dyDescent="0.25">
      <c r="A22" s="1" t="s">
        <v>54</v>
      </c>
      <c r="B22" s="13" t="s">
        <v>55</v>
      </c>
      <c r="C22" s="13"/>
      <c r="D22" s="13">
        <v>3.44</v>
      </c>
      <c r="E22" s="13">
        <v>4.16</v>
      </c>
      <c r="F22" s="13">
        <v>4</v>
      </c>
      <c r="G22" s="46">
        <f t="shared" si="2"/>
        <v>7.6</v>
      </c>
      <c r="H22" s="47"/>
      <c r="I22" s="57">
        <v>1.145</v>
      </c>
      <c r="J22" s="57"/>
      <c r="K22" s="49">
        <f t="shared" si="3"/>
        <v>8.702</v>
      </c>
      <c r="L22" s="50">
        <f t="shared" si="4"/>
        <v>33717</v>
      </c>
      <c r="N22" s="51">
        <v>5101</v>
      </c>
      <c r="O22" s="52">
        <v>130</v>
      </c>
      <c r="P22" s="53"/>
      <c r="Q22" s="54"/>
      <c r="V22" s="623" t="s">
        <v>55</v>
      </c>
      <c r="W22" s="623"/>
      <c r="X22" s="618">
        <f>IF('0642'!K$84=1,'0642'!G22,0)</f>
        <v>0</v>
      </c>
      <c r="Y22" s="618"/>
      <c r="Z22" s="624">
        <v>1</v>
      </c>
      <c r="AA22" s="624"/>
      <c r="AB22" s="55">
        <f t="shared" si="0"/>
        <v>0</v>
      </c>
      <c r="AC22" s="56">
        <f t="shared" si="1"/>
        <v>0</v>
      </c>
      <c r="AD22" s="9"/>
    </row>
    <row r="23" spans="1:30" x14ac:dyDescent="0.25">
      <c r="A23" s="1" t="s">
        <v>56</v>
      </c>
      <c r="B23" s="13" t="s">
        <v>57</v>
      </c>
      <c r="C23" s="13"/>
      <c r="D23" s="13">
        <v>0</v>
      </c>
      <c r="E23" s="13">
        <v>0</v>
      </c>
      <c r="F23" s="13">
        <v>0</v>
      </c>
      <c r="G23" s="46">
        <f t="shared" si="2"/>
        <v>0</v>
      </c>
      <c r="H23" s="47"/>
      <c r="I23" s="57">
        <f>I22</f>
        <v>1.145</v>
      </c>
      <c r="J23" s="57"/>
      <c r="K23" s="49">
        <f t="shared" si="3"/>
        <v>0</v>
      </c>
      <c r="L23" s="50">
        <f t="shared" si="4"/>
        <v>0</v>
      </c>
      <c r="N23" s="51">
        <v>5102</v>
      </c>
      <c r="O23" s="52">
        <v>130</v>
      </c>
      <c r="P23" s="53"/>
      <c r="Q23" s="54"/>
      <c r="V23" s="623" t="s">
        <v>57</v>
      </c>
      <c r="W23" s="623"/>
      <c r="X23" s="618">
        <f>IF('0642'!K$84=1,'0642'!G23,0)</f>
        <v>0</v>
      </c>
      <c r="Y23" s="618"/>
      <c r="Z23" s="624">
        <v>1</v>
      </c>
      <c r="AA23" s="624"/>
      <c r="AB23" s="55">
        <f t="shared" si="0"/>
        <v>0</v>
      </c>
      <c r="AC23" s="56">
        <f t="shared" si="1"/>
        <v>0</v>
      </c>
      <c r="AD23" s="9"/>
    </row>
    <row r="24" spans="1:30" x14ac:dyDescent="0.25">
      <c r="A24" s="1" t="s">
        <v>58</v>
      </c>
      <c r="B24" s="13" t="s">
        <v>59</v>
      </c>
      <c r="C24" s="13"/>
      <c r="D24" s="13">
        <v>0</v>
      </c>
      <c r="E24" s="13">
        <v>0</v>
      </c>
      <c r="F24" s="13">
        <v>0</v>
      </c>
      <c r="G24" s="46">
        <f t="shared" si="2"/>
        <v>0</v>
      </c>
      <c r="H24" s="47"/>
      <c r="I24" s="57">
        <f>I23</f>
        <v>1.145</v>
      </c>
      <c r="J24" s="57"/>
      <c r="K24" s="49">
        <f t="shared" si="3"/>
        <v>0</v>
      </c>
      <c r="L24" s="50">
        <f t="shared" si="4"/>
        <v>0</v>
      </c>
      <c r="N24" s="51">
        <v>5103</v>
      </c>
      <c r="O24" s="52">
        <v>130</v>
      </c>
      <c r="P24" s="53"/>
      <c r="Q24" s="54"/>
      <c r="V24" s="623" t="s">
        <v>59</v>
      </c>
      <c r="W24" s="623"/>
      <c r="X24" s="618">
        <f>IF('0642'!K$84=1,'0642'!G24,0)</f>
        <v>0</v>
      </c>
      <c r="Y24" s="618"/>
      <c r="Z24" s="624">
        <v>1</v>
      </c>
      <c r="AA24" s="624"/>
      <c r="AB24" s="55">
        <f t="shared" si="0"/>
        <v>0</v>
      </c>
      <c r="AC24" s="56">
        <f t="shared" si="1"/>
        <v>0</v>
      </c>
      <c r="AD24" s="9"/>
    </row>
    <row r="25" spans="1:30" ht="16.5" thickBot="1" x14ac:dyDescent="0.3">
      <c r="A25" s="1" t="s">
        <v>60</v>
      </c>
      <c r="B25" s="13" t="s">
        <v>61</v>
      </c>
      <c r="C25" s="13"/>
      <c r="D25" s="13">
        <v>0</v>
      </c>
      <c r="E25" s="13">
        <v>0</v>
      </c>
      <c r="F25" s="13">
        <v>0</v>
      </c>
      <c r="G25" s="46">
        <f t="shared" si="2"/>
        <v>0</v>
      </c>
      <c r="H25" s="47"/>
      <c r="I25" s="57">
        <v>1.0109999999999999</v>
      </c>
      <c r="J25" s="57"/>
      <c r="K25" s="49">
        <f t="shared" si="3"/>
        <v>0</v>
      </c>
      <c r="L25" s="50">
        <f t="shared" si="4"/>
        <v>0</v>
      </c>
      <c r="N25" s="51">
        <v>5310</v>
      </c>
      <c r="O25" s="52">
        <v>300</v>
      </c>
      <c r="P25" s="53"/>
      <c r="Q25" s="54"/>
      <c r="V25" s="623" t="s">
        <v>61</v>
      </c>
      <c r="W25" s="623"/>
      <c r="X25" s="618">
        <f>IF('0642'!K$84=1,'0642'!G25,0)</f>
        <v>0</v>
      </c>
      <c r="Y25" s="618"/>
      <c r="Z25" s="624">
        <v>1</v>
      </c>
      <c r="AA25" s="624"/>
      <c r="AB25" s="55">
        <f t="shared" si="0"/>
        <v>0</v>
      </c>
      <c r="AC25" s="56">
        <f t="shared" si="1"/>
        <v>0</v>
      </c>
      <c r="AD25" s="9"/>
    </row>
    <row r="26" spans="1:30" ht="20.25" customHeight="1" thickBot="1" x14ac:dyDescent="0.3">
      <c r="B26" s="62" t="s">
        <v>62</v>
      </c>
      <c r="C26" s="62"/>
      <c r="D26" s="63">
        <f t="shared" ref="D26:E26" si="5">SUM(D10:D25)</f>
        <v>41.79</v>
      </c>
      <c r="E26" s="63">
        <f t="shared" si="5"/>
        <v>40.17</v>
      </c>
      <c r="F26" s="63"/>
      <c r="G26" s="63">
        <f>SUM(G10:G25)</f>
        <v>81.96</v>
      </c>
      <c r="H26" s="64"/>
      <c r="I26" s="64"/>
      <c r="J26" s="65"/>
      <c r="K26" s="66">
        <f>SUM(K10:K25)</f>
        <v>88.99199999999999</v>
      </c>
      <c r="L26" s="67">
        <f>SUM(L10:L25)</f>
        <v>344811</v>
      </c>
      <c r="N26" s="54"/>
      <c r="O26" s="68"/>
      <c r="P26" s="54"/>
      <c r="Q26" s="54"/>
      <c r="V26" s="625" t="s">
        <v>62</v>
      </c>
      <c r="W26" s="625"/>
      <c r="X26" s="626">
        <f>SUM(X10:X25)</f>
        <v>0</v>
      </c>
      <c r="Y26" s="626"/>
      <c r="Z26" s="627"/>
      <c r="AA26" s="628"/>
      <c r="AB26" s="69">
        <f>SUM(AB10:AB25)</f>
        <v>0</v>
      </c>
      <c r="AC26" s="70">
        <f>SUM(AC10:AC25)</f>
        <v>0</v>
      </c>
      <c r="AD26" s="9"/>
    </row>
    <row r="27" spans="1:30" ht="51.75" customHeight="1" x14ac:dyDescent="0.25">
      <c r="B27" s="62" t="s">
        <v>63</v>
      </c>
      <c r="C27" s="62"/>
      <c r="D27" s="71" t="s">
        <v>13</v>
      </c>
      <c r="E27" s="71" t="s">
        <v>14</v>
      </c>
      <c r="F27" s="27"/>
      <c r="G27" s="72" t="s">
        <v>64</v>
      </c>
      <c r="H27" s="73"/>
      <c r="I27" s="74" t="s">
        <v>65</v>
      </c>
      <c r="J27" s="74" t="s">
        <v>66</v>
      </c>
      <c r="K27" s="75" t="s">
        <v>67</v>
      </c>
      <c r="N27" s="54"/>
      <c r="O27" s="68"/>
      <c r="P27" s="54"/>
      <c r="Q27" s="54"/>
      <c r="V27" s="629" t="s">
        <v>63</v>
      </c>
      <c r="W27" s="629"/>
      <c r="X27" s="630" t="s">
        <v>64</v>
      </c>
      <c r="Y27" s="630"/>
      <c r="Z27" s="76" t="s">
        <v>65</v>
      </c>
      <c r="AA27" s="77" t="s">
        <v>66</v>
      </c>
      <c r="AB27" s="78" t="s">
        <v>67</v>
      </c>
      <c r="AC27" s="9"/>
      <c r="AD27" s="9"/>
    </row>
    <row r="28" spans="1:30" ht="15.75" customHeight="1" x14ac:dyDescent="0.25">
      <c r="A28" s="1" t="s">
        <v>68</v>
      </c>
      <c r="B28" s="631" t="s">
        <v>69</v>
      </c>
      <c r="C28" s="632"/>
      <c r="D28" s="13">
        <v>2</v>
      </c>
      <c r="E28" s="13">
        <v>2</v>
      </c>
      <c r="F28" s="79">
        <v>3</v>
      </c>
      <c r="G28" s="46">
        <f t="shared" ref="G28:G36" si="6">D28+E28</f>
        <v>4</v>
      </c>
      <c r="H28" s="80"/>
      <c r="I28" s="81" t="s">
        <v>70</v>
      </c>
      <c r="J28" s="82">
        <v>251</v>
      </c>
      <c r="K28" s="83">
        <v>1047</v>
      </c>
      <c r="L28" s="84">
        <f>ROUND(G28*K28,0)</f>
        <v>4188</v>
      </c>
      <c r="N28" s="85">
        <v>5101</v>
      </c>
      <c r="O28" s="54">
        <v>251</v>
      </c>
      <c r="P28" s="86"/>
      <c r="Q28" s="87"/>
      <c r="V28" s="637" t="s">
        <v>69</v>
      </c>
      <c r="W28" s="637"/>
      <c r="X28" s="638"/>
      <c r="Y28" s="638"/>
      <c r="Z28" s="88" t="s">
        <v>70</v>
      </c>
      <c r="AA28" s="89">
        <v>251</v>
      </c>
      <c r="AB28" s="90">
        <f>+K28</f>
        <v>1047</v>
      </c>
      <c r="AC28" s="91">
        <f t="shared" ref="AC28:AC36" si="7">ROUND(X28*AB28,0)</f>
        <v>0</v>
      </c>
      <c r="AD28" s="9"/>
    </row>
    <row r="29" spans="1:30" x14ac:dyDescent="0.25">
      <c r="A29" s="1" t="s">
        <v>71</v>
      </c>
      <c r="B29" s="633"/>
      <c r="C29" s="634"/>
      <c r="D29" s="13">
        <v>0</v>
      </c>
      <c r="E29" s="13">
        <v>0</v>
      </c>
      <c r="F29" s="92">
        <v>0</v>
      </c>
      <c r="G29" s="46">
        <f t="shared" si="6"/>
        <v>0</v>
      </c>
      <c r="H29" s="80"/>
      <c r="I29" s="82" t="s">
        <v>70</v>
      </c>
      <c r="J29" s="82">
        <v>252</v>
      </c>
      <c r="K29" s="83">
        <v>3380</v>
      </c>
      <c r="L29" s="84">
        <f t="shared" ref="L29:L36" si="8">ROUND(G29*K29,0)</f>
        <v>0</v>
      </c>
      <c r="N29" s="85">
        <v>5101</v>
      </c>
      <c r="O29" s="54">
        <v>252</v>
      </c>
      <c r="P29" s="86"/>
      <c r="Q29" s="87"/>
      <c r="V29" s="637"/>
      <c r="W29" s="637"/>
      <c r="X29" s="638"/>
      <c r="Y29" s="638"/>
      <c r="Z29" s="89" t="s">
        <v>70</v>
      </c>
      <c r="AA29" s="89">
        <v>252</v>
      </c>
      <c r="AB29" s="90">
        <f t="shared" ref="AB29:AB36" si="9">+K29</f>
        <v>3380</v>
      </c>
      <c r="AC29" s="91">
        <f t="shared" si="7"/>
        <v>0</v>
      </c>
      <c r="AD29" s="9"/>
    </row>
    <row r="30" spans="1:30" x14ac:dyDescent="0.25">
      <c r="A30" s="1" t="s">
        <v>72</v>
      </c>
      <c r="B30" s="633"/>
      <c r="C30" s="634"/>
      <c r="D30" s="13">
        <v>0</v>
      </c>
      <c r="E30" s="13">
        <v>0</v>
      </c>
      <c r="F30" s="92">
        <v>0</v>
      </c>
      <c r="G30" s="46">
        <f t="shared" si="6"/>
        <v>0</v>
      </c>
      <c r="H30" s="80"/>
      <c r="I30" s="82" t="s">
        <v>70</v>
      </c>
      <c r="J30" s="82">
        <v>253</v>
      </c>
      <c r="K30" s="83">
        <v>6896</v>
      </c>
      <c r="L30" s="84">
        <f t="shared" si="8"/>
        <v>0</v>
      </c>
      <c r="N30" s="85">
        <v>5101</v>
      </c>
      <c r="O30" s="54">
        <v>253</v>
      </c>
      <c r="P30" s="86"/>
      <c r="Q30" s="68"/>
      <c r="V30" s="637"/>
      <c r="W30" s="637"/>
      <c r="X30" s="638"/>
      <c r="Y30" s="638"/>
      <c r="Z30" s="89" t="s">
        <v>70</v>
      </c>
      <c r="AA30" s="89">
        <v>253</v>
      </c>
      <c r="AB30" s="90">
        <f t="shared" si="9"/>
        <v>6896</v>
      </c>
      <c r="AC30" s="91">
        <f t="shared" si="7"/>
        <v>0</v>
      </c>
      <c r="AD30" s="9"/>
    </row>
    <row r="31" spans="1:30" x14ac:dyDescent="0.25">
      <c r="A31" s="1" t="s">
        <v>73</v>
      </c>
      <c r="B31" s="633"/>
      <c r="C31" s="634"/>
      <c r="D31" s="13">
        <v>1</v>
      </c>
      <c r="E31" s="13">
        <v>1</v>
      </c>
      <c r="F31" s="92">
        <v>2</v>
      </c>
      <c r="G31" s="46">
        <f t="shared" si="6"/>
        <v>2</v>
      </c>
      <c r="H31" s="80"/>
      <c r="I31" s="93" t="s">
        <v>74</v>
      </c>
      <c r="J31" s="82">
        <v>251</v>
      </c>
      <c r="K31" s="83">
        <v>1173</v>
      </c>
      <c r="L31" s="84">
        <f t="shared" si="8"/>
        <v>2346</v>
      </c>
      <c r="N31" s="85">
        <v>5102</v>
      </c>
      <c r="O31" s="54">
        <v>251</v>
      </c>
      <c r="P31" s="86"/>
      <c r="Q31" s="68"/>
      <c r="V31" s="637"/>
      <c r="W31" s="637"/>
      <c r="X31" s="638"/>
      <c r="Y31" s="638"/>
      <c r="Z31" s="94" t="s">
        <v>74</v>
      </c>
      <c r="AA31" s="89">
        <v>251</v>
      </c>
      <c r="AB31" s="90">
        <f t="shared" si="9"/>
        <v>1173</v>
      </c>
      <c r="AC31" s="91">
        <f t="shared" si="7"/>
        <v>0</v>
      </c>
      <c r="AD31" s="9"/>
    </row>
    <row r="32" spans="1:30" x14ac:dyDescent="0.25">
      <c r="A32" s="1" t="s">
        <v>75</v>
      </c>
      <c r="B32" s="633"/>
      <c r="C32" s="634"/>
      <c r="D32" s="13">
        <v>0</v>
      </c>
      <c r="E32" s="13">
        <v>0</v>
      </c>
      <c r="F32" s="92">
        <v>0</v>
      </c>
      <c r="G32" s="46">
        <f t="shared" si="6"/>
        <v>0</v>
      </c>
      <c r="H32" s="80"/>
      <c r="I32" s="93" t="s">
        <v>74</v>
      </c>
      <c r="J32" s="82">
        <v>252</v>
      </c>
      <c r="K32" s="83">
        <v>3506</v>
      </c>
      <c r="L32" s="84">
        <f t="shared" si="8"/>
        <v>0</v>
      </c>
      <c r="N32" s="85">
        <v>5102</v>
      </c>
      <c r="O32" s="54">
        <v>252</v>
      </c>
      <c r="P32" s="86"/>
      <c r="Q32" s="54"/>
      <c r="V32" s="637"/>
      <c r="W32" s="637"/>
      <c r="X32" s="638"/>
      <c r="Y32" s="638"/>
      <c r="Z32" s="94" t="s">
        <v>74</v>
      </c>
      <c r="AA32" s="89">
        <v>252</v>
      </c>
      <c r="AB32" s="90">
        <f t="shared" si="9"/>
        <v>3506</v>
      </c>
      <c r="AC32" s="91">
        <f t="shared" si="7"/>
        <v>0</v>
      </c>
      <c r="AD32" s="9"/>
    </row>
    <row r="33" spans="1:30" x14ac:dyDescent="0.25">
      <c r="A33" s="1" t="s">
        <v>76</v>
      </c>
      <c r="B33" s="633"/>
      <c r="C33" s="634"/>
      <c r="D33" s="13">
        <v>0</v>
      </c>
      <c r="E33" s="13">
        <v>0</v>
      </c>
      <c r="F33" s="92">
        <v>0</v>
      </c>
      <c r="G33" s="46">
        <f t="shared" si="6"/>
        <v>0</v>
      </c>
      <c r="H33" s="80"/>
      <c r="I33" s="93" t="s">
        <v>74</v>
      </c>
      <c r="J33" s="82">
        <v>253</v>
      </c>
      <c r="K33" s="83">
        <v>7023</v>
      </c>
      <c r="L33" s="84">
        <f t="shared" si="8"/>
        <v>0</v>
      </c>
      <c r="N33" s="85">
        <v>5102</v>
      </c>
      <c r="O33" s="54">
        <v>253</v>
      </c>
      <c r="P33" s="86"/>
      <c r="Q33" s="87"/>
      <c r="V33" s="637"/>
      <c r="W33" s="637"/>
      <c r="X33" s="638"/>
      <c r="Y33" s="638"/>
      <c r="Z33" s="94" t="s">
        <v>74</v>
      </c>
      <c r="AA33" s="89">
        <v>253</v>
      </c>
      <c r="AB33" s="90">
        <f t="shared" si="9"/>
        <v>7023</v>
      </c>
      <c r="AC33" s="91">
        <f t="shared" si="7"/>
        <v>0</v>
      </c>
      <c r="AD33" s="9"/>
    </row>
    <row r="34" spans="1:30" x14ac:dyDescent="0.25">
      <c r="A34" s="1" t="s">
        <v>77</v>
      </c>
      <c r="B34" s="633"/>
      <c r="C34" s="634"/>
      <c r="D34" s="13">
        <v>0</v>
      </c>
      <c r="E34" s="13">
        <v>0</v>
      </c>
      <c r="F34" s="92">
        <v>0</v>
      </c>
      <c r="G34" s="46">
        <f t="shared" si="6"/>
        <v>0</v>
      </c>
      <c r="H34" s="80"/>
      <c r="I34" s="93" t="s">
        <v>78</v>
      </c>
      <c r="J34" s="82">
        <v>251</v>
      </c>
      <c r="K34" s="83">
        <v>835</v>
      </c>
      <c r="L34" s="84">
        <f t="shared" si="8"/>
        <v>0</v>
      </c>
      <c r="N34" s="85">
        <v>5103</v>
      </c>
      <c r="O34" s="54">
        <v>251</v>
      </c>
      <c r="P34" s="86"/>
      <c r="Q34" s="87"/>
      <c r="V34" s="637"/>
      <c r="W34" s="637"/>
      <c r="X34" s="638"/>
      <c r="Y34" s="638"/>
      <c r="Z34" s="94" t="s">
        <v>78</v>
      </c>
      <c r="AA34" s="89">
        <v>251</v>
      </c>
      <c r="AB34" s="90">
        <f t="shared" si="9"/>
        <v>835</v>
      </c>
      <c r="AC34" s="91">
        <f t="shared" si="7"/>
        <v>0</v>
      </c>
      <c r="AD34" s="9"/>
    </row>
    <row r="35" spans="1:30" x14ac:dyDescent="0.25">
      <c r="A35" s="1" t="s">
        <v>79</v>
      </c>
      <c r="B35" s="633"/>
      <c r="C35" s="634"/>
      <c r="D35" s="13">
        <v>0</v>
      </c>
      <c r="E35" s="13">
        <v>0</v>
      </c>
      <c r="F35" s="92">
        <v>0</v>
      </c>
      <c r="G35" s="46">
        <f t="shared" si="6"/>
        <v>0</v>
      </c>
      <c r="H35" s="80"/>
      <c r="I35" s="93" t="s">
        <v>78</v>
      </c>
      <c r="J35" s="82">
        <v>252</v>
      </c>
      <c r="K35" s="83">
        <v>3168</v>
      </c>
      <c r="L35" s="84">
        <f t="shared" si="8"/>
        <v>0</v>
      </c>
      <c r="N35" s="85">
        <v>5103</v>
      </c>
      <c r="O35" s="54">
        <v>252</v>
      </c>
      <c r="P35" s="86"/>
      <c r="Q35" s="95"/>
      <c r="V35" s="637"/>
      <c r="W35" s="637"/>
      <c r="X35" s="638"/>
      <c r="Y35" s="638"/>
      <c r="Z35" s="94" t="s">
        <v>78</v>
      </c>
      <c r="AA35" s="89">
        <v>252</v>
      </c>
      <c r="AB35" s="90">
        <f t="shared" si="9"/>
        <v>3168</v>
      </c>
      <c r="AC35" s="91">
        <f t="shared" si="7"/>
        <v>0</v>
      </c>
      <c r="AD35" s="9"/>
    </row>
    <row r="36" spans="1:30" ht="16.5" thickBot="1" x14ac:dyDescent="0.3">
      <c r="A36" s="1" t="s">
        <v>80</v>
      </c>
      <c r="B36" s="635"/>
      <c r="C36" s="636"/>
      <c r="D36" s="13">
        <v>0</v>
      </c>
      <c r="E36" s="13">
        <v>0</v>
      </c>
      <c r="F36" s="92">
        <v>0</v>
      </c>
      <c r="G36" s="46">
        <f t="shared" si="6"/>
        <v>0</v>
      </c>
      <c r="H36" s="80"/>
      <c r="I36" s="93" t="s">
        <v>78</v>
      </c>
      <c r="J36" s="82">
        <v>253</v>
      </c>
      <c r="K36" s="83">
        <v>6685</v>
      </c>
      <c r="L36" s="96">
        <f t="shared" si="8"/>
        <v>0</v>
      </c>
      <c r="N36" s="85">
        <v>5103</v>
      </c>
      <c r="O36" s="54">
        <v>253</v>
      </c>
      <c r="P36" s="86"/>
      <c r="Q36" s="97"/>
      <c r="V36" s="637"/>
      <c r="W36" s="637"/>
      <c r="X36" s="645"/>
      <c r="Y36" s="645"/>
      <c r="Z36" s="94" t="s">
        <v>78</v>
      </c>
      <c r="AA36" s="89">
        <v>253</v>
      </c>
      <c r="AB36" s="90">
        <f t="shared" si="9"/>
        <v>6685</v>
      </c>
      <c r="AC36" s="98">
        <f t="shared" si="7"/>
        <v>0</v>
      </c>
      <c r="AD36" s="9"/>
    </row>
    <row r="37" spans="1:30" ht="18.75" customHeight="1" x14ac:dyDescent="0.25">
      <c r="B37" s="13" t="s">
        <v>81</v>
      </c>
      <c r="C37" s="13"/>
      <c r="D37" s="63">
        <f t="shared" ref="D37:E37" si="10">SUM(D28:D36)</f>
        <v>3</v>
      </c>
      <c r="E37" s="63">
        <f t="shared" si="10"/>
        <v>3</v>
      </c>
      <c r="F37" s="63"/>
      <c r="G37" s="63">
        <f>SUM(G28:G36)</f>
        <v>6</v>
      </c>
      <c r="H37" s="64"/>
      <c r="I37" s="13" t="s">
        <v>82</v>
      </c>
      <c r="J37" s="13"/>
      <c r="K37" s="13"/>
      <c r="L37" s="50">
        <f>SUM(L28:L36)</f>
        <v>6534</v>
      </c>
      <c r="N37" s="54"/>
      <c r="O37" s="68"/>
      <c r="P37" s="54"/>
      <c r="Q37" s="54"/>
      <c r="V37" s="646" t="s">
        <v>81</v>
      </c>
      <c r="W37" s="646"/>
      <c r="X37" s="626">
        <f>SUM(X28:X36)</f>
        <v>0</v>
      </c>
      <c r="Y37" s="626"/>
      <c r="Z37" s="646" t="s">
        <v>82</v>
      </c>
      <c r="AA37" s="646"/>
      <c r="AB37" s="646"/>
      <c r="AC37" s="56">
        <f>SUM(AC28:AC36)</f>
        <v>0</v>
      </c>
      <c r="AD37" s="9"/>
    </row>
    <row r="38" spans="1:30" ht="30.75" customHeight="1" x14ac:dyDescent="0.25">
      <c r="B38" s="99" t="s">
        <v>83</v>
      </c>
      <c r="C38" s="99"/>
      <c r="D38" s="99"/>
      <c r="E38" s="99"/>
      <c r="F38" s="99"/>
      <c r="G38" s="99"/>
      <c r="H38" s="100"/>
      <c r="I38" s="99"/>
      <c r="J38" s="99"/>
      <c r="K38" s="99"/>
      <c r="L38" s="99"/>
      <c r="M38" s="101"/>
      <c r="N38" s="54"/>
      <c r="O38" s="68"/>
      <c r="P38" s="54"/>
      <c r="Q38" s="54"/>
      <c r="V38" s="639" t="s">
        <v>83</v>
      </c>
      <c r="W38" s="639"/>
      <c r="X38" s="639"/>
      <c r="Y38" s="639"/>
      <c r="Z38" s="639"/>
      <c r="AA38" s="639"/>
      <c r="AB38" s="639"/>
      <c r="AC38" s="639"/>
      <c r="AD38" s="102"/>
    </row>
    <row r="39" spans="1:30" ht="15.75" customHeight="1" x14ac:dyDescent="0.25">
      <c r="B39" s="103" t="s">
        <v>84</v>
      </c>
      <c r="C39" s="103"/>
      <c r="D39" s="103"/>
      <c r="E39" s="103"/>
      <c r="F39" s="103"/>
      <c r="G39" s="104">
        <v>34389540</v>
      </c>
      <c r="H39" s="104"/>
      <c r="I39" s="13" t="s">
        <v>85</v>
      </c>
      <c r="J39" s="13"/>
      <c r="K39" s="13"/>
      <c r="L39" s="13"/>
      <c r="O39" s="1"/>
      <c r="V39" s="640" t="s">
        <v>84</v>
      </c>
      <c r="W39" s="640"/>
      <c r="X39" s="641">
        <f>+G39</f>
        <v>34389540</v>
      </c>
      <c r="Y39" s="641"/>
      <c r="Z39" s="642" t="s">
        <v>85</v>
      </c>
      <c r="AA39" s="642"/>
      <c r="AB39" s="642"/>
      <c r="AC39" s="642"/>
      <c r="AD39" s="9"/>
    </row>
    <row r="40" spans="1:30" ht="15.75" customHeight="1" x14ac:dyDescent="0.25">
      <c r="B40" s="105" t="s">
        <v>86</v>
      </c>
      <c r="C40" s="105"/>
      <c r="D40" s="105"/>
      <c r="E40" s="105"/>
      <c r="F40" s="105"/>
      <c r="G40" s="106">
        <v>180284.81</v>
      </c>
      <c r="H40" s="106"/>
      <c r="I40" s="106"/>
      <c r="J40" s="106"/>
      <c r="K40" s="50">
        <f>ROUND(G39/G40,0)</f>
        <v>191</v>
      </c>
      <c r="L40" s="50">
        <f>ROUND(K40*$G$26,0)</f>
        <v>15654</v>
      </c>
      <c r="N40" s="107"/>
      <c r="O40" s="107"/>
      <c r="P40" s="107"/>
      <c r="Q40" s="107"/>
      <c r="V40" s="643" t="s">
        <v>86</v>
      </c>
      <c r="W40" s="643"/>
      <c r="X40" s="644">
        <f>+G40</f>
        <v>180284.81</v>
      </c>
      <c r="Y40" s="644"/>
      <c r="Z40" s="644"/>
      <c r="AA40" s="644"/>
      <c r="AB40" s="56">
        <f>ROUND(X39/X40,0)</f>
        <v>191</v>
      </c>
      <c r="AC40" s="56">
        <f>ROUND(AB40*$X$26,0)</f>
        <v>0</v>
      </c>
      <c r="AD40" s="9"/>
    </row>
    <row r="41" spans="1:30" ht="15.75" customHeight="1" x14ac:dyDescent="0.25">
      <c r="B41" s="108" t="s">
        <v>87</v>
      </c>
      <c r="C41" s="108"/>
      <c r="D41" s="108"/>
      <c r="E41" s="108"/>
      <c r="F41" s="108"/>
      <c r="G41" s="108"/>
      <c r="H41" s="108"/>
      <c r="I41" s="108"/>
      <c r="J41" s="108"/>
      <c r="K41" s="108"/>
      <c r="L41" s="108"/>
      <c r="N41" s="101"/>
      <c r="O41" s="109"/>
      <c r="P41" s="101"/>
      <c r="Q41" s="101"/>
      <c r="V41" s="652" t="s">
        <v>87</v>
      </c>
      <c r="W41" s="652"/>
      <c r="X41" s="652"/>
      <c r="Y41" s="652"/>
      <c r="Z41" s="652"/>
      <c r="AA41" s="652"/>
      <c r="AB41" s="652"/>
      <c r="AC41" s="652"/>
      <c r="AD41" s="9"/>
    </row>
    <row r="42" spans="1:30" ht="28.5" customHeight="1" x14ac:dyDescent="0.25">
      <c r="B42" s="99" t="s">
        <v>88</v>
      </c>
      <c r="C42" s="99"/>
      <c r="D42" s="99"/>
      <c r="E42" s="99"/>
      <c r="F42" s="99"/>
      <c r="G42" s="99"/>
      <c r="H42" s="99"/>
      <c r="I42" s="99"/>
      <c r="J42" s="99"/>
      <c r="K42" s="99"/>
      <c r="L42" s="99"/>
      <c r="M42" s="107"/>
      <c r="O42" s="1"/>
      <c r="V42" s="639" t="s">
        <v>88</v>
      </c>
      <c r="W42" s="639"/>
      <c r="X42" s="639"/>
      <c r="Y42" s="639"/>
      <c r="Z42" s="639"/>
      <c r="AA42" s="639"/>
      <c r="AB42" s="639"/>
      <c r="AC42" s="639"/>
      <c r="AD42" s="110"/>
    </row>
    <row r="43" spans="1:30" x14ac:dyDescent="0.25">
      <c r="B43" s="111" t="s">
        <v>89</v>
      </c>
      <c r="C43" s="111"/>
      <c r="D43" s="111"/>
      <c r="E43" s="111"/>
      <c r="F43" s="111"/>
      <c r="G43" s="111"/>
      <c r="H43" s="111"/>
      <c r="I43" s="111"/>
      <c r="J43" s="111"/>
      <c r="K43" s="111"/>
      <c r="L43" s="111"/>
      <c r="M43" s="112"/>
      <c r="N43" s="101"/>
      <c r="O43" s="101"/>
      <c r="P43" s="101"/>
      <c r="Q43" s="101"/>
      <c r="V43" s="653" t="s">
        <v>89</v>
      </c>
      <c r="W43" s="653"/>
      <c r="X43" s="653"/>
      <c r="Y43" s="653"/>
      <c r="Z43" s="653"/>
      <c r="AA43" s="653"/>
      <c r="AB43" s="653"/>
      <c r="AC43" s="653"/>
      <c r="AD43" s="113"/>
    </row>
    <row r="44" spans="1:30" ht="24" customHeight="1" x14ac:dyDescent="0.25">
      <c r="B44" s="62" t="s">
        <v>90</v>
      </c>
      <c r="C44" s="62"/>
      <c r="D44" s="62"/>
      <c r="E44" s="62"/>
      <c r="F44" s="62"/>
      <c r="G44" s="62"/>
      <c r="H44" s="62"/>
      <c r="I44" s="62"/>
      <c r="J44" s="62"/>
      <c r="K44" s="62"/>
      <c r="L44" s="114">
        <f>SUM(L26,L37,L40)</f>
        <v>366999</v>
      </c>
      <c r="O44" s="1"/>
      <c r="V44" s="654" t="s">
        <v>90</v>
      </c>
      <c r="W44" s="654"/>
      <c r="X44" s="654"/>
      <c r="Y44" s="654"/>
      <c r="Z44" s="654"/>
      <c r="AA44" s="654"/>
      <c r="AB44" s="654"/>
      <c r="AC44" s="115">
        <f>SUM(AC26,AC37,AC40)</f>
        <v>0</v>
      </c>
      <c r="AD44" s="9"/>
    </row>
    <row r="45" spans="1:30" ht="30.75" customHeight="1" x14ac:dyDescent="0.25">
      <c r="B45" s="99" t="s">
        <v>91</v>
      </c>
      <c r="C45" s="99"/>
      <c r="D45" s="99"/>
      <c r="E45" s="99"/>
      <c r="F45" s="99"/>
      <c r="G45" s="99"/>
      <c r="H45" s="99"/>
      <c r="I45" s="99"/>
      <c r="J45" s="99"/>
      <c r="K45" s="99"/>
      <c r="L45" s="99"/>
      <c r="M45" s="116"/>
      <c r="O45" s="1"/>
      <c r="V45" s="639" t="s">
        <v>91</v>
      </c>
      <c r="W45" s="639"/>
      <c r="X45" s="639"/>
      <c r="Y45" s="639"/>
      <c r="Z45" s="639"/>
      <c r="AA45" s="639"/>
      <c r="AB45" s="639"/>
      <c r="AC45" s="639"/>
      <c r="AD45" s="117"/>
    </row>
    <row r="46" spans="1:30" ht="18.75" customHeight="1" x14ac:dyDescent="0.25">
      <c r="B46" s="1"/>
      <c r="C46" s="118" t="s">
        <v>92</v>
      </c>
      <c r="D46" s="118"/>
      <c r="E46" s="118"/>
      <c r="F46" s="118"/>
      <c r="G46" s="118" t="s">
        <v>93</v>
      </c>
      <c r="H46" s="119"/>
      <c r="I46" s="120" t="s">
        <v>94</v>
      </c>
      <c r="J46" s="121"/>
      <c r="K46" s="121"/>
      <c r="L46" s="121"/>
      <c r="M46" s="122"/>
      <c r="O46" s="1"/>
      <c r="V46" s="9"/>
      <c r="W46" s="123" t="s">
        <v>92</v>
      </c>
      <c r="X46" s="655" t="s">
        <v>95</v>
      </c>
      <c r="Y46" s="655"/>
      <c r="Z46" s="656" t="s">
        <v>94</v>
      </c>
      <c r="AA46" s="656"/>
      <c r="AB46" s="656"/>
      <c r="AC46" s="656"/>
      <c r="AD46" s="124"/>
    </row>
    <row r="47" spans="1:30" ht="18.75" customHeight="1" x14ac:dyDescent="0.25">
      <c r="B47" s="107" t="s">
        <v>96</v>
      </c>
      <c r="C47" s="125">
        <f>K10+K11+K16+K19+K22</f>
        <v>62.071999999999996</v>
      </c>
      <c r="D47" s="125"/>
      <c r="E47" s="125"/>
      <c r="F47" s="125"/>
      <c r="G47" s="126">
        <f>K7</f>
        <v>1.0326</v>
      </c>
      <c r="H47" s="126"/>
      <c r="I47" s="127">
        <v>1316.85</v>
      </c>
      <c r="J47" s="128" t="s">
        <v>97</v>
      </c>
      <c r="K47" s="129">
        <f>ROUND(C47*G47*I47,0)</f>
        <v>84404</v>
      </c>
      <c r="L47" s="130"/>
      <c r="O47" s="1"/>
      <c r="V47" s="110" t="s">
        <v>96</v>
      </c>
      <c r="W47" s="131">
        <f>AB10+AB11+AB16+AB19+AB22</f>
        <v>0</v>
      </c>
      <c r="X47" s="647">
        <f>AB7</f>
        <v>1.0326</v>
      </c>
      <c r="Y47" s="647"/>
      <c r="Z47" s="132">
        <f>+I47</f>
        <v>1316.85</v>
      </c>
      <c r="AA47" s="133" t="s">
        <v>97</v>
      </c>
      <c r="AB47" s="134">
        <f>ROUND(W47*X47*Z47,0)</f>
        <v>0</v>
      </c>
      <c r="AC47" s="135"/>
      <c r="AD47" s="9"/>
    </row>
    <row r="48" spans="1:30" ht="18" customHeight="1" x14ac:dyDescent="0.25">
      <c r="B48" s="136" t="s">
        <v>74</v>
      </c>
      <c r="C48" s="125">
        <f>K12+K13+K17+K20+K23</f>
        <v>26.92</v>
      </c>
      <c r="D48" s="125"/>
      <c r="E48" s="125"/>
      <c r="F48" s="125"/>
      <c r="G48" s="126">
        <f>K7</f>
        <v>1.0326</v>
      </c>
      <c r="H48" s="126"/>
      <c r="I48" s="127">
        <v>898.23</v>
      </c>
      <c r="J48" s="128" t="s">
        <v>97</v>
      </c>
      <c r="K48" s="129">
        <f>ROUND(C48*G48*I48,0)</f>
        <v>24969</v>
      </c>
      <c r="L48" s="62"/>
      <c r="O48" s="1"/>
      <c r="V48" s="137" t="s">
        <v>74</v>
      </c>
      <c r="W48" s="131">
        <f>AB12+AB13+AB17+AB20+AB23</f>
        <v>0</v>
      </c>
      <c r="X48" s="647">
        <f>AB7</f>
        <v>1.0326</v>
      </c>
      <c r="Y48" s="647"/>
      <c r="Z48" s="132">
        <f>+I48</f>
        <v>898.23</v>
      </c>
      <c r="AA48" s="133" t="s">
        <v>97</v>
      </c>
      <c r="AB48" s="134">
        <f>ROUND(W48*X48*Z48,0)</f>
        <v>0</v>
      </c>
      <c r="AC48" s="138"/>
      <c r="AD48" s="9"/>
    </row>
    <row r="49" spans="2:30" ht="19.5" customHeight="1" thickBot="1" x14ac:dyDescent="0.3">
      <c r="B49" s="139" t="s">
        <v>78</v>
      </c>
      <c r="C49" s="140">
        <f>K14+K15+K18+K21+K24+K25</f>
        <v>0</v>
      </c>
      <c r="D49" s="125"/>
      <c r="E49" s="125"/>
      <c r="F49" s="125"/>
      <c r="G49" s="126">
        <f>K7</f>
        <v>1.0326</v>
      </c>
      <c r="H49" s="126"/>
      <c r="I49" s="127">
        <v>900.39</v>
      </c>
      <c r="J49" s="128" t="s">
        <v>97</v>
      </c>
      <c r="K49" s="129">
        <f>ROUND(C49*G49*I49,0)</f>
        <v>0</v>
      </c>
      <c r="L49" s="62"/>
      <c r="M49" s="112"/>
      <c r="N49" s="141"/>
      <c r="O49" s="142"/>
      <c r="P49" s="101"/>
      <c r="Q49" s="143"/>
      <c r="V49" s="144" t="s">
        <v>78</v>
      </c>
      <c r="W49" s="145">
        <f>AB14+AB15+AB18+AB21+AB24+AB25</f>
        <v>0</v>
      </c>
      <c r="X49" s="647">
        <f>AB7</f>
        <v>1.0326</v>
      </c>
      <c r="Y49" s="647"/>
      <c r="Z49" s="132">
        <f>+I49</f>
        <v>900.39</v>
      </c>
      <c r="AA49" s="133" t="s">
        <v>97</v>
      </c>
      <c r="AB49" s="134">
        <f>ROUND(W49*X49*Z49,0)</f>
        <v>0</v>
      </c>
      <c r="AC49" s="138"/>
      <c r="AD49" s="113"/>
    </row>
    <row r="50" spans="2:30" ht="24" customHeight="1" thickBot="1" x14ac:dyDescent="0.3">
      <c r="B50" s="146" t="s">
        <v>98</v>
      </c>
      <c r="C50" s="147">
        <f>SUM(C47:C49)</f>
        <v>88.99199999999999</v>
      </c>
      <c r="D50" s="148"/>
      <c r="E50" s="149"/>
      <c r="F50" s="149"/>
      <c r="G50" s="150" t="s">
        <v>99</v>
      </c>
      <c r="H50" s="150"/>
      <c r="I50" s="150"/>
      <c r="J50" s="150"/>
      <c r="K50" s="150"/>
      <c r="L50" s="50">
        <f>IF(B2=75,0,K49+K48+K47)</f>
        <v>109373</v>
      </c>
      <c r="N50" s="3"/>
      <c r="O50" s="1"/>
      <c r="V50" s="151" t="s">
        <v>98</v>
      </c>
      <c r="W50" s="152">
        <f>SUM(W47:W49)</f>
        <v>0</v>
      </c>
      <c r="X50" s="648" t="s">
        <v>99</v>
      </c>
      <c r="Y50" s="649"/>
      <c r="Z50" s="649"/>
      <c r="AA50" s="649"/>
      <c r="AB50" s="649"/>
      <c r="AC50" s="56">
        <f>IF(V2=75,0,AB49+AB48+AB47)</f>
        <v>0</v>
      </c>
      <c r="AD50" s="9"/>
    </row>
    <row r="51" spans="2:30" ht="19.5" customHeight="1" x14ac:dyDescent="0.25">
      <c r="B51" s="153" t="s">
        <v>100</v>
      </c>
      <c r="C51" s="153"/>
      <c r="D51" s="153"/>
      <c r="E51" s="153"/>
      <c r="F51" s="153"/>
      <c r="G51" s="153"/>
      <c r="H51" s="153"/>
      <c r="I51" s="153"/>
      <c r="J51" s="153"/>
      <c r="K51" s="153"/>
      <c r="L51" s="153"/>
      <c r="M51" s="141"/>
      <c r="N51" s="101"/>
      <c r="O51" s="1"/>
      <c r="V51" s="650" t="s">
        <v>100</v>
      </c>
      <c r="W51" s="650"/>
      <c r="X51" s="650"/>
      <c r="Y51" s="650"/>
      <c r="Z51" s="650"/>
      <c r="AA51" s="650"/>
      <c r="AB51" s="650"/>
      <c r="AC51" s="650"/>
      <c r="AD51" s="154"/>
    </row>
    <row r="52" spans="2:30" ht="27.75" customHeight="1" x14ac:dyDescent="0.25">
      <c r="B52" s="13" t="s">
        <v>101</v>
      </c>
      <c r="C52" s="13"/>
      <c r="D52" s="13"/>
      <c r="E52" s="13"/>
      <c r="F52" s="13"/>
      <c r="G52" s="13"/>
      <c r="H52" s="13"/>
      <c r="I52" s="13"/>
      <c r="J52" s="13"/>
      <c r="K52" s="13"/>
      <c r="L52" s="13"/>
      <c r="O52" s="1"/>
      <c r="V52" s="651" t="s">
        <v>101</v>
      </c>
      <c r="W52" s="651"/>
      <c r="X52" s="651"/>
      <c r="Y52" s="651"/>
      <c r="Z52" s="651"/>
      <c r="AA52" s="651"/>
      <c r="AB52" s="651"/>
      <c r="AC52" s="651"/>
      <c r="AD52" s="9"/>
    </row>
    <row r="53" spans="2:30" x14ac:dyDescent="0.25">
      <c r="B53" s="13" t="s">
        <v>102</v>
      </c>
      <c r="C53" s="13"/>
      <c r="D53" s="13"/>
      <c r="E53" s="13"/>
      <c r="F53" s="13"/>
      <c r="G53" s="155">
        <f>K26</f>
        <v>88.99199999999999</v>
      </c>
      <c r="H53" s="57" t="s">
        <v>103</v>
      </c>
      <c r="I53" s="57"/>
      <c r="J53" s="156">
        <v>197823.77</v>
      </c>
      <c r="K53" s="156"/>
      <c r="L53" s="156"/>
      <c r="N53" s="3"/>
      <c r="O53" s="1"/>
      <c r="V53" s="657" t="s">
        <v>102</v>
      </c>
      <c r="W53" s="657"/>
      <c r="X53" s="157">
        <f>AB26</f>
        <v>0</v>
      </c>
      <c r="Y53" s="658" t="s">
        <v>103</v>
      </c>
      <c r="Z53" s="658"/>
      <c r="AA53" s="659">
        <f>+J53</f>
        <v>197823.77</v>
      </c>
      <c r="AB53" s="659"/>
      <c r="AC53" s="659"/>
      <c r="AD53" s="9"/>
    </row>
    <row r="54" spans="2:30" x14ac:dyDescent="0.25">
      <c r="B54" s="13" t="s">
        <v>104</v>
      </c>
      <c r="C54" s="13"/>
      <c r="D54" s="13"/>
      <c r="E54" s="13"/>
      <c r="F54" s="13"/>
      <c r="G54" s="13"/>
      <c r="H54" s="13"/>
      <c r="I54" s="13"/>
      <c r="J54" s="13"/>
      <c r="K54" s="158">
        <f>ROUND(G53/J53,6)</f>
        <v>4.4999999999999999E-4</v>
      </c>
      <c r="L54" s="158"/>
      <c r="N54" s="101"/>
      <c r="O54" s="1"/>
      <c r="V54" s="657" t="s">
        <v>104</v>
      </c>
      <c r="W54" s="657"/>
      <c r="X54" s="657"/>
      <c r="Y54" s="657"/>
      <c r="Z54" s="657"/>
      <c r="AA54" s="657"/>
      <c r="AB54" s="660">
        <f>ROUND(X53/AA53,6)</f>
        <v>0</v>
      </c>
      <c r="AC54" s="660"/>
      <c r="AD54" s="9"/>
    </row>
    <row r="55" spans="2:30" ht="24" customHeight="1" x14ac:dyDescent="0.25">
      <c r="B55" s="13" t="s">
        <v>105</v>
      </c>
      <c r="C55" s="13"/>
      <c r="D55" s="13"/>
      <c r="E55" s="13"/>
      <c r="F55" s="13"/>
      <c r="G55" s="13"/>
      <c r="H55" s="13"/>
      <c r="I55" s="13"/>
      <c r="J55" s="13"/>
      <c r="K55" s="13"/>
      <c r="L55" s="13"/>
      <c r="O55" s="1"/>
      <c r="V55" s="651" t="s">
        <v>105</v>
      </c>
      <c r="W55" s="651"/>
      <c r="X55" s="651"/>
      <c r="Y55" s="651"/>
      <c r="Z55" s="651"/>
      <c r="AA55" s="651"/>
      <c r="AB55" s="651"/>
      <c r="AC55" s="651"/>
      <c r="AD55" s="9"/>
    </row>
    <row r="56" spans="2:30" x14ac:dyDescent="0.25">
      <c r="B56" s="13" t="s">
        <v>106</v>
      </c>
      <c r="C56" s="13"/>
      <c r="D56" s="13"/>
      <c r="E56" s="13"/>
      <c r="F56" s="13"/>
      <c r="G56" s="159">
        <f>G26</f>
        <v>81.96</v>
      </c>
      <c r="H56" s="57" t="s">
        <v>107</v>
      </c>
      <c r="I56" s="57"/>
      <c r="J56" s="156">
        <f>+G40</f>
        <v>180284.81</v>
      </c>
      <c r="K56" s="156"/>
      <c r="L56" s="156"/>
      <c r="O56" s="1"/>
      <c r="V56" s="657" t="s">
        <v>106</v>
      </c>
      <c r="W56" s="657"/>
      <c r="X56" s="160">
        <f>X26</f>
        <v>0</v>
      </c>
      <c r="Y56" s="658" t="s">
        <v>107</v>
      </c>
      <c r="Z56" s="658"/>
      <c r="AA56" s="659">
        <f>+J56</f>
        <v>180284.81</v>
      </c>
      <c r="AB56" s="659"/>
      <c r="AC56" s="659"/>
      <c r="AD56" s="9"/>
    </row>
    <row r="57" spans="2:30" x14ac:dyDescent="0.25">
      <c r="B57" s="13" t="s">
        <v>108</v>
      </c>
      <c r="C57" s="13"/>
      <c r="D57" s="13"/>
      <c r="E57" s="13"/>
      <c r="F57" s="13"/>
      <c r="G57" s="13"/>
      <c r="H57" s="13"/>
      <c r="I57" s="13"/>
      <c r="J57" s="13"/>
      <c r="K57" s="158">
        <f>ROUND(G56/J56,6)</f>
        <v>4.55E-4</v>
      </c>
      <c r="L57" s="158"/>
      <c r="O57" s="1"/>
      <c r="V57" s="657" t="s">
        <v>108</v>
      </c>
      <c r="W57" s="657"/>
      <c r="X57" s="657"/>
      <c r="Y57" s="657"/>
      <c r="Z57" s="657"/>
      <c r="AA57" s="657"/>
      <c r="AB57" s="660">
        <f>ROUND(X56/AA56,6)</f>
        <v>0</v>
      </c>
      <c r="AC57" s="660"/>
      <c r="AD57" s="9"/>
    </row>
    <row r="58" spans="2:30" ht="20.25" customHeight="1" x14ac:dyDescent="0.25">
      <c r="B58" s="161" t="s">
        <v>109</v>
      </c>
      <c r="C58" s="161"/>
      <c r="D58" s="161"/>
      <c r="E58" s="161"/>
      <c r="F58" s="161"/>
      <c r="G58" s="161"/>
      <c r="H58" s="161"/>
      <c r="I58" s="161"/>
      <c r="J58" s="161"/>
      <c r="K58" s="161"/>
      <c r="L58" s="161"/>
      <c r="N58" s="18"/>
      <c r="O58" s="18"/>
      <c r="V58" s="629" t="s">
        <v>110</v>
      </c>
      <c r="W58" s="629"/>
      <c r="X58" s="629"/>
      <c r="Y58" s="661">
        <f>X65+X64+X62+X61+X60</f>
        <v>4123852</v>
      </c>
      <c r="Z58" s="661"/>
      <c r="AA58" s="162" t="s">
        <v>111</v>
      </c>
      <c r="AB58" s="163">
        <f>AB54</f>
        <v>0</v>
      </c>
      <c r="AC58" s="56">
        <f>ROUND(Y58*AB58,0)</f>
        <v>0</v>
      </c>
      <c r="AD58" s="9"/>
    </row>
    <row r="59" spans="2:30" x14ac:dyDescent="0.25">
      <c r="B59" s="62" t="s">
        <v>110</v>
      </c>
      <c r="C59" s="62"/>
      <c r="D59" s="62"/>
      <c r="E59" s="62"/>
      <c r="F59" s="62"/>
      <c r="G59" s="62"/>
      <c r="H59" s="164" t="s">
        <v>22</v>
      </c>
      <c r="I59" s="129">
        <v>4123852</v>
      </c>
      <c r="J59" s="165" t="s">
        <v>111</v>
      </c>
      <c r="K59" s="166">
        <f>K54</f>
        <v>4.4999999999999999E-4</v>
      </c>
      <c r="L59" s="50">
        <f>ROUND(I59*K59,0)</f>
        <v>1856</v>
      </c>
      <c r="O59" s="1"/>
      <c r="P59" s="165"/>
      <c r="Q59" s="165"/>
      <c r="V59" s="662" t="s">
        <v>112</v>
      </c>
      <c r="W59" s="662"/>
      <c r="X59" s="662"/>
      <c r="Y59" s="662"/>
      <c r="Z59" s="662"/>
      <c r="AA59" s="662"/>
      <c r="AB59" s="662"/>
      <c r="AC59" s="662"/>
      <c r="AD59" s="9"/>
    </row>
    <row r="60" spans="2:30" x14ac:dyDescent="0.25">
      <c r="B60" s="62" t="s">
        <v>112</v>
      </c>
      <c r="C60" s="62"/>
      <c r="D60" s="62"/>
      <c r="E60" s="62"/>
      <c r="F60" s="62"/>
      <c r="G60" s="62"/>
      <c r="H60" s="62"/>
      <c r="I60" s="62"/>
      <c r="J60" s="62"/>
      <c r="K60" s="62"/>
      <c r="L60" s="62"/>
      <c r="O60" s="1"/>
      <c r="P60" s="165"/>
      <c r="Q60" s="165"/>
      <c r="V60" s="663" t="s">
        <v>113</v>
      </c>
      <c r="W60" s="663"/>
      <c r="X60" s="664">
        <f>+G61</f>
        <v>0</v>
      </c>
      <c r="Y60" s="664"/>
      <c r="Z60" s="664"/>
      <c r="AA60" s="664"/>
      <c r="AB60" s="664"/>
      <c r="AC60" s="664"/>
      <c r="AD60" s="9"/>
    </row>
    <row r="61" spans="2:30" ht="15" customHeight="1" x14ac:dyDescent="0.25">
      <c r="B61" s="167" t="s">
        <v>113</v>
      </c>
      <c r="C61" s="62"/>
      <c r="D61" s="62"/>
      <c r="E61" s="62"/>
      <c r="F61" s="62"/>
      <c r="G61" s="168">
        <v>0</v>
      </c>
      <c r="H61" s="168"/>
      <c r="I61" s="168"/>
      <c r="J61" s="168"/>
      <c r="K61" s="168"/>
      <c r="L61" s="168"/>
      <c r="O61" s="1"/>
      <c r="P61" s="165"/>
      <c r="Q61" s="165"/>
      <c r="V61" s="663" t="s">
        <v>114</v>
      </c>
      <c r="W61" s="663"/>
      <c r="X61" s="664">
        <f>+G62</f>
        <v>0</v>
      </c>
      <c r="Y61" s="664"/>
      <c r="Z61" s="664"/>
      <c r="AA61" s="664"/>
      <c r="AB61" s="664"/>
      <c r="AC61" s="664"/>
      <c r="AD61" s="9"/>
    </row>
    <row r="62" spans="2:30" ht="13.5" customHeight="1" x14ac:dyDescent="0.25">
      <c r="B62" s="167" t="s">
        <v>114</v>
      </c>
      <c r="C62" s="62"/>
      <c r="D62" s="62"/>
      <c r="E62" s="62"/>
      <c r="F62" s="62"/>
      <c r="G62" s="168">
        <v>0</v>
      </c>
      <c r="H62" s="168"/>
      <c r="I62" s="168"/>
      <c r="J62" s="168"/>
      <c r="K62" s="168"/>
      <c r="L62" s="168"/>
      <c r="N62" s="165"/>
      <c r="O62" s="165"/>
      <c r="P62" s="165"/>
      <c r="Q62" s="165"/>
      <c r="V62" s="663" t="s">
        <v>115</v>
      </c>
      <c r="W62" s="663"/>
      <c r="X62" s="664">
        <v>0</v>
      </c>
      <c r="Y62" s="664"/>
      <c r="Z62" s="664"/>
      <c r="AA62" s="664"/>
      <c r="AB62" s="664"/>
      <c r="AC62" s="664"/>
      <c r="AD62" s="9"/>
    </row>
    <row r="63" spans="2:30" ht="13.5" hidden="1" customHeight="1" x14ac:dyDescent="0.25">
      <c r="B63" s="62" t="s">
        <v>115</v>
      </c>
      <c r="C63" s="62"/>
      <c r="D63" s="62"/>
      <c r="E63" s="62"/>
      <c r="F63" s="62"/>
      <c r="G63" s="168">
        <v>0</v>
      </c>
      <c r="H63" s="168"/>
      <c r="I63" s="168"/>
      <c r="J63" s="168"/>
      <c r="K63" s="168"/>
      <c r="L63" s="168"/>
      <c r="O63" s="1"/>
      <c r="P63" s="165"/>
      <c r="Q63" s="165"/>
      <c r="V63" s="662" t="s">
        <v>116</v>
      </c>
      <c r="W63" s="662"/>
      <c r="X63" s="662"/>
      <c r="Y63" s="662"/>
      <c r="Z63" s="662"/>
      <c r="AA63" s="662"/>
      <c r="AB63" s="662"/>
      <c r="AC63" s="662"/>
      <c r="AD63" s="117"/>
    </row>
    <row r="64" spans="2:30" ht="13.5" customHeight="1" x14ac:dyDescent="0.25">
      <c r="B64" s="62" t="s">
        <v>116</v>
      </c>
      <c r="C64" s="62"/>
      <c r="D64" s="62"/>
      <c r="E64" s="62"/>
      <c r="F64" s="62"/>
      <c r="G64" s="62"/>
      <c r="H64" s="62"/>
      <c r="I64" s="62"/>
      <c r="J64" s="62"/>
      <c r="K64" s="62"/>
      <c r="L64" s="62"/>
      <c r="M64" s="116"/>
      <c r="N64" s="18"/>
      <c r="O64" s="1"/>
      <c r="V64" s="663" t="s">
        <v>117</v>
      </c>
      <c r="W64" s="663"/>
      <c r="X64" s="664">
        <f>+G65</f>
        <v>4123852</v>
      </c>
      <c r="Y64" s="664"/>
      <c r="Z64" s="664"/>
      <c r="AA64" s="664"/>
      <c r="AB64" s="664"/>
      <c r="AC64" s="664"/>
      <c r="AD64" s="9"/>
    </row>
    <row r="65" spans="1:30" ht="12.75" customHeight="1" x14ac:dyDescent="0.25">
      <c r="B65" s="167" t="s">
        <v>117</v>
      </c>
      <c r="C65" s="62"/>
      <c r="D65" s="62"/>
      <c r="E65" s="62"/>
      <c r="F65" s="62"/>
      <c r="G65" s="168">
        <f>+I59</f>
        <v>4123852</v>
      </c>
      <c r="H65" s="168"/>
      <c r="I65" s="168"/>
      <c r="J65" s="168"/>
      <c r="K65" s="168"/>
      <c r="L65" s="168"/>
      <c r="O65" s="1"/>
      <c r="V65" s="663" t="s">
        <v>118</v>
      </c>
      <c r="W65" s="663"/>
      <c r="X65" s="664">
        <f>+G66</f>
        <v>0</v>
      </c>
      <c r="Y65" s="664"/>
      <c r="Z65" s="664"/>
      <c r="AA65" s="664"/>
      <c r="AB65" s="664"/>
      <c r="AC65" s="664"/>
      <c r="AD65" s="20"/>
    </row>
    <row r="66" spans="1:30" ht="15" customHeight="1" x14ac:dyDescent="0.25">
      <c r="B66" s="167" t="s">
        <v>118</v>
      </c>
      <c r="C66" s="62"/>
      <c r="D66" s="62"/>
      <c r="E66" s="62"/>
      <c r="F66" s="62"/>
      <c r="G66" s="168">
        <v>0</v>
      </c>
      <c r="H66" s="168"/>
      <c r="I66" s="168"/>
      <c r="J66" s="168"/>
      <c r="K66" s="168"/>
      <c r="L66" s="168"/>
      <c r="M66" s="18"/>
      <c r="N66" s="3"/>
      <c r="O66" s="169"/>
      <c r="P66" s="169"/>
      <c r="Q66" s="169"/>
      <c r="V66" s="651" t="s">
        <v>119</v>
      </c>
      <c r="W66" s="651"/>
      <c r="X66" s="651"/>
      <c r="Y66" s="661">
        <f>+I67</f>
        <v>96774526</v>
      </c>
      <c r="Z66" s="661"/>
      <c r="AA66" s="162" t="s">
        <v>111</v>
      </c>
      <c r="AB66" s="163">
        <f>AB54</f>
        <v>0</v>
      </c>
      <c r="AC66" s="56">
        <f>ROUND(Y66*AB66,0)</f>
        <v>0</v>
      </c>
      <c r="AD66" s="9"/>
    </row>
    <row r="67" spans="1:30" ht="20.25" customHeight="1" x14ac:dyDescent="0.25">
      <c r="B67" s="13" t="s">
        <v>119</v>
      </c>
      <c r="C67" s="13"/>
      <c r="D67" s="13"/>
      <c r="E67" s="13"/>
      <c r="F67" s="13"/>
      <c r="H67" s="164" t="s">
        <v>25</v>
      </c>
      <c r="I67" s="129">
        <v>96774526</v>
      </c>
      <c r="J67" s="165" t="s">
        <v>111</v>
      </c>
      <c r="K67" s="166">
        <f>K54</f>
        <v>4.4999999999999999E-4</v>
      </c>
      <c r="L67" s="50">
        <f>ROUND(I67*K67,0)</f>
        <v>43549</v>
      </c>
      <c r="O67" s="1"/>
      <c r="V67" s="651" t="s">
        <v>120</v>
      </c>
      <c r="W67" s="651"/>
      <c r="X67" s="651"/>
      <c r="Y67" s="651"/>
      <c r="Z67" s="651"/>
      <c r="AA67" s="651"/>
      <c r="AB67" s="651"/>
      <c r="AC67" s="651"/>
      <c r="AD67" s="9"/>
    </row>
    <row r="68" spans="1:30" ht="20.25" customHeight="1" x14ac:dyDescent="0.25">
      <c r="B68" s="13" t="s">
        <v>120</v>
      </c>
      <c r="C68" s="13"/>
      <c r="D68" s="13"/>
      <c r="E68" s="13"/>
      <c r="F68" s="13"/>
      <c r="H68" s="13"/>
      <c r="I68" s="13"/>
      <c r="J68" s="82"/>
      <c r="K68" s="13"/>
      <c r="L68" s="13"/>
      <c r="O68" s="1"/>
      <c r="V68" s="667" t="s">
        <v>121</v>
      </c>
      <c r="W68" s="667"/>
      <c r="X68" s="667"/>
      <c r="Y68" s="661">
        <f>+I69</f>
        <v>0</v>
      </c>
      <c r="Z68" s="661"/>
      <c r="AA68" s="162" t="s">
        <v>111</v>
      </c>
      <c r="AB68" s="163">
        <f>AB57</f>
        <v>0</v>
      </c>
      <c r="AC68" s="56">
        <f>ROUND(Y68*AB68,0)</f>
        <v>0</v>
      </c>
      <c r="AD68" s="9"/>
    </row>
    <row r="69" spans="1:30" ht="15" customHeight="1" x14ac:dyDescent="0.25">
      <c r="B69" s="170" t="s">
        <v>121</v>
      </c>
      <c r="C69" s="13"/>
      <c r="D69" s="13"/>
      <c r="E69" s="13"/>
      <c r="F69" s="13"/>
      <c r="H69" s="164" t="s">
        <v>23</v>
      </c>
      <c r="I69" s="129">
        <v>0</v>
      </c>
      <c r="J69" s="165" t="s">
        <v>111</v>
      </c>
      <c r="K69" s="166">
        <f>K57</f>
        <v>4.55E-4</v>
      </c>
      <c r="L69" s="50">
        <f>ROUND(I69*K69,0)</f>
        <v>0</v>
      </c>
      <c r="O69" s="1"/>
      <c r="V69" s="651" t="s">
        <v>122</v>
      </c>
      <c r="W69" s="651"/>
      <c r="X69" s="651"/>
      <c r="Y69" s="668">
        <f>+I70</f>
        <v>-3460775</v>
      </c>
      <c r="Z69" s="668"/>
      <c r="AA69" s="162" t="s">
        <v>111</v>
      </c>
      <c r="AB69" s="163">
        <f>AB54</f>
        <v>0</v>
      </c>
      <c r="AC69" s="56">
        <f>ROUND(Y69*AB69,0)</f>
        <v>0</v>
      </c>
      <c r="AD69" s="9"/>
    </row>
    <row r="70" spans="1:30" ht="20.25" customHeight="1" x14ac:dyDescent="0.25">
      <c r="B70" s="13" t="s">
        <v>122</v>
      </c>
      <c r="C70" s="13"/>
      <c r="D70" s="13"/>
      <c r="E70" s="13"/>
      <c r="F70" s="13"/>
      <c r="H70" s="164" t="s">
        <v>22</v>
      </c>
      <c r="I70" s="129">
        <v>-3460775</v>
      </c>
      <c r="J70" s="165" t="s">
        <v>111</v>
      </c>
      <c r="K70" s="166">
        <f>K54</f>
        <v>4.4999999999999999E-4</v>
      </c>
      <c r="L70" s="50">
        <f>ROUND(I70*K70,0)</f>
        <v>-1557</v>
      </c>
      <c r="O70" s="1"/>
      <c r="V70" s="651" t="s">
        <v>123</v>
      </c>
      <c r="W70" s="651"/>
      <c r="X70" s="651"/>
      <c r="Y70" s="665">
        <f>+I71</f>
        <v>1874788</v>
      </c>
      <c r="Z70" s="665"/>
      <c r="AA70" s="162" t="s">
        <v>111</v>
      </c>
      <c r="AB70" s="163">
        <f>AB54</f>
        <v>0</v>
      </c>
      <c r="AC70" s="56">
        <f>ROUND(Y70*AB70,0)</f>
        <v>0</v>
      </c>
      <c r="AD70" s="9"/>
    </row>
    <row r="71" spans="1:30" ht="20.25" customHeight="1" x14ac:dyDescent="0.25">
      <c r="B71" s="13" t="s">
        <v>123</v>
      </c>
      <c r="C71" s="13"/>
      <c r="D71" s="13"/>
      <c r="E71" s="13"/>
      <c r="F71" s="13"/>
      <c r="H71" s="164" t="s">
        <v>22</v>
      </c>
      <c r="I71" s="129">
        <v>1874788</v>
      </c>
      <c r="J71" s="165" t="s">
        <v>111</v>
      </c>
      <c r="K71" s="166">
        <f>K54</f>
        <v>4.4999999999999999E-4</v>
      </c>
      <c r="L71" s="50">
        <f>ROUND(I71*K71,0)</f>
        <v>844</v>
      </c>
      <c r="O71" s="1"/>
      <c r="V71" s="651" t="s">
        <v>124</v>
      </c>
      <c r="W71" s="651"/>
      <c r="X71" s="651"/>
      <c r="Y71" s="665">
        <f>+I72</f>
        <v>14223298</v>
      </c>
      <c r="Z71" s="665"/>
      <c r="AA71" s="162" t="s">
        <v>111</v>
      </c>
      <c r="AB71" s="163">
        <f>AB57</f>
        <v>0</v>
      </c>
      <c r="AC71" s="56">
        <f>ROUND(Y71*AB71,0)</f>
        <v>0</v>
      </c>
      <c r="AD71" s="9"/>
    </row>
    <row r="72" spans="1:30" ht="21" customHeight="1" x14ac:dyDescent="0.25">
      <c r="B72" s="13" t="s">
        <v>124</v>
      </c>
      <c r="C72" s="13"/>
      <c r="D72" s="13"/>
      <c r="E72" s="13"/>
      <c r="F72" s="13"/>
      <c r="H72" s="164" t="s">
        <v>23</v>
      </c>
      <c r="I72" s="171">
        <v>14223298</v>
      </c>
      <c r="J72" s="165" t="s">
        <v>111</v>
      </c>
      <c r="K72" s="166">
        <f>K57</f>
        <v>4.55E-4</v>
      </c>
      <c r="L72" s="50">
        <f>ROUND(I72*K72,0)</f>
        <v>6472</v>
      </c>
      <c r="O72" s="1"/>
      <c r="V72" s="623" t="s">
        <v>125</v>
      </c>
      <c r="W72" s="623"/>
      <c r="X72" s="623"/>
      <c r="Y72" s="623"/>
      <c r="Z72" s="623"/>
      <c r="AA72" s="623"/>
      <c r="AB72" s="623"/>
      <c r="AC72" s="60"/>
      <c r="AD72" s="9"/>
    </row>
    <row r="73" spans="1:30" ht="17.25" customHeight="1" x14ac:dyDescent="0.25">
      <c r="B73" s="13" t="s">
        <v>125</v>
      </c>
      <c r="C73" s="13"/>
      <c r="D73" s="13"/>
      <c r="E73" s="13"/>
      <c r="F73" s="13"/>
      <c r="H73" s="13"/>
      <c r="I73" s="13"/>
      <c r="J73" s="82"/>
      <c r="K73" s="13"/>
      <c r="L73" s="59"/>
      <c r="O73" s="1"/>
      <c r="V73" s="651" t="s">
        <v>126</v>
      </c>
      <c r="W73" s="651"/>
      <c r="X73" s="651"/>
      <c r="Y73" s="651"/>
      <c r="Z73" s="651"/>
      <c r="AA73" s="651"/>
      <c r="AB73" s="651"/>
      <c r="AC73" s="651"/>
      <c r="AD73" s="9"/>
    </row>
    <row r="74" spans="1:30" ht="31.5" x14ac:dyDescent="0.25">
      <c r="B74" s="13" t="s">
        <v>126</v>
      </c>
      <c r="C74" s="13"/>
      <c r="D74" s="27" t="s">
        <v>13</v>
      </c>
      <c r="E74" s="27" t="s">
        <v>14</v>
      </c>
      <c r="F74" s="27"/>
      <c r="H74" s="164" t="s">
        <v>26</v>
      </c>
      <c r="I74" s="172"/>
      <c r="J74" s="164"/>
      <c r="K74" s="172"/>
      <c r="L74" s="112"/>
      <c r="O74" s="1"/>
      <c r="V74" s="666" t="s">
        <v>127</v>
      </c>
      <c r="W74" s="666"/>
      <c r="X74" s="173" t="s">
        <v>128</v>
      </c>
      <c r="Y74" s="174"/>
      <c r="Z74" s="175">
        <f>+I75</f>
        <v>28</v>
      </c>
      <c r="AA74" s="176" t="s">
        <v>129</v>
      </c>
      <c r="AB74" s="177">
        <f>+K75</f>
        <v>361</v>
      </c>
      <c r="AC74" s="56">
        <f>ROUND(AB74*Z74,0)</f>
        <v>10108</v>
      </c>
      <c r="AD74" s="9"/>
    </row>
    <row r="75" spans="1:30" ht="19.5" customHeight="1" x14ac:dyDescent="0.25">
      <c r="A75" s="1" t="s">
        <v>130</v>
      </c>
      <c r="B75" s="178" t="s">
        <v>127</v>
      </c>
      <c r="C75" s="179" t="s">
        <v>128</v>
      </c>
      <c r="D75" s="178">
        <v>31</v>
      </c>
      <c r="E75" s="178">
        <v>25</v>
      </c>
      <c r="F75" s="178">
        <v>0</v>
      </c>
      <c r="G75" s="180">
        <f>IF(E75=0,D75,E75)</f>
        <v>25</v>
      </c>
      <c r="H75" s="181"/>
      <c r="I75" s="182">
        <f>AVERAGE(G75,D75)</f>
        <v>28</v>
      </c>
      <c r="J75" s="183" t="s">
        <v>129</v>
      </c>
      <c r="K75" s="184">
        <v>361</v>
      </c>
      <c r="L75" s="50">
        <f>ROUND(K75*I75,0)</f>
        <v>10108</v>
      </c>
      <c r="N75" s="1">
        <v>7802</v>
      </c>
      <c r="O75" s="1">
        <v>0</v>
      </c>
      <c r="V75" s="666" t="s">
        <v>127</v>
      </c>
      <c r="W75" s="666"/>
      <c r="X75" s="173" t="s">
        <v>131</v>
      </c>
      <c r="Y75" s="185"/>
      <c r="Z75" s="186">
        <f>+I76</f>
        <v>0</v>
      </c>
      <c r="AA75" s="176" t="s">
        <v>129</v>
      </c>
      <c r="AB75" s="187">
        <f>+K76</f>
        <v>1358</v>
      </c>
      <c r="AC75" s="56">
        <f>ROUND(AB75*Z75,0)</f>
        <v>0</v>
      </c>
      <c r="AD75" s="9"/>
    </row>
    <row r="76" spans="1:30" ht="19.5" customHeight="1" x14ac:dyDescent="0.25">
      <c r="A76" s="1" t="s">
        <v>132</v>
      </c>
      <c r="B76" s="178" t="s">
        <v>127</v>
      </c>
      <c r="C76" s="179" t="s">
        <v>131</v>
      </c>
      <c r="D76" s="178">
        <v>0</v>
      </c>
      <c r="E76" s="178">
        <v>0</v>
      </c>
      <c r="F76" s="178">
        <v>0</v>
      </c>
      <c r="G76" s="180">
        <f>IF(E76=0,D76,E76)</f>
        <v>0</v>
      </c>
      <c r="H76" s="181"/>
      <c r="I76" s="182">
        <f>AVERAGE(G76,D76)</f>
        <v>0</v>
      </c>
      <c r="J76" s="183" t="s">
        <v>129</v>
      </c>
      <c r="K76" s="188">
        <v>1358</v>
      </c>
      <c r="L76" s="50">
        <f>ROUND(K76*I76,0)</f>
        <v>0</v>
      </c>
      <c r="N76" s="1">
        <v>7802</v>
      </c>
      <c r="O76" s="1">
        <v>110</v>
      </c>
      <c r="V76" s="651" t="s">
        <v>133</v>
      </c>
      <c r="W76" s="651"/>
      <c r="X76" s="651"/>
      <c r="Y76" s="661">
        <f>+I77</f>
        <v>33305823</v>
      </c>
      <c r="Z76" s="661"/>
      <c r="AA76" s="176" t="s">
        <v>129</v>
      </c>
      <c r="AB76" s="163">
        <f>AB54</f>
        <v>0</v>
      </c>
      <c r="AC76" s="56">
        <f>ROUND(Y76*AB76,0)</f>
        <v>0</v>
      </c>
      <c r="AD76" s="9"/>
    </row>
    <row r="77" spans="1:30" ht="26.25" customHeight="1" x14ac:dyDescent="0.25">
      <c r="B77" s="13" t="s">
        <v>133</v>
      </c>
      <c r="C77" s="13"/>
      <c r="D77" s="13"/>
      <c r="E77" s="13"/>
      <c r="F77" s="13"/>
      <c r="H77" s="164" t="s">
        <v>134</v>
      </c>
      <c r="I77" s="189">
        <v>33305823</v>
      </c>
      <c r="J77" s="165" t="s">
        <v>111</v>
      </c>
      <c r="K77" s="166">
        <f>K54</f>
        <v>4.4999999999999999E-4</v>
      </c>
      <c r="L77" s="50">
        <f>ROUND(I77*K77,0)</f>
        <v>14988</v>
      </c>
      <c r="O77" s="1"/>
      <c r="V77" s="651" t="str">
        <f>+B78</f>
        <v>15.  Additional Allocation (WFTE share)</v>
      </c>
      <c r="W77" s="651"/>
      <c r="X77" s="651"/>
      <c r="Y77" s="661">
        <f>+I78</f>
        <v>680688</v>
      </c>
      <c r="Z77" s="661"/>
      <c r="AA77" s="176" t="s">
        <v>129</v>
      </c>
      <c r="AB77" s="163">
        <f>AB54</f>
        <v>0</v>
      </c>
      <c r="AC77" s="56">
        <f>ROUND(Y77*AB77,0)</f>
        <v>0</v>
      </c>
      <c r="AD77" s="9"/>
    </row>
    <row r="78" spans="1:30" ht="26.25" customHeight="1" x14ac:dyDescent="0.25">
      <c r="B78" s="669" t="s">
        <v>135</v>
      </c>
      <c r="C78" s="669"/>
      <c r="D78" s="669"/>
      <c r="E78" s="13"/>
      <c r="F78" s="13"/>
      <c r="H78" s="164" t="s">
        <v>136</v>
      </c>
      <c r="I78" s="190">
        <v>680688</v>
      </c>
      <c r="J78" s="165" t="s">
        <v>111</v>
      </c>
      <c r="K78" s="166">
        <f>K54</f>
        <v>4.4999999999999999E-4</v>
      </c>
      <c r="L78" s="50">
        <f>ROUND(I78*K78,0)</f>
        <v>306</v>
      </c>
      <c r="O78" s="1"/>
      <c r="V78" s="651" t="str">
        <f t="shared" ref="V78:V79" si="11">+B79</f>
        <v>16.  Florida Teachers Lead Program Stipend</v>
      </c>
      <c r="W78" s="651"/>
      <c r="X78" s="651"/>
      <c r="Y78" s="191"/>
      <c r="Z78" s="191"/>
      <c r="AA78" s="191"/>
      <c r="AB78" s="191"/>
      <c r="AC78" s="134"/>
      <c r="AD78" s="9"/>
    </row>
    <row r="79" spans="1:30" ht="21" customHeight="1" x14ac:dyDescent="0.25">
      <c r="B79" s="669" t="s">
        <v>137</v>
      </c>
      <c r="C79" s="669"/>
      <c r="D79" s="669"/>
      <c r="E79" s="13"/>
      <c r="F79" s="13"/>
      <c r="H79" s="164"/>
      <c r="I79" s="172"/>
      <c r="J79" s="172"/>
      <c r="K79" s="172"/>
      <c r="L79" s="129"/>
      <c r="N79" s="192"/>
      <c r="O79" s="1"/>
      <c r="Q79" s="164"/>
      <c r="V79" s="651" t="str">
        <f t="shared" si="11"/>
        <v>17.  Food Service Allocation</v>
      </c>
      <c r="W79" s="651"/>
      <c r="X79" s="651"/>
      <c r="Y79" s="191"/>
      <c r="Z79" s="191"/>
      <c r="AA79" s="191"/>
      <c r="AB79" s="191"/>
      <c r="AC79" s="193"/>
      <c r="AD79" s="9"/>
    </row>
    <row r="80" spans="1:30" ht="21" customHeight="1" x14ac:dyDescent="0.25">
      <c r="B80" s="669" t="s">
        <v>138</v>
      </c>
      <c r="C80" s="669"/>
      <c r="D80" s="669"/>
      <c r="E80" s="13"/>
      <c r="F80" s="13"/>
      <c r="H80" s="194" t="s">
        <v>139</v>
      </c>
      <c r="I80" s="195"/>
      <c r="J80" s="195"/>
      <c r="K80" s="195"/>
      <c r="L80" s="196"/>
      <c r="N80" s="197"/>
      <c r="O80" s="1"/>
      <c r="Q80" s="164"/>
      <c r="V80" s="191"/>
      <c r="W80" s="191"/>
      <c r="X80" s="191"/>
      <c r="Y80" s="191"/>
      <c r="Z80" s="191"/>
      <c r="AA80" s="191"/>
      <c r="AB80" s="191"/>
      <c r="AC80" s="193"/>
      <c r="AD80" s="9"/>
    </row>
    <row r="81" spans="1:30" ht="21" customHeight="1" thickBot="1" x14ac:dyDescent="0.3">
      <c r="B81" s="13"/>
      <c r="C81" s="13"/>
      <c r="D81" s="13"/>
      <c r="E81" s="13"/>
      <c r="F81" s="13"/>
      <c r="G81" s="13"/>
      <c r="H81" s="13"/>
      <c r="I81" s="13"/>
      <c r="J81" s="13"/>
      <c r="K81" s="13"/>
      <c r="L81" s="196"/>
      <c r="M81" s="198"/>
      <c r="N81" s="197"/>
      <c r="O81" s="1"/>
      <c r="Q81" s="164"/>
      <c r="V81" s="191" t="s">
        <v>140</v>
      </c>
      <c r="W81" s="191"/>
      <c r="X81" s="191"/>
      <c r="Y81" s="191"/>
      <c r="Z81" s="191"/>
      <c r="AA81" s="191"/>
      <c r="AB81" s="191"/>
      <c r="AC81" s="199">
        <f>SUM(AC44:AC80)</f>
        <v>10108</v>
      </c>
      <c r="AD81" s="200"/>
    </row>
    <row r="82" spans="1:30" ht="22.5" customHeight="1" thickTop="1" thickBot="1" x14ac:dyDescent="0.3">
      <c r="B82" s="13" t="s">
        <v>141</v>
      </c>
      <c r="C82" s="13"/>
      <c r="D82" s="13"/>
      <c r="E82" s="13"/>
      <c r="F82" s="13"/>
      <c r="G82" s="13"/>
      <c r="H82" s="13"/>
      <c r="I82" s="13"/>
      <c r="J82" s="13"/>
      <c r="K82" s="13"/>
      <c r="L82" s="201">
        <f>SUM(L44:L81)</f>
        <v>552938</v>
      </c>
      <c r="M82" s="202"/>
      <c r="N82" s="203"/>
      <c r="O82" s="1"/>
      <c r="Q82" s="164"/>
      <c r="V82" s="191"/>
      <c r="W82" s="191"/>
      <c r="X82" s="191"/>
      <c r="Y82" s="191"/>
      <c r="Z82" s="191"/>
      <c r="AA82" s="191"/>
      <c r="AB82" s="191"/>
      <c r="AC82" s="204"/>
      <c r="AD82" s="200"/>
    </row>
    <row r="83" spans="1:30" ht="27.75" customHeight="1" thickTop="1" x14ac:dyDescent="0.25">
      <c r="B83" s="13" t="s">
        <v>142</v>
      </c>
      <c r="C83" s="13"/>
      <c r="D83" s="13"/>
      <c r="E83" s="13"/>
      <c r="F83" s="13"/>
      <c r="G83" s="13"/>
      <c r="H83" s="13"/>
      <c r="I83" s="13"/>
      <c r="J83" s="13"/>
      <c r="K83" s="82" t="s">
        <v>143</v>
      </c>
      <c r="L83" s="205" t="s">
        <v>144</v>
      </c>
      <c r="M83" s="202"/>
      <c r="N83" s="203"/>
      <c r="O83" s="1"/>
      <c r="Q83" s="164"/>
      <c r="V83" s="9" t="s">
        <v>145</v>
      </c>
      <c r="W83" s="9"/>
      <c r="X83" s="9"/>
      <c r="Y83" s="9"/>
      <c r="Z83" s="9"/>
      <c r="AA83" s="9"/>
      <c r="AB83" s="9"/>
      <c r="AC83" s="9"/>
      <c r="AD83" s="206"/>
    </row>
    <row r="84" spans="1:30" ht="18.75" customHeight="1" thickBot="1" x14ac:dyDescent="0.3">
      <c r="B84" s="13" t="s">
        <v>146</v>
      </c>
      <c r="C84" s="13"/>
      <c r="D84" s="13"/>
      <c r="E84" s="13"/>
      <c r="F84" s="13"/>
      <c r="G84" s="13"/>
      <c r="H84" s="13"/>
      <c r="I84" s="13"/>
      <c r="J84" s="13"/>
      <c r="K84" s="207" t="str">
        <f>IF(G26=0,"",IF((G11+G13+SUM(G15:G21))/G26&gt;0.75,1,""))</f>
        <v/>
      </c>
      <c r="L84" s="201">
        <f>'0642'!AC81</f>
        <v>10108</v>
      </c>
      <c r="M84" s="202"/>
      <c r="N84" s="203"/>
      <c r="O84" s="1"/>
      <c r="Q84" s="164"/>
      <c r="V84" s="208" t="s">
        <v>147</v>
      </c>
      <c r="W84" s="208"/>
      <c r="X84" s="208"/>
      <c r="Y84" s="208"/>
      <c r="Z84" s="208"/>
      <c r="AA84" s="208"/>
      <c r="AB84" s="208"/>
      <c r="AC84" s="208"/>
      <c r="AD84" s="9"/>
    </row>
    <row r="85" spans="1:30" ht="18.75" customHeight="1" thickTop="1" x14ac:dyDescent="0.25">
      <c r="B85" s="13"/>
      <c r="C85" s="13"/>
      <c r="D85" s="13"/>
      <c r="E85" s="13"/>
      <c r="F85" s="13"/>
      <c r="G85" s="13"/>
      <c r="H85" s="13"/>
      <c r="I85" s="13"/>
      <c r="J85" s="13"/>
      <c r="M85" s="202"/>
      <c r="N85" s="203"/>
      <c r="O85" s="1"/>
      <c r="Q85" s="164"/>
      <c r="V85" s="208" t="s">
        <v>148</v>
      </c>
      <c r="W85" s="208"/>
      <c r="X85" s="208"/>
      <c r="Y85" s="208"/>
      <c r="Z85" s="208"/>
      <c r="AA85" s="208"/>
      <c r="AB85" s="208"/>
      <c r="AC85" s="208"/>
      <c r="AD85" s="206"/>
    </row>
    <row r="86" spans="1:30" ht="18.75" customHeight="1" x14ac:dyDescent="0.25">
      <c r="B86" s="2" t="s">
        <v>149</v>
      </c>
      <c r="C86" s="13"/>
      <c r="D86" s="13"/>
      <c r="E86" s="13"/>
      <c r="F86" s="13"/>
      <c r="G86" s="13"/>
      <c r="H86" s="13"/>
      <c r="I86" s="13"/>
      <c r="J86" s="209" t="s">
        <v>150</v>
      </c>
      <c r="K86" s="210">
        <f>IF(K84=1,L84,L82)</f>
        <v>552938</v>
      </c>
      <c r="L86" s="211">
        <f>IF(G26=0,0,IF(G26&gt;250,-(((250/G26)*K86)*IF(M86="H",0.02,0.05)),IF(M86="H",-0.02*K86,-0.05*K86)))</f>
        <v>-27646.9</v>
      </c>
      <c r="M86" s="212" t="str">
        <f>IF(B123="2801","H",IF(B123="2911","H",IF(B123="3382","H"," ")))</f>
        <v xml:space="preserve"> </v>
      </c>
      <c r="N86" s="203"/>
      <c r="O86" s="1"/>
      <c r="Q86" s="164"/>
      <c r="V86" s="208" t="s">
        <v>151</v>
      </c>
      <c r="W86" s="208"/>
      <c r="X86" s="208"/>
      <c r="Y86" s="208"/>
      <c r="Z86" s="208"/>
      <c r="AA86" s="208"/>
      <c r="AB86" s="208"/>
      <c r="AC86" s="208"/>
      <c r="AD86" s="206"/>
    </row>
    <row r="87" spans="1:30" ht="18.75" customHeight="1" x14ac:dyDescent="0.25">
      <c r="B87" s="2" t="s">
        <v>152</v>
      </c>
      <c r="C87" s="13"/>
      <c r="D87" s="13"/>
      <c r="E87" s="13"/>
      <c r="F87" s="13"/>
      <c r="G87" s="13"/>
      <c r="H87" s="13"/>
      <c r="I87" s="13"/>
      <c r="J87" s="13"/>
      <c r="K87" s="213"/>
      <c r="L87" s="205">
        <f>L82+L86</f>
        <v>525291.1</v>
      </c>
      <c r="M87" s="202"/>
      <c r="N87" s="203"/>
      <c r="O87" s="1"/>
      <c r="Q87" s="164"/>
      <c r="V87" s="198"/>
      <c r="W87" s="198"/>
      <c r="X87" s="198"/>
      <c r="Y87" s="198"/>
      <c r="Z87" s="198"/>
      <c r="AA87" s="198"/>
      <c r="AB87" s="198"/>
      <c r="AC87" s="198"/>
      <c r="AD87" s="214"/>
    </row>
    <row r="88" spans="1:30" x14ac:dyDescent="0.25">
      <c r="V88" s="198"/>
      <c r="W88" s="198"/>
      <c r="X88" s="198"/>
      <c r="Y88" s="198"/>
      <c r="Z88" s="198"/>
      <c r="AA88" s="198"/>
      <c r="AB88" s="198"/>
      <c r="AC88" s="198"/>
      <c r="AD88" s="215"/>
    </row>
    <row r="89" spans="1:30" ht="18.75" customHeight="1" x14ac:dyDescent="0.25">
      <c r="A89" s="1" t="s">
        <v>153</v>
      </c>
      <c r="B89" s="13" t="s">
        <v>154</v>
      </c>
      <c r="C89" s="13"/>
      <c r="D89" s="13">
        <v>302480</v>
      </c>
      <c r="E89" s="13">
        <v>39794</v>
      </c>
      <c r="F89" s="13">
        <v>461659</v>
      </c>
      <c r="G89" s="13"/>
      <c r="H89" s="13"/>
      <c r="I89" s="13"/>
      <c r="J89" s="13"/>
      <c r="K89" s="213"/>
      <c r="L89" s="84">
        <f>-F89-35417</f>
        <v>-497076</v>
      </c>
      <c r="M89" s="202"/>
      <c r="N89" s="203"/>
      <c r="O89" s="1"/>
      <c r="Q89" s="164"/>
      <c r="V89" s="198">
        <v>2801</v>
      </c>
      <c r="W89" s="198"/>
      <c r="X89" s="198"/>
      <c r="Y89" s="198"/>
      <c r="Z89" s="198"/>
      <c r="AA89" s="198"/>
      <c r="AB89" s="198"/>
      <c r="AC89" s="198"/>
      <c r="AD89" s="214"/>
    </row>
    <row r="90" spans="1:30" ht="18.75" customHeight="1" x14ac:dyDescent="0.25">
      <c r="B90" s="13" t="s">
        <v>155</v>
      </c>
      <c r="C90" s="13"/>
      <c r="D90" s="13"/>
      <c r="E90" s="13"/>
      <c r="F90" s="13"/>
      <c r="G90" s="13"/>
      <c r="H90" s="13"/>
      <c r="I90" s="13"/>
      <c r="J90" s="13"/>
      <c r="K90" s="213"/>
      <c r="L90" s="205">
        <f>L87+L89</f>
        <v>28215.099999999977</v>
      </c>
      <c r="M90" s="202"/>
      <c r="N90" s="203"/>
      <c r="O90" s="1"/>
      <c r="Q90" s="164"/>
      <c r="V90" s="198">
        <v>2911</v>
      </c>
      <c r="W90" s="216"/>
      <c r="X90" s="216"/>
      <c r="Y90" s="216"/>
      <c r="Z90" s="216"/>
      <c r="AA90" s="216"/>
      <c r="AB90" s="216"/>
      <c r="AC90" s="216"/>
      <c r="AD90" s="214"/>
    </row>
    <row r="91" spans="1:30" ht="18.75" customHeight="1" x14ac:dyDescent="0.25">
      <c r="B91" s="13" t="s">
        <v>156</v>
      </c>
      <c r="C91" s="13"/>
      <c r="D91" s="13"/>
      <c r="E91" s="13"/>
      <c r="F91" s="13"/>
      <c r="G91" s="13"/>
      <c r="H91" s="13"/>
      <c r="I91" s="13"/>
      <c r="J91" s="13"/>
      <c r="K91" s="213"/>
      <c r="L91" s="205">
        <v>1</v>
      </c>
      <c r="M91" s="202"/>
      <c r="N91" s="203"/>
      <c r="O91" s="1"/>
      <c r="Q91" s="164"/>
      <c r="V91" s="198">
        <v>3382</v>
      </c>
      <c r="W91" s="216"/>
      <c r="X91" s="216"/>
      <c r="Y91" s="216"/>
      <c r="Z91" s="216"/>
      <c r="AA91" s="216"/>
      <c r="AB91" s="216"/>
      <c r="AC91" s="216"/>
      <c r="AD91" s="214"/>
    </row>
    <row r="92" spans="1:30" ht="18.75" customHeight="1" thickBot="1" x14ac:dyDescent="0.3">
      <c r="B92" s="13" t="s">
        <v>157</v>
      </c>
      <c r="C92" s="13"/>
      <c r="D92" s="13"/>
      <c r="E92" s="13"/>
      <c r="F92" s="13"/>
      <c r="G92" s="13"/>
      <c r="H92" s="13"/>
      <c r="I92" s="13"/>
      <c r="J92" s="13"/>
      <c r="K92" s="213"/>
      <c r="L92" s="217">
        <f>L90/L91</f>
        <v>28215.099999999977</v>
      </c>
      <c r="M92" s="202"/>
      <c r="N92" s="203"/>
      <c r="O92" s="1"/>
      <c r="Q92" s="164"/>
      <c r="V92" s="218"/>
      <c r="W92" s="218"/>
      <c r="X92" s="218"/>
      <c r="Y92" s="218"/>
      <c r="Z92" s="218"/>
      <c r="AA92" s="218"/>
      <c r="AB92" s="218"/>
      <c r="AC92" s="218"/>
      <c r="AD92" s="219"/>
    </row>
    <row r="93" spans="1:30" ht="18.75" customHeight="1" thickTop="1" x14ac:dyDescent="0.25">
      <c r="N93" s="219"/>
      <c r="O93" s="220"/>
      <c r="P93" s="219"/>
      <c r="Q93" s="219"/>
      <c r="V93" s="218"/>
      <c r="W93" s="218"/>
      <c r="X93" s="218"/>
      <c r="Y93" s="218"/>
      <c r="Z93" s="218"/>
      <c r="AA93" s="218"/>
      <c r="AB93" s="218"/>
      <c r="AC93" s="218"/>
      <c r="AD93" s="214"/>
    </row>
    <row r="94" spans="1:30" ht="18.75" customHeight="1" thickBot="1" x14ac:dyDescent="0.3">
      <c r="B94" s="221" t="s">
        <v>158</v>
      </c>
      <c r="C94" s="13"/>
      <c r="D94" s="13"/>
      <c r="E94" s="13"/>
      <c r="G94" s="13"/>
      <c r="H94" s="13"/>
      <c r="I94" s="13"/>
      <c r="J94" s="13"/>
      <c r="L94" s="222">
        <f>IF(M86="H",(K86*0.02)+L86,(K86*0.05)+L86)</f>
        <v>0</v>
      </c>
      <c r="M94" s="202"/>
      <c r="V94" s="223"/>
      <c r="W94" s="223"/>
      <c r="X94" s="223"/>
      <c r="Y94" s="223"/>
      <c r="Z94" s="223"/>
      <c r="AA94" s="223"/>
      <c r="AB94" s="223"/>
      <c r="AC94" s="223"/>
      <c r="AD94" s="214"/>
    </row>
    <row r="95" spans="1:30" ht="21.75" customHeight="1" thickTop="1" x14ac:dyDescent="0.25">
      <c r="B95" s="224" t="s">
        <v>159</v>
      </c>
      <c r="C95" s="224"/>
      <c r="D95" s="224"/>
      <c r="E95" s="224"/>
      <c r="F95" s="224"/>
      <c r="G95" s="224"/>
      <c r="H95" s="224"/>
      <c r="I95" s="224"/>
      <c r="J95" s="224"/>
      <c r="K95" s="224"/>
      <c r="L95" s="224"/>
      <c r="M95" s="219"/>
      <c r="V95" s="223"/>
      <c r="W95" s="223"/>
      <c r="X95" s="223"/>
      <c r="Y95" s="223"/>
      <c r="Z95" s="223"/>
      <c r="AA95" s="223"/>
      <c r="AB95" s="223"/>
      <c r="AC95" s="223"/>
      <c r="AD95" s="214"/>
    </row>
    <row r="96" spans="1:30" x14ac:dyDescent="0.25">
      <c r="B96" s="225"/>
      <c r="V96" s="223"/>
      <c r="W96" s="223"/>
      <c r="X96" s="223"/>
      <c r="Y96" s="223"/>
      <c r="Z96" s="223"/>
      <c r="AA96" s="223"/>
      <c r="AB96" s="223"/>
      <c r="AC96" s="223"/>
      <c r="AD96" s="219"/>
    </row>
    <row r="97" spans="2:30" x14ac:dyDescent="0.25">
      <c r="B97" s="225"/>
      <c r="V97" s="223"/>
      <c r="W97" s="223"/>
      <c r="X97" s="223"/>
      <c r="Y97" s="223"/>
      <c r="Z97" s="223"/>
      <c r="AA97" s="223"/>
      <c r="AB97" s="223"/>
      <c r="AC97" s="223"/>
      <c r="AD97" s="219"/>
    </row>
    <row r="98" spans="2:30" hidden="1" x14ac:dyDescent="0.25">
      <c r="B98" s="226" t="s">
        <v>160</v>
      </c>
      <c r="C98" s="227"/>
      <c r="V98" s="228"/>
      <c r="W98" s="228"/>
      <c r="X98" s="228"/>
      <c r="Y98" s="228"/>
      <c r="Z98" s="228"/>
      <c r="AA98" s="228"/>
      <c r="AB98" s="228"/>
      <c r="AC98" s="228"/>
    </row>
    <row r="99" spans="2:30" hidden="1" x14ac:dyDescent="0.25">
      <c r="B99" s="229"/>
      <c r="C99" s="227"/>
      <c r="V99" s="225"/>
      <c r="W99" s="13"/>
      <c r="X99" s="13"/>
      <c r="Y99" s="13"/>
      <c r="Z99" s="13"/>
      <c r="AA99" s="13"/>
      <c r="AB99" s="13"/>
      <c r="AC99" s="13"/>
    </row>
    <row r="100" spans="2:30" hidden="1" x14ac:dyDescent="0.25">
      <c r="B100" s="230" t="s">
        <v>161</v>
      </c>
      <c r="C100" s="226" t="s">
        <v>162</v>
      </c>
      <c r="V100" s="225"/>
    </row>
    <row r="101" spans="2:30" hidden="1" x14ac:dyDescent="0.25">
      <c r="B101" s="230" t="s">
        <v>163</v>
      </c>
      <c r="C101" s="226" t="s">
        <v>164</v>
      </c>
      <c r="V101" s="225"/>
    </row>
    <row r="102" spans="2:30" hidden="1" x14ac:dyDescent="0.25">
      <c r="B102" s="230" t="s">
        <v>165</v>
      </c>
      <c r="C102" s="226" t="s">
        <v>166</v>
      </c>
      <c r="V102" s="225"/>
      <c r="W102" s="231"/>
      <c r="X102" s="231"/>
      <c r="Y102" s="231"/>
      <c r="Z102" s="231"/>
      <c r="AA102" s="231"/>
      <c r="AB102" s="231"/>
      <c r="AC102" s="231"/>
      <c r="AD102" s="231"/>
    </row>
    <row r="103" spans="2:30" hidden="1" x14ac:dyDescent="0.25">
      <c r="B103" s="230" t="s">
        <v>167</v>
      </c>
      <c r="C103" s="226" t="s">
        <v>168</v>
      </c>
      <c r="V103" s="225"/>
    </row>
    <row r="104" spans="2:30" hidden="1" x14ac:dyDescent="0.25">
      <c r="B104" s="232"/>
      <c r="C104" s="226" t="s">
        <v>169</v>
      </c>
      <c r="V104" s="225"/>
    </row>
    <row r="105" spans="2:30" hidden="1" x14ac:dyDescent="0.25">
      <c r="B105" s="230" t="s">
        <v>170</v>
      </c>
      <c r="C105" s="226" t="s">
        <v>171</v>
      </c>
      <c r="V105" s="225"/>
    </row>
    <row r="106" spans="2:30" hidden="1" x14ac:dyDescent="0.25">
      <c r="B106" s="230" t="s">
        <v>172</v>
      </c>
      <c r="C106" s="226" t="s">
        <v>173</v>
      </c>
      <c r="V106" s="225"/>
    </row>
    <row r="107" spans="2:30" hidden="1" x14ac:dyDescent="0.25">
      <c r="B107" s="230" t="s">
        <v>213</v>
      </c>
      <c r="C107" s="226" t="s">
        <v>175</v>
      </c>
      <c r="V107" s="225"/>
    </row>
    <row r="108" spans="2:30" hidden="1" x14ac:dyDescent="0.25">
      <c r="B108" s="230" t="s">
        <v>176</v>
      </c>
      <c r="C108" s="226" t="s">
        <v>177</v>
      </c>
      <c r="V108" s="225"/>
    </row>
    <row r="109" spans="2:30" hidden="1" x14ac:dyDescent="0.25">
      <c r="B109" s="230" t="s">
        <v>178</v>
      </c>
      <c r="C109" s="226" t="s">
        <v>179</v>
      </c>
      <c r="V109" s="225"/>
    </row>
    <row r="110" spans="2:30" hidden="1" x14ac:dyDescent="0.25">
      <c r="B110" s="232"/>
      <c r="C110" s="226"/>
      <c r="V110" s="225"/>
    </row>
    <row r="111" spans="2:30" hidden="1" x14ac:dyDescent="0.25">
      <c r="B111" s="230" t="s">
        <v>180</v>
      </c>
      <c r="C111" s="226" t="s">
        <v>181</v>
      </c>
      <c r="V111" s="225"/>
    </row>
    <row r="112" spans="2:30" hidden="1" x14ac:dyDescent="0.25">
      <c r="B112" s="230" t="s">
        <v>180</v>
      </c>
      <c r="C112" s="226" t="s">
        <v>182</v>
      </c>
    </row>
    <row r="113" spans="2:3" hidden="1" x14ac:dyDescent="0.25">
      <c r="B113" s="230" t="s">
        <v>183</v>
      </c>
      <c r="C113" s="226" t="s">
        <v>184</v>
      </c>
    </row>
    <row r="114" spans="2:3" hidden="1" x14ac:dyDescent="0.25">
      <c r="B114" s="230" t="s">
        <v>185</v>
      </c>
      <c r="C114" s="226" t="s">
        <v>186</v>
      </c>
    </row>
    <row r="115" spans="2:3" hidden="1" x14ac:dyDescent="0.25">
      <c r="B115" s="230" t="s">
        <v>183</v>
      </c>
      <c r="C115" s="226" t="s">
        <v>187</v>
      </c>
    </row>
    <row r="116" spans="2:3" hidden="1" x14ac:dyDescent="0.25">
      <c r="B116" s="230" t="s">
        <v>188</v>
      </c>
      <c r="C116" s="226" t="s">
        <v>189</v>
      </c>
    </row>
    <row r="117" spans="2:3" hidden="1" x14ac:dyDescent="0.25">
      <c r="B117" s="230" t="s">
        <v>190</v>
      </c>
      <c r="C117" s="226" t="s">
        <v>191</v>
      </c>
    </row>
    <row r="118" spans="2:3" hidden="1" x14ac:dyDescent="0.25">
      <c r="B118" s="232" t="s">
        <v>192</v>
      </c>
      <c r="C118" s="226" t="s">
        <v>193</v>
      </c>
    </row>
    <row r="119" spans="2:3" hidden="1" x14ac:dyDescent="0.25">
      <c r="B119" s="232"/>
      <c r="C119" s="226"/>
    </row>
    <row r="120" spans="2:3" hidden="1" x14ac:dyDescent="0.25">
      <c r="B120" s="230" t="s">
        <v>161</v>
      </c>
      <c r="C120" s="226" t="s">
        <v>194</v>
      </c>
    </row>
    <row r="121" spans="2:3" hidden="1" x14ac:dyDescent="0.25">
      <c r="B121" s="230" t="s">
        <v>195</v>
      </c>
      <c r="C121" s="226" t="s">
        <v>196</v>
      </c>
    </row>
    <row r="122" spans="2:3" hidden="1" x14ac:dyDescent="0.25">
      <c r="B122" s="230" t="s">
        <v>197</v>
      </c>
      <c r="C122" s="226" t="s">
        <v>198</v>
      </c>
    </row>
    <row r="123" spans="2:3" hidden="1" x14ac:dyDescent="0.25">
      <c r="B123" s="230" t="s">
        <v>214</v>
      </c>
      <c r="C123" s="226" t="s">
        <v>200</v>
      </c>
    </row>
    <row r="124" spans="2:3" hidden="1" x14ac:dyDescent="0.25">
      <c r="B124" s="230" t="s">
        <v>215</v>
      </c>
      <c r="C124" s="226" t="s">
        <v>202</v>
      </c>
    </row>
    <row r="125" spans="2:3" hidden="1" x14ac:dyDescent="0.25">
      <c r="B125" s="230" t="s">
        <v>203</v>
      </c>
      <c r="C125" s="226" t="s">
        <v>204</v>
      </c>
    </row>
    <row r="126" spans="2:3" hidden="1" x14ac:dyDescent="0.25">
      <c r="B126" s="230" t="s">
        <v>203</v>
      </c>
      <c r="C126" s="226" t="s">
        <v>205</v>
      </c>
    </row>
    <row r="127" spans="2:3" hidden="1" x14ac:dyDescent="0.25">
      <c r="B127" s="230" t="s">
        <v>203</v>
      </c>
      <c r="C127" s="226" t="s">
        <v>206</v>
      </c>
    </row>
    <row r="128" spans="2:3" hidden="1" x14ac:dyDescent="0.25">
      <c r="B128" s="230" t="s">
        <v>203</v>
      </c>
      <c r="C128" s="226" t="s">
        <v>207</v>
      </c>
    </row>
    <row r="129" spans="2:3" hidden="1" x14ac:dyDescent="0.25">
      <c r="B129" s="230" t="s">
        <v>167</v>
      </c>
      <c r="C129" s="226" t="s">
        <v>208</v>
      </c>
    </row>
    <row r="130" spans="2:3" hidden="1" x14ac:dyDescent="0.25">
      <c r="B130" s="230" t="s">
        <v>209</v>
      </c>
      <c r="C130" s="226" t="s">
        <v>210</v>
      </c>
    </row>
    <row r="131" spans="2:3" hidden="1" x14ac:dyDescent="0.25">
      <c r="B131" s="230" t="s">
        <v>203</v>
      </c>
      <c r="C131" s="226" t="s">
        <v>211</v>
      </c>
    </row>
    <row r="132" spans="2:3" hidden="1" x14ac:dyDescent="0.25">
      <c r="B132" s="226"/>
      <c r="C132" s="226"/>
    </row>
    <row r="133" spans="2:3" hidden="1" x14ac:dyDescent="0.25">
      <c r="B133" s="226"/>
      <c r="C133" s="226"/>
    </row>
    <row r="134" spans="2:3" hidden="1" x14ac:dyDescent="0.25">
      <c r="B134" s="232"/>
      <c r="C134" s="232"/>
    </row>
    <row r="135" spans="2:3" hidden="1" x14ac:dyDescent="0.25">
      <c r="B135" s="232">
        <f>NvsElapsedTime</f>
        <v>1.15740767796524E-5</v>
      </c>
      <c r="C135" s="232"/>
    </row>
    <row r="136" spans="2:3" hidden="1" x14ac:dyDescent="0.25">
      <c r="B136" s="233">
        <f>NvsEndTime</f>
        <v>41754.487650463001</v>
      </c>
      <c r="C136" s="233" t="s">
        <v>212</v>
      </c>
    </row>
    <row r="137" spans="2:3" x14ac:dyDescent="0.25">
      <c r="B137" s="226"/>
      <c r="C137" s="234"/>
    </row>
    <row r="138" spans="2:3" x14ac:dyDescent="0.25">
      <c r="B138" s="226"/>
      <c r="C138" s="226"/>
    </row>
    <row r="139" spans="2:3" x14ac:dyDescent="0.25">
      <c r="B139" s="226"/>
      <c r="C139" s="226"/>
    </row>
    <row r="140" spans="2:3" x14ac:dyDescent="0.25">
      <c r="B140" s="226"/>
      <c r="C140" s="226"/>
    </row>
    <row r="141" spans="2:3" x14ac:dyDescent="0.25">
      <c r="B141" s="226"/>
      <c r="C141" s="226"/>
    </row>
    <row r="142" spans="2:3" x14ac:dyDescent="0.25">
      <c r="B142" s="226"/>
      <c r="C142" s="226"/>
    </row>
    <row r="143" spans="2:3" x14ac:dyDescent="0.25">
      <c r="B143" s="226"/>
      <c r="C143" s="226"/>
    </row>
    <row r="144" spans="2:3" x14ac:dyDescent="0.25">
      <c r="B144" s="226"/>
      <c r="C144" s="226"/>
    </row>
    <row r="145" spans="2:3" x14ac:dyDescent="0.25">
      <c r="B145" s="226"/>
      <c r="C145" s="226"/>
    </row>
    <row r="146" spans="2:3" x14ac:dyDescent="0.25">
      <c r="B146" s="226"/>
      <c r="C146" s="226"/>
    </row>
    <row r="147" spans="2:3" x14ac:dyDescent="0.25">
      <c r="B147" s="226"/>
      <c r="C147" s="226"/>
    </row>
    <row r="148" spans="2:3" x14ac:dyDescent="0.25">
      <c r="B148" s="226"/>
      <c r="C148" s="226"/>
    </row>
    <row r="149" spans="2:3" x14ac:dyDescent="0.25">
      <c r="B149" s="226"/>
      <c r="C149" s="226"/>
    </row>
    <row r="150" spans="2:3" x14ac:dyDescent="0.25">
      <c r="B150" s="226"/>
      <c r="C150" s="226"/>
    </row>
    <row r="151" spans="2:3" x14ac:dyDescent="0.25">
      <c r="B151" s="226"/>
      <c r="C151" s="226"/>
    </row>
  </sheetData>
  <mergeCells count="151">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9:W9"/>
    <mergeCell ref="X9:Y9"/>
    <mergeCell ref="Z9:AA9"/>
    <mergeCell ref="V10:W10"/>
    <mergeCell ref="X10:Y10"/>
    <mergeCell ref="Z10:AA10"/>
    <mergeCell ref="V7:W7"/>
    <mergeCell ref="X7:Y7"/>
    <mergeCell ref="Z7:AA7"/>
    <mergeCell ref="AB7:AC7"/>
    <mergeCell ref="V8:W8"/>
    <mergeCell ref="X8:Y8"/>
    <mergeCell ref="Z8:AA8"/>
    <mergeCell ref="W2:AC2"/>
    <mergeCell ref="V3:AC3"/>
    <mergeCell ref="V4:AC4"/>
    <mergeCell ref="V5:W5"/>
    <mergeCell ref="X5:Y5"/>
    <mergeCell ref="V6:AC6"/>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D151"/>
  <sheetViews>
    <sheetView topLeftCell="B2" zoomScale="70" zoomScaleNormal="70" workbookViewId="0">
      <selection activeCell="D28" sqref="D28:E33"/>
    </sheetView>
  </sheetViews>
  <sheetFormatPr defaultColWidth="8.7109375" defaultRowHeight="15.75" x14ac:dyDescent="0.25"/>
  <cols>
    <col min="1" max="1" width="11.28515625" style="1" hidden="1" customWidth="1"/>
    <col min="2" max="2" width="10.28515625" style="2" customWidth="1"/>
    <col min="3" max="3" width="29" style="1" customWidth="1"/>
    <col min="4" max="5" width="12.28515625" style="1" customWidth="1"/>
    <col min="6" max="6" width="12.28515625" style="1" hidden="1" customWidth="1"/>
    <col min="7" max="7" width="16.140625" style="1" customWidth="1"/>
    <col min="8" max="8" width="6.7109375" style="1" customWidth="1"/>
    <col min="9" max="9" width="13.5703125" style="1" customWidth="1"/>
    <col min="10" max="10" width="12.85546875" style="1" customWidth="1"/>
    <col min="11" max="11" width="16.140625" style="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28515625" style="1" customWidth="1"/>
    <col min="18" max="18" width="8.85546875" style="1"/>
    <col min="19" max="21" width="0" style="1" hidden="1" customWidth="1"/>
    <col min="22" max="23" width="8.85546875" style="1"/>
    <col min="24" max="24" width="12.7109375" style="1" customWidth="1"/>
    <col min="25" max="27" width="8.85546875" style="1"/>
    <col min="28" max="28" width="13.140625" style="1" bestFit="1" customWidth="1"/>
    <col min="29" max="16384" width="8.7109375" style="1"/>
  </cols>
  <sheetData>
    <row r="1" spans="1:30" ht="15.6"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7"/>
      <c r="N2" s="3"/>
      <c r="O2" s="1"/>
      <c r="V2" s="8">
        <f>'3941 June Final'!B2</f>
        <v>50</v>
      </c>
      <c r="W2" s="606" t="s">
        <v>4</v>
      </c>
      <c r="X2" s="607"/>
      <c r="Y2" s="608"/>
      <c r="Z2" s="608"/>
      <c r="AA2" s="608"/>
      <c r="AB2" s="608"/>
      <c r="AC2" s="608"/>
      <c r="AD2" s="9"/>
    </row>
    <row r="3" spans="1:30" ht="20.25" x14ac:dyDescent="0.3">
      <c r="B3" s="10" t="str">
        <f>"Revenue Estimate Worksheet for "&amp;B124</f>
        <v>Revenue Estimate Worksheet for Ben Gamla - Palm Beach</v>
      </c>
      <c r="C3" s="11"/>
      <c r="D3" s="11"/>
      <c r="E3" s="11"/>
      <c r="F3" s="11"/>
      <c r="G3" s="11"/>
      <c r="H3" s="11"/>
      <c r="I3" s="11"/>
      <c r="J3" s="11"/>
      <c r="K3" s="11"/>
      <c r="L3" s="11"/>
      <c r="M3" s="10"/>
      <c r="N3" s="10"/>
      <c r="O3" s="10"/>
      <c r="P3" s="10"/>
      <c r="Q3" s="10"/>
      <c r="V3" s="609" t="s">
        <v>5</v>
      </c>
      <c r="W3" s="609"/>
      <c r="X3" s="609"/>
      <c r="Y3" s="609"/>
      <c r="Z3" s="609"/>
      <c r="AA3" s="609"/>
      <c r="AB3" s="609"/>
      <c r="AC3" s="609"/>
      <c r="AD3" s="12"/>
    </row>
    <row r="4" spans="1:30" ht="18.75" x14ac:dyDescent="0.3">
      <c r="B4" s="2" t="s">
        <v>6</v>
      </c>
      <c r="C4" s="13"/>
      <c r="D4" s="13"/>
      <c r="E4" s="13"/>
      <c r="F4" s="13"/>
      <c r="G4" s="13"/>
      <c r="H4" s="13"/>
      <c r="I4" s="13"/>
      <c r="J4" s="13"/>
      <c r="K4" s="13"/>
      <c r="L4" s="13"/>
      <c r="M4" s="14"/>
      <c r="N4" s="14"/>
      <c r="O4" s="14"/>
      <c r="P4" s="14"/>
      <c r="Q4" s="14"/>
      <c r="V4" s="610" t="str">
        <f>+Based_on_the_Second_Calculation_of_the_FEFP_2010_11</f>
        <v>Based on the Fourth Calculation of the FEFP 2013-14</v>
      </c>
      <c r="W4" s="610"/>
      <c r="X4" s="610"/>
      <c r="Y4" s="610"/>
      <c r="Z4" s="610"/>
      <c r="AA4" s="610"/>
      <c r="AB4" s="610"/>
      <c r="AC4" s="610"/>
      <c r="AD4" s="15"/>
    </row>
    <row r="5" spans="1:30" ht="18.75" customHeight="1" x14ac:dyDescent="0.25">
      <c r="B5" s="16" t="s">
        <v>7</v>
      </c>
      <c r="C5" s="16"/>
      <c r="D5" s="16"/>
      <c r="E5" s="16"/>
      <c r="F5" s="16"/>
      <c r="G5" s="17" t="s">
        <v>8</v>
      </c>
      <c r="H5" s="17"/>
      <c r="I5" s="17"/>
      <c r="J5" s="17"/>
      <c r="K5" s="17"/>
      <c r="L5" s="17"/>
      <c r="M5" s="18"/>
      <c r="N5" s="18"/>
      <c r="O5" s="18"/>
      <c r="P5" s="18"/>
      <c r="Q5" s="18"/>
      <c r="V5" s="611" t="s">
        <v>7</v>
      </c>
      <c r="W5" s="611"/>
      <c r="X5" s="612" t="s">
        <v>8</v>
      </c>
      <c r="Y5" s="612"/>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613" t="s">
        <v>9</v>
      </c>
      <c r="W6" s="613"/>
      <c r="X6" s="613"/>
      <c r="Y6" s="613"/>
      <c r="Z6" s="613"/>
      <c r="AA6" s="613"/>
      <c r="AB6" s="613"/>
      <c r="AC6" s="613"/>
      <c r="AD6" s="22"/>
    </row>
    <row r="7" spans="1:30" ht="18" customHeight="1" x14ac:dyDescent="0.25">
      <c r="B7" s="23" t="s">
        <v>10</v>
      </c>
      <c r="C7" s="23"/>
      <c r="D7" s="23"/>
      <c r="E7" s="23"/>
      <c r="F7" s="23"/>
      <c r="G7" s="24">
        <v>3752.3</v>
      </c>
      <c r="H7" s="24"/>
      <c r="I7" s="23" t="s">
        <v>11</v>
      </c>
      <c r="J7" s="23"/>
      <c r="K7" s="25">
        <v>1.0326</v>
      </c>
      <c r="L7" s="25"/>
      <c r="O7" s="1"/>
      <c r="V7" s="620" t="s">
        <v>10</v>
      </c>
      <c r="W7" s="620"/>
      <c r="X7" s="621">
        <f>'3941 June Final'!G7</f>
        <v>3752.3</v>
      </c>
      <c r="Y7" s="621"/>
      <c r="Z7" s="622" t="s">
        <v>11</v>
      </c>
      <c r="AA7" s="622"/>
      <c r="AB7" s="602">
        <f>+K7</f>
        <v>1.0326</v>
      </c>
      <c r="AC7" s="602"/>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603" t="s">
        <v>12</v>
      </c>
      <c r="W8" s="603"/>
      <c r="X8" s="604" t="s">
        <v>15</v>
      </c>
      <c r="Y8" s="604"/>
      <c r="Z8" s="605" t="s">
        <v>16</v>
      </c>
      <c r="AA8" s="605"/>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614" t="s">
        <v>22</v>
      </c>
      <c r="W9" s="614"/>
      <c r="X9" s="615" t="s">
        <v>23</v>
      </c>
      <c r="Y9" s="615"/>
      <c r="Z9" s="616" t="s">
        <v>24</v>
      </c>
      <c r="AA9" s="616"/>
      <c r="AB9" s="43" t="s">
        <v>25</v>
      </c>
      <c r="AC9" s="44" t="s">
        <v>26</v>
      </c>
      <c r="AD9" s="9"/>
    </row>
    <row r="10" spans="1:30" x14ac:dyDescent="0.25">
      <c r="A10" s="1" t="s">
        <v>27</v>
      </c>
      <c r="B10" s="45" t="s">
        <v>28</v>
      </c>
      <c r="C10" s="45"/>
      <c r="D10" s="45">
        <v>86.05</v>
      </c>
      <c r="E10" s="45">
        <v>83.07</v>
      </c>
      <c r="F10" s="45">
        <v>91.41</v>
      </c>
      <c r="G10" s="46">
        <f t="shared" ref="G10:G25" si="0">D10+E10</f>
        <v>169.12</v>
      </c>
      <c r="H10" s="47"/>
      <c r="I10" s="48">
        <v>1.125</v>
      </c>
      <c r="J10" s="48"/>
      <c r="K10" s="49">
        <f t="shared" ref="K10:K25" si="1">ROUND(G10*I10,4)</f>
        <v>190.26</v>
      </c>
      <c r="L10" s="50">
        <f t="shared" ref="L10:L25" si="2">ROUND(ROUND(K10*$G$7,4)*($K$7),0)</f>
        <v>737186</v>
      </c>
      <c r="N10" s="51">
        <v>5101</v>
      </c>
      <c r="O10" s="52">
        <v>101</v>
      </c>
      <c r="P10" s="53"/>
      <c r="Q10" s="54"/>
      <c r="V10" s="617" t="s">
        <v>28</v>
      </c>
      <c r="W10" s="617"/>
      <c r="X10" s="618">
        <f>IF('3941 June Final'!K$84=1,'3941 June Final'!G10,0)</f>
        <v>0</v>
      </c>
      <c r="Y10" s="618"/>
      <c r="Z10" s="619">
        <v>1</v>
      </c>
      <c r="AA10" s="619"/>
      <c r="AB10" s="55">
        <f t="shared" ref="AB10:AB25" si="3">ROUND(X10*Z10,4)</f>
        <v>0</v>
      </c>
      <c r="AC10" s="56">
        <f t="shared" ref="AC10:AC25" si="4">ROUND(ROUND(AB10*$X$7,4)*($AB$7),0)</f>
        <v>0</v>
      </c>
      <c r="AD10" s="9">
        <v>1</v>
      </c>
    </row>
    <row r="11" spans="1:30" x14ac:dyDescent="0.25">
      <c r="A11" s="1" t="s">
        <v>29</v>
      </c>
      <c r="B11" s="13" t="s">
        <v>30</v>
      </c>
      <c r="C11" s="13"/>
      <c r="D11" s="13">
        <v>20.45</v>
      </c>
      <c r="E11" s="13">
        <v>24.57</v>
      </c>
      <c r="F11" s="13">
        <v>22.41</v>
      </c>
      <c r="G11" s="46">
        <f t="shared" si="0"/>
        <v>45.019999999999996</v>
      </c>
      <c r="H11" s="47"/>
      <c r="I11" s="57">
        <f>I10</f>
        <v>1.125</v>
      </c>
      <c r="J11" s="57"/>
      <c r="K11" s="49">
        <f t="shared" si="1"/>
        <v>50.647500000000001</v>
      </c>
      <c r="L11" s="50">
        <f t="shared" si="2"/>
        <v>196240</v>
      </c>
      <c r="M11" s="1" t="str">
        <f>IF(ROUND(G11,2)=ROUND(SUM(G28:G30),2)," ","CHECK 2. PK-3 Lines Below")</f>
        <v xml:space="preserve"> </v>
      </c>
      <c r="N11" s="51">
        <v>5101</v>
      </c>
      <c r="O11" s="58" t="s">
        <v>31</v>
      </c>
      <c r="P11" s="53"/>
      <c r="Q11" s="54"/>
      <c r="V11" s="623" t="s">
        <v>30</v>
      </c>
      <c r="W11" s="623"/>
      <c r="X11" s="618">
        <f>IF('3941 June Final'!K$84=1,'3941 June Final'!G11,0)</f>
        <v>0</v>
      </c>
      <c r="Y11" s="618"/>
      <c r="Z11" s="624">
        <v>1</v>
      </c>
      <c r="AA11" s="624"/>
      <c r="AB11" s="55">
        <f t="shared" si="3"/>
        <v>0</v>
      </c>
      <c r="AC11" s="56">
        <f t="shared" si="4"/>
        <v>0</v>
      </c>
      <c r="AD11" s="9"/>
    </row>
    <row r="12" spans="1:30" x14ac:dyDescent="0.25">
      <c r="A12" s="1" t="s">
        <v>32</v>
      </c>
      <c r="B12" s="13" t="s">
        <v>33</v>
      </c>
      <c r="C12" s="13"/>
      <c r="D12" s="13">
        <v>23.55</v>
      </c>
      <c r="E12" s="13">
        <v>21.05</v>
      </c>
      <c r="F12" s="13">
        <v>23.63</v>
      </c>
      <c r="G12" s="46">
        <f t="shared" si="0"/>
        <v>44.6</v>
      </c>
      <c r="H12" s="47"/>
      <c r="I12" s="57">
        <v>1</v>
      </c>
      <c r="J12" s="57"/>
      <c r="K12" s="49">
        <f t="shared" si="1"/>
        <v>44.6</v>
      </c>
      <c r="L12" s="50">
        <f t="shared" si="2"/>
        <v>172808</v>
      </c>
      <c r="N12" s="51">
        <v>5102</v>
      </c>
      <c r="O12" s="52">
        <v>102</v>
      </c>
      <c r="P12" s="53"/>
      <c r="Q12" s="54"/>
      <c r="V12" s="623" t="s">
        <v>33</v>
      </c>
      <c r="W12" s="623"/>
      <c r="X12" s="618">
        <f>IF('3941 June Final'!K$84=1,'3941 June Final'!G12,0)</f>
        <v>0</v>
      </c>
      <c r="Y12" s="618"/>
      <c r="Z12" s="624">
        <v>1</v>
      </c>
      <c r="AA12" s="624"/>
      <c r="AB12" s="55">
        <f t="shared" si="3"/>
        <v>0</v>
      </c>
      <c r="AC12" s="56">
        <f t="shared" si="4"/>
        <v>0</v>
      </c>
      <c r="AD12" s="9"/>
    </row>
    <row r="13" spans="1:30" x14ac:dyDescent="0.25">
      <c r="A13" s="1" t="s">
        <v>34</v>
      </c>
      <c r="B13" s="13" t="s">
        <v>35</v>
      </c>
      <c r="C13" s="13"/>
      <c r="D13" s="13">
        <v>8.5</v>
      </c>
      <c r="E13" s="13">
        <v>10.5</v>
      </c>
      <c r="F13" s="13">
        <v>8.73</v>
      </c>
      <c r="G13" s="46">
        <f t="shared" si="0"/>
        <v>19</v>
      </c>
      <c r="H13" s="47"/>
      <c r="I13" s="57">
        <f>I12</f>
        <v>1</v>
      </c>
      <c r="J13" s="57"/>
      <c r="K13" s="49">
        <f t="shared" si="1"/>
        <v>19</v>
      </c>
      <c r="L13" s="50">
        <f t="shared" si="2"/>
        <v>73618</v>
      </c>
      <c r="M13" s="1" t="str">
        <f>IF(ROUND(G13,2)=ROUND(SUM(G31:G33),2)," ","CHECK 2. PK-3 Lines Below")</f>
        <v xml:space="preserve"> </v>
      </c>
      <c r="N13" s="51">
        <v>5102</v>
      </c>
      <c r="O13" s="58" t="s">
        <v>36</v>
      </c>
      <c r="P13" s="53"/>
      <c r="Q13" s="54"/>
      <c r="V13" s="623" t="s">
        <v>35</v>
      </c>
      <c r="W13" s="623"/>
      <c r="X13" s="618">
        <f>IF('3941 June Final'!K$84=1,'3941 June Final'!G13,0)</f>
        <v>0</v>
      </c>
      <c r="Y13" s="618"/>
      <c r="Z13" s="624">
        <v>1</v>
      </c>
      <c r="AA13" s="624"/>
      <c r="AB13" s="55">
        <f t="shared" si="3"/>
        <v>0</v>
      </c>
      <c r="AC13" s="56">
        <f t="shared" si="4"/>
        <v>0</v>
      </c>
      <c r="AD13" s="9"/>
    </row>
    <row r="14" spans="1:30" x14ac:dyDescent="0.25">
      <c r="A14" s="1" t="s">
        <v>37</v>
      </c>
      <c r="B14" s="13" t="s">
        <v>38</v>
      </c>
      <c r="C14" s="13"/>
      <c r="D14" s="13">
        <v>0</v>
      </c>
      <c r="E14" s="13">
        <v>0</v>
      </c>
      <c r="F14" s="13">
        <v>0</v>
      </c>
      <c r="G14" s="46">
        <f t="shared" si="0"/>
        <v>0</v>
      </c>
      <c r="H14" s="47"/>
      <c r="I14" s="57">
        <v>1.0109999999999999</v>
      </c>
      <c r="J14" s="57"/>
      <c r="K14" s="49">
        <f t="shared" si="1"/>
        <v>0</v>
      </c>
      <c r="L14" s="50">
        <f t="shared" si="2"/>
        <v>0</v>
      </c>
      <c r="N14" s="51">
        <v>5103</v>
      </c>
      <c r="O14" s="52">
        <v>103</v>
      </c>
      <c r="P14" s="53"/>
      <c r="Q14" s="54"/>
      <c r="V14" s="623" t="s">
        <v>38</v>
      </c>
      <c r="W14" s="623"/>
      <c r="X14" s="618">
        <f>IF('3941 June Final'!K$84=1,'3941 June Final'!G14,0)</f>
        <v>0</v>
      </c>
      <c r="Y14" s="618"/>
      <c r="Z14" s="624">
        <v>1</v>
      </c>
      <c r="AA14" s="624"/>
      <c r="AB14" s="55">
        <f t="shared" si="3"/>
        <v>0</v>
      </c>
      <c r="AC14" s="56">
        <f t="shared" si="4"/>
        <v>0</v>
      </c>
      <c r="AD14" s="9"/>
    </row>
    <row r="15" spans="1:30" x14ac:dyDescent="0.25">
      <c r="A15" s="1" t="s">
        <v>39</v>
      </c>
      <c r="B15" s="13" t="s">
        <v>40</v>
      </c>
      <c r="C15" s="13"/>
      <c r="D15" s="13">
        <v>0</v>
      </c>
      <c r="E15" s="13">
        <v>0</v>
      </c>
      <c r="F15" s="13">
        <v>0</v>
      </c>
      <c r="G15" s="46">
        <f t="shared" si="0"/>
        <v>0</v>
      </c>
      <c r="H15" s="47"/>
      <c r="I15" s="57">
        <f>I14</f>
        <v>1.0109999999999999</v>
      </c>
      <c r="J15" s="57"/>
      <c r="K15" s="49">
        <f t="shared" si="1"/>
        <v>0</v>
      </c>
      <c r="L15" s="59">
        <f t="shared" si="2"/>
        <v>0</v>
      </c>
      <c r="M15" s="1" t="str">
        <f>IF(ROUND(G15,2)=ROUND(SUM(G34:G36),2)," ","CHECK 2. PK-3 Lines Below")</f>
        <v xml:space="preserve"> </v>
      </c>
      <c r="N15" s="51">
        <v>5103</v>
      </c>
      <c r="O15" s="58" t="s">
        <v>41</v>
      </c>
      <c r="P15" s="53"/>
      <c r="Q15" s="54"/>
      <c r="V15" s="623" t="s">
        <v>40</v>
      </c>
      <c r="W15" s="623"/>
      <c r="X15" s="618">
        <f>IF('3941 June Final'!K$84=1,'3941 June Final'!G15,0)</f>
        <v>0</v>
      </c>
      <c r="Y15" s="618"/>
      <c r="Z15" s="624">
        <v>1</v>
      </c>
      <c r="AA15" s="624"/>
      <c r="AB15" s="55">
        <f t="shared" si="3"/>
        <v>0</v>
      </c>
      <c r="AC15" s="60">
        <f t="shared" si="4"/>
        <v>0</v>
      </c>
      <c r="AD15" s="9"/>
    </row>
    <row r="16" spans="1:30" x14ac:dyDescent="0.25">
      <c r="A16" s="1" t="s">
        <v>42</v>
      </c>
      <c r="B16" s="13" t="s">
        <v>43</v>
      </c>
      <c r="C16" s="13"/>
      <c r="D16" s="13">
        <v>0</v>
      </c>
      <c r="E16" s="13">
        <v>0</v>
      </c>
      <c r="F16" s="13">
        <v>0</v>
      </c>
      <c r="G16" s="46">
        <f t="shared" si="0"/>
        <v>0</v>
      </c>
      <c r="H16" s="47"/>
      <c r="I16" s="57">
        <v>3.5579999999999998</v>
      </c>
      <c r="J16" s="57"/>
      <c r="K16" s="49">
        <f t="shared" si="1"/>
        <v>0</v>
      </c>
      <c r="L16" s="50">
        <f t="shared" si="2"/>
        <v>0</v>
      </c>
      <c r="N16" s="51">
        <v>5101</v>
      </c>
      <c r="O16" s="53">
        <v>254</v>
      </c>
      <c r="P16" s="53"/>
      <c r="Q16" s="54"/>
      <c r="V16" s="623" t="s">
        <v>43</v>
      </c>
      <c r="W16" s="623"/>
      <c r="X16" s="618">
        <f>IF('3941 June Final'!K$84=1,'3941 June Final'!G16,0)</f>
        <v>0</v>
      </c>
      <c r="Y16" s="618"/>
      <c r="Z16" s="624">
        <v>1</v>
      </c>
      <c r="AA16" s="624"/>
      <c r="AB16" s="55">
        <f t="shared" si="3"/>
        <v>0</v>
      </c>
      <c r="AC16" s="56">
        <f t="shared" si="4"/>
        <v>0</v>
      </c>
      <c r="AD16" s="9"/>
    </row>
    <row r="17" spans="1:30" x14ac:dyDescent="0.25">
      <c r="A17" s="1" t="s">
        <v>44</v>
      </c>
      <c r="B17" s="13" t="s">
        <v>45</v>
      </c>
      <c r="C17" s="13"/>
      <c r="D17" s="13">
        <v>0</v>
      </c>
      <c r="E17" s="13">
        <v>0</v>
      </c>
      <c r="F17" s="13">
        <v>0</v>
      </c>
      <c r="G17" s="46">
        <f t="shared" si="0"/>
        <v>0</v>
      </c>
      <c r="H17" s="47"/>
      <c r="I17" s="57">
        <f>I16</f>
        <v>3.5579999999999998</v>
      </c>
      <c r="J17" s="57"/>
      <c r="K17" s="49">
        <f t="shared" si="1"/>
        <v>0</v>
      </c>
      <c r="L17" s="50">
        <f t="shared" si="2"/>
        <v>0</v>
      </c>
      <c r="N17" s="51">
        <v>5102</v>
      </c>
      <c r="O17" s="54">
        <v>254</v>
      </c>
      <c r="P17" s="53"/>
      <c r="Q17" s="54"/>
      <c r="V17" s="623" t="s">
        <v>45</v>
      </c>
      <c r="W17" s="623"/>
      <c r="X17" s="618">
        <f>IF('3941 June Final'!K$84=1,'3941 June Final'!G17,0)</f>
        <v>0</v>
      </c>
      <c r="Y17" s="618"/>
      <c r="Z17" s="624">
        <v>1</v>
      </c>
      <c r="AA17" s="624"/>
      <c r="AB17" s="55">
        <f t="shared" si="3"/>
        <v>0</v>
      </c>
      <c r="AC17" s="56">
        <f t="shared" si="4"/>
        <v>0</v>
      </c>
      <c r="AD17" s="9"/>
    </row>
    <row r="18" spans="1:30" x14ac:dyDescent="0.25">
      <c r="A18" s="1" t="s">
        <v>46</v>
      </c>
      <c r="B18" s="13" t="s">
        <v>47</v>
      </c>
      <c r="C18" s="13"/>
      <c r="D18" s="13">
        <v>0</v>
      </c>
      <c r="E18" s="13">
        <v>0</v>
      </c>
      <c r="F18" s="13">
        <v>0</v>
      </c>
      <c r="G18" s="46">
        <f t="shared" si="0"/>
        <v>0</v>
      </c>
      <c r="H18" s="47"/>
      <c r="I18" s="57">
        <f>I17</f>
        <v>3.5579999999999998</v>
      </c>
      <c r="J18" s="57"/>
      <c r="K18" s="49">
        <f t="shared" si="1"/>
        <v>0</v>
      </c>
      <c r="L18" s="50">
        <f t="shared" si="2"/>
        <v>0</v>
      </c>
      <c r="N18" s="51">
        <v>5103</v>
      </c>
      <c r="O18" s="54">
        <v>254</v>
      </c>
      <c r="P18" s="53"/>
      <c r="Q18" s="54"/>
      <c r="V18" s="623" t="s">
        <v>47</v>
      </c>
      <c r="W18" s="623"/>
      <c r="X18" s="618">
        <f>IF('3941 June Final'!K$84=1,'3941 June Final'!G18,0)</f>
        <v>0</v>
      </c>
      <c r="Y18" s="618"/>
      <c r="Z18" s="624">
        <v>1</v>
      </c>
      <c r="AA18" s="624"/>
      <c r="AB18" s="55">
        <f t="shared" si="3"/>
        <v>0</v>
      </c>
      <c r="AC18" s="56">
        <f t="shared" si="4"/>
        <v>0</v>
      </c>
      <c r="AD18" s="9"/>
    </row>
    <row r="19" spans="1:30" ht="15" customHeight="1" x14ac:dyDescent="0.25">
      <c r="A19" s="1" t="s">
        <v>48</v>
      </c>
      <c r="B19" s="13" t="s">
        <v>49</v>
      </c>
      <c r="C19" s="13"/>
      <c r="D19" s="13">
        <v>0</v>
      </c>
      <c r="E19" s="13">
        <v>0</v>
      </c>
      <c r="F19" s="13">
        <v>0</v>
      </c>
      <c r="G19" s="46">
        <f t="shared" si="0"/>
        <v>0</v>
      </c>
      <c r="H19" s="47"/>
      <c r="I19" s="57">
        <v>5.0890000000000004</v>
      </c>
      <c r="J19" s="57"/>
      <c r="K19" s="49">
        <f t="shared" si="1"/>
        <v>0</v>
      </c>
      <c r="L19" s="50">
        <f t="shared" si="2"/>
        <v>0</v>
      </c>
      <c r="N19" s="51">
        <v>5101</v>
      </c>
      <c r="O19" s="53">
        <v>255</v>
      </c>
      <c r="P19" s="53"/>
      <c r="Q19" s="54"/>
      <c r="V19" s="623" t="s">
        <v>49</v>
      </c>
      <c r="W19" s="623"/>
      <c r="X19" s="618">
        <f>IF('3941 June Final'!K$84=1,'3941 June Final'!G19,0)</f>
        <v>0</v>
      </c>
      <c r="Y19" s="618"/>
      <c r="Z19" s="624">
        <v>1</v>
      </c>
      <c r="AA19" s="624"/>
      <c r="AB19" s="55">
        <f t="shared" si="3"/>
        <v>0</v>
      </c>
      <c r="AC19" s="56">
        <f t="shared" si="4"/>
        <v>0</v>
      </c>
      <c r="AD19" s="9"/>
    </row>
    <row r="20" spans="1:30" ht="15" customHeight="1" x14ac:dyDescent="0.25">
      <c r="A20" s="1" t="s">
        <v>50</v>
      </c>
      <c r="B20" s="13" t="s">
        <v>51</v>
      </c>
      <c r="C20" s="13"/>
      <c r="D20" s="13">
        <v>0</v>
      </c>
      <c r="E20" s="13">
        <v>0</v>
      </c>
      <c r="F20" s="13">
        <v>0</v>
      </c>
      <c r="G20" s="46">
        <f t="shared" si="0"/>
        <v>0</v>
      </c>
      <c r="H20" s="47"/>
      <c r="I20" s="57">
        <f>I19</f>
        <v>5.0890000000000004</v>
      </c>
      <c r="J20" s="57"/>
      <c r="K20" s="49">
        <f t="shared" si="1"/>
        <v>0</v>
      </c>
      <c r="L20" s="50">
        <f t="shared" si="2"/>
        <v>0</v>
      </c>
      <c r="N20" s="51">
        <v>5102</v>
      </c>
      <c r="O20" s="54">
        <v>255</v>
      </c>
      <c r="P20" s="53"/>
      <c r="Q20" s="54"/>
      <c r="V20" s="623" t="s">
        <v>51</v>
      </c>
      <c r="W20" s="623"/>
      <c r="X20" s="618">
        <f>IF('3941 June Final'!K$84=1,'3941 June Final'!G20,0)</f>
        <v>0</v>
      </c>
      <c r="Y20" s="618"/>
      <c r="Z20" s="624">
        <v>1</v>
      </c>
      <c r="AA20" s="624"/>
      <c r="AB20" s="55">
        <f t="shared" si="3"/>
        <v>0</v>
      </c>
      <c r="AC20" s="56">
        <f t="shared" si="4"/>
        <v>0</v>
      </c>
      <c r="AD20" s="9"/>
    </row>
    <row r="21" spans="1:30" ht="15" customHeight="1" x14ac:dyDescent="0.25">
      <c r="A21" s="1" t="s">
        <v>52</v>
      </c>
      <c r="B21" s="13" t="s">
        <v>53</v>
      </c>
      <c r="C21" s="13"/>
      <c r="D21" s="13">
        <v>0</v>
      </c>
      <c r="E21" s="13">
        <v>0</v>
      </c>
      <c r="F21" s="13">
        <v>0</v>
      </c>
      <c r="G21" s="46">
        <f t="shared" si="0"/>
        <v>0</v>
      </c>
      <c r="H21" s="47"/>
      <c r="I21" s="57">
        <f>I20</f>
        <v>5.0890000000000004</v>
      </c>
      <c r="J21" s="57"/>
      <c r="K21" s="49">
        <f t="shared" si="1"/>
        <v>0</v>
      </c>
      <c r="L21" s="50">
        <f t="shared" si="2"/>
        <v>0</v>
      </c>
      <c r="N21" s="51">
        <v>5103</v>
      </c>
      <c r="O21" s="54">
        <v>255</v>
      </c>
      <c r="P21" s="53"/>
      <c r="Q21" s="54"/>
      <c r="V21" s="623" t="s">
        <v>53</v>
      </c>
      <c r="W21" s="623"/>
      <c r="X21" s="618">
        <f>IF('3941 June Final'!K$84=1,'3941 June Final'!G21,0)</f>
        <v>0</v>
      </c>
      <c r="Y21" s="618"/>
      <c r="Z21" s="624">
        <v>1</v>
      </c>
      <c r="AA21" s="624"/>
      <c r="AB21" s="55">
        <f t="shared" si="3"/>
        <v>0</v>
      </c>
      <c r="AC21" s="56">
        <f t="shared" si="4"/>
        <v>0</v>
      </c>
      <c r="AD21" s="9"/>
    </row>
    <row r="22" spans="1:30" x14ac:dyDescent="0.25">
      <c r="A22" s="1" t="s">
        <v>54</v>
      </c>
      <c r="B22" s="13" t="s">
        <v>55</v>
      </c>
      <c r="C22" s="13"/>
      <c r="D22" s="13">
        <v>0.92</v>
      </c>
      <c r="E22" s="13">
        <v>0.92</v>
      </c>
      <c r="F22" s="13">
        <v>1.51</v>
      </c>
      <c r="G22" s="46">
        <f t="shared" si="0"/>
        <v>1.84</v>
      </c>
      <c r="H22" s="47"/>
      <c r="I22" s="57">
        <v>1.145</v>
      </c>
      <c r="J22" s="57"/>
      <c r="K22" s="49">
        <f t="shared" si="1"/>
        <v>2.1067999999999998</v>
      </c>
      <c r="L22" s="50">
        <f t="shared" si="2"/>
        <v>8163</v>
      </c>
      <c r="N22" s="51">
        <v>5101</v>
      </c>
      <c r="O22" s="52">
        <v>130</v>
      </c>
      <c r="P22" s="53"/>
      <c r="Q22" s="54"/>
      <c r="V22" s="623" t="s">
        <v>55</v>
      </c>
      <c r="W22" s="623"/>
      <c r="X22" s="618">
        <f>IF('3941 June Final'!K$84=1,'3941 June Final'!G22,0)</f>
        <v>0</v>
      </c>
      <c r="Y22" s="618"/>
      <c r="Z22" s="624">
        <v>1</v>
      </c>
      <c r="AA22" s="624"/>
      <c r="AB22" s="55">
        <f t="shared" si="3"/>
        <v>0</v>
      </c>
      <c r="AC22" s="56">
        <f t="shared" si="4"/>
        <v>0</v>
      </c>
      <c r="AD22" s="9"/>
    </row>
    <row r="23" spans="1:30" x14ac:dyDescent="0.25">
      <c r="A23" s="1" t="s">
        <v>56</v>
      </c>
      <c r="B23" s="13" t="s">
        <v>57</v>
      </c>
      <c r="C23" s="13"/>
      <c r="D23" s="13">
        <v>0.45</v>
      </c>
      <c r="E23" s="13">
        <v>0.45</v>
      </c>
      <c r="F23" s="13">
        <v>0</v>
      </c>
      <c r="G23" s="46">
        <f t="shared" si="0"/>
        <v>0.9</v>
      </c>
      <c r="H23" s="47"/>
      <c r="I23" s="57">
        <f>I22</f>
        <v>1.145</v>
      </c>
      <c r="J23" s="57"/>
      <c r="K23" s="49">
        <f t="shared" si="1"/>
        <v>1.0305</v>
      </c>
      <c r="L23" s="50">
        <f t="shared" si="2"/>
        <v>3993</v>
      </c>
      <c r="N23" s="51">
        <v>5102</v>
      </c>
      <c r="O23" s="52">
        <v>130</v>
      </c>
      <c r="P23" s="53"/>
      <c r="Q23" s="54"/>
      <c r="V23" s="623" t="s">
        <v>57</v>
      </c>
      <c r="W23" s="623"/>
      <c r="X23" s="618">
        <f>IF('3941 June Final'!K$84=1,'3941 June Final'!G23,0)</f>
        <v>0</v>
      </c>
      <c r="Y23" s="618"/>
      <c r="Z23" s="624">
        <v>1</v>
      </c>
      <c r="AA23" s="624"/>
      <c r="AB23" s="55">
        <f t="shared" si="3"/>
        <v>0</v>
      </c>
      <c r="AC23" s="56">
        <f t="shared" si="4"/>
        <v>0</v>
      </c>
      <c r="AD23" s="9"/>
    </row>
    <row r="24" spans="1:30" x14ac:dyDescent="0.25">
      <c r="A24" s="1" t="s">
        <v>58</v>
      </c>
      <c r="B24" s="13" t="s">
        <v>59</v>
      </c>
      <c r="C24" s="13"/>
      <c r="D24" s="13">
        <v>0</v>
      </c>
      <c r="E24" s="13">
        <v>0</v>
      </c>
      <c r="F24" s="13">
        <v>0</v>
      </c>
      <c r="G24" s="46">
        <f t="shared" si="0"/>
        <v>0</v>
      </c>
      <c r="H24" s="47"/>
      <c r="I24" s="57">
        <f>I23</f>
        <v>1.145</v>
      </c>
      <c r="J24" s="57"/>
      <c r="K24" s="49">
        <f t="shared" si="1"/>
        <v>0</v>
      </c>
      <c r="L24" s="50">
        <f t="shared" si="2"/>
        <v>0</v>
      </c>
      <c r="N24" s="51">
        <v>5103</v>
      </c>
      <c r="O24" s="52">
        <v>130</v>
      </c>
      <c r="P24" s="53"/>
      <c r="Q24" s="54"/>
      <c r="V24" s="623" t="s">
        <v>59</v>
      </c>
      <c r="W24" s="623"/>
      <c r="X24" s="618">
        <f>IF('3941 June Final'!K$84=1,'3941 June Final'!G24,0)</f>
        <v>0</v>
      </c>
      <c r="Y24" s="618"/>
      <c r="Z24" s="624">
        <v>1</v>
      </c>
      <c r="AA24" s="624"/>
      <c r="AB24" s="55">
        <f t="shared" si="3"/>
        <v>0</v>
      </c>
      <c r="AC24" s="56">
        <f t="shared" si="4"/>
        <v>0</v>
      </c>
      <c r="AD24" s="9"/>
    </row>
    <row r="25" spans="1:30" ht="16.5" thickBot="1" x14ac:dyDescent="0.3">
      <c r="A25" s="1" t="s">
        <v>60</v>
      </c>
      <c r="B25" s="13" t="s">
        <v>61</v>
      </c>
      <c r="C25" s="13"/>
      <c r="D25" s="13">
        <v>0</v>
      </c>
      <c r="E25" s="13">
        <v>0</v>
      </c>
      <c r="F25" s="13">
        <v>0</v>
      </c>
      <c r="G25" s="46">
        <f t="shared" si="0"/>
        <v>0</v>
      </c>
      <c r="H25" s="47"/>
      <c r="I25" s="57">
        <v>1.0109999999999999</v>
      </c>
      <c r="J25" s="57"/>
      <c r="K25" s="49">
        <f t="shared" si="1"/>
        <v>0</v>
      </c>
      <c r="L25" s="50">
        <f t="shared" si="2"/>
        <v>0</v>
      </c>
      <c r="N25" s="51">
        <v>5310</v>
      </c>
      <c r="O25" s="52">
        <v>300</v>
      </c>
      <c r="P25" s="53"/>
      <c r="Q25" s="54"/>
      <c r="V25" s="623" t="s">
        <v>61</v>
      </c>
      <c r="W25" s="623"/>
      <c r="X25" s="618">
        <f>IF('3941 June Final'!K$84=1,'3941 June Final'!G25,0)</f>
        <v>0</v>
      </c>
      <c r="Y25" s="618"/>
      <c r="Z25" s="624">
        <v>1</v>
      </c>
      <c r="AA25" s="624"/>
      <c r="AB25" s="55">
        <f t="shared" si="3"/>
        <v>0</v>
      </c>
      <c r="AC25" s="56">
        <f t="shared" si="4"/>
        <v>0</v>
      </c>
      <c r="AD25" s="9"/>
    </row>
    <row r="26" spans="1:30" ht="20.25" customHeight="1" thickBot="1" x14ac:dyDescent="0.3">
      <c r="B26" s="62" t="s">
        <v>62</v>
      </c>
      <c r="C26" s="62"/>
      <c r="D26" s="63">
        <f>SUM(D10:D25)</f>
        <v>139.91999999999999</v>
      </c>
      <c r="E26" s="63">
        <f>SUM(E10:E25)</f>
        <v>140.55999999999997</v>
      </c>
      <c r="F26" s="63"/>
      <c r="G26" s="63">
        <f>SUM(G10:G25)</f>
        <v>280.47999999999996</v>
      </c>
      <c r="H26" s="64"/>
      <c r="I26" s="64"/>
      <c r="J26" s="65"/>
      <c r="K26" s="66">
        <f>SUM(K10:K25)</f>
        <v>307.64480000000003</v>
      </c>
      <c r="L26" s="67">
        <f>SUM(L10:L25)</f>
        <v>1192008</v>
      </c>
      <c r="N26" s="54"/>
      <c r="O26" s="68"/>
      <c r="P26" s="54"/>
      <c r="Q26" s="54"/>
      <c r="V26" s="625" t="s">
        <v>62</v>
      </c>
      <c r="W26" s="625"/>
      <c r="X26" s="626">
        <f>SUM(X10:X25)</f>
        <v>0</v>
      </c>
      <c r="Y26" s="626"/>
      <c r="Z26" s="627"/>
      <c r="AA26" s="628"/>
      <c r="AB26" s="69">
        <f>SUM(AB10:AB25)</f>
        <v>0</v>
      </c>
      <c r="AC26" s="70">
        <f>SUM(AC10:AC25)</f>
        <v>0</v>
      </c>
      <c r="AD26" s="9"/>
    </row>
    <row r="27" spans="1:30" ht="51.75" customHeight="1" x14ac:dyDescent="0.25">
      <c r="B27" s="62" t="s">
        <v>63</v>
      </c>
      <c r="C27" s="62"/>
      <c r="D27" s="71" t="s">
        <v>13</v>
      </c>
      <c r="E27" s="71" t="s">
        <v>14</v>
      </c>
      <c r="F27" s="27"/>
      <c r="G27" s="72" t="s">
        <v>64</v>
      </c>
      <c r="H27" s="73"/>
      <c r="I27" s="74" t="s">
        <v>65</v>
      </c>
      <c r="J27" s="74" t="s">
        <v>66</v>
      </c>
      <c r="K27" s="75" t="s">
        <v>67</v>
      </c>
      <c r="N27" s="54"/>
      <c r="O27" s="68"/>
      <c r="P27" s="54"/>
      <c r="Q27" s="54"/>
      <c r="V27" s="629" t="s">
        <v>63</v>
      </c>
      <c r="W27" s="629"/>
      <c r="X27" s="630" t="s">
        <v>64</v>
      </c>
      <c r="Y27" s="630"/>
      <c r="Z27" s="76" t="s">
        <v>65</v>
      </c>
      <c r="AA27" s="77" t="s">
        <v>66</v>
      </c>
      <c r="AB27" s="78" t="s">
        <v>67</v>
      </c>
      <c r="AC27" s="9"/>
      <c r="AD27" s="9"/>
    </row>
    <row r="28" spans="1:30" ht="15.75" customHeight="1" x14ac:dyDescent="0.25">
      <c r="A28" s="1" t="s">
        <v>68</v>
      </c>
      <c r="B28" s="631" t="s">
        <v>69</v>
      </c>
      <c r="C28" s="632"/>
      <c r="D28" s="581">
        <v>16.5</v>
      </c>
      <c r="E28" s="581">
        <v>20.02</v>
      </c>
      <c r="F28" s="79">
        <v>11</v>
      </c>
      <c r="G28" s="46">
        <f t="shared" ref="G28:G36" si="5">D28+E28</f>
        <v>36.519999999999996</v>
      </c>
      <c r="H28" s="80"/>
      <c r="I28" s="81" t="s">
        <v>70</v>
      </c>
      <c r="J28" s="82">
        <v>251</v>
      </c>
      <c r="K28" s="83">
        <v>1047</v>
      </c>
      <c r="L28" s="84">
        <f t="shared" ref="L28:L36" si="6">ROUND(G28*K28,0)</f>
        <v>38236</v>
      </c>
      <c r="N28" s="337">
        <v>5101</v>
      </c>
      <c r="O28" s="54">
        <v>251</v>
      </c>
      <c r="P28" s="86"/>
      <c r="Q28" s="87"/>
      <c r="V28" s="637" t="s">
        <v>69</v>
      </c>
      <c r="W28" s="637"/>
      <c r="X28" s="638"/>
      <c r="Y28" s="638"/>
      <c r="Z28" s="88" t="s">
        <v>70</v>
      </c>
      <c r="AA28" s="330">
        <v>251</v>
      </c>
      <c r="AB28" s="90">
        <f t="shared" ref="AB28:AB36" si="7">+K28</f>
        <v>1047</v>
      </c>
      <c r="AC28" s="91">
        <f t="shared" ref="AC28:AC36" si="8">ROUND(X28*AB28,0)</f>
        <v>0</v>
      </c>
      <c r="AD28" s="9"/>
    </row>
    <row r="29" spans="1:30" x14ac:dyDescent="0.25">
      <c r="A29" s="1" t="s">
        <v>71</v>
      </c>
      <c r="B29" s="633"/>
      <c r="C29" s="634"/>
      <c r="D29" s="581">
        <v>3.95</v>
      </c>
      <c r="E29" s="581">
        <v>4.03</v>
      </c>
      <c r="F29" s="92">
        <v>3.5</v>
      </c>
      <c r="G29" s="46">
        <f t="shared" si="5"/>
        <v>7.98</v>
      </c>
      <c r="H29" s="80"/>
      <c r="I29" s="82" t="s">
        <v>70</v>
      </c>
      <c r="J29" s="82">
        <v>252</v>
      </c>
      <c r="K29" s="83">
        <v>3380</v>
      </c>
      <c r="L29" s="84">
        <f t="shared" si="6"/>
        <v>26972</v>
      </c>
      <c r="N29" s="337">
        <v>5101</v>
      </c>
      <c r="O29" s="54">
        <v>252</v>
      </c>
      <c r="P29" s="86"/>
      <c r="Q29" s="87"/>
      <c r="V29" s="637"/>
      <c r="W29" s="637"/>
      <c r="X29" s="638"/>
      <c r="Y29" s="638"/>
      <c r="Z29" s="330" t="s">
        <v>70</v>
      </c>
      <c r="AA29" s="330">
        <v>252</v>
      </c>
      <c r="AB29" s="90">
        <f t="shared" si="7"/>
        <v>3380</v>
      </c>
      <c r="AC29" s="91">
        <f t="shared" si="8"/>
        <v>0</v>
      </c>
      <c r="AD29" s="9"/>
    </row>
    <row r="30" spans="1:30" x14ac:dyDescent="0.25">
      <c r="A30" s="1" t="s">
        <v>72</v>
      </c>
      <c r="B30" s="633"/>
      <c r="C30" s="634"/>
      <c r="D30" s="581">
        <v>0</v>
      </c>
      <c r="E30" s="581">
        <v>0.52</v>
      </c>
      <c r="F30" s="92">
        <v>0</v>
      </c>
      <c r="G30" s="46">
        <f t="shared" si="5"/>
        <v>0.52</v>
      </c>
      <c r="H30" s="80"/>
      <c r="I30" s="82" t="s">
        <v>70</v>
      </c>
      <c r="J30" s="82">
        <v>253</v>
      </c>
      <c r="K30" s="83">
        <v>6896</v>
      </c>
      <c r="L30" s="84">
        <f t="shared" si="6"/>
        <v>3586</v>
      </c>
      <c r="N30" s="337">
        <v>5101</v>
      </c>
      <c r="O30" s="54">
        <v>253</v>
      </c>
      <c r="P30" s="86"/>
      <c r="Q30" s="68"/>
      <c r="V30" s="637"/>
      <c r="W30" s="637"/>
      <c r="X30" s="638"/>
      <c r="Y30" s="638"/>
      <c r="Z30" s="330" t="s">
        <v>70</v>
      </c>
      <c r="AA30" s="330">
        <v>253</v>
      </c>
      <c r="AB30" s="90">
        <f t="shared" si="7"/>
        <v>6896</v>
      </c>
      <c r="AC30" s="91">
        <f t="shared" si="8"/>
        <v>0</v>
      </c>
      <c r="AD30" s="9"/>
    </row>
    <row r="31" spans="1:30" x14ac:dyDescent="0.25">
      <c r="A31" s="1" t="s">
        <v>73</v>
      </c>
      <c r="B31" s="633"/>
      <c r="C31" s="634"/>
      <c r="D31" s="581">
        <v>7.51</v>
      </c>
      <c r="E31" s="581">
        <v>8.99</v>
      </c>
      <c r="F31" s="92">
        <v>5</v>
      </c>
      <c r="G31" s="46">
        <f t="shared" si="5"/>
        <v>16.5</v>
      </c>
      <c r="H31" s="80"/>
      <c r="I31" s="93" t="s">
        <v>74</v>
      </c>
      <c r="J31" s="82">
        <v>251</v>
      </c>
      <c r="K31" s="83">
        <v>1173</v>
      </c>
      <c r="L31" s="84">
        <f t="shared" si="6"/>
        <v>19355</v>
      </c>
      <c r="N31" s="337">
        <v>5102</v>
      </c>
      <c r="O31" s="54">
        <v>251</v>
      </c>
      <c r="P31" s="86"/>
      <c r="Q31" s="68"/>
      <c r="V31" s="637"/>
      <c r="W31" s="637"/>
      <c r="X31" s="638"/>
      <c r="Y31" s="638"/>
      <c r="Z31" s="94" t="s">
        <v>74</v>
      </c>
      <c r="AA31" s="330">
        <v>251</v>
      </c>
      <c r="AB31" s="90">
        <f t="shared" si="7"/>
        <v>1173</v>
      </c>
      <c r="AC31" s="91">
        <f t="shared" si="8"/>
        <v>0</v>
      </c>
      <c r="AD31" s="9"/>
    </row>
    <row r="32" spans="1:30" x14ac:dyDescent="0.25">
      <c r="A32" s="1" t="s">
        <v>75</v>
      </c>
      <c r="B32" s="633"/>
      <c r="C32" s="634"/>
      <c r="D32" s="581">
        <v>0.99</v>
      </c>
      <c r="E32" s="581">
        <v>1.51</v>
      </c>
      <c r="F32" s="92">
        <v>1</v>
      </c>
      <c r="G32" s="46">
        <f t="shared" si="5"/>
        <v>2.5</v>
      </c>
      <c r="H32" s="80"/>
      <c r="I32" s="93" t="s">
        <v>74</v>
      </c>
      <c r="J32" s="82">
        <v>252</v>
      </c>
      <c r="K32" s="83">
        <v>3506</v>
      </c>
      <c r="L32" s="84">
        <f t="shared" si="6"/>
        <v>8765</v>
      </c>
      <c r="N32" s="337">
        <v>5102</v>
      </c>
      <c r="O32" s="54">
        <v>252</v>
      </c>
      <c r="P32" s="86"/>
      <c r="Q32" s="54"/>
      <c r="V32" s="637"/>
      <c r="W32" s="637"/>
      <c r="X32" s="638"/>
      <c r="Y32" s="638"/>
      <c r="Z32" s="94" t="s">
        <v>74</v>
      </c>
      <c r="AA32" s="330">
        <v>252</v>
      </c>
      <c r="AB32" s="90">
        <f t="shared" si="7"/>
        <v>3506</v>
      </c>
      <c r="AC32" s="91">
        <f t="shared" si="8"/>
        <v>0</v>
      </c>
      <c r="AD32" s="9"/>
    </row>
    <row r="33" spans="1:30" x14ac:dyDescent="0.25">
      <c r="A33" s="1" t="s">
        <v>76</v>
      </c>
      <c r="B33" s="633"/>
      <c r="C33" s="634"/>
      <c r="D33" s="581">
        <v>0</v>
      </c>
      <c r="E33" s="581">
        <v>0</v>
      </c>
      <c r="F33" s="92">
        <v>0</v>
      </c>
      <c r="G33" s="46">
        <f t="shared" si="5"/>
        <v>0</v>
      </c>
      <c r="H33" s="80"/>
      <c r="I33" s="93" t="s">
        <v>74</v>
      </c>
      <c r="J33" s="82">
        <v>253</v>
      </c>
      <c r="K33" s="83">
        <v>7023</v>
      </c>
      <c r="L33" s="84">
        <f t="shared" si="6"/>
        <v>0</v>
      </c>
      <c r="N33" s="337">
        <v>5102</v>
      </c>
      <c r="O33" s="54">
        <v>253</v>
      </c>
      <c r="P33" s="86"/>
      <c r="Q33" s="87"/>
      <c r="V33" s="637"/>
      <c r="W33" s="637"/>
      <c r="X33" s="638"/>
      <c r="Y33" s="638"/>
      <c r="Z33" s="94" t="s">
        <v>74</v>
      </c>
      <c r="AA33" s="330">
        <v>253</v>
      </c>
      <c r="AB33" s="90">
        <f t="shared" si="7"/>
        <v>7023</v>
      </c>
      <c r="AC33" s="91">
        <f t="shared" si="8"/>
        <v>0</v>
      </c>
      <c r="AD33" s="9"/>
    </row>
    <row r="34" spans="1:30" x14ac:dyDescent="0.25">
      <c r="A34" s="1" t="s">
        <v>77</v>
      </c>
      <c r="B34" s="633"/>
      <c r="C34" s="634"/>
      <c r="D34" s="13">
        <v>0</v>
      </c>
      <c r="E34" s="13">
        <v>0</v>
      </c>
      <c r="F34" s="92">
        <v>0</v>
      </c>
      <c r="G34" s="46">
        <f t="shared" si="5"/>
        <v>0</v>
      </c>
      <c r="H34" s="80"/>
      <c r="I34" s="93" t="s">
        <v>78</v>
      </c>
      <c r="J34" s="82">
        <v>251</v>
      </c>
      <c r="K34" s="83">
        <v>835</v>
      </c>
      <c r="L34" s="84">
        <f t="shared" si="6"/>
        <v>0</v>
      </c>
      <c r="N34" s="337">
        <v>5103</v>
      </c>
      <c r="O34" s="54">
        <v>251</v>
      </c>
      <c r="P34" s="86"/>
      <c r="Q34" s="87"/>
      <c r="V34" s="637"/>
      <c r="W34" s="637"/>
      <c r="X34" s="638"/>
      <c r="Y34" s="638"/>
      <c r="Z34" s="94" t="s">
        <v>78</v>
      </c>
      <c r="AA34" s="330">
        <v>251</v>
      </c>
      <c r="AB34" s="90">
        <f t="shared" si="7"/>
        <v>835</v>
      </c>
      <c r="AC34" s="91">
        <f t="shared" si="8"/>
        <v>0</v>
      </c>
      <c r="AD34" s="9"/>
    </row>
    <row r="35" spans="1:30" x14ac:dyDescent="0.25">
      <c r="A35" s="1" t="s">
        <v>79</v>
      </c>
      <c r="B35" s="633"/>
      <c r="C35" s="634"/>
      <c r="D35" s="13">
        <v>0</v>
      </c>
      <c r="E35" s="13">
        <v>0</v>
      </c>
      <c r="F35" s="92">
        <v>0</v>
      </c>
      <c r="G35" s="46">
        <f t="shared" si="5"/>
        <v>0</v>
      </c>
      <c r="H35" s="80"/>
      <c r="I35" s="93" t="s">
        <v>78</v>
      </c>
      <c r="J35" s="82">
        <v>252</v>
      </c>
      <c r="K35" s="83">
        <v>3168</v>
      </c>
      <c r="L35" s="84">
        <f t="shared" si="6"/>
        <v>0</v>
      </c>
      <c r="N35" s="337">
        <v>5103</v>
      </c>
      <c r="O35" s="54">
        <v>252</v>
      </c>
      <c r="P35" s="86"/>
      <c r="Q35" s="95"/>
      <c r="V35" s="637"/>
      <c r="W35" s="637"/>
      <c r="X35" s="638"/>
      <c r="Y35" s="638"/>
      <c r="Z35" s="94" t="s">
        <v>78</v>
      </c>
      <c r="AA35" s="330">
        <v>252</v>
      </c>
      <c r="AB35" s="90">
        <f t="shared" si="7"/>
        <v>3168</v>
      </c>
      <c r="AC35" s="91">
        <f t="shared" si="8"/>
        <v>0</v>
      </c>
      <c r="AD35" s="9"/>
    </row>
    <row r="36" spans="1:30" ht="16.5" thickBot="1" x14ac:dyDescent="0.3">
      <c r="A36" s="1" t="s">
        <v>80</v>
      </c>
      <c r="B36" s="635"/>
      <c r="C36" s="636"/>
      <c r="D36" s="13">
        <v>0</v>
      </c>
      <c r="E36" s="13">
        <v>0</v>
      </c>
      <c r="F36" s="92">
        <v>0</v>
      </c>
      <c r="G36" s="46">
        <f t="shared" si="5"/>
        <v>0</v>
      </c>
      <c r="H36" s="80"/>
      <c r="I36" s="93" t="s">
        <v>78</v>
      </c>
      <c r="J36" s="82">
        <v>253</v>
      </c>
      <c r="K36" s="83">
        <v>6685</v>
      </c>
      <c r="L36" s="96">
        <f t="shared" si="6"/>
        <v>0</v>
      </c>
      <c r="N36" s="337">
        <v>5103</v>
      </c>
      <c r="O36" s="54">
        <v>253</v>
      </c>
      <c r="P36" s="86"/>
      <c r="Q36" s="97"/>
      <c r="V36" s="637"/>
      <c r="W36" s="637"/>
      <c r="X36" s="645"/>
      <c r="Y36" s="645"/>
      <c r="Z36" s="94" t="s">
        <v>78</v>
      </c>
      <c r="AA36" s="330">
        <v>253</v>
      </c>
      <c r="AB36" s="90">
        <f t="shared" si="7"/>
        <v>6685</v>
      </c>
      <c r="AC36" s="98">
        <f t="shared" si="8"/>
        <v>0</v>
      </c>
      <c r="AD36" s="9"/>
    </row>
    <row r="37" spans="1:30" ht="18.75" customHeight="1" x14ac:dyDescent="0.25">
      <c r="B37" s="13" t="s">
        <v>81</v>
      </c>
      <c r="C37" s="13"/>
      <c r="D37" s="63">
        <f>SUM(D28:D36)</f>
        <v>28.95</v>
      </c>
      <c r="E37" s="63">
        <f>SUM(E28:E36)</f>
        <v>35.07</v>
      </c>
      <c r="F37" s="63"/>
      <c r="G37" s="63">
        <f>SUM(G28:G36)</f>
        <v>64.02000000000001</v>
      </c>
      <c r="H37" s="64"/>
      <c r="I37" s="13" t="s">
        <v>82</v>
      </c>
      <c r="J37" s="13"/>
      <c r="K37" s="13"/>
      <c r="L37" s="50">
        <f>SUM(L28:L36)</f>
        <v>96914</v>
      </c>
      <c r="N37" s="54"/>
      <c r="O37" s="68"/>
      <c r="P37" s="54"/>
      <c r="Q37" s="54"/>
      <c r="V37" s="646" t="s">
        <v>81</v>
      </c>
      <c r="W37" s="646"/>
      <c r="X37" s="626">
        <f>SUM(X28:X36)</f>
        <v>0</v>
      </c>
      <c r="Y37" s="626"/>
      <c r="Z37" s="646" t="s">
        <v>82</v>
      </c>
      <c r="AA37" s="646"/>
      <c r="AB37" s="646"/>
      <c r="AC37" s="56">
        <f>SUM(AC28:AC36)</f>
        <v>0</v>
      </c>
      <c r="AD37" s="9"/>
    </row>
    <row r="38" spans="1:30" ht="30.75" customHeight="1" x14ac:dyDescent="0.25">
      <c r="B38" s="99" t="s">
        <v>83</v>
      </c>
      <c r="C38" s="99"/>
      <c r="D38" s="99"/>
      <c r="E38" s="99"/>
      <c r="F38" s="99"/>
      <c r="G38" s="99"/>
      <c r="H38" s="100"/>
      <c r="I38" s="99"/>
      <c r="J38" s="99"/>
      <c r="K38" s="99"/>
      <c r="L38" s="99"/>
      <c r="M38" s="101"/>
      <c r="N38" s="54"/>
      <c r="O38" s="68"/>
      <c r="P38" s="54"/>
      <c r="Q38" s="54"/>
      <c r="V38" s="639" t="s">
        <v>83</v>
      </c>
      <c r="W38" s="639"/>
      <c r="X38" s="639"/>
      <c r="Y38" s="639"/>
      <c r="Z38" s="639"/>
      <c r="AA38" s="639"/>
      <c r="AB38" s="639"/>
      <c r="AC38" s="639"/>
      <c r="AD38" s="102"/>
    </row>
    <row r="39" spans="1:30" ht="15.75" customHeight="1" x14ac:dyDescent="0.25">
      <c r="B39" s="103" t="s">
        <v>84</v>
      </c>
      <c r="C39" s="103"/>
      <c r="D39" s="103"/>
      <c r="E39" s="103"/>
      <c r="F39" s="103"/>
      <c r="G39" s="104">
        <v>34389540</v>
      </c>
      <c r="H39" s="104"/>
      <c r="I39" s="13" t="s">
        <v>85</v>
      </c>
      <c r="J39" s="13"/>
      <c r="K39" s="13"/>
      <c r="L39" s="13"/>
      <c r="O39" s="1"/>
      <c r="V39" s="640" t="s">
        <v>84</v>
      </c>
      <c r="W39" s="640"/>
      <c r="X39" s="641">
        <f>+G39</f>
        <v>34389540</v>
      </c>
      <c r="Y39" s="641"/>
      <c r="Z39" s="642" t="s">
        <v>85</v>
      </c>
      <c r="AA39" s="642"/>
      <c r="AB39" s="642"/>
      <c r="AC39" s="642"/>
      <c r="AD39" s="9"/>
    </row>
    <row r="40" spans="1:30" ht="15.75" customHeight="1" x14ac:dyDescent="0.25">
      <c r="B40" s="105" t="s">
        <v>86</v>
      </c>
      <c r="C40" s="105"/>
      <c r="D40" s="105"/>
      <c r="E40" s="105"/>
      <c r="F40" s="105"/>
      <c r="G40" s="106">
        <v>180284.81</v>
      </c>
      <c r="H40" s="106"/>
      <c r="I40" s="106"/>
      <c r="J40" s="106"/>
      <c r="K40" s="50">
        <f>ROUND(G39/G40,0)</f>
        <v>191</v>
      </c>
      <c r="L40" s="50">
        <f>ROUND(K40*$G$26,0)</f>
        <v>53572</v>
      </c>
      <c r="N40" s="107"/>
      <c r="O40" s="107"/>
      <c r="P40" s="107"/>
      <c r="Q40" s="107"/>
      <c r="V40" s="643" t="s">
        <v>86</v>
      </c>
      <c r="W40" s="643"/>
      <c r="X40" s="644">
        <f>+G40</f>
        <v>180284.81</v>
      </c>
      <c r="Y40" s="644"/>
      <c r="Z40" s="644"/>
      <c r="AA40" s="644"/>
      <c r="AB40" s="56">
        <f>ROUND(X39/X40,0)</f>
        <v>191</v>
      </c>
      <c r="AC40" s="56">
        <f>ROUND(AB40*$X$26,0)</f>
        <v>0</v>
      </c>
      <c r="AD40" s="9"/>
    </row>
    <row r="41" spans="1:30" ht="15.75" customHeight="1" x14ac:dyDescent="0.25">
      <c r="B41" s="108" t="s">
        <v>87</v>
      </c>
      <c r="C41" s="108"/>
      <c r="D41" s="108"/>
      <c r="E41" s="108"/>
      <c r="F41" s="108"/>
      <c r="G41" s="108"/>
      <c r="H41" s="108"/>
      <c r="I41" s="108"/>
      <c r="J41" s="108"/>
      <c r="K41" s="108"/>
      <c r="L41" s="108"/>
      <c r="N41" s="101"/>
      <c r="O41" s="109"/>
      <c r="P41" s="101"/>
      <c r="Q41" s="101"/>
      <c r="V41" s="652" t="s">
        <v>87</v>
      </c>
      <c r="W41" s="652"/>
      <c r="X41" s="652"/>
      <c r="Y41" s="652"/>
      <c r="Z41" s="652"/>
      <c r="AA41" s="652"/>
      <c r="AB41" s="652"/>
      <c r="AC41" s="652"/>
      <c r="AD41" s="9"/>
    </row>
    <row r="42" spans="1:30" ht="28.5" customHeight="1" x14ac:dyDescent="0.25">
      <c r="B42" s="99" t="s">
        <v>88</v>
      </c>
      <c r="C42" s="99"/>
      <c r="D42" s="99"/>
      <c r="E42" s="99"/>
      <c r="F42" s="99"/>
      <c r="G42" s="99"/>
      <c r="H42" s="99"/>
      <c r="I42" s="99"/>
      <c r="J42" s="99"/>
      <c r="K42" s="99"/>
      <c r="L42" s="99"/>
      <c r="M42" s="107"/>
      <c r="O42" s="1"/>
      <c r="V42" s="639" t="s">
        <v>88</v>
      </c>
      <c r="W42" s="639"/>
      <c r="X42" s="639"/>
      <c r="Y42" s="639"/>
      <c r="Z42" s="639"/>
      <c r="AA42" s="639"/>
      <c r="AB42" s="639"/>
      <c r="AC42" s="639"/>
      <c r="AD42" s="334"/>
    </row>
    <row r="43" spans="1:30" x14ac:dyDescent="0.25">
      <c r="B43" s="111" t="s">
        <v>89</v>
      </c>
      <c r="C43" s="111"/>
      <c r="D43" s="111"/>
      <c r="E43" s="111"/>
      <c r="F43" s="111"/>
      <c r="G43" s="111"/>
      <c r="H43" s="111"/>
      <c r="I43" s="111"/>
      <c r="J43" s="111"/>
      <c r="K43" s="111"/>
      <c r="L43" s="111"/>
      <c r="M43" s="112"/>
      <c r="N43" s="101"/>
      <c r="O43" s="101"/>
      <c r="P43" s="101"/>
      <c r="Q43" s="101"/>
      <c r="V43" s="653" t="s">
        <v>89</v>
      </c>
      <c r="W43" s="653"/>
      <c r="X43" s="653"/>
      <c r="Y43" s="653"/>
      <c r="Z43" s="653"/>
      <c r="AA43" s="653"/>
      <c r="AB43" s="653"/>
      <c r="AC43" s="653"/>
      <c r="AD43" s="113"/>
    </row>
    <row r="44" spans="1:30" ht="24" customHeight="1" x14ac:dyDescent="0.25">
      <c r="B44" s="62" t="s">
        <v>90</v>
      </c>
      <c r="C44" s="62"/>
      <c r="D44" s="62"/>
      <c r="E44" s="62"/>
      <c r="F44" s="62"/>
      <c r="G44" s="62"/>
      <c r="H44" s="62"/>
      <c r="I44" s="62"/>
      <c r="J44" s="62"/>
      <c r="K44" s="62"/>
      <c r="L44" s="114">
        <f>SUM(L26,L37,L40)</f>
        <v>1342494</v>
      </c>
      <c r="O44" s="1"/>
      <c r="V44" s="654" t="s">
        <v>90</v>
      </c>
      <c r="W44" s="654"/>
      <c r="X44" s="654"/>
      <c r="Y44" s="654"/>
      <c r="Z44" s="654"/>
      <c r="AA44" s="654"/>
      <c r="AB44" s="654"/>
      <c r="AC44" s="115">
        <f>SUM(AC26,AC37,AC40)</f>
        <v>0</v>
      </c>
      <c r="AD44" s="9"/>
    </row>
    <row r="45" spans="1:30" ht="30.75" customHeight="1" x14ac:dyDescent="0.25">
      <c r="B45" s="99" t="s">
        <v>91</v>
      </c>
      <c r="C45" s="99"/>
      <c r="D45" s="99"/>
      <c r="E45" s="99"/>
      <c r="F45" s="99"/>
      <c r="G45" s="99"/>
      <c r="H45" s="99"/>
      <c r="I45" s="99"/>
      <c r="J45" s="99"/>
      <c r="K45" s="99"/>
      <c r="L45" s="99"/>
      <c r="M45" s="116"/>
      <c r="O45" s="1"/>
      <c r="V45" s="639" t="s">
        <v>91</v>
      </c>
      <c r="W45" s="639"/>
      <c r="X45" s="639"/>
      <c r="Y45" s="639"/>
      <c r="Z45" s="639"/>
      <c r="AA45" s="639"/>
      <c r="AB45" s="639"/>
      <c r="AC45" s="639"/>
      <c r="AD45" s="333"/>
    </row>
    <row r="46" spans="1:30" ht="18.75" customHeight="1" x14ac:dyDescent="0.25">
      <c r="B46" s="1"/>
      <c r="C46" s="118" t="s">
        <v>92</v>
      </c>
      <c r="D46" s="118"/>
      <c r="E46" s="118"/>
      <c r="F46" s="118"/>
      <c r="G46" s="118" t="s">
        <v>93</v>
      </c>
      <c r="H46" s="119"/>
      <c r="I46" s="120" t="s">
        <v>94</v>
      </c>
      <c r="J46" s="121"/>
      <c r="K46" s="121"/>
      <c r="L46" s="121"/>
      <c r="M46" s="122"/>
      <c r="O46" s="1"/>
      <c r="V46" s="9"/>
      <c r="W46" s="336" t="s">
        <v>92</v>
      </c>
      <c r="X46" s="655" t="s">
        <v>95</v>
      </c>
      <c r="Y46" s="655"/>
      <c r="Z46" s="656" t="s">
        <v>94</v>
      </c>
      <c r="AA46" s="656"/>
      <c r="AB46" s="656"/>
      <c r="AC46" s="656"/>
      <c r="AD46" s="124"/>
    </row>
    <row r="47" spans="1:30" ht="18.75" customHeight="1" x14ac:dyDescent="0.25">
      <c r="B47" s="107" t="s">
        <v>96</v>
      </c>
      <c r="C47" s="125">
        <f>K10+K11+K16+K19+K22</f>
        <v>243.01429999999999</v>
      </c>
      <c r="D47" s="125"/>
      <c r="E47" s="125"/>
      <c r="F47" s="125"/>
      <c r="G47" s="126">
        <f>K7</f>
        <v>1.0326</v>
      </c>
      <c r="H47" s="126"/>
      <c r="I47" s="127">
        <v>1316.85</v>
      </c>
      <c r="J47" s="128" t="s">
        <v>97</v>
      </c>
      <c r="K47" s="129">
        <f>ROUND(C47*G47*I47,0)</f>
        <v>330446</v>
      </c>
      <c r="L47" s="130"/>
      <c r="O47" s="1"/>
      <c r="V47" s="334" t="s">
        <v>96</v>
      </c>
      <c r="W47" s="131">
        <f>AB10+AB11+AB16+AB19+AB22</f>
        <v>0</v>
      </c>
      <c r="X47" s="647">
        <f>AB7</f>
        <v>1.0326</v>
      </c>
      <c r="Y47" s="647"/>
      <c r="Z47" s="132">
        <f>+I47</f>
        <v>1316.85</v>
      </c>
      <c r="AA47" s="133" t="s">
        <v>97</v>
      </c>
      <c r="AB47" s="134">
        <f>ROUND(W47*X47*Z47,0)</f>
        <v>0</v>
      </c>
      <c r="AC47" s="135"/>
      <c r="AD47" s="9"/>
    </row>
    <row r="48" spans="1:30" ht="18" customHeight="1" x14ac:dyDescent="0.25">
      <c r="B48" s="136" t="s">
        <v>74</v>
      </c>
      <c r="C48" s="125">
        <f>K12+K13+K17+K20+K23</f>
        <v>64.630499999999998</v>
      </c>
      <c r="D48" s="125"/>
      <c r="E48" s="125"/>
      <c r="F48" s="125"/>
      <c r="G48" s="126">
        <f>K7</f>
        <v>1.0326</v>
      </c>
      <c r="H48" s="126"/>
      <c r="I48" s="127">
        <v>898.23</v>
      </c>
      <c r="J48" s="128" t="s">
        <v>97</v>
      </c>
      <c r="K48" s="129">
        <f>ROUND(C48*G48*I48,0)</f>
        <v>59946</v>
      </c>
      <c r="L48" s="62"/>
      <c r="O48" s="1"/>
      <c r="V48" s="137" t="s">
        <v>74</v>
      </c>
      <c r="W48" s="131">
        <f>AB12+AB13+AB17+AB20+AB23</f>
        <v>0</v>
      </c>
      <c r="X48" s="647">
        <f>AB7</f>
        <v>1.0326</v>
      </c>
      <c r="Y48" s="647"/>
      <c r="Z48" s="132">
        <f>+I48</f>
        <v>898.23</v>
      </c>
      <c r="AA48" s="133" t="s">
        <v>97</v>
      </c>
      <c r="AB48" s="134">
        <f>ROUND(W48*X48*Z48,0)</f>
        <v>0</v>
      </c>
      <c r="AC48" s="138"/>
      <c r="AD48" s="9"/>
    </row>
    <row r="49" spans="2:30" ht="19.5" customHeight="1" thickBot="1" x14ac:dyDescent="0.3">
      <c r="B49" s="139" t="s">
        <v>78</v>
      </c>
      <c r="C49" s="140">
        <f>K14+K15+K18+K21+K24+K25</f>
        <v>0</v>
      </c>
      <c r="D49" s="125"/>
      <c r="E49" s="125"/>
      <c r="F49" s="125"/>
      <c r="G49" s="126">
        <f>K7</f>
        <v>1.0326</v>
      </c>
      <c r="H49" s="126"/>
      <c r="I49" s="127">
        <v>900.39</v>
      </c>
      <c r="J49" s="128" t="s">
        <v>97</v>
      </c>
      <c r="K49" s="129">
        <f>ROUND(C49*G49*I49,0)</f>
        <v>0</v>
      </c>
      <c r="L49" s="62"/>
      <c r="M49" s="112"/>
      <c r="N49" s="141"/>
      <c r="O49" s="142"/>
      <c r="P49" s="101"/>
      <c r="Q49" s="143"/>
      <c r="V49" s="144" t="s">
        <v>78</v>
      </c>
      <c r="W49" s="145">
        <f>AB14+AB15+AB18+AB21+AB24+AB25</f>
        <v>0</v>
      </c>
      <c r="X49" s="647">
        <f>AB7</f>
        <v>1.0326</v>
      </c>
      <c r="Y49" s="647"/>
      <c r="Z49" s="132">
        <f>+I49</f>
        <v>900.39</v>
      </c>
      <c r="AA49" s="133" t="s">
        <v>97</v>
      </c>
      <c r="AB49" s="134">
        <f>ROUND(W49*X49*Z49,0)</f>
        <v>0</v>
      </c>
      <c r="AC49" s="138"/>
      <c r="AD49" s="113"/>
    </row>
    <row r="50" spans="2:30" ht="24" customHeight="1" thickBot="1" x14ac:dyDescent="0.3">
      <c r="B50" s="146" t="s">
        <v>98</v>
      </c>
      <c r="C50" s="147">
        <f>SUM(C47:C49)</f>
        <v>307.64479999999998</v>
      </c>
      <c r="D50" s="148"/>
      <c r="E50" s="149"/>
      <c r="F50" s="149"/>
      <c r="G50" s="150" t="s">
        <v>99</v>
      </c>
      <c r="H50" s="150"/>
      <c r="I50" s="150"/>
      <c r="J50" s="150"/>
      <c r="K50" s="150"/>
      <c r="L50" s="50">
        <f>IF(B2=75,0,K49+K48+K47)</f>
        <v>390392</v>
      </c>
      <c r="N50" s="3"/>
      <c r="O50" s="1"/>
      <c r="V50" s="335" t="s">
        <v>98</v>
      </c>
      <c r="W50" s="152">
        <f>SUM(W47:W49)</f>
        <v>0</v>
      </c>
      <c r="X50" s="648" t="s">
        <v>99</v>
      </c>
      <c r="Y50" s="649"/>
      <c r="Z50" s="649"/>
      <c r="AA50" s="649"/>
      <c r="AB50" s="649"/>
      <c r="AC50" s="56">
        <f>IF(V2=75,0,AB49+AB48+AB47)</f>
        <v>0</v>
      </c>
      <c r="AD50" s="9"/>
    </row>
    <row r="51" spans="2:30" ht="19.5" customHeight="1" x14ac:dyDescent="0.25">
      <c r="B51" s="153" t="s">
        <v>100</v>
      </c>
      <c r="C51" s="153"/>
      <c r="D51" s="153"/>
      <c r="E51" s="153"/>
      <c r="F51" s="153"/>
      <c r="G51" s="153"/>
      <c r="H51" s="153"/>
      <c r="I51" s="153"/>
      <c r="J51" s="153"/>
      <c r="K51" s="153"/>
      <c r="L51" s="153"/>
      <c r="M51" s="141"/>
      <c r="N51" s="101"/>
      <c r="O51" s="1"/>
      <c r="V51" s="650" t="s">
        <v>100</v>
      </c>
      <c r="W51" s="650"/>
      <c r="X51" s="650"/>
      <c r="Y51" s="650"/>
      <c r="Z51" s="650"/>
      <c r="AA51" s="650"/>
      <c r="AB51" s="650"/>
      <c r="AC51" s="650"/>
      <c r="AD51" s="154"/>
    </row>
    <row r="52" spans="2:30" ht="27.75" customHeight="1" x14ac:dyDescent="0.25">
      <c r="B52" s="13" t="s">
        <v>101</v>
      </c>
      <c r="C52" s="13"/>
      <c r="D52" s="13"/>
      <c r="E52" s="13"/>
      <c r="F52" s="13"/>
      <c r="G52" s="13"/>
      <c r="H52" s="13"/>
      <c r="I52" s="13"/>
      <c r="J52" s="13"/>
      <c r="K52" s="13"/>
      <c r="L52" s="13"/>
      <c r="O52" s="1"/>
      <c r="V52" s="651" t="s">
        <v>101</v>
      </c>
      <c r="W52" s="651"/>
      <c r="X52" s="651"/>
      <c r="Y52" s="651"/>
      <c r="Z52" s="651"/>
      <c r="AA52" s="651"/>
      <c r="AB52" s="651"/>
      <c r="AC52" s="651"/>
      <c r="AD52" s="9"/>
    </row>
    <row r="53" spans="2:30" x14ac:dyDescent="0.25">
      <c r="B53" s="13" t="s">
        <v>102</v>
      </c>
      <c r="C53" s="13"/>
      <c r="D53" s="13"/>
      <c r="E53" s="13"/>
      <c r="F53" s="13"/>
      <c r="G53" s="155">
        <f>K26</f>
        <v>307.64480000000003</v>
      </c>
      <c r="H53" s="57" t="s">
        <v>103</v>
      </c>
      <c r="I53" s="57"/>
      <c r="J53" s="156">
        <v>197823.77</v>
      </c>
      <c r="K53" s="156"/>
      <c r="L53" s="156"/>
      <c r="N53" s="3"/>
      <c r="O53" s="1"/>
      <c r="V53" s="657" t="s">
        <v>102</v>
      </c>
      <c r="W53" s="657"/>
      <c r="X53" s="157">
        <f>AB26</f>
        <v>0</v>
      </c>
      <c r="Y53" s="658" t="s">
        <v>103</v>
      </c>
      <c r="Z53" s="658"/>
      <c r="AA53" s="659">
        <f>+J53</f>
        <v>197823.77</v>
      </c>
      <c r="AB53" s="659"/>
      <c r="AC53" s="659"/>
      <c r="AD53" s="9"/>
    </row>
    <row r="54" spans="2:30" x14ac:dyDescent="0.25">
      <c r="B54" s="13" t="s">
        <v>104</v>
      </c>
      <c r="C54" s="13"/>
      <c r="D54" s="13"/>
      <c r="E54" s="13"/>
      <c r="F54" s="13"/>
      <c r="G54" s="13"/>
      <c r="H54" s="13"/>
      <c r="I54" s="13"/>
      <c r="J54" s="13"/>
      <c r="K54" s="158">
        <f>ROUND(G53/J53,6)</f>
        <v>1.555E-3</v>
      </c>
      <c r="L54" s="158"/>
      <c r="N54" s="101"/>
      <c r="O54" s="1"/>
      <c r="V54" s="657" t="s">
        <v>104</v>
      </c>
      <c r="W54" s="657"/>
      <c r="X54" s="657"/>
      <c r="Y54" s="657"/>
      <c r="Z54" s="657"/>
      <c r="AA54" s="657"/>
      <c r="AB54" s="660">
        <f>ROUND(X53/AA53,6)</f>
        <v>0</v>
      </c>
      <c r="AC54" s="660"/>
      <c r="AD54" s="9"/>
    </row>
    <row r="55" spans="2:30" ht="24" customHeight="1" x14ac:dyDescent="0.25">
      <c r="B55" s="13" t="s">
        <v>105</v>
      </c>
      <c r="C55" s="13"/>
      <c r="D55" s="13"/>
      <c r="E55" s="13"/>
      <c r="F55" s="13"/>
      <c r="G55" s="13"/>
      <c r="H55" s="13"/>
      <c r="I55" s="13"/>
      <c r="J55" s="13"/>
      <c r="K55" s="13"/>
      <c r="L55" s="13"/>
      <c r="O55" s="1"/>
      <c r="V55" s="651" t="s">
        <v>105</v>
      </c>
      <c r="W55" s="651"/>
      <c r="X55" s="651"/>
      <c r="Y55" s="651"/>
      <c r="Z55" s="651"/>
      <c r="AA55" s="651"/>
      <c r="AB55" s="651"/>
      <c r="AC55" s="651"/>
      <c r="AD55" s="9"/>
    </row>
    <row r="56" spans="2:30" x14ac:dyDescent="0.25">
      <c r="B56" s="13" t="s">
        <v>106</v>
      </c>
      <c r="C56" s="13"/>
      <c r="D56" s="13"/>
      <c r="E56" s="13"/>
      <c r="F56" s="13"/>
      <c r="G56" s="159">
        <f>G26</f>
        <v>280.47999999999996</v>
      </c>
      <c r="H56" s="57" t="s">
        <v>107</v>
      </c>
      <c r="I56" s="57"/>
      <c r="J56" s="156">
        <f>+G40</f>
        <v>180284.81</v>
      </c>
      <c r="K56" s="156"/>
      <c r="L56" s="156"/>
      <c r="O56" s="1"/>
      <c r="V56" s="657" t="s">
        <v>106</v>
      </c>
      <c r="W56" s="657"/>
      <c r="X56" s="160">
        <f>X26</f>
        <v>0</v>
      </c>
      <c r="Y56" s="658" t="s">
        <v>107</v>
      </c>
      <c r="Z56" s="658"/>
      <c r="AA56" s="659">
        <f>+J56</f>
        <v>180284.81</v>
      </c>
      <c r="AB56" s="659"/>
      <c r="AC56" s="659"/>
      <c r="AD56" s="9"/>
    </row>
    <row r="57" spans="2:30" x14ac:dyDescent="0.25">
      <c r="B57" s="13" t="s">
        <v>108</v>
      </c>
      <c r="C57" s="13"/>
      <c r="D57" s="13"/>
      <c r="E57" s="13"/>
      <c r="F57" s="13"/>
      <c r="G57" s="13"/>
      <c r="H57" s="13"/>
      <c r="I57" s="13"/>
      <c r="J57" s="13"/>
      <c r="K57" s="158">
        <f>ROUND(G56/J56,6)</f>
        <v>1.5560000000000001E-3</v>
      </c>
      <c r="L57" s="158"/>
      <c r="O57" s="1"/>
      <c r="V57" s="657" t="s">
        <v>108</v>
      </c>
      <c r="W57" s="657"/>
      <c r="X57" s="657"/>
      <c r="Y57" s="657"/>
      <c r="Z57" s="657"/>
      <c r="AA57" s="657"/>
      <c r="AB57" s="660">
        <f>ROUND(X56/AA56,6)</f>
        <v>0</v>
      </c>
      <c r="AC57" s="660"/>
      <c r="AD57" s="9"/>
    </row>
    <row r="58" spans="2:30" ht="20.25" customHeight="1" x14ac:dyDescent="0.25">
      <c r="B58" s="161" t="s">
        <v>109</v>
      </c>
      <c r="C58" s="161"/>
      <c r="D58" s="161"/>
      <c r="E58" s="161"/>
      <c r="F58" s="161"/>
      <c r="G58" s="161"/>
      <c r="H58" s="161"/>
      <c r="I58" s="161"/>
      <c r="J58" s="161"/>
      <c r="K58" s="161"/>
      <c r="L58" s="161"/>
      <c r="N58" s="18"/>
      <c r="O58" s="18"/>
      <c r="V58" s="629" t="s">
        <v>110</v>
      </c>
      <c r="W58" s="629"/>
      <c r="X58" s="629"/>
      <c r="Y58" s="661">
        <f>X65+X64+X62+X61+X60</f>
        <v>4123852</v>
      </c>
      <c r="Z58" s="661"/>
      <c r="AA58" s="332" t="s">
        <v>111</v>
      </c>
      <c r="AB58" s="163">
        <f>AB54</f>
        <v>0</v>
      </c>
      <c r="AC58" s="56">
        <f>ROUND(Y58*AB58,0)</f>
        <v>0</v>
      </c>
      <c r="AD58" s="9"/>
    </row>
    <row r="59" spans="2:30" x14ac:dyDescent="0.25">
      <c r="B59" s="62" t="s">
        <v>110</v>
      </c>
      <c r="C59" s="62"/>
      <c r="D59" s="62"/>
      <c r="E59" s="62"/>
      <c r="F59" s="62"/>
      <c r="G59" s="62"/>
      <c r="H59" s="164" t="s">
        <v>22</v>
      </c>
      <c r="I59" s="129">
        <v>4123852</v>
      </c>
      <c r="J59" s="165" t="s">
        <v>111</v>
      </c>
      <c r="K59" s="166">
        <f>K54</f>
        <v>1.555E-3</v>
      </c>
      <c r="L59" s="50">
        <f>ROUND(I59*K59,0)</f>
        <v>6413</v>
      </c>
      <c r="O59" s="1"/>
      <c r="P59" s="165"/>
      <c r="Q59" s="165"/>
      <c r="V59" s="662" t="s">
        <v>112</v>
      </c>
      <c r="W59" s="662"/>
      <c r="X59" s="662"/>
      <c r="Y59" s="662"/>
      <c r="Z59" s="662"/>
      <c r="AA59" s="662"/>
      <c r="AB59" s="662"/>
      <c r="AC59" s="662"/>
      <c r="AD59" s="9"/>
    </row>
    <row r="60" spans="2:30" x14ac:dyDescent="0.25">
      <c r="B60" s="62" t="s">
        <v>112</v>
      </c>
      <c r="C60" s="62"/>
      <c r="D60" s="62"/>
      <c r="E60" s="62"/>
      <c r="F60" s="62"/>
      <c r="G60" s="62"/>
      <c r="H60" s="62"/>
      <c r="I60" s="62"/>
      <c r="J60" s="62"/>
      <c r="K60" s="62"/>
      <c r="L60" s="62"/>
      <c r="O60" s="1"/>
      <c r="P60" s="165"/>
      <c r="Q60" s="165"/>
      <c r="V60" s="663" t="s">
        <v>113</v>
      </c>
      <c r="W60" s="663"/>
      <c r="X60" s="664">
        <f>+G61</f>
        <v>0</v>
      </c>
      <c r="Y60" s="664"/>
      <c r="Z60" s="664"/>
      <c r="AA60" s="664"/>
      <c r="AB60" s="664"/>
      <c r="AC60" s="664"/>
      <c r="AD60" s="9"/>
    </row>
    <row r="61" spans="2:30" ht="15" customHeight="1" x14ac:dyDescent="0.25">
      <c r="B61" s="167" t="s">
        <v>113</v>
      </c>
      <c r="C61" s="62"/>
      <c r="D61" s="62"/>
      <c r="E61" s="62"/>
      <c r="F61" s="62"/>
      <c r="G61" s="168">
        <v>0</v>
      </c>
      <c r="H61" s="168"/>
      <c r="I61" s="168"/>
      <c r="J61" s="168"/>
      <c r="K61" s="168"/>
      <c r="L61" s="168"/>
      <c r="O61" s="1"/>
      <c r="P61" s="165"/>
      <c r="Q61" s="165"/>
      <c r="V61" s="663" t="s">
        <v>114</v>
      </c>
      <c r="W61" s="663"/>
      <c r="X61" s="664">
        <f>+G62</f>
        <v>0</v>
      </c>
      <c r="Y61" s="664"/>
      <c r="Z61" s="664"/>
      <c r="AA61" s="664"/>
      <c r="AB61" s="664"/>
      <c r="AC61" s="664"/>
      <c r="AD61" s="9"/>
    </row>
    <row r="62" spans="2:30" ht="13.5" customHeight="1" x14ac:dyDescent="0.25">
      <c r="B62" s="167" t="s">
        <v>114</v>
      </c>
      <c r="C62" s="62"/>
      <c r="D62" s="62"/>
      <c r="E62" s="62"/>
      <c r="F62" s="62"/>
      <c r="G62" s="168">
        <v>0</v>
      </c>
      <c r="H62" s="168"/>
      <c r="I62" s="168"/>
      <c r="J62" s="168"/>
      <c r="K62" s="168"/>
      <c r="L62" s="168"/>
      <c r="N62" s="165"/>
      <c r="O62" s="165"/>
      <c r="P62" s="165"/>
      <c r="Q62" s="165"/>
      <c r="V62" s="663" t="s">
        <v>115</v>
      </c>
      <c r="W62" s="663"/>
      <c r="X62" s="664">
        <v>0</v>
      </c>
      <c r="Y62" s="664"/>
      <c r="Z62" s="664"/>
      <c r="AA62" s="664"/>
      <c r="AB62" s="664"/>
      <c r="AC62" s="664"/>
      <c r="AD62" s="9"/>
    </row>
    <row r="63" spans="2:30" ht="13.5" hidden="1" customHeight="1" x14ac:dyDescent="0.25">
      <c r="B63" s="62" t="s">
        <v>115</v>
      </c>
      <c r="C63" s="62"/>
      <c r="D63" s="62"/>
      <c r="E63" s="62"/>
      <c r="F63" s="62"/>
      <c r="G63" s="168">
        <v>0</v>
      </c>
      <c r="H63" s="168"/>
      <c r="I63" s="168"/>
      <c r="J63" s="168"/>
      <c r="K63" s="168"/>
      <c r="L63" s="168"/>
      <c r="O63" s="1"/>
      <c r="P63" s="165"/>
      <c r="Q63" s="165"/>
      <c r="V63" s="662" t="s">
        <v>116</v>
      </c>
      <c r="W63" s="662"/>
      <c r="X63" s="662"/>
      <c r="Y63" s="662"/>
      <c r="Z63" s="662"/>
      <c r="AA63" s="662"/>
      <c r="AB63" s="662"/>
      <c r="AC63" s="662"/>
      <c r="AD63" s="333"/>
    </row>
    <row r="64" spans="2:30" ht="13.5" customHeight="1" x14ac:dyDescent="0.25">
      <c r="B64" s="62" t="s">
        <v>116</v>
      </c>
      <c r="C64" s="62"/>
      <c r="D64" s="62"/>
      <c r="E64" s="62"/>
      <c r="F64" s="62"/>
      <c r="G64" s="62"/>
      <c r="H64" s="62"/>
      <c r="I64" s="62"/>
      <c r="J64" s="62"/>
      <c r="K64" s="62"/>
      <c r="L64" s="62"/>
      <c r="M64" s="116"/>
      <c r="N64" s="18"/>
      <c r="O64" s="1"/>
      <c r="V64" s="663" t="s">
        <v>117</v>
      </c>
      <c r="W64" s="663"/>
      <c r="X64" s="664">
        <f>+G65</f>
        <v>4123852</v>
      </c>
      <c r="Y64" s="664"/>
      <c r="Z64" s="664"/>
      <c r="AA64" s="664"/>
      <c r="AB64" s="664"/>
      <c r="AC64" s="664"/>
      <c r="AD64" s="9"/>
    </row>
    <row r="65" spans="1:30" ht="12.75" customHeight="1" x14ac:dyDescent="0.25">
      <c r="B65" s="167" t="s">
        <v>117</v>
      </c>
      <c r="C65" s="62"/>
      <c r="D65" s="62"/>
      <c r="E65" s="62"/>
      <c r="F65" s="62"/>
      <c r="G65" s="168">
        <f>+I59</f>
        <v>4123852</v>
      </c>
      <c r="H65" s="168"/>
      <c r="I65" s="168"/>
      <c r="J65" s="168"/>
      <c r="K65" s="168"/>
      <c r="L65" s="168"/>
      <c r="O65" s="1"/>
      <c r="V65" s="663" t="s">
        <v>118</v>
      </c>
      <c r="W65" s="663"/>
      <c r="X65" s="664">
        <f>+G66</f>
        <v>0</v>
      </c>
      <c r="Y65" s="664"/>
      <c r="Z65" s="664"/>
      <c r="AA65" s="664"/>
      <c r="AB65" s="664"/>
      <c r="AC65" s="664"/>
      <c r="AD65" s="20"/>
    </row>
    <row r="66" spans="1:30" ht="15" customHeight="1" x14ac:dyDescent="0.25">
      <c r="B66" s="167" t="s">
        <v>118</v>
      </c>
      <c r="C66" s="62"/>
      <c r="D66" s="62"/>
      <c r="E66" s="62"/>
      <c r="F66" s="62"/>
      <c r="G66" s="168">
        <v>0</v>
      </c>
      <c r="H66" s="168"/>
      <c r="I66" s="168"/>
      <c r="J66" s="168"/>
      <c r="K66" s="168"/>
      <c r="L66" s="168"/>
      <c r="M66" s="18"/>
      <c r="N66" s="3"/>
      <c r="O66" s="169"/>
      <c r="P66" s="169"/>
      <c r="Q66" s="169"/>
      <c r="V66" s="651" t="s">
        <v>119</v>
      </c>
      <c r="W66" s="651"/>
      <c r="X66" s="651"/>
      <c r="Y66" s="661">
        <f>+I67</f>
        <v>96774526</v>
      </c>
      <c r="Z66" s="661"/>
      <c r="AA66" s="332" t="s">
        <v>111</v>
      </c>
      <c r="AB66" s="163">
        <f>AB54</f>
        <v>0</v>
      </c>
      <c r="AC66" s="56">
        <f>ROUND(Y66*AB66,0)</f>
        <v>0</v>
      </c>
      <c r="AD66" s="9"/>
    </row>
    <row r="67" spans="1:30" ht="20.25" customHeight="1" x14ac:dyDescent="0.25">
      <c r="B67" s="13" t="s">
        <v>119</v>
      </c>
      <c r="C67" s="13"/>
      <c r="D67" s="13"/>
      <c r="E67" s="13"/>
      <c r="F67" s="13"/>
      <c r="H67" s="164" t="s">
        <v>25</v>
      </c>
      <c r="I67" s="129">
        <v>96774526</v>
      </c>
      <c r="J67" s="165" t="s">
        <v>111</v>
      </c>
      <c r="K67" s="166">
        <f>K54</f>
        <v>1.555E-3</v>
      </c>
      <c r="L67" s="50">
        <f>ROUND(I67*K67,0)</f>
        <v>150484</v>
      </c>
      <c r="O67" s="1"/>
      <c r="V67" s="651" t="s">
        <v>120</v>
      </c>
      <c r="W67" s="651"/>
      <c r="X67" s="651"/>
      <c r="Y67" s="651"/>
      <c r="Z67" s="651"/>
      <c r="AA67" s="651"/>
      <c r="AB67" s="651"/>
      <c r="AC67" s="651"/>
      <c r="AD67" s="9"/>
    </row>
    <row r="68" spans="1:30" ht="20.25" customHeight="1" x14ac:dyDescent="0.25">
      <c r="B68" s="13" t="s">
        <v>120</v>
      </c>
      <c r="C68" s="13"/>
      <c r="D68" s="13"/>
      <c r="E68" s="13"/>
      <c r="F68" s="13"/>
      <c r="H68" s="13"/>
      <c r="I68" s="13"/>
      <c r="J68" s="82"/>
      <c r="K68" s="13"/>
      <c r="L68" s="13"/>
      <c r="O68" s="1"/>
      <c r="V68" s="667" t="s">
        <v>121</v>
      </c>
      <c r="W68" s="667"/>
      <c r="X68" s="667"/>
      <c r="Y68" s="661">
        <f>+I69</f>
        <v>0</v>
      </c>
      <c r="Z68" s="661"/>
      <c r="AA68" s="332" t="s">
        <v>111</v>
      </c>
      <c r="AB68" s="163">
        <f>AB57</f>
        <v>0</v>
      </c>
      <c r="AC68" s="56">
        <f>ROUND(Y68*AB68,0)</f>
        <v>0</v>
      </c>
      <c r="AD68" s="9"/>
    </row>
    <row r="69" spans="1:30" ht="15" customHeight="1" x14ac:dyDescent="0.25">
      <c r="B69" s="170" t="s">
        <v>121</v>
      </c>
      <c r="C69" s="13"/>
      <c r="D69" s="13"/>
      <c r="E69" s="13"/>
      <c r="F69" s="13"/>
      <c r="H69" s="164" t="s">
        <v>23</v>
      </c>
      <c r="I69" s="129">
        <v>0</v>
      </c>
      <c r="J69" s="165" t="s">
        <v>111</v>
      </c>
      <c r="K69" s="166">
        <f>K57</f>
        <v>1.5560000000000001E-3</v>
      </c>
      <c r="L69" s="50">
        <f>ROUND(I69*K69,0)</f>
        <v>0</v>
      </c>
      <c r="O69" s="1"/>
      <c r="V69" s="651" t="s">
        <v>122</v>
      </c>
      <c r="W69" s="651"/>
      <c r="X69" s="651"/>
      <c r="Y69" s="668">
        <f>+I70</f>
        <v>-3460775</v>
      </c>
      <c r="Z69" s="668"/>
      <c r="AA69" s="332" t="s">
        <v>111</v>
      </c>
      <c r="AB69" s="163">
        <f>AB54</f>
        <v>0</v>
      </c>
      <c r="AC69" s="56">
        <f>ROUND(Y69*AB69,0)</f>
        <v>0</v>
      </c>
      <c r="AD69" s="9"/>
    </row>
    <row r="70" spans="1:30" ht="20.25" customHeight="1" x14ac:dyDescent="0.25">
      <c r="B70" s="13" t="s">
        <v>122</v>
      </c>
      <c r="C70" s="13"/>
      <c r="D70" s="13"/>
      <c r="E70" s="13"/>
      <c r="F70" s="13"/>
      <c r="H70" s="164" t="s">
        <v>22</v>
      </c>
      <c r="I70" s="129">
        <v>-3460775</v>
      </c>
      <c r="J70" s="165" t="s">
        <v>111</v>
      </c>
      <c r="K70" s="166">
        <f>K54</f>
        <v>1.555E-3</v>
      </c>
      <c r="L70" s="50">
        <f>ROUND(I70*K70,0)</f>
        <v>-5382</v>
      </c>
      <c r="O70" s="1"/>
      <c r="V70" s="651" t="s">
        <v>123</v>
      </c>
      <c r="W70" s="651"/>
      <c r="X70" s="651"/>
      <c r="Y70" s="665">
        <f>+I71</f>
        <v>1874788</v>
      </c>
      <c r="Z70" s="665"/>
      <c r="AA70" s="332" t="s">
        <v>111</v>
      </c>
      <c r="AB70" s="163">
        <f>AB54</f>
        <v>0</v>
      </c>
      <c r="AC70" s="56">
        <f>ROUND(Y70*AB70,0)</f>
        <v>0</v>
      </c>
      <c r="AD70" s="9"/>
    </row>
    <row r="71" spans="1:30" ht="20.25" customHeight="1" x14ac:dyDescent="0.25">
      <c r="B71" s="13" t="s">
        <v>123</v>
      </c>
      <c r="C71" s="13"/>
      <c r="D71" s="13"/>
      <c r="E71" s="13"/>
      <c r="F71" s="13"/>
      <c r="H71" s="164" t="s">
        <v>22</v>
      </c>
      <c r="I71" s="129">
        <v>1874788</v>
      </c>
      <c r="J71" s="165" t="s">
        <v>111</v>
      </c>
      <c r="K71" s="166">
        <f>K54</f>
        <v>1.555E-3</v>
      </c>
      <c r="L71" s="50">
        <f>ROUND(I71*K71,0)</f>
        <v>2915</v>
      </c>
      <c r="O71" s="1"/>
      <c r="V71" s="651" t="s">
        <v>124</v>
      </c>
      <c r="W71" s="651"/>
      <c r="X71" s="651"/>
      <c r="Y71" s="665">
        <f>+I72</f>
        <v>14223298</v>
      </c>
      <c r="Z71" s="665"/>
      <c r="AA71" s="332" t="s">
        <v>111</v>
      </c>
      <c r="AB71" s="163">
        <f>AB57</f>
        <v>0</v>
      </c>
      <c r="AC71" s="56">
        <f>ROUND(Y71*AB71,0)</f>
        <v>0</v>
      </c>
      <c r="AD71" s="9"/>
    </row>
    <row r="72" spans="1:30" ht="21" customHeight="1" x14ac:dyDescent="0.25">
      <c r="B72" s="13" t="s">
        <v>124</v>
      </c>
      <c r="C72" s="13"/>
      <c r="D72" s="13"/>
      <c r="E72" s="13"/>
      <c r="F72" s="13"/>
      <c r="H72" s="164" t="s">
        <v>23</v>
      </c>
      <c r="I72" s="171">
        <v>14223298</v>
      </c>
      <c r="J72" s="165" t="s">
        <v>111</v>
      </c>
      <c r="K72" s="166">
        <f>K57</f>
        <v>1.5560000000000001E-3</v>
      </c>
      <c r="L72" s="50">
        <f>ROUND(I72*K72,0)</f>
        <v>22131</v>
      </c>
      <c r="O72" s="1"/>
      <c r="V72" s="623" t="s">
        <v>125</v>
      </c>
      <c r="W72" s="623"/>
      <c r="X72" s="623"/>
      <c r="Y72" s="623"/>
      <c r="Z72" s="623"/>
      <c r="AA72" s="623"/>
      <c r="AB72" s="623"/>
      <c r="AC72" s="60"/>
      <c r="AD72" s="9"/>
    </row>
    <row r="73" spans="1:30" ht="17.25" customHeight="1" x14ac:dyDescent="0.25">
      <c r="B73" s="13" t="s">
        <v>125</v>
      </c>
      <c r="C73" s="13"/>
      <c r="D73" s="13"/>
      <c r="E73" s="13"/>
      <c r="F73" s="13"/>
      <c r="H73" s="13"/>
      <c r="I73" s="13"/>
      <c r="J73" s="82"/>
      <c r="K73" s="13"/>
      <c r="L73" s="59"/>
      <c r="O73" s="1"/>
      <c r="V73" s="651" t="s">
        <v>126</v>
      </c>
      <c r="W73" s="651"/>
      <c r="X73" s="651"/>
      <c r="Y73" s="651"/>
      <c r="Z73" s="651"/>
      <c r="AA73" s="651"/>
      <c r="AB73" s="651"/>
      <c r="AC73" s="651"/>
      <c r="AD73" s="9"/>
    </row>
    <row r="74" spans="1:30" ht="31.5" x14ac:dyDescent="0.25">
      <c r="B74" s="13" t="s">
        <v>126</v>
      </c>
      <c r="C74" s="13"/>
      <c r="D74" s="27" t="s">
        <v>13</v>
      </c>
      <c r="E74" s="27" t="s">
        <v>14</v>
      </c>
      <c r="F74" s="27"/>
      <c r="H74" s="164" t="s">
        <v>26</v>
      </c>
      <c r="I74" s="172"/>
      <c r="J74" s="164"/>
      <c r="K74" s="172"/>
      <c r="L74" s="112"/>
      <c r="O74" s="1"/>
      <c r="V74" s="666" t="s">
        <v>127</v>
      </c>
      <c r="W74" s="666"/>
      <c r="X74" s="173" t="s">
        <v>128</v>
      </c>
      <c r="Y74" s="174"/>
      <c r="Z74" s="175">
        <f>+I75</f>
        <v>0</v>
      </c>
      <c r="AA74" s="331" t="s">
        <v>129</v>
      </c>
      <c r="AB74" s="177">
        <f>+K75</f>
        <v>361</v>
      </c>
      <c r="AC74" s="56">
        <f>ROUND(AB74*Z74,0)</f>
        <v>0</v>
      </c>
      <c r="AD74" s="9"/>
    </row>
    <row r="75" spans="1:30" ht="19.5" customHeight="1" x14ac:dyDescent="0.25">
      <c r="A75" s="1" t="s">
        <v>130</v>
      </c>
      <c r="B75" s="178" t="s">
        <v>127</v>
      </c>
      <c r="C75" s="179" t="s">
        <v>128</v>
      </c>
      <c r="D75" s="178">
        <v>0</v>
      </c>
      <c r="E75" s="178">
        <v>0</v>
      </c>
      <c r="F75" s="178">
        <v>0</v>
      </c>
      <c r="G75" s="180">
        <f>IF(E75=0,D75,E75)</f>
        <v>0</v>
      </c>
      <c r="H75" s="181"/>
      <c r="I75" s="182">
        <f>AVERAGE(G75,D75)</f>
        <v>0</v>
      </c>
      <c r="J75" s="183" t="s">
        <v>129</v>
      </c>
      <c r="K75" s="184">
        <v>361</v>
      </c>
      <c r="L75" s="50">
        <f>ROUND(K75*I75,0)</f>
        <v>0</v>
      </c>
      <c r="N75" s="1">
        <v>7802</v>
      </c>
      <c r="O75" s="1">
        <v>0</v>
      </c>
      <c r="V75" s="666" t="s">
        <v>127</v>
      </c>
      <c r="W75" s="666"/>
      <c r="X75" s="173" t="s">
        <v>131</v>
      </c>
      <c r="Y75" s="185"/>
      <c r="Z75" s="186">
        <f>+I76</f>
        <v>0</v>
      </c>
      <c r="AA75" s="331" t="s">
        <v>129</v>
      </c>
      <c r="AB75" s="187">
        <f>+K76</f>
        <v>1358</v>
      </c>
      <c r="AC75" s="56">
        <f>ROUND(AB75*Z75,0)</f>
        <v>0</v>
      </c>
      <c r="AD75" s="9"/>
    </row>
    <row r="76" spans="1:30" ht="19.5" customHeight="1" x14ac:dyDescent="0.25">
      <c r="A76" s="1" t="s">
        <v>132</v>
      </c>
      <c r="B76" s="178" t="s">
        <v>127</v>
      </c>
      <c r="C76" s="179" t="s">
        <v>131</v>
      </c>
      <c r="D76" s="178">
        <v>0</v>
      </c>
      <c r="E76" s="178">
        <v>0</v>
      </c>
      <c r="F76" s="178">
        <v>0</v>
      </c>
      <c r="G76" s="180">
        <f>IF(E76=0,D76,E76)</f>
        <v>0</v>
      </c>
      <c r="H76" s="181"/>
      <c r="I76" s="182">
        <f>AVERAGE(G76,D76)</f>
        <v>0</v>
      </c>
      <c r="J76" s="183" t="s">
        <v>129</v>
      </c>
      <c r="K76" s="188">
        <v>1358</v>
      </c>
      <c r="L76" s="50">
        <f>ROUND(K76*I76,0)</f>
        <v>0</v>
      </c>
      <c r="N76" s="1">
        <v>7802</v>
      </c>
      <c r="O76" s="1">
        <v>110</v>
      </c>
      <c r="V76" s="651" t="s">
        <v>133</v>
      </c>
      <c r="W76" s="651"/>
      <c r="X76" s="651"/>
      <c r="Y76" s="661">
        <f>+I77</f>
        <v>33305823</v>
      </c>
      <c r="Z76" s="661"/>
      <c r="AA76" s="331" t="s">
        <v>129</v>
      </c>
      <c r="AB76" s="163">
        <f>AB54</f>
        <v>0</v>
      </c>
      <c r="AC76" s="56">
        <f>ROUND(Y76*AB76,0)</f>
        <v>0</v>
      </c>
      <c r="AD76" s="9"/>
    </row>
    <row r="77" spans="1:30" ht="26.25" customHeight="1" x14ac:dyDescent="0.25">
      <c r="B77" s="13" t="s">
        <v>133</v>
      </c>
      <c r="C77" s="13"/>
      <c r="D77" s="13"/>
      <c r="E77" s="13"/>
      <c r="F77" s="13"/>
      <c r="H77" s="164" t="s">
        <v>134</v>
      </c>
      <c r="I77" s="189">
        <v>33305823</v>
      </c>
      <c r="J77" s="165" t="s">
        <v>111</v>
      </c>
      <c r="K77" s="166">
        <f>K54</f>
        <v>1.555E-3</v>
      </c>
      <c r="L77" s="50">
        <f>ROUND(I77*K77,0)</f>
        <v>51791</v>
      </c>
      <c r="O77" s="1"/>
      <c r="V77" s="651" t="str">
        <f>+B78</f>
        <v>15.  Additional Allocation (WFTE share)</v>
      </c>
      <c r="W77" s="651"/>
      <c r="X77" s="651"/>
      <c r="Y77" s="661">
        <f>+I78</f>
        <v>680688</v>
      </c>
      <c r="Z77" s="661"/>
      <c r="AA77" s="331" t="s">
        <v>129</v>
      </c>
      <c r="AB77" s="163">
        <f>AB54</f>
        <v>0</v>
      </c>
      <c r="AC77" s="56">
        <f>ROUND(Y77*AB77,0)</f>
        <v>0</v>
      </c>
      <c r="AD77" s="9"/>
    </row>
    <row r="78" spans="1:30" ht="26.25" customHeight="1" x14ac:dyDescent="0.25">
      <c r="B78" s="669" t="s">
        <v>135</v>
      </c>
      <c r="C78" s="669"/>
      <c r="D78" s="669"/>
      <c r="E78" s="13"/>
      <c r="F78" s="13"/>
      <c r="H78" s="164" t="s">
        <v>136</v>
      </c>
      <c r="I78" s="190">
        <v>680688</v>
      </c>
      <c r="J78" s="165" t="s">
        <v>111</v>
      </c>
      <c r="K78" s="166">
        <f>K54</f>
        <v>1.555E-3</v>
      </c>
      <c r="L78" s="50">
        <f>ROUND(I78*K78,0)</f>
        <v>1058</v>
      </c>
      <c r="O78" s="1"/>
      <c r="V78" s="651" t="str">
        <f>+B79</f>
        <v>16.  Florida Teachers Lead Program Stipend</v>
      </c>
      <c r="W78" s="651"/>
      <c r="X78" s="651"/>
      <c r="Y78" s="191"/>
      <c r="Z78" s="191"/>
      <c r="AA78" s="191"/>
      <c r="AB78" s="191"/>
      <c r="AC78" s="134"/>
      <c r="AD78" s="9"/>
    </row>
    <row r="79" spans="1:30" ht="21" customHeight="1" x14ac:dyDescent="0.25">
      <c r="B79" s="669" t="s">
        <v>137</v>
      </c>
      <c r="C79" s="669"/>
      <c r="D79" s="669"/>
      <c r="E79" s="13"/>
      <c r="F79" s="13"/>
      <c r="H79" s="164"/>
      <c r="I79" s="172"/>
      <c r="J79" s="172"/>
      <c r="K79" s="172"/>
      <c r="L79" s="129"/>
      <c r="N79" s="192"/>
      <c r="O79" s="1"/>
      <c r="Q79" s="164"/>
      <c r="V79" s="651" t="str">
        <f>+B80</f>
        <v>17.  Food Service Allocation</v>
      </c>
      <c r="W79" s="651"/>
      <c r="X79" s="651"/>
      <c r="Y79" s="191"/>
      <c r="Z79" s="191"/>
      <c r="AA79" s="191"/>
      <c r="AB79" s="191"/>
      <c r="AC79" s="193"/>
      <c r="AD79" s="9"/>
    </row>
    <row r="80" spans="1:30" ht="21" customHeight="1" x14ac:dyDescent="0.25">
      <c r="B80" s="669" t="s">
        <v>138</v>
      </c>
      <c r="C80" s="669"/>
      <c r="D80" s="669"/>
      <c r="E80" s="13"/>
      <c r="F80" s="13"/>
      <c r="H80" s="194" t="s">
        <v>139</v>
      </c>
      <c r="I80" s="195"/>
      <c r="J80" s="195"/>
      <c r="K80" s="195"/>
      <c r="L80" s="196"/>
      <c r="N80" s="197"/>
      <c r="O80" s="1"/>
      <c r="Q80" s="164"/>
      <c r="V80" s="191"/>
      <c r="W80" s="191"/>
      <c r="X80" s="191"/>
      <c r="Y80" s="191"/>
      <c r="Z80" s="191"/>
      <c r="AA80" s="191"/>
      <c r="AB80" s="191"/>
      <c r="AC80" s="193"/>
      <c r="AD80" s="9"/>
    </row>
    <row r="81" spans="1:30" ht="21" customHeight="1" thickBot="1" x14ac:dyDescent="0.3">
      <c r="B81" s="13"/>
      <c r="C81" s="13"/>
      <c r="D81" s="13"/>
      <c r="E81" s="13"/>
      <c r="F81" s="13"/>
      <c r="G81" s="13"/>
      <c r="H81" s="13"/>
      <c r="I81" s="13"/>
      <c r="J81" s="13"/>
      <c r="K81" s="13"/>
      <c r="L81" s="196"/>
      <c r="M81" s="198"/>
      <c r="N81" s="197"/>
      <c r="O81" s="1"/>
      <c r="Q81" s="164"/>
      <c r="V81" s="191" t="s">
        <v>140</v>
      </c>
      <c r="W81" s="191"/>
      <c r="X81" s="191"/>
      <c r="Y81" s="191"/>
      <c r="Z81" s="191"/>
      <c r="AA81" s="191"/>
      <c r="AB81" s="191"/>
      <c r="AC81" s="199">
        <f>SUM(AC44:AC80)</f>
        <v>0</v>
      </c>
      <c r="AD81" s="200"/>
    </row>
    <row r="82" spans="1:30" ht="22.5" customHeight="1" thickTop="1" thickBot="1" x14ac:dyDescent="0.3">
      <c r="B82" s="13" t="s">
        <v>141</v>
      </c>
      <c r="C82" s="13"/>
      <c r="D82" s="13"/>
      <c r="E82" s="13"/>
      <c r="F82" s="13"/>
      <c r="G82" s="13"/>
      <c r="H82" s="13"/>
      <c r="I82" s="13"/>
      <c r="J82" s="13"/>
      <c r="K82" s="13"/>
      <c r="L82" s="201">
        <f>SUM(L44:L81)</f>
        <v>1962296</v>
      </c>
      <c r="M82" s="202"/>
      <c r="N82" s="203"/>
      <c r="O82" s="1"/>
      <c r="Q82" s="164"/>
      <c r="V82" s="191"/>
      <c r="W82" s="191"/>
      <c r="X82" s="191"/>
      <c r="Y82" s="191"/>
      <c r="Z82" s="191"/>
      <c r="AA82" s="191"/>
      <c r="AB82" s="191"/>
      <c r="AC82" s="204"/>
      <c r="AD82" s="200"/>
    </row>
    <row r="83" spans="1:30" ht="27.75" customHeight="1" thickTop="1" x14ac:dyDescent="0.25">
      <c r="B83" s="13" t="s">
        <v>142</v>
      </c>
      <c r="C83" s="13"/>
      <c r="D83" s="13"/>
      <c r="E83" s="13"/>
      <c r="F83" s="13"/>
      <c r="G83" s="13"/>
      <c r="H83" s="13"/>
      <c r="I83" s="13"/>
      <c r="J83" s="13"/>
      <c r="K83" s="82" t="s">
        <v>143</v>
      </c>
      <c r="L83" s="205" t="s">
        <v>144</v>
      </c>
      <c r="M83" s="202"/>
      <c r="N83" s="203"/>
      <c r="O83" s="1"/>
      <c r="Q83" s="164"/>
      <c r="V83" s="9" t="s">
        <v>145</v>
      </c>
      <c r="W83" s="9"/>
      <c r="X83" s="9"/>
      <c r="Y83" s="9"/>
      <c r="Z83" s="9"/>
      <c r="AA83" s="9"/>
      <c r="AB83" s="9"/>
      <c r="AC83" s="9"/>
      <c r="AD83" s="206"/>
    </row>
    <row r="84" spans="1:30" ht="18.75" customHeight="1" thickBot="1" x14ac:dyDescent="0.3">
      <c r="B84" s="13" t="s">
        <v>146</v>
      </c>
      <c r="C84" s="13"/>
      <c r="D84" s="13"/>
      <c r="E84" s="13"/>
      <c r="F84" s="13"/>
      <c r="G84" s="13"/>
      <c r="H84" s="13"/>
      <c r="I84" s="13"/>
      <c r="J84" s="13"/>
      <c r="K84" s="207" t="str">
        <f>IF(G26=0,"",IF((G11+G13+SUM(G15:G21))/G26&gt;0.75,1,""))</f>
        <v/>
      </c>
      <c r="L84" s="201">
        <f>'3941 June Final'!AC81</f>
        <v>0</v>
      </c>
      <c r="M84" s="202"/>
      <c r="N84" s="203"/>
      <c r="O84" s="1"/>
      <c r="Q84" s="164"/>
      <c r="V84" s="208" t="s">
        <v>147</v>
      </c>
      <c r="W84" s="208"/>
      <c r="X84" s="208"/>
      <c r="Y84" s="208"/>
      <c r="Z84" s="208"/>
      <c r="AA84" s="208"/>
      <c r="AB84" s="208"/>
      <c r="AC84" s="208"/>
      <c r="AD84" s="9"/>
    </row>
    <row r="85" spans="1:30" ht="18.75" customHeight="1" thickTop="1" x14ac:dyDescent="0.25">
      <c r="B85" s="13"/>
      <c r="C85" s="13"/>
      <c r="D85" s="13"/>
      <c r="E85" s="13"/>
      <c r="F85" s="13"/>
      <c r="G85" s="13"/>
      <c r="H85" s="13"/>
      <c r="I85" s="13"/>
      <c r="J85" s="13"/>
      <c r="M85" s="202"/>
      <c r="N85" s="203"/>
      <c r="O85" s="1"/>
      <c r="Q85" s="164"/>
      <c r="V85" s="208" t="s">
        <v>148</v>
      </c>
      <c r="W85" s="208"/>
      <c r="X85" s="208"/>
      <c r="Y85" s="208"/>
      <c r="Z85" s="208"/>
      <c r="AA85" s="208"/>
      <c r="AB85" s="208"/>
      <c r="AC85" s="208"/>
      <c r="AD85" s="206"/>
    </row>
    <row r="86" spans="1:30" ht="18.75" customHeight="1" x14ac:dyDescent="0.25">
      <c r="B86" s="2" t="s">
        <v>149</v>
      </c>
      <c r="C86" s="13"/>
      <c r="D86" s="13"/>
      <c r="E86" s="13"/>
      <c r="F86" s="13"/>
      <c r="G86" s="13"/>
      <c r="H86" s="13"/>
      <c r="I86" s="13"/>
      <c r="J86" s="209" t="s">
        <v>150</v>
      </c>
      <c r="K86" s="210">
        <f>IF(K84=1,L84,L82)</f>
        <v>1962296</v>
      </c>
      <c r="L86" s="211">
        <f>IF(G26=0,0,IF(G26&gt;250,-(((250/G26)*K86)*IF(M86="H",0.02,0.05)),IF(M86="H",-0.02*K86,-0.05*K86)))</f>
        <v>-87452.581289218506</v>
      </c>
      <c r="M86" s="212" t="str">
        <f>IF(B123="2801","H",IF(B123="2911","H",IF(B123="3382","H"," ")))</f>
        <v xml:space="preserve"> </v>
      </c>
      <c r="N86" s="203"/>
      <c r="O86" s="1"/>
      <c r="Q86" s="164"/>
      <c r="V86" s="208" t="s">
        <v>151</v>
      </c>
      <c r="W86" s="208"/>
      <c r="X86" s="208"/>
      <c r="Y86" s="208"/>
      <c r="Z86" s="208"/>
      <c r="AA86" s="208"/>
      <c r="AB86" s="208"/>
      <c r="AC86" s="208"/>
      <c r="AD86" s="206"/>
    </row>
    <row r="87" spans="1:30" ht="18.75" customHeight="1" x14ac:dyDescent="0.25">
      <c r="B87" s="2" t="s">
        <v>152</v>
      </c>
      <c r="C87" s="13"/>
      <c r="D87" s="13"/>
      <c r="E87" s="13"/>
      <c r="F87" s="13"/>
      <c r="G87" s="13"/>
      <c r="H87" s="13"/>
      <c r="I87" s="13"/>
      <c r="J87" s="13"/>
      <c r="K87" s="213"/>
      <c r="L87" s="205">
        <f>L82+L86</f>
        <v>1874843.4187107815</v>
      </c>
      <c r="M87" s="202"/>
      <c r="N87" s="203"/>
      <c r="O87" s="1"/>
      <c r="Q87" s="164"/>
      <c r="V87" s="198"/>
      <c r="W87" s="198"/>
      <c r="X87" s="198"/>
      <c r="Y87" s="198"/>
      <c r="Z87" s="198"/>
      <c r="AA87" s="198"/>
      <c r="AB87" s="198"/>
      <c r="AC87" s="198"/>
      <c r="AD87" s="214"/>
    </row>
    <row r="88" spans="1:30" x14ac:dyDescent="0.25">
      <c r="V88" s="198"/>
      <c r="W88" s="198"/>
      <c r="X88" s="198"/>
      <c r="Y88" s="198"/>
      <c r="Z88" s="198"/>
      <c r="AA88" s="198"/>
      <c r="AB88" s="198"/>
      <c r="AC88" s="198"/>
      <c r="AD88" s="215"/>
    </row>
    <row r="89" spans="1:30" ht="18.75" customHeight="1" x14ac:dyDescent="0.25">
      <c r="A89" s="1" t="s">
        <v>153</v>
      </c>
      <c r="B89" s="13" t="s">
        <v>154</v>
      </c>
      <c r="C89" s="13"/>
      <c r="D89" s="13">
        <v>919181</v>
      </c>
      <c r="E89" s="13">
        <v>157716</v>
      </c>
      <c r="F89" s="13">
        <v>1550045</v>
      </c>
      <c r="G89" s="13"/>
      <c r="H89" s="13"/>
      <c r="I89" s="13"/>
      <c r="J89" s="13"/>
      <c r="K89" s="213"/>
      <c r="L89" s="84">
        <v>-1875195.72132492</v>
      </c>
      <c r="M89" s="202"/>
      <c r="N89" s="203"/>
      <c r="O89" s="1"/>
      <c r="Q89" s="164"/>
      <c r="V89" s="198">
        <v>2801</v>
      </c>
      <c r="W89" s="198"/>
      <c r="X89" s="198"/>
      <c r="Y89" s="198"/>
      <c r="Z89" s="198"/>
      <c r="AA89" s="198"/>
      <c r="AB89" s="198"/>
      <c r="AC89" s="198"/>
      <c r="AD89" s="214"/>
    </row>
    <row r="90" spans="1:30" ht="18.75" customHeight="1" x14ac:dyDescent="0.25">
      <c r="B90" s="13" t="s">
        <v>155</v>
      </c>
      <c r="C90" s="13"/>
      <c r="D90" s="13"/>
      <c r="E90" s="13"/>
      <c r="F90" s="13"/>
      <c r="G90" s="13"/>
      <c r="H90" s="13"/>
      <c r="I90" s="13"/>
      <c r="J90" s="13"/>
      <c r="K90" s="213"/>
      <c r="L90" s="205">
        <f>L87+L89</f>
        <v>-352.30261413846165</v>
      </c>
      <c r="M90" s="202"/>
      <c r="N90" s="203"/>
      <c r="O90" s="1"/>
      <c r="Q90" s="164"/>
      <c r="V90" s="198">
        <v>2911</v>
      </c>
      <c r="W90" s="216"/>
      <c r="X90" s="216"/>
      <c r="Y90" s="216"/>
      <c r="Z90" s="216"/>
      <c r="AA90" s="216"/>
      <c r="AB90" s="216"/>
      <c r="AC90" s="216"/>
      <c r="AD90" s="214"/>
    </row>
    <row r="91" spans="1:30" ht="18.75" customHeight="1" x14ac:dyDescent="0.25">
      <c r="B91" s="13" t="s">
        <v>156</v>
      </c>
      <c r="C91" s="13"/>
      <c r="D91" s="13"/>
      <c r="E91" s="13"/>
      <c r="F91" s="13"/>
      <c r="G91" s="13"/>
      <c r="H91" s="13"/>
      <c r="I91" s="13"/>
      <c r="J91" s="13"/>
      <c r="K91" s="213"/>
      <c r="L91" s="205">
        <v>1</v>
      </c>
      <c r="M91" s="202"/>
      <c r="N91" s="203"/>
      <c r="O91" s="1"/>
      <c r="Q91" s="164"/>
      <c r="V91" s="198">
        <v>3382</v>
      </c>
      <c r="W91" s="216"/>
      <c r="X91" s="216"/>
      <c r="Y91" s="216"/>
      <c r="Z91" s="216"/>
      <c r="AA91" s="216"/>
      <c r="AB91" s="216"/>
      <c r="AC91" s="216"/>
      <c r="AD91" s="214"/>
    </row>
    <row r="92" spans="1:30" ht="18.75" customHeight="1" thickBot="1" x14ac:dyDescent="0.3">
      <c r="B92" s="13" t="s">
        <v>434</v>
      </c>
      <c r="C92" s="13"/>
      <c r="D92" s="13"/>
      <c r="E92" s="13"/>
      <c r="F92" s="13"/>
      <c r="G92" s="13"/>
      <c r="H92" s="13"/>
      <c r="I92" s="13"/>
      <c r="J92" s="13"/>
      <c r="K92" s="213"/>
      <c r="L92" s="217">
        <f>L90/L91</f>
        <v>-352.30261413846165</v>
      </c>
      <c r="M92" s="202"/>
      <c r="N92" s="203"/>
      <c r="O92" s="1"/>
      <c r="Q92" s="164"/>
      <c r="V92" s="218"/>
      <c r="W92" s="218"/>
      <c r="X92" s="218"/>
      <c r="Y92" s="218"/>
      <c r="Z92" s="218"/>
      <c r="AA92" s="218"/>
      <c r="AB92" s="218"/>
      <c r="AC92" s="218"/>
      <c r="AD92" s="219"/>
    </row>
    <row r="93" spans="1:30" ht="18.75" customHeight="1" thickTop="1" x14ac:dyDescent="0.25">
      <c r="N93" s="219"/>
      <c r="O93" s="220"/>
      <c r="P93" s="219"/>
      <c r="Q93" s="219"/>
      <c r="V93" s="218"/>
      <c r="W93" s="218"/>
      <c r="X93" s="218"/>
      <c r="Y93" s="218"/>
      <c r="Z93" s="218"/>
      <c r="AA93" s="218"/>
      <c r="AB93" s="218"/>
      <c r="AC93" s="218"/>
      <c r="AD93" s="214"/>
    </row>
    <row r="94" spans="1:30" ht="18.75" customHeight="1" thickBot="1" x14ac:dyDescent="0.3">
      <c r="B94" s="221" t="s">
        <v>158</v>
      </c>
      <c r="C94" s="13"/>
      <c r="D94" s="13"/>
      <c r="E94" s="13"/>
      <c r="G94" s="13"/>
      <c r="H94" s="13"/>
      <c r="I94" s="13"/>
      <c r="J94" s="13"/>
      <c r="L94" s="222">
        <v>0</v>
      </c>
      <c r="M94" s="202"/>
      <c r="V94" s="223"/>
      <c r="W94" s="223"/>
      <c r="X94" s="223"/>
      <c r="Y94" s="223"/>
      <c r="Z94" s="223"/>
      <c r="AA94" s="223"/>
      <c r="AB94" s="223"/>
      <c r="AC94" s="223"/>
      <c r="AD94" s="214"/>
    </row>
    <row r="95" spans="1:30" ht="21.75" customHeight="1" thickTop="1" x14ac:dyDescent="0.25">
      <c r="B95" s="224" t="s">
        <v>159</v>
      </c>
      <c r="C95" s="224"/>
      <c r="D95" s="224"/>
      <c r="E95" s="224"/>
      <c r="F95" s="224"/>
      <c r="G95" s="224"/>
      <c r="H95" s="224"/>
      <c r="I95" s="224"/>
      <c r="J95" s="224"/>
      <c r="K95" s="224"/>
      <c r="L95" s="224"/>
      <c r="M95" s="219"/>
      <c r="V95" s="223"/>
      <c r="W95" s="223"/>
      <c r="X95" s="223"/>
      <c r="Y95" s="223"/>
      <c r="Z95" s="223"/>
      <c r="AA95" s="223"/>
      <c r="AB95" s="223"/>
      <c r="AC95" s="223"/>
      <c r="AD95" s="214"/>
    </row>
    <row r="96" spans="1:30" x14ac:dyDescent="0.25">
      <c r="B96" s="225"/>
      <c r="V96" s="223"/>
      <c r="W96" s="223"/>
      <c r="X96" s="223"/>
      <c r="Y96" s="223"/>
      <c r="Z96" s="223"/>
      <c r="AA96" s="223"/>
      <c r="AB96" s="223"/>
      <c r="AC96" s="223"/>
      <c r="AD96" s="219"/>
    </row>
    <row r="97" spans="2:30" x14ac:dyDescent="0.25">
      <c r="B97" s="225"/>
      <c r="V97" s="223"/>
      <c r="W97" s="223"/>
      <c r="X97" s="223"/>
      <c r="Y97" s="223"/>
      <c r="Z97" s="223"/>
      <c r="AA97" s="223"/>
      <c r="AB97" s="223"/>
      <c r="AC97" s="223"/>
      <c r="AD97" s="219"/>
    </row>
    <row r="98" spans="2:30" hidden="1" x14ac:dyDescent="0.25">
      <c r="B98" s="226" t="s">
        <v>160</v>
      </c>
      <c r="C98" s="227"/>
      <c r="V98" s="228"/>
      <c r="W98" s="228"/>
      <c r="X98" s="228"/>
      <c r="Y98" s="228"/>
      <c r="Z98" s="228"/>
      <c r="AA98" s="228"/>
      <c r="AB98" s="228"/>
      <c r="AC98" s="228"/>
    </row>
    <row r="99" spans="2:30" hidden="1" x14ac:dyDescent="0.25">
      <c r="B99" s="229"/>
      <c r="C99" s="227"/>
      <c r="V99" s="225"/>
      <c r="W99" s="13"/>
      <c r="X99" s="13"/>
      <c r="Y99" s="13"/>
      <c r="Z99" s="13"/>
      <c r="AA99" s="13"/>
      <c r="AB99" s="13"/>
      <c r="AC99" s="13"/>
    </row>
    <row r="100" spans="2:30" hidden="1" x14ac:dyDescent="0.25">
      <c r="B100" s="230" t="s">
        <v>161</v>
      </c>
      <c r="C100" s="226" t="s">
        <v>162</v>
      </c>
      <c r="V100" s="225"/>
    </row>
    <row r="101" spans="2:30" hidden="1" x14ac:dyDescent="0.25">
      <c r="B101" s="230" t="s">
        <v>163</v>
      </c>
      <c r="C101" s="226" t="s">
        <v>164</v>
      </c>
      <c r="V101" s="225"/>
    </row>
    <row r="102" spans="2:30" hidden="1" x14ac:dyDescent="0.25">
      <c r="B102" s="230" t="s">
        <v>165</v>
      </c>
      <c r="C102" s="226" t="s">
        <v>166</v>
      </c>
      <c r="V102" s="225"/>
      <c r="W102" s="231"/>
      <c r="X102" s="231"/>
      <c r="Y102" s="231"/>
      <c r="Z102" s="231"/>
      <c r="AA102" s="231"/>
      <c r="AB102" s="231"/>
      <c r="AC102" s="231"/>
      <c r="AD102" s="231"/>
    </row>
    <row r="103" spans="2:30" hidden="1" x14ac:dyDescent="0.25">
      <c r="B103" s="230" t="s">
        <v>167</v>
      </c>
      <c r="C103" s="226" t="s">
        <v>168</v>
      </c>
      <c r="V103" s="225"/>
    </row>
    <row r="104" spans="2:30" hidden="1" x14ac:dyDescent="0.25">
      <c r="B104" s="232"/>
      <c r="C104" s="226" t="s">
        <v>169</v>
      </c>
      <c r="V104" s="225"/>
    </row>
    <row r="105" spans="2:30" hidden="1" x14ac:dyDescent="0.25">
      <c r="B105" s="230" t="s">
        <v>170</v>
      </c>
      <c r="C105" s="226" t="s">
        <v>171</v>
      </c>
      <c r="V105" s="225"/>
    </row>
    <row r="106" spans="2:30" hidden="1" x14ac:dyDescent="0.25">
      <c r="B106" s="230" t="s">
        <v>172</v>
      </c>
      <c r="C106" s="226" t="s">
        <v>173</v>
      </c>
      <c r="V106" s="225"/>
    </row>
    <row r="107" spans="2:30" hidden="1" x14ac:dyDescent="0.25">
      <c r="B107" s="230" t="s">
        <v>312</v>
      </c>
      <c r="C107" s="226" t="s">
        <v>175</v>
      </c>
      <c r="V107" s="225"/>
    </row>
    <row r="108" spans="2:30" hidden="1" x14ac:dyDescent="0.25">
      <c r="B108" s="230" t="s">
        <v>176</v>
      </c>
      <c r="C108" s="226" t="s">
        <v>177</v>
      </c>
      <c r="V108" s="225"/>
    </row>
    <row r="109" spans="2:30" hidden="1" x14ac:dyDescent="0.25">
      <c r="B109" s="230" t="s">
        <v>178</v>
      </c>
      <c r="C109" s="226" t="s">
        <v>179</v>
      </c>
      <c r="V109" s="225"/>
    </row>
    <row r="110" spans="2:30" hidden="1" x14ac:dyDescent="0.25">
      <c r="B110" s="232"/>
      <c r="C110" s="226"/>
      <c r="V110" s="225"/>
    </row>
    <row r="111" spans="2:30" hidden="1" x14ac:dyDescent="0.25">
      <c r="B111" s="230" t="s">
        <v>180</v>
      </c>
      <c r="C111" s="226" t="s">
        <v>181</v>
      </c>
      <c r="V111" s="225"/>
    </row>
    <row r="112" spans="2:30" hidden="1" x14ac:dyDescent="0.25">
      <c r="B112" s="230" t="s">
        <v>180</v>
      </c>
      <c r="C112" s="226" t="s">
        <v>182</v>
      </c>
    </row>
    <row r="113" spans="2:3" hidden="1" x14ac:dyDescent="0.25">
      <c r="B113" s="230" t="s">
        <v>183</v>
      </c>
      <c r="C113" s="226" t="s">
        <v>184</v>
      </c>
    </row>
    <row r="114" spans="2:3" hidden="1" x14ac:dyDescent="0.25">
      <c r="B114" s="230" t="s">
        <v>185</v>
      </c>
      <c r="C114" s="226" t="s">
        <v>186</v>
      </c>
    </row>
    <row r="115" spans="2:3" hidden="1" x14ac:dyDescent="0.25">
      <c r="B115" s="230" t="s">
        <v>183</v>
      </c>
      <c r="C115" s="226" t="s">
        <v>187</v>
      </c>
    </row>
    <row r="116" spans="2:3" hidden="1" x14ac:dyDescent="0.25">
      <c r="B116" s="230" t="s">
        <v>188</v>
      </c>
      <c r="C116" s="226" t="s">
        <v>189</v>
      </c>
    </row>
    <row r="117" spans="2:3" hidden="1" x14ac:dyDescent="0.25">
      <c r="B117" s="230" t="s">
        <v>190</v>
      </c>
      <c r="C117" s="226" t="s">
        <v>191</v>
      </c>
    </row>
    <row r="118" spans="2:3" hidden="1" x14ac:dyDescent="0.25">
      <c r="B118" s="232" t="s">
        <v>192</v>
      </c>
      <c r="C118" s="226" t="s">
        <v>193</v>
      </c>
    </row>
    <row r="119" spans="2:3" hidden="1" x14ac:dyDescent="0.25">
      <c r="B119" s="232"/>
      <c r="C119" s="226"/>
    </row>
    <row r="120" spans="2:3" hidden="1" x14ac:dyDescent="0.25">
      <c r="B120" s="230" t="s">
        <v>161</v>
      </c>
      <c r="C120" s="226" t="s">
        <v>194</v>
      </c>
    </row>
    <row r="121" spans="2:3" hidden="1" x14ac:dyDescent="0.25">
      <c r="B121" s="230" t="s">
        <v>195</v>
      </c>
      <c r="C121" s="226" t="s">
        <v>196</v>
      </c>
    </row>
    <row r="122" spans="2:3" hidden="1" x14ac:dyDescent="0.25">
      <c r="B122" s="230" t="s">
        <v>197</v>
      </c>
      <c r="C122" s="226" t="s">
        <v>198</v>
      </c>
    </row>
    <row r="123" spans="2:3" hidden="1" x14ac:dyDescent="0.25">
      <c r="B123" s="230" t="s">
        <v>313</v>
      </c>
      <c r="C123" s="226" t="s">
        <v>200</v>
      </c>
    </row>
    <row r="124" spans="2:3" hidden="1" x14ac:dyDescent="0.25">
      <c r="B124" s="230" t="s">
        <v>314</v>
      </c>
      <c r="C124" s="226" t="s">
        <v>202</v>
      </c>
    </row>
    <row r="125" spans="2:3" hidden="1" x14ac:dyDescent="0.25">
      <c r="B125" s="230" t="s">
        <v>203</v>
      </c>
      <c r="C125" s="226" t="s">
        <v>204</v>
      </c>
    </row>
    <row r="126" spans="2:3" hidden="1" x14ac:dyDescent="0.25">
      <c r="B126" s="230" t="s">
        <v>203</v>
      </c>
      <c r="C126" s="226" t="s">
        <v>205</v>
      </c>
    </row>
    <row r="127" spans="2:3" hidden="1" x14ac:dyDescent="0.25">
      <c r="B127" s="230" t="s">
        <v>203</v>
      </c>
      <c r="C127" s="226" t="s">
        <v>206</v>
      </c>
    </row>
    <row r="128" spans="2:3" hidden="1" x14ac:dyDescent="0.25">
      <c r="B128" s="230" t="s">
        <v>203</v>
      </c>
      <c r="C128" s="226" t="s">
        <v>207</v>
      </c>
    </row>
    <row r="129" spans="2:3" hidden="1" x14ac:dyDescent="0.25">
      <c r="B129" s="230" t="s">
        <v>167</v>
      </c>
      <c r="C129" s="226" t="s">
        <v>208</v>
      </c>
    </row>
    <row r="130" spans="2:3" hidden="1" x14ac:dyDescent="0.25">
      <c r="B130" s="230" t="s">
        <v>209</v>
      </c>
      <c r="C130" s="226" t="s">
        <v>210</v>
      </c>
    </row>
    <row r="131" spans="2:3" hidden="1" x14ac:dyDescent="0.25">
      <c r="B131" s="230" t="s">
        <v>203</v>
      </c>
      <c r="C131" s="226" t="s">
        <v>211</v>
      </c>
    </row>
    <row r="132" spans="2:3" hidden="1" x14ac:dyDescent="0.25">
      <c r="B132" s="226"/>
      <c r="C132" s="226"/>
    </row>
    <row r="133" spans="2:3" hidden="1" x14ac:dyDescent="0.25">
      <c r="B133" s="226"/>
      <c r="C133" s="226"/>
    </row>
    <row r="134" spans="2:3" hidden="1" x14ac:dyDescent="0.25">
      <c r="B134" s="232"/>
      <c r="C134" s="232"/>
    </row>
    <row r="135" spans="2:3" hidden="1" x14ac:dyDescent="0.25">
      <c r="B135" s="232">
        <f>NvsElapsedTime</f>
        <v>1.15740767796524E-5</v>
      </c>
      <c r="C135" s="232"/>
    </row>
    <row r="136" spans="2:3" hidden="1" x14ac:dyDescent="0.25">
      <c r="B136" s="233">
        <f>NvsEndTime</f>
        <v>41754.488078703696</v>
      </c>
      <c r="C136" s="233" t="s">
        <v>212</v>
      </c>
    </row>
    <row r="137" spans="2:3" x14ac:dyDescent="0.25">
      <c r="B137" s="226"/>
      <c r="C137" s="234"/>
    </row>
    <row r="138" spans="2:3" x14ac:dyDescent="0.25">
      <c r="B138" s="226"/>
      <c r="C138" s="226"/>
    </row>
    <row r="139" spans="2:3" x14ac:dyDescent="0.25">
      <c r="B139" s="226"/>
      <c r="C139" s="226"/>
    </row>
    <row r="140" spans="2:3" x14ac:dyDescent="0.25">
      <c r="B140" s="226"/>
      <c r="C140" s="226"/>
    </row>
    <row r="141" spans="2:3" x14ac:dyDescent="0.25">
      <c r="B141" s="226"/>
      <c r="C141" s="226"/>
    </row>
    <row r="142" spans="2:3" x14ac:dyDescent="0.25">
      <c r="B142" s="226"/>
      <c r="C142" s="226"/>
    </row>
    <row r="143" spans="2:3" x14ac:dyDescent="0.25">
      <c r="B143" s="226"/>
      <c r="C143" s="226"/>
    </row>
    <row r="144" spans="2:3" x14ac:dyDescent="0.25">
      <c r="B144" s="226"/>
      <c r="C144" s="226"/>
    </row>
    <row r="145" spans="2:3" x14ac:dyDescent="0.25">
      <c r="B145" s="226"/>
      <c r="C145" s="226"/>
    </row>
    <row r="146" spans="2:3" x14ac:dyDescent="0.25">
      <c r="B146" s="226"/>
      <c r="C146" s="226"/>
    </row>
    <row r="147" spans="2:3" x14ac:dyDescent="0.25">
      <c r="B147" s="226"/>
      <c r="C147" s="226"/>
    </row>
    <row r="148" spans="2:3" x14ac:dyDescent="0.25">
      <c r="B148" s="226"/>
      <c r="C148" s="226"/>
    </row>
    <row r="149" spans="2:3" x14ac:dyDescent="0.25">
      <c r="B149" s="226"/>
      <c r="C149" s="226"/>
    </row>
    <row r="150" spans="2:3" x14ac:dyDescent="0.25">
      <c r="B150" s="226"/>
      <c r="C150" s="226"/>
    </row>
    <row r="151" spans="2:3" x14ac:dyDescent="0.25">
      <c r="B151" s="226"/>
      <c r="C151" s="226"/>
    </row>
  </sheetData>
  <mergeCells count="151">
    <mergeCell ref="B80:D80"/>
    <mergeCell ref="V76:X76"/>
    <mergeCell ref="Y76:Z76"/>
    <mergeCell ref="V77:X77"/>
    <mergeCell ref="Y77:Z77"/>
    <mergeCell ref="B78:D78"/>
    <mergeCell ref="V78:X78"/>
    <mergeCell ref="V70:X70"/>
    <mergeCell ref="Y70:Z70"/>
    <mergeCell ref="V71:X71"/>
    <mergeCell ref="Y71:Z71"/>
    <mergeCell ref="V72:AB72"/>
    <mergeCell ref="V73:AC73"/>
    <mergeCell ref="V74:W74"/>
    <mergeCell ref="V75:W75"/>
    <mergeCell ref="B79:D79"/>
    <mergeCell ref="V79:X79"/>
    <mergeCell ref="V65:W65"/>
    <mergeCell ref="X65:AC65"/>
    <mergeCell ref="V66:X66"/>
    <mergeCell ref="Y66:Z66"/>
    <mergeCell ref="V67:AC67"/>
    <mergeCell ref="V68:X68"/>
    <mergeCell ref="Y68:Z68"/>
    <mergeCell ref="V69:X69"/>
    <mergeCell ref="Y69:Z69"/>
    <mergeCell ref="V60:W60"/>
    <mergeCell ref="X60:AC60"/>
    <mergeCell ref="V61:W61"/>
    <mergeCell ref="X61:AC61"/>
    <mergeCell ref="V62:W62"/>
    <mergeCell ref="X62:AC62"/>
    <mergeCell ref="V63:AC63"/>
    <mergeCell ref="V64:W64"/>
    <mergeCell ref="X64:AC64"/>
    <mergeCell ref="V55:AC55"/>
    <mergeCell ref="V56:W56"/>
    <mergeCell ref="Y56:Z56"/>
    <mergeCell ref="AA56:AC56"/>
    <mergeCell ref="V57:AA57"/>
    <mergeCell ref="AB57:AC57"/>
    <mergeCell ref="V58:X58"/>
    <mergeCell ref="Y58:Z58"/>
    <mergeCell ref="V59:AC59"/>
    <mergeCell ref="X49:Y49"/>
    <mergeCell ref="X50:AB50"/>
    <mergeCell ref="V51:AC51"/>
    <mergeCell ref="V52:AC52"/>
    <mergeCell ref="V53:W53"/>
    <mergeCell ref="Y53:Z53"/>
    <mergeCell ref="AA53:AC53"/>
    <mergeCell ref="V54:AA54"/>
    <mergeCell ref="AB54:AC54"/>
    <mergeCell ref="V41:AC41"/>
    <mergeCell ref="V42:AC42"/>
    <mergeCell ref="V43:AC43"/>
    <mergeCell ref="V44:AB44"/>
    <mergeCell ref="V45:AC45"/>
    <mergeCell ref="X46:Y46"/>
    <mergeCell ref="Z46:AC46"/>
    <mergeCell ref="X47:Y47"/>
    <mergeCell ref="X48:Y48"/>
    <mergeCell ref="V37:W37"/>
    <mergeCell ref="X37:Y37"/>
    <mergeCell ref="Z37:AB37"/>
    <mergeCell ref="V38:AC38"/>
    <mergeCell ref="V39:W39"/>
    <mergeCell ref="X39:Y39"/>
    <mergeCell ref="Z39:AC39"/>
    <mergeCell ref="V40:W40"/>
    <mergeCell ref="X40:AA40"/>
    <mergeCell ref="V26:W26"/>
    <mergeCell ref="X26:Y26"/>
    <mergeCell ref="Z26:AA26"/>
    <mergeCell ref="V27:W27"/>
    <mergeCell ref="X27:Y27"/>
    <mergeCell ref="B28:C36"/>
    <mergeCell ref="V28:W36"/>
    <mergeCell ref="X28:Y28"/>
    <mergeCell ref="X29:Y29"/>
    <mergeCell ref="X30:Y30"/>
    <mergeCell ref="X31:Y31"/>
    <mergeCell ref="X32:Y32"/>
    <mergeCell ref="X33:Y33"/>
    <mergeCell ref="X34:Y34"/>
    <mergeCell ref="X35:Y35"/>
    <mergeCell ref="X36:Y36"/>
    <mergeCell ref="V23:W23"/>
    <mergeCell ref="X23:Y23"/>
    <mergeCell ref="Z23:AA23"/>
    <mergeCell ref="V24:W24"/>
    <mergeCell ref="X24:Y24"/>
    <mergeCell ref="Z24:AA24"/>
    <mergeCell ref="V25:W25"/>
    <mergeCell ref="X25:Y25"/>
    <mergeCell ref="Z25:AA25"/>
    <mergeCell ref="V20:W20"/>
    <mergeCell ref="X20:Y20"/>
    <mergeCell ref="Z20:AA20"/>
    <mergeCell ref="V21:W21"/>
    <mergeCell ref="X21:Y21"/>
    <mergeCell ref="Z21:AA21"/>
    <mergeCell ref="V22:W22"/>
    <mergeCell ref="X22:Y22"/>
    <mergeCell ref="Z22:AA22"/>
    <mergeCell ref="V17:W17"/>
    <mergeCell ref="X17:Y17"/>
    <mergeCell ref="Z17:AA17"/>
    <mergeCell ref="V18:W18"/>
    <mergeCell ref="X18:Y18"/>
    <mergeCell ref="Z18:AA18"/>
    <mergeCell ref="V19:W19"/>
    <mergeCell ref="X19:Y19"/>
    <mergeCell ref="Z19:AA19"/>
    <mergeCell ref="V14:W14"/>
    <mergeCell ref="X14:Y14"/>
    <mergeCell ref="Z14:AA14"/>
    <mergeCell ref="V15:W15"/>
    <mergeCell ref="X15:Y15"/>
    <mergeCell ref="Z15:AA15"/>
    <mergeCell ref="V16:W16"/>
    <mergeCell ref="X16:Y16"/>
    <mergeCell ref="Z16:AA16"/>
    <mergeCell ref="V11:W11"/>
    <mergeCell ref="X11:Y11"/>
    <mergeCell ref="Z11:AA11"/>
    <mergeCell ref="V12:W12"/>
    <mergeCell ref="X12:Y12"/>
    <mergeCell ref="Z12:AA12"/>
    <mergeCell ref="V13:W13"/>
    <mergeCell ref="X13:Y13"/>
    <mergeCell ref="Z13:AA13"/>
    <mergeCell ref="V8:W8"/>
    <mergeCell ref="X8:Y8"/>
    <mergeCell ref="Z8:AA8"/>
    <mergeCell ref="V9:W9"/>
    <mergeCell ref="X9:Y9"/>
    <mergeCell ref="Z9:AA9"/>
    <mergeCell ref="V10:W10"/>
    <mergeCell ref="X10:Y10"/>
    <mergeCell ref="Z10:AA10"/>
    <mergeCell ref="W2:AC2"/>
    <mergeCell ref="V3:AC3"/>
    <mergeCell ref="V4:AC4"/>
    <mergeCell ref="V5:W5"/>
    <mergeCell ref="X5:Y5"/>
    <mergeCell ref="V6:AC6"/>
    <mergeCell ref="V7:W7"/>
    <mergeCell ref="X7:Y7"/>
    <mergeCell ref="Z7:AA7"/>
    <mergeCell ref="AB7:AC7"/>
  </mergeCells>
  <printOptions horizontalCentered="1"/>
  <pageMargins left="0" right="0" top="0.67" bottom="0.2" header="0.25" footer="0.196850393700787"/>
  <pageSetup scale="63" fitToWidth="2" fitToHeight="2" orientation="portrait" horizontalDpi="4294967295" verticalDpi="4294967295" r:id="rId1"/>
  <headerFooter alignWithMargins="0">
    <oddHeader>&amp;L&amp;8&amp;F
&amp;D &amp;T</oddHeader>
    <oddFooter>&amp;C&amp;P</oddFooter>
  </headerFooter>
  <rowBreaks count="1" manualBreakCount="1">
    <brk id="51" max="16383" man="1"/>
  </rowBreaks>
  <legacyDrawing r:id="rId2"/>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pageSetUpPr fitToPage="1"/>
  </sheetPr>
  <dimension ref="A1:AD151"/>
  <sheetViews>
    <sheetView topLeftCell="B2" zoomScale="70" zoomScaleNormal="70" workbookViewId="0">
      <selection activeCell="L71" sqref="L70:L71"/>
    </sheetView>
  </sheetViews>
  <sheetFormatPr defaultColWidth="8.85546875" defaultRowHeight="15.75" x14ac:dyDescent="0.25"/>
  <cols>
    <col min="1" max="1" width="11.28515625" style="1" hidden="1" customWidth="1"/>
    <col min="2" max="2" width="10.28515625" style="2" customWidth="1"/>
    <col min="3" max="3" width="29" style="1" customWidth="1"/>
    <col min="4" max="5" width="12.28515625" style="1" customWidth="1"/>
    <col min="6" max="6" width="12.28515625" style="1" hidden="1" customWidth="1"/>
    <col min="7" max="7" width="16.140625" style="1" customWidth="1"/>
    <col min="8" max="8" width="6.7109375" style="1" customWidth="1"/>
    <col min="9" max="9" width="14.28515625" style="1" customWidth="1"/>
    <col min="10" max="10" width="12.85546875" style="1" customWidth="1"/>
    <col min="11" max="11" width="16.140625" style="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28515625" style="1" customWidth="1"/>
    <col min="18" max="18" width="8.85546875" style="1"/>
    <col min="19" max="21" width="0" style="1" hidden="1" customWidth="1"/>
    <col min="22" max="23" width="8.85546875" style="1"/>
    <col min="24" max="24" width="12.7109375" style="1" customWidth="1"/>
    <col min="25" max="27" width="8.85546875" style="1"/>
    <col min="28" max="28" width="13.140625" style="1" bestFit="1" customWidth="1"/>
    <col min="29" max="16384" width="8.85546875" style="1"/>
  </cols>
  <sheetData>
    <row r="1" spans="1:30" ht="15.6"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7"/>
      <c r="N2" s="3"/>
      <c r="O2" s="1"/>
      <c r="V2" s="8">
        <f>'3961'!B2</f>
        <v>50</v>
      </c>
      <c r="W2" s="606" t="s">
        <v>4</v>
      </c>
      <c r="X2" s="607"/>
      <c r="Y2" s="608"/>
      <c r="Z2" s="608"/>
      <c r="AA2" s="608"/>
      <c r="AB2" s="608"/>
      <c r="AC2" s="608"/>
      <c r="AD2" s="9"/>
    </row>
    <row r="3" spans="1:30" ht="20.25" x14ac:dyDescent="0.3">
      <c r="B3" s="10" t="str">
        <f>"Revenue Estimate Worksheet for "&amp;B124</f>
        <v>Revenue Estimate Worksheet for Gardens Sch of Tech Arts, Inc</v>
      </c>
      <c r="C3" s="11"/>
      <c r="D3" s="11"/>
      <c r="E3" s="11"/>
      <c r="F3" s="11"/>
      <c r="G3" s="11"/>
      <c r="H3" s="11"/>
      <c r="I3" s="11"/>
      <c r="J3" s="11"/>
      <c r="K3" s="11"/>
      <c r="L3" s="11"/>
      <c r="M3" s="10"/>
      <c r="N3" s="10"/>
      <c r="O3" s="10"/>
      <c r="P3" s="10"/>
      <c r="Q3" s="10"/>
      <c r="V3" s="609" t="s">
        <v>5</v>
      </c>
      <c r="W3" s="609"/>
      <c r="X3" s="609"/>
      <c r="Y3" s="609"/>
      <c r="Z3" s="609"/>
      <c r="AA3" s="609"/>
      <c r="AB3" s="609"/>
      <c r="AC3" s="609"/>
      <c r="AD3" s="12"/>
    </row>
    <row r="4" spans="1:30" ht="18.75" x14ac:dyDescent="0.3">
      <c r="B4" s="2" t="s">
        <v>6</v>
      </c>
      <c r="C4" s="13"/>
      <c r="D4" s="13"/>
      <c r="E4" s="13"/>
      <c r="F4" s="13"/>
      <c r="G4" s="13"/>
      <c r="H4" s="13"/>
      <c r="I4" s="13"/>
      <c r="J4" s="13"/>
      <c r="K4" s="13"/>
      <c r="L4" s="13"/>
      <c r="M4" s="14"/>
      <c r="N4" s="14"/>
      <c r="O4" s="14"/>
      <c r="P4" s="14"/>
      <c r="Q4" s="14"/>
      <c r="V4" s="610" t="str">
        <f>+Based_on_the_Second_Calculation_of_the_FEFP_2010_11</f>
        <v>Based on the Fourth Calculation of the FEFP 2013-14</v>
      </c>
      <c r="W4" s="610"/>
      <c r="X4" s="610"/>
      <c r="Y4" s="610"/>
      <c r="Z4" s="610"/>
      <c r="AA4" s="610"/>
      <c r="AB4" s="610"/>
      <c r="AC4" s="610"/>
      <c r="AD4" s="15"/>
    </row>
    <row r="5" spans="1:30" ht="18.75" customHeight="1" x14ac:dyDescent="0.25">
      <c r="B5" s="16" t="s">
        <v>7</v>
      </c>
      <c r="C5" s="16"/>
      <c r="D5" s="16"/>
      <c r="E5" s="16"/>
      <c r="F5" s="16"/>
      <c r="G5" s="17" t="s">
        <v>8</v>
      </c>
      <c r="H5" s="17"/>
      <c r="I5" s="17"/>
      <c r="J5" s="17"/>
      <c r="K5" s="17"/>
      <c r="L5" s="17"/>
      <c r="M5" s="18"/>
      <c r="N5" s="18"/>
      <c r="O5" s="18"/>
      <c r="P5" s="18"/>
      <c r="Q5" s="18"/>
      <c r="V5" s="611" t="s">
        <v>7</v>
      </c>
      <c r="W5" s="611"/>
      <c r="X5" s="612" t="s">
        <v>8</v>
      </c>
      <c r="Y5" s="612"/>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613" t="s">
        <v>9</v>
      </c>
      <c r="W6" s="613"/>
      <c r="X6" s="613"/>
      <c r="Y6" s="613"/>
      <c r="Z6" s="613"/>
      <c r="AA6" s="613"/>
      <c r="AB6" s="613"/>
      <c r="AC6" s="613"/>
      <c r="AD6" s="22"/>
    </row>
    <row r="7" spans="1:30" ht="18" customHeight="1" x14ac:dyDescent="0.25">
      <c r="B7" s="23" t="s">
        <v>10</v>
      </c>
      <c r="C7" s="23"/>
      <c r="D7" s="23"/>
      <c r="E7" s="23"/>
      <c r="F7" s="23"/>
      <c r="G7" s="24">
        <v>3752.3</v>
      </c>
      <c r="H7" s="24"/>
      <c r="I7" s="23" t="s">
        <v>11</v>
      </c>
      <c r="J7" s="23"/>
      <c r="K7" s="25">
        <v>1.0326</v>
      </c>
      <c r="L7" s="25"/>
      <c r="O7" s="1"/>
      <c r="V7" s="620" t="s">
        <v>10</v>
      </c>
      <c r="W7" s="620"/>
      <c r="X7" s="621">
        <f>'3961'!G7</f>
        <v>3752.3</v>
      </c>
      <c r="Y7" s="621"/>
      <c r="Z7" s="622" t="s">
        <v>11</v>
      </c>
      <c r="AA7" s="622"/>
      <c r="AB7" s="602">
        <f>+K7</f>
        <v>1.0326</v>
      </c>
      <c r="AC7" s="602"/>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603" t="s">
        <v>12</v>
      </c>
      <c r="W8" s="603"/>
      <c r="X8" s="604" t="s">
        <v>15</v>
      </c>
      <c r="Y8" s="604"/>
      <c r="Z8" s="605" t="s">
        <v>16</v>
      </c>
      <c r="AA8" s="605"/>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614" t="s">
        <v>22</v>
      </c>
      <c r="W9" s="614"/>
      <c r="X9" s="615" t="s">
        <v>23</v>
      </c>
      <c r="Y9" s="615"/>
      <c r="Z9" s="616" t="s">
        <v>24</v>
      </c>
      <c r="AA9" s="616"/>
      <c r="AB9" s="43" t="s">
        <v>25</v>
      </c>
      <c r="AC9" s="44" t="s">
        <v>26</v>
      </c>
      <c r="AD9" s="9"/>
    </row>
    <row r="10" spans="1:30" x14ac:dyDescent="0.25">
      <c r="A10" s="1" t="s">
        <v>27</v>
      </c>
      <c r="B10" s="45" t="s">
        <v>28</v>
      </c>
      <c r="C10" s="45"/>
      <c r="D10" s="45">
        <v>45.77</v>
      </c>
      <c r="E10" s="45">
        <v>42.79</v>
      </c>
      <c r="F10" s="45">
        <v>57.21</v>
      </c>
      <c r="G10" s="46">
        <f>D10+E10</f>
        <v>88.56</v>
      </c>
      <c r="H10" s="47"/>
      <c r="I10" s="48">
        <v>1.125</v>
      </c>
      <c r="J10" s="48"/>
      <c r="K10" s="49">
        <f>ROUND(G10*I10,4)</f>
        <v>99.63</v>
      </c>
      <c r="L10" s="50">
        <f>ROUND(ROUND(K10*$G$7,4)*($K$7),0)</f>
        <v>386029</v>
      </c>
      <c r="N10" s="51">
        <v>5101</v>
      </c>
      <c r="O10" s="52">
        <v>101</v>
      </c>
      <c r="P10" s="53"/>
      <c r="Q10" s="54"/>
      <c r="V10" s="617" t="s">
        <v>28</v>
      </c>
      <c r="W10" s="617"/>
      <c r="X10" s="618">
        <f>IF('3961'!K$84=1,'3961'!G10,0)</f>
        <v>0</v>
      </c>
      <c r="Y10" s="618"/>
      <c r="Z10" s="619">
        <v>1</v>
      </c>
      <c r="AA10" s="619"/>
      <c r="AB10" s="55">
        <f t="shared" ref="AB10:AB25" si="0">ROUND(X10*Z10,4)</f>
        <v>0</v>
      </c>
      <c r="AC10" s="56">
        <f t="shared" ref="AC10:AC25" si="1">ROUND(ROUND(AB10*$X$7,4)*($AB$7),0)</f>
        <v>0</v>
      </c>
      <c r="AD10" s="9">
        <v>1</v>
      </c>
    </row>
    <row r="11" spans="1:30" x14ac:dyDescent="0.25">
      <c r="A11" s="1" t="s">
        <v>29</v>
      </c>
      <c r="B11" s="13" t="s">
        <v>30</v>
      </c>
      <c r="C11" s="13"/>
      <c r="D11" s="13">
        <v>4.51</v>
      </c>
      <c r="E11" s="13">
        <v>6.59</v>
      </c>
      <c r="F11" s="13">
        <v>5.81</v>
      </c>
      <c r="G11" s="46">
        <f t="shared" ref="G11:G25" si="2">D11+E11</f>
        <v>11.1</v>
      </c>
      <c r="H11" s="47"/>
      <c r="I11" s="57">
        <f>I10</f>
        <v>1.125</v>
      </c>
      <c r="J11" s="57"/>
      <c r="K11" s="49">
        <f t="shared" ref="K11:K25" si="3">ROUND(G11*I11,4)</f>
        <v>12.487500000000001</v>
      </c>
      <c r="L11" s="50">
        <f t="shared" ref="L11:L25" si="4">ROUND(ROUND(K11*$G$7,4)*($K$7),0)</f>
        <v>48384</v>
      </c>
      <c r="M11" s="1" t="str">
        <f>IF(ROUND(G11,2)=ROUND(SUM(G28:G30),2)," ","CHECK 2. PK-3 Lines Below")</f>
        <v xml:space="preserve"> </v>
      </c>
      <c r="N11" s="51">
        <v>5101</v>
      </c>
      <c r="O11" s="58" t="s">
        <v>31</v>
      </c>
      <c r="P11" s="53"/>
      <c r="Q11" s="54"/>
      <c r="V11" s="623" t="s">
        <v>30</v>
      </c>
      <c r="W11" s="623"/>
      <c r="X11" s="618">
        <f>IF('3961'!K$84=1,'3961'!G11,0)</f>
        <v>0</v>
      </c>
      <c r="Y11" s="618"/>
      <c r="Z11" s="624">
        <v>1</v>
      </c>
      <c r="AA11" s="624"/>
      <c r="AB11" s="55">
        <f t="shared" si="0"/>
        <v>0</v>
      </c>
      <c r="AC11" s="56">
        <f t="shared" si="1"/>
        <v>0</v>
      </c>
      <c r="AD11" s="9"/>
    </row>
    <row r="12" spans="1:30" x14ac:dyDescent="0.25">
      <c r="A12" s="1" t="s">
        <v>32</v>
      </c>
      <c r="B12" s="13" t="s">
        <v>33</v>
      </c>
      <c r="C12" s="13"/>
      <c r="D12" s="13">
        <v>61</v>
      </c>
      <c r="E12" s="13">
        <v>59.46</v>
      </c>
      <c r="F12" s="13">
        <v>77.58</v>
      </c>
      <c r="G12" s="46">
        <f t="shared" si="2"/>
        <v>120.46000000000001</v>
      </c>
      <c r="H12" s="47"/>
      <c r="I12" s="57">
        <v>1</v>
      </c>
      <c r="J12" s="57"/>
      <c r="K12" s="49">
        <f t="shared" si="3"/>
        <v>120.46</v>
      </c>
      <c r="L12" s="50">
        <f t="shared" si="4"/>
        <v>466737</v>
      </c>
      <c r="N12" s="51">
        <v>5102</v>
      </c>
      <c r="O12" s="52">
        <v>102</v>
      </c>
      <c r="P12" s="53"/>
      <c r="Q12" s="54"/>
      <c r="V12" s="623" t="s">
        <v>33</v>
      </c>
      <c r="W12" s="623"/>
      <c r="X12" s="618">
        <f>IF('3961'!K$84=1,'3961'!G12,0)</f>
        <v>0</v>
      </c>
      <c r="Y12" s="618"/>
      <c r="Z12" s="624">
        <v>1</v>
      </c>
      <c r="AA12" s="624"/>
      <c r="AB12" s="55">
        <f t="shared" si="0"/>
        <v>0</v>
      </c>
      <c r="AC12" s="56">
        <f t="shared" si="1"/>
        <v>0</v>
      </c>
      <c r="AD12" s="9"/>
    </row>
    <row r="13" spans="1:30" x14ac:dyDescent="0.25">
      <c r="A13" s="1" t="s">
        <v>34</v>
      </c>
      <c r="B13" s="13" t="s">
        <v>35</v>
      </c>
      <c r="C13" s="13"/>
      <c r="D13" s="13">
        <v>3.59</v>
      </c>
      <c r="E13" s="13">
        <v>2.5099999999999998</v>
      </c>
      <c r="F13" s="13">
        <v>4.46</v>
      </c>
      <c r="G13" s="46">
        <f t="shared" si="2"/>
        <v>6.1</v>
      </c>
      <c r="H13" s="47"/>
      <c r="I13" s="57">
        <f>I12</f>
        <v>1</v>
      </c>
      <c r="J13" s="57"/>
      <c r="K13" s="49">
        <f t="shared" si="3"/>
        <v>6.1</v>
      </c>
      <c r="L13" s="50">
        <f t="shared" si="4"/>
        <v>23635</v>
      </c>
      <c r="M13" s="1" t="str">
        <f>IF(ROUND(G13,2)=ROUND(SUM(G31:G33),2)," ","CHECK 2. PK-3 Lines Below")</f>
        <v xml:space="preserve"> </v>
      </c>
      <c r="N13" s="51">
        <v>5102</v>
      </c>
      <c r="O13" s="58" t="s">
        <v>36</v>
      </c>
      <c r="P13" s="53"/>
      <c r="Q13" s="54"/>
      <c r="V13" s="623" t="s">
        <v>35</v>
      </c>
      <c r="W13" s="623"/>
      <c r="X13" s="618">
        <f>IF('3961'!K$84=1,'3961'!G13,0)</f>
        <v>0</v>
      </c>
      <c r="Y13" s="618"/>
      <c r="Z13" s="624">
        <v>1</v>
      </c>
      <c r="AA13" s="624"/>
      <c r="AB13" s="55">
        <f t="shared" si="0"/>
        <v>0</v>
      </c>
      <c r="AC13" s="56">
        <f t="shared" si="1"/>
        <v>0</v>
      </c>
      <c r="AD13" s="9"/>
    </row>
    <row r="14" spans="1:30" x14ac:dyDescent="0.25">
      <c r="A14" s="1" t="s">
        <v>37</v>
      </c>
      <c r="B14" s="13" t="s">
        <v>38</v>
      </c>
      <c r="C14" s="13"/>
      <c r="D14" s="13">
        <v>0</v>
      </c>
      <c r="E14" s="13">
        <v>0</v>
      </c>
      <c r="F14" s="13">
        <v>0</v>
      </c>
      <c r="G14" s="46">
        <f t="shared" si="2"/>
        <v>0</v>
      </c>
      <c r="H14" s="47"/>
      <c r="I14" s="57">
        <v>1.0109999999999999</v>
      </c>
      <c r="J14" s="57"/>
      <c r="K14" s="49">
        <f t="shared" si="3"/>
        <v>0</v>
      </c>
      <c r="L14" s="50">
        <f t="shared" si="4"/>
        <v>0</v>
      </c>
      <c r="N14" s="51">
        <v>5103</v>
      </c>
      <c r="O14" s="52">
        <v>103</v>
      </c>
      <c r="P14" s="53"/>
      <c r="Q14" s="54"/>
      <c r="V14" s="623" t="s">
        <v>38</v>
      </c>
      <c r="W14" s="623"/>
      <c r="X14" s="618">
        <f>IF('3961'!K$84=1,'3961'!G14,0)</f>
        <v>0</v>
      </c>
      <c r="Y14" s="618"/>
      <c r="Z14" s="624">
        <v>1</v>
      </c>
      <c r="AA14" s="624"/>
      <c r="AB14" s="55">
        <f t="shared" si="0"/>
        <v>0</v>
      </c>
      <c r="AC14" s="56">
        <f t="shared" si="1"/>
        <v>0</v>
      </c>
      <c r="AD14" s="9"/>
    </row>
    <row r="15" spans="1:30" x14ac:dyDescent="0.25">
      <c r="A15" s="1" t="s">
        <v>39</v>
      </c>
      <c r="B15" s="13" t="s">
        <v>40</v>
      </c>
      <c r="C15" s="13"/>
      <c r="D15" s="13">
        <v>0</v>
      </c>
      <c r="E15" s="13">
        <v>0</v>
      </c>
      <c r="F15" s="13">
        <v>0</v>
      </c>
      <c r="G15" s="46">
        <f t="shared" si="2"/>
        <v>0</v>
      </c>
      <c r="H15" s="47"/>
      <c r="I15" s="57">
        <f>I14</f>
        <v>1.0109999999999999</v>
      </c>
      <c r="J15" s="57"/>
      <c r="K15" s="49">
        <f t="shared" si="3"/>
        <v>0</v>
      </c>
      <c r="L15" s="59">
        <f t="shared" si="4"/>
        <v>0</v>
      </c>
      <c r="M15" s="1" t="str">
        <f>IF(ROUND(G15,2)=ROUND(SUM(G34:G36),2)," ","CHECK 2. PK-3 Lines Below")</f>
        <v xml:space="preserve"> </v>
      </c>
      <c r="N15" s="51">
        <v>5103</v>
      </c>
      <c r="O15" s="58" t="s">
        <v>41</v>
      </c>
      <c r="P15" s="53"/>
      <c r="Q15" s="54"/>
      <c r="V15" s="623" t="s">
        <v>40</v>
      </c>
      <c r="W15" s="623"/>
      <c r="X15" s="618">
        <f>IF('3961'!K$84=1,'3961'!G15,0)</f>
        <v>0</v>
      </c>
      <c r="Y15" s="618"/>
      <c r="Z15" s="624">
        <v>1</v>
      </c>
      <c r="AA15" s="624"/>
      <c r="AB15" s="55">
        <f t="shared" si="0"/>
        <v>0</v>
      </c>
      <c r="AC15" s="60">
        <f t="shared" si="1"/>
        <v>0</v>
      </c>
      <c r="AD15" s="9"/>
    </row>
    <row r="16" spans="1:30" x14ac:dyDescent="0.25">
      <c r="A16" s="1" t="s">
        <v>42</v>
      </c>
      <c r="B16" s="13" t="s">
        <v>43</v>
      </c>
      <c r="C16" s="13"/>
      <c r="D16" s="13">
        <v>0</v>
      </c>
      <c r="E16" s="13">
        <v>0</v>
      </c>
      <c r="F16" s="13">
        <v>0</v>
      </c>
      <c r="G16" s="46">
        <f t="shared" si="2"/>
        <v>0</v>
      </c>
      <c r="H16" s="47"/>
      <c r="I16" s="57">
        <v>3.5579999999999998</v>
      </c>
      <c r="J16" s="57"/>
      <c r="K16" s="49">
        <f t="shared" si="3"/>
        <v>0</v>
      </c>
      <c r="L16" s="50">
        <f t="shared" si="4"/>
        <v>0</v>
      </c>
      <c r="N16" s="51">
        <v>5101</v>
      </c>
      <c r="O16" s="53">
        <v>254</v>
      </c>
      <c r="P16" s="53"/>
      <c r="Q16" s="54"/>
      <c r="V16" s="623" t="s">
        <v>43</v>
      </c>
      <c r="W16" s="623"/>
      <c r="X16" s="618">
        <f>IF('3961'!K$84=1,'3961'!G16,0)</f>
        <v>0</v>
      </c>
      <c r="Y16" s="618"/>
      <c r="Z16" s="624">
        <v>1</v>
      </c>
      <c r="AA16" s="624"/>
      <c r="AB16" s="55">
        <f t="shared" si="0"/>
        <v>0</v>
      </c>
      <c r="AC16" s="56">
        <f t="shared" si="1"/>
        <v>0</v>
      </c>
      <c r="AD16" s="9"/>
    </row>
    <row r="17" spans="1:30" x14ac:dyDescent="0.25">
      <c r="A17" s="1" t="s">
        <v>44</v>
      </c>
      <c r="B17" s="13" t="s">
        <v>45</v>
      </c>
      <c r="C17" s="13"/>
      <c r="D17" s="13">
        <v>0</v>
      </c>
      <c r="E17" s="13">
        <v>0</v>
      </c>
      <c r="F17" s="13">
        <v>0</v>
      </c>
      <c r="G17" s="46">
        <f t="shared" si="2"/>
        <v>0</v>
      </c>
      <c r="H17" s="47"/>
      <c r="I17" s="57">
        <f>I16</f>
        <v>3.5579999999999998</v>
      </c>
      <c r="J17" s="57"/>
      <c r="K17" s="49">
        <f t="shared" si="3"/>
        <v>0</v>
      </c>
      <c r="L17" s="50">
        <f t="shared" si="4"/>
        <v>0</v>
      </c>
      <c r="N17" s="51">
        <v>5102</v>
      </c>
      <c r="O17" s="54">
        <v>254</v>
      </c>
      <c r="P17" s="53"/>
      <c r="Q17" s="54"/>
      <c r="V17" s="623" t="s">
        <v>45</v>
      </c>
      <c r="W17" s="623"/>
      <c r="X17" s="618">
        <f>IF('3961'!K$84=1,'3961'!G17,0)</f>
        <v>0</v>
      </c>
      <c r="Y17" s="618"/>
      <c r="Z17" s="624">
        <v>1</v>
      </c>
      <c r="AA17" s="624"/>
      <c r="AB17" s="55">
        <f t="shared" si="0"/>
        <v>0</v>
      </c>
      <c r="AC17" s="56">
        <f t="shared" si="1"/>
        <v>0</v>
      </c>
      <c r="AD17" s="9"/>
    </row>
    <row r="18" spans="1:30" x14ac:dyDescent="0.25">
      <c r="A18" s="1" t="s">
        <v>46</v>
      </c>
      <c r="B18" s="13" t="s">
        <v>47</v>
      </c>
      <c r="C18" s="13"/>
      <c r="D18" s="13">
        <v>0</v>
      </c>
      <c r="E18" s="13">
        <v>0</v>
      </c>
      <c r="F18" s="13">
        <v>0</v>
      </c>
      <c r="G18" s="46">
        <f t="shared" si="2"/>
        <v>0</v>
      </c>
      <c r="H18" s="47"/>
      <c r="I18" s="57">
        <f>I17</f>
        <v>3.5579999999999998</v>
      </c>
      <c r="J18" s="57"/>
      <c r="K18" s="49">
        <f t="shared" si="3"/>
        <v>0</v>
      </c>
      <c r="L18" s="50">
        <f t="shared" si="4"/>
        <v>0</v>
      </c>
      <c r="N18" s="51">
        <v>5103</v>
      </c>
      <c r="O18" s="54">
        <v>254</v>
      </c>
      <c r="P18" s="53"/>
      <c r="Q18" s="54"/>
      <c r="V18" s="623" t="s">
        <v>47</v>
      </c>
      <c r="W18" s="623"/>
      <c r="X18" s="618">
        <f>IF('3961'!K$84=1,'3961'!G18,0)</f>
        <v>0</v>
      </c>
      <c r="Y18" s="618"/>
      <c r="Z18" s="624">
        <v>1</v>
      </c>
      <c r="AA18" s="624"/>
      <c r="AB18" s="55">
        <f t="shared" si="0"/>
        <v>0</v>
      </c>
      <c r="AC18" s="56">
        <f t="shared" si="1"/>
        <v>0</v>
      </c>
      <c r="AD18" s="9"/>
    </row>
    <row r="19" spans="1:30" ht="15" customHeight="1" x14ac:dyDescent="0.25">
      <c r="A19" s="1" t="s">
        <v>48</v>
      </c>
      <c r="B19" s="13" t="s">
        <v>49</v>
      </c>
      <c r="C19" s="13"/>
      <c r="D19" s="13">
        <v>0</v>
      </c>
      <c r="E19" s="13">
        <v>0</v>
      </c>
      <c r="F19" s="13">
        <v>0</v>
      </c>
      <c r="G19" s="46">
        <f t="shared" si="2"/>
        <v>0</v>
      </c>
      <c r="H19" s="47"/>
      <c r="I19" s="57">
        <v>5.0890000000000004</v>
      </c>
      <c r="J19" s="57"/>
      <c r="K19" s="49">
        <f t="shared" si="3"/>
        <v>0</v>
      </c>
      <c r="L19" s="50">
        <f t="shared" si="4"/>
        <v>0</v>
      </c>
      <c r="N19" s="51">
        <v>5101</v>
      </c>
      <c r="O19" s="53">
        <v>255</v>
      </c>
      <c r="P19" s="53"/>
      <c r="Q19" s="54"/>
      <c r="V19" s="623" t="s">
        <v>49</v>
      </c>
      <c r="W19" s="623"/>
      <c r="X19" s="618">
        <f>IF('3961'!K$84=1,'3961'!G19,0)</f>
        <v>0</v>
      </c>
      <c r="Y19" s="618"/>
      <c r="Z19" s="624">
        <v>1</v>
      </c>
      <c r="AA19" s="624"/>
      <c r="AB19" s="55">
        <f t="shared" si="0"/>
        <v>0</v>
      </c>
      <c r="AC19" s="56">
        <f t="shared" si="1"/>
        <v>0</v>
      </c>
      <c r="AD19" s="9"/>
    </row>
    <row r="20" spans="1:30" ht="15" customHeight="1" x14ac:dyDescent="0.25">
      <c r="A20" s="1" t="s">
        <v>50</v>
      </c>
      <c r="B20" s="13" t="s">
        <v>51</v>
      </c>
      <c r="C20" s="13"/>
      <c r="D20" s="13">
        <v>0</v>
      </c>
      <c r="E20" s="13">
        <v>0</v>
      </c>
      <c r="F20" s="13">
        <v>0</v>
      </c>
      <c r="G20" s="46">
        <f t="shared" si="2"/>
        <v>0</v>
      </c>
      <c r="H20" s="47"/>
      <c r="I20" s="57">
        <f>I19</f>
        <v>5.0890000000000004</v>
      </c>
      <c r="J20" s="57"/>
      <c r="K20" s="49">
        <f t="shared" si="3"/>
        <v>0</v>
      </c>
      <c r="L20" s="50">
        <f t="shared" si="4"/>
        <v>0</v>
      </c>
      <c r="N20" s="51">
        <v>5102</v>
      </c>
      <c r="O20" s="54">
        <v>255</v>
      </c>
      <c r="P20" s="53"/>
      <c r="Q20" s="54"/>
      <c r="V20" s="623" t="s">
        <v>51</v>
      </c>
      <c r="W20" s="623"/>
      <c r="X20" s="618">
        <f>IF('3961'!K$84=1,'3961'!G20,0)</f>
        <v>0</v>
      </c>
      <c r="Y20" s="618"/>
      <c r="Z20" s="624">
        <v>1</v>
      </c>
      <c r="AA20" s="624"/>
      <c r="AB20" s="55">
        <f t="shared" si="0"/>
        <v>0</v>
      </c>
      <c r="AC20" s="56">
        <f t="shared" si="1"/>
        <v>0</v>
      </c>
      <c r="AD20" s="9"/>
    </row>
    <row r="21" spans="1:30" ht="15" customHeight="1" x14ac:dyDescent="0.25">
      <c r="A21" s="1" t="s">
        <v>52</v>
      </c>
      <c r="B21" s="13" t="s">
        <v>53</v>
      </c>
      <c r="C21" s="13"/>
      <c r="D21" s="13">
        <v>0</v>
      </c>
      <c r="E21" s="13">
        <v>0</v>
      </c>
      <c r="F21" s="13">
        <v>0</v>
      </c>
      <c r="G21" s="46">
        <f t="shared" si="2"/>
        <v>0</v>
      </c>
      <c r="H21" s="47"/>
      <c r="I21" s="57">
        <f>I20</f>
        <v>5.0890000000000004</v>
      </c>
      <c r="J21" s="57"/>
      <c r="K21" s="49">
        <f t="shared" si="3"/>
        <v>0</v>
      </c>
      <c r="L21" s="50">
        <f t="shared" si="4"/>
        <v>0</v>
      </c>
      <c r="N21" s="51">
        <v>5103</v>
      </c>
      <c r="O21" s="54">
        <v>255</v>
      </c>
      <c r="P21" s="53"/>
      <c r="Q21" s="54"/>
      <c r="V21" s="623" t="s">
        <v>53</v>
      </c>
      <c r="W21" s="623"/>
      <c r="X21" s="618">
        <f>IF('3961'!K$84=1,'3961'!G21,0)</f>
        <v>0</v>
      </c>
      <c r="Y21" s="618"/>
      <c r="Z21" s="624">
        <v>1</v>
      </c>
      <c r="AA21" s="624"/>
      <c r="AB21" s="55">
        <f t="shared" si="0"/>
        <v>0</v>
      </c>
      <c r="AC21" s="56">
        <f t="shared" si="1"/>
        <v>0</v>
      </c>
      <c r="AD21" s="9"/>
    </row>
    <row r="22" spans="1:30" x14ac:dyDescent="0.25">
      <c r="A22" s="1" t="s">
        <v>54</v>
      </c>
      <c r="B22" s="13" t="s">
        <v>55</v>
      </c>
      <c r="C22" s="13"/>
      <c r="D22" s="13">
        <v>2.1800000000000002</v>
      </c>
      <c r="E22" s="13">
        <v>1.74</v>
      </c>
      <c r="F22" s="13">
        <v>2.73</v>
      </c>
      <c r="G22" s="46">
        <f t="shared" si="2"/>
        <v>3.92</v>
      </c>
      <c r="H22" s="47"/>
      <c r="I22" s="57">
        <v>1.145</v>
      </c>
      <c r="J22" s="57"/>
      <c r="K22" s="49">
        <f t="shared" si="3"/>
        <v>4.4884000000000004</v>
      </c>
      <c r="L22" s="50">
        <f t="shared" si="4"/>
        <v>17391</v>
      </c>
      <c r="N22" s="51">
        <v>5101</v>
      </c>
      <c r="O22" s="52">
        <v>130</v>
      </c>
      <c r="P22" s="53"/>
      <c r="Q22" s="54"/>
      <c r="V22" s="623" t="s">
        <v>55</v>
      </c>
      <c r="W22" s="623"/>
      <c r="X22" s="618">
        <f>IF('3961'!K$84=1,'3961'!G22,0)</f>
        <v>0</v>
      </c>
      <c r="Y22" s="618"/>
      <c r="Z22" s="624">
        <v>1</v>
      </c>
      <c r="AA22" s="624"/>
      <c r="AB22" s="55">
        <f t="shared" si="0"/>
        <v>0</v>
      </c>
      <c r="AC22" s="56">
        <f t="shared" si="1"/>
        <v>0</v>
      </c>
      <c r="AD22" s="9"/>
    </row>
    <row r="23" spans="1:30" x14ac:dyDescent="0.25">
      <c r="A23" s="1" t="s">
        <v>56</v>
      </c>
      <c r="B23" s="13" t="s">
        <v>57</v>
      </c>
      <c r="C23" s="13"/>
      <c r="D23" s="13">
        <v>0</v>
      </c>
      <c r="E23" s="13">
        <v>0</v>
      </c>
      <c r="F23" s="13">
        <v>0</v>
      </c>
      <c r="G23" s="46">
        <f t="shared" si="2"/>
        <v>0</v>
      </c>
      <c r="H23" s="47"/>
      <c r="I23" s="57">
        <f>I22</f>
        <v>1.145</v>
      </c>
      <c r="J23" s="57"/>
      <c r="K23" s="49">
        <f t="shared" si="3"/>
        <v>0</v>
      </c>
      <c r="L23" s="50">
        <f t="shared" si="4"/>
        <v>0</v>
      </c>
      <c r="N23" s="51">
        <v>5102</v>
      </c>
      <c r="O23" s="52">
        <v>130</v>
      </c>
      <c r="P23" s="53"/>
      <c r="Q23" s="54"/>
      <c r="V23" s="623" t="s">
        <v>57</v>
      </c>
      <c r="W23" s="623"/>
      <c r="X23" s="618">
        <f>IF('3961'!K$84=1,'3961'!G23,0)</f>
        <v>0</v>
      </c>
      <c r="Y23" s="618"/>
      <c r="Z23" s="624">
        <v>1</v>
      </c>
      <c r="AA23" s="624"/>
      <c r="AB23" s="55">
        <f t="shared" si="0"/>
        <v>0</v>
      </c>
      <c r="AC23" s="56">
        <f t="shared" si="1"/>
        <v>0</v>
      </c>
      <c r="AD23" s="9"/>
    </row>
    <row r="24" spans="1:30" x14ac:dyDescent="0.25">
      <c r="A24" s="1" t="s">
        <v>58</v>
      </c>
      <c r="B24" s="13" t="s">
        <v>59</v>
      </c>
      <c r="C24" s="13"/>
      <c r="D24" s="13">
        <v>0</v>
      </c>
      <c r="E24" s="13">
        <v>0</v>
      </c>
      <c r="F24" s="13">
        <v>0</v>
      </c>
      <c r="G24" s="46">
        <f t="shared" si="2"/>
        <v>0</v>
      </c>
      <c r="H24" s="47"/>
      <c r="I24" s="57">
        <f>I23</f>
        <v>1.145</v>
      </c>
      <c r="J24" s="57"/>
      <c r="K24" s="49">
        <f t="shared" si="3"/>
        <v>0</v>
      </c>
      <c r="L24" s="50">
        <f t="shared" si="4"/>
        <v>0</v>
      </c>
      <c r="N24" s="51">
        <v>5103</v>
      </c>
      <c r="O24" s="52">
        <v>130</v>
      </c>
      <c r="P24" s="53"/>
      <c r="Q24" s="54"/>
      <c r="V24" s="623" t="s">
        <v>59</v>
      </c>
      <c r="W24" s="623"/>
      <c r="X24" s="618">
        <f>IF('3961'!K$84=1,'3961'!G24,0)</f>
        <v>0</v>
      </c>
      <c r="Y24" s="618"/>
      <c r="Z24" s="624">
        <v>1</v>
      </c>
      <c r="AA24" s="624"/>
      <c r="AB24" s="55">
        <f t="shared" si="0"/>
        <v>0</v>
      </c>
      <c r="AC24" s="56">
        <f t="shared" si="1"/>
        <v>0</v>
      </c>
      <c r="AD24" s="9"/>
    </row>
    <row r="25" spans="1:30" ht="16.5" thickBot="1" x14ac:dyDescent="0.3">
      <c r="A25" s="1" t="s">
        <v>60</v>
      </c>
      <c r="B25" s="13" t="s">
        <v>61</v>
      </c>
      <c r="C25" s="13"/>
      <c r="D25" s="13">
        <v>0</v>
      </c>
      <c r="E25" s="13">
        <v>0</v>
      </c>
      <c r="F25" s="13">
        <v>0</v>
      </c>
      <c r="G25" s="46">
        <f t="shared" si="2"/>
        <v>0</v>
      </c>
      <c r="H25" s="47"/>
      <c r="I25" s="57">
        <v>1.0109999999999999</v>
      </c>
      <c r="J25" s="57"/>
      <c r="K25" s="49">
        <f t="shared" si="3"/>
        <v>0</v>
      </c>
      <c r="L25" s="50">
        <f t="shared" si="4"/>
        <v>0</v>
      </c>
      <c r="N25" s="51">
        <v>5310</v>
      </c>
      <c r="O25" s="52">
        <v>300</v>
      </c>
      <c r="P25" s="53"/>
      <c r="Q25" s="54"/>
      <c r="V25" s="623" t="s">
        <v>61</v>
      </c>
      <c r="W25" s="623"/>
      <c r="X25" s="618">
        <f>IF('3961'!K$84=1,'3961'!G25,0)</f>
        <v>0</v>
      </c>
      <c r="Y25" s="618"/>
      <c r="Z25" s="624">
        <v>1</v>
      </c>
      <c r="AA25" s="624"/>
      <c r="AB25" s="55">
        <f t="shared" si="0"/>
        <v>0</v>
      </c>
      <c r="AC25" s="56">
        <f t="shared" si="1"/>
        <v>0</v>
      </c>
      <c r="AD25" s="9"/>
    </row>
    <row r="26" spans="1:30" ht="20.25" customHeight="1" thickBot="1" x14ac:dyDescent="0.3">
      <c r="B26" s="62" t="s">
        <v>62</v>
      </c>
      <c r="C26" s="62"/>
      <c r="D26" s="63">
        <f t="shared" ref="D26:E26" si="5">SUM(D10:D25)</f>
        <v>117.05000000000001</v>
      </c>
      <c r="E26" s="63">
        <f t="shared" si="5"/>
        <v>113.09</v>
      </c>
      <c r="F26" s="63"/>
      <c r="G26" s="63">
        <f>SUM(G10:G25)</f>
        <v>230.14</v>
      </c>
      <c r="H26" s="64"/>
      <c r="I26" s="64"/>
      <c r="J26" s="65"/>
      <c r="K26" s="66">
        <f>SUM(K10:K25)</f>
        <v>243.16589999999999</v>
      </c>
      <c r="L26" s="67">
        <f>SUM(L10:L25)</f>
        <v>942176</v>
      </c>
      <c r="N26" s="54"/>
      <c r="O26" s="68"/>
      <c r="P26" s="54"/>
      <c r="Q26" s="54"/>
      <c r="V26" s="625" t="s">
        <v>62</v>
      </c>
      <c r="W26" s="625"/>
      <c r="X26" s="626">
        <f>SUM(X10:X25)</f>
        <v>0</v>
      </c>
      <c r="Y26" s="626"/>
      <c r="Z26" s="627"/>
      <c r="AA26" s="628"/>
      <c r="AB26" s="69">
        <f>SUM(AB10:AB25)</f>
        <v>0</v>
      </c>
      <c r="AC26" s="70">
        <f>SUM(AC10:AC25)</f>
        <v>0</v>
      </c>
      <c r="AD26" s="9"/>
    </row>
    <row r="27" spans="1:30" ht="51.75" customHeight="1" x14ac:dyDescent="0.25">
      <c r="B27" s="62" t="s">
        <v>63</v>
      </c>
      <c r="C27" s="62"/>
      <c r="D27" s="71" t="s">
        <v>13</v>
      </c>
      <c r="E27" s="71" t="s">
        <v>14</v>
      </c>
      <c r="F27" s="27"/>
      <c r="G27" s="72" t="s">
        <v>64</v>
      </c>
      <c r="H27" s="73"/>
      <c r="I27" s="74" t="s">
        <v>65</v>
      </c>
      <c r="J27" s="74" t="s">
        <v>66</v>
      </c>
      <c r="K27" s="75" t="s">
        <v>67</v>
      </c>
      <c r="N27" s="54"/>
      <c r="O27" s="68"/>
      <c r="P27" s="54"/>
      <c r="Q27" s="54"/>
      <c r="V27" s="629" t="s">
        <v>63</v>
      </c>
      <c r="W27" s="629"/>
      <c r="X27" s="630" t="s">
        <v>64</v>
      </c>
      <c r="Y27" s="630"/>
      <c r="Z27" s="76" t="s">
        <v>65</v>
      </c>
      <c r="AA27" s="77" t="s">
        <v>66</v>
      </c>
      <c r="AB27" s="78" t="s">
        <v>67</v>
      </c>
      <c r="AC27" s="9"/>
      <c r="AD27" s="9"/>
    </row>
    <row r="28" spans="1:30" ht="15.75" customHeight="1" x14ac:dyDescent="0.25">
      <c r="A28" s="1" t="s">
        <v>68</v>
      </c>
      <c r="B28" s="631" t="s">
        <v>69</v>
      </c>
      <c r="C28" s="632"/>
      <c r="D28" s="13">
        <v>4.51</v>
      </c>
      <c r="E28" s="13">
        <v>6.59</v>
      </c>
      <c r="F28" s="79">
        <v>3.5</v>
      </c>
      <c r="G28" s="46">
        <f t="shared" ref="G28:G36" si="6">D28+E28</f>
        <v>11.1</v>
      </c>
      <c r="H28" s="80"/>
      <c r="I28" s="81" t="s">
        <v>70</v>
      </c>
      <c r="J28" s="82">
        <v>251</v>
      </c>
      <c r="K28" s="83">
        <v>1047</v>
      </c>
      <c r="L28" s="84">
        <f>ROUND(G28*K28,0)</f>
        <v>11622</v>
      </c>
      <c r="N28" s="85">
        <v>5101</v>
      </c>
      <c r="O28" s="54">
        <v>251</v>
      </c>
      <c r="P28" s="86"/>
      <c r="Q28" s="87"/>
      <c r="V28" s="637" t="s">
        <v>69</v>
      </c>
      <c r="W28" s="637"/>
      <c r="X28" s="638"/>
      <c r="Y28" s="638"/>
      <c r="Z28" s="88" t="s">
        <v>70</v>
      </c>
      <c r="AA28" s="89">
        <v>251</v>
      </c>
      <c r="AB28" s="90">
        <f>+K28</f>
        <v>1047</v>
      </c>
      <c r="AC28" s="91">
        <f t="shared" ref="AC28:AC36" si="7">ROUND(X28*AB28,0)</f>
        <v>0</v>
      </c>
      <c r="AD28" s="9"/>
    </row>
    <row r="29" spans="1:30" x14ac:dyDescent="0.25">
      <c r="A29" s="1" t="s">
        <v>71</v>
      </c>
      <c r="B29" s="633"/>
      <c r="C29" s="634"/>
      <c r="D29" s="13">
        <v>0</v>
      </c>
      <c r="E29" s="13">
        <v>0</v>
      </c>
      <c r="F29" s="92">
        <v>0</v>
      </c>
      <c r="G29" s="46">
        <f t="shared" si="6"/>
        <v>0</v>
      </c>
      <c r="H29" s="80"/>
      <c r="I29" s="82" t="s">
        <v>70</v>
      </c>
      <c r="J29" s="82">
        <v>252</v>
      </c>
      <c r="K29" s="83">
        <v>3380</v>
      </c>
      <c r="L29" s="84">
        <f t="shared" ref="L29:L36" si="8">ROUND(G29*K29,0)</f>
        <v>0</v>
      </c>
      <c r="N29" s="85">
        <v>5101</v>
      </c>
      <c r="O29" s="54">
        <v>252</v>
      </c>
      <c r="P29" s="86"/>
      <c r="Q29" s="87"/>
      <c r="V29" s="637"/>
      <c r="W29" s="637"/>
      <c r="X29" s="638"/>
      <c r="Y29" s="638"/>
      <c r="Z29" s="89" t="s">
        <v>70</v>
      </c>
      <c r="AA29" s="89">
        <v>252</v>
      </c>
      <c r="AB29" s="90">
        <f t="shared" ref="AB29:AB36" si="9">+K29</f>
        <v>3380</v>
      </c>
      <c r="AC29" s="91">
        <f t="shared" si="7"/>
        <v>0</v>
      </c>
      <c r="AD29" s="9"/>
    </row>
    <row r="30" spans="1:30" x14ac:dyDescent="0.25">
      <c r="A30" s="1" t="s">
        <v>72</v>
      </c>
      <c r="B30" s="633"/>
      <c r="C30" s="634"/>
      <c r="D30" s="13">
        <v>0</v>
      </c>
      <c r="E30" s="13">
        <v>0</v>
      </c>
      <c r="F30" s="92">
        <v>0</v>
      </c>
      <c r="G30" s="46">
        <f t="shared" si="6"/>
        <v>0</v>
      </c>
      <c r="H30" s="80"/>
      <c r="I30" s="82" t="s">
        <v>70</v>
      </c>
      <c r="J30" s="82">
        <v>253</v>
      </c>
      <c r="K30" s="83">
        <v>6896</v>
      </c>
      <c r="L30" s="84">
        <f t="shared" si="8"/>
        <v>0</v>
      </c>
      <c r="N30" s="85">
        <v>5101</v>
      </c>
      <c r="O30" s="54">
        <v>253</v>
      </c>
      <c r="P30" s="86"/>
      <c r="Q30" s="68"/>
      <c r="V30" s="637"/>
      <c r="W30" s="637"/>
      <c r="X30" s="638"/>
      <c r="Y30" s="638"/>
      <c r="Z30" s="89" t="s">
        <v>70</v>
      </c>
      <c r="AA30" s="89">
        <v>253</v>
      </c>
      <c r="AB30" s="90">
        <f t="shared" si="9"/>
        <v>6896</v>
      </c>
      <c r="AC30" s="91">
        <f t="shared" si="7"/>
        <v>0</v>
      </c>
      <c r="AD30" s="9"/>
    </row>
    <row r="31" spans="1:30" x14ac:dyDescent="0.25">
      <c r="A31" s="1" t="s">
        <v>73</v>
      </c>
      <c r="B31" s="633"/>
      <c r="C31" s="634"/>
      <c r="D31" s="13">
        <v>3.59</v>
      </c>
      <c r="E31" s="13">
        <v>2.5099999999999998</v>
      </c>
      <c r="F31" s="92">
        <v>3</v>
      </c>
      <c r="G31" s="46">
        <f t="shared" si="6"/>
        <v>6.1</v>
      </c>
      <c r="H31" s="80"/>
      <c r="I31" s="93" t="s">
        <v>74</v>
      </c>
      <c r="J31" s="82">
        <v>251</v>
      </c>
      <c r="K31" s="83">
        <v>1173</v>
      </c>
      <c r="L31" s="84">
        <f t="shared" si="8"/>
        <v>7155</v>
      </c>
      <c r="N31" s="85">
        <v>5102</v>
      </c>
      <c r="O31" s="54">
        <v>251</v>
      </c>
      <c r="P31" s="86"/>
      <c r="Q31" s="68"/>
      <c r="V31" s="637"/>
      <c r="W31" s="637"/>
      <c r="X31" s="638"/>
      <c r="Y31" s="638"/>
      <c r="Z31" s="94" t="s">
        <v>74</v>
      </c>
      <c r="AA31" s="89">
        <v>251</v>
      </c>
      <c r="AB31" s="90">
        <f t="shared" si="9"/>
        <v>1173</v>
      </c>
      <c r="AC31" s="91">
        <f t="shared" si="7"/>
        <v>0</v>
      </c>
      <c r="AD31" s="9"/>
    </row>
    <row r="32" spans="1:30" x14ac:dyDescent="0.25">
      <c r="A32" s="1" t="s">
        <v>75</v>
      </c>
      <c r="B32" s="633"/>
      <c r="C32" s="634"/>
      <c r="D32" s="13">
        <v>0</v>
      </c>
      <c r="E32" s="13">
        <v>0</v>
      </c>
      <c r="F32" s="92">
        <v>0</v>
      </c>
      <c r="G32" s="46">
        <f t="shared" si="6"/>
        <v>0</v>
      </c>
      <c r="H32" s="80"/>
      <c r="I32" s="93" t="s">
        <v>74</v>
      </c>
      <c r="J32" s="82">
        <v>252</v>
      </c>
      <c r="K32" s="83">
        <v>3506</v>
      </c>
      <c r="L32" s="84">
        <f t="shared" si="8"/>
        <v>0</v>
      </c>
      <c r="N32" s="85">
        <v>5102</v>
      </c>
      <c r="O32" s="54">
        <v>252</v>
      </c>
      <c r="P32" s="86"/>
      <c r="Q32" s="54"/>
      <c r="V32" s="637"/>
      <c r="W32" s="637"/>
      <c r="X32" s="638"/>
      <c r="Y32" s="638"/>
      <c r="Z32" s="94" t="s">
        <v>74</v>
      </c>
      <c r="AA32" s="89">
        <v>252</v>
      </c>
      <c r="AB32" s="90">
        <f t="shared" si="9"/>
        <v>3506</v>
      </c>
      <c r="AC32" s="91">
        <f t="shared" si="7"/>
        <v>0</v>
      </c>
      <c r="AD32" s="9"/>
    </row>
    <row r="33" spans="1:30" x14ac:dyDescent="0.25">
      <c r="A33" s="1" t="s">
        <v>76</v>
      </c>
      <c r="B33" s="633"/>
      <c r="C33" s="634"/>
      <c r="D33" s="13">
        <v>0</v>
      </c>
      <c r="E33" s="13">
        <v>0</v>
      </c>
      <c r="F33" s="92">
        <v>0</v>
      </c>
      <c r="G33" s="46">
        <f t="shared" si="6"/>
        <v>0</v>
      </c>
      <c r="H33" s="80"/>
      <c r="I33" s="93" t="s">
        <v>74</v>
      </c>
      <c r="J33" s="82">
        <v>253</v>
      </c>
      <c r="K33" s="83">
        <v>7023</v>
      </c>
      <c r="L33" s="84">
        <f t="shared" si="8"/>
        <v>0</v>
      </c>
      <c r="N33" s="85">
        <v>5102</v>
      </c>
      <c r="O33" s="54">
        <v>253</v>
      </c>
      <c r="P33" s="86"/>
      <c r="Q33" s="87"/>
      <c r="V33" s="637"/>
      <c r="W33" s="637"/>
      <c r="X33" s="638"/>
      <c r="Y33" s="638"/>
      <c r="Z33" s="94" t="s">
        <v>74</v>
      </c>
      <c r="AA33" s="89">
        <v>253</v>
      </c>
      <c r="AB33" s="90">
        <f t="shared" si="9"/>
        <v>7023</v>
      </c>
      <c r="AC33" s="91">
        <f t="shared" si="7"/>
        <v>0</v>
      </c>
      <c r="AD33" s="9"/>
    </row>
    <row r="34" spans="1:30" x14ac:dyDescent="0.25">
      <c r="A34" s="1" t="s">
        <v>77</v>
      </c>
      <c r="B34" s="633"/>
      <c r="C34" s="634"/>
      <c r="D34" s="13">
        <v>0</v>
      </c>
      <c r="E34" s="13">
        <v>0</v>
      </c>
      <c r="F34" s="92">
        <v>0</v>
      </c>
      <c r="G34" s="46">
        <f t="shared" si="6"/>
        <v>0</v>
      </c>
      <c r="H34" s="80"/>
      <c r="I34" s="93" t="s">
        <v>78</v>
      </c>
      <c r="J34" s="82">
        <v>251</v>
      </c>
      <c r="K34" s="83">
        <v>835</v>
      </c>
      <c r="L34" s="84">
        <f t="shared" si="8"/>
        <v>0</v>
      </c>
      <c r="N34" s="85">
        <v>5103</v>
      </c>
      <c r="O34" s="54">
        <v>251</v>
      </c>
      <c r="P34" s="86"/>
      <c r="Q34" s="87"/>
      <c r="V34" s="637"/>
      <c r="W34" s="637"/>
      <c r="X34" s="638"/>
      <c r="Y34" s="638"/>
      <c r="Z34" s="94" t="s">
        <v>78</v>
      </c>
      <c r="AA34" s="89">
        <v>251</v>
      </c>
      <c r="AB34" s="90">
        <f t="shared" si="9"/>
        <v>835</v>
      </c>
      <c r="AC34" s="91">
        <f t="shared" si="7"/>
        <v>0</v>
      </c>
      <c r="AD34" s="9"/>
    </row>
    <row r="35" spans="1:30" x14ac:dyDescent="0.25">
      <c r="A35" s="1" t="s">
        <v>79</v>
      </c>
      <c r="B35" s="633"/>
      <c r="C35" s="634"/>
      <c r="D35" s="13">
        <v>0</v>
      </c>
      <c r="E35" s="13">
        <v>0</v>
      </c>
      <c r="F35" s="92">
        <v>0</v>
      </c>
      <c r="G35" s="46">
        <f t="shared" si="6"/>
        <v>0</v>
      </c>
      <c r="H35" s="80"/>
      <c r="I35" s="93" t="s">
        <v>78</v>
      </c>
      <c r="J35" s="82">
        <v>252</v>
      </c>
      <c r="K35" s="83">
        <v>3168</v>
      </c>
      <c r="L35" s="84">
        <f t="shared" si="8"/>
        <v>0</v>
      </c>
      <c r="N35" s="85">
        <v>5103</v>
      </c>
      <c r="O35" s="54">
        <v>252</v>
      </c>
      <c r="P35" s="86"/>
      <c r="Q35" s="95"/>
      <c r="V35" s="637"/>
      <c r="W35" s="637"/>
      <c r="X35" s="638"/>
      <c r="Y35" s="638"/>
      <c r="Z35" s="94" t="s">
        <v>78</v>
      </c>
      <c r="AA35" s="89">
        <v>252</v>
      </c>
      <c r="AB35" s="90">
        <f t="shared" si="9"/>
        <v>3168</v>
      </c>
      <c r="AC35" s="91">
        <f t="shared" si="7"/>
        <v>0</v>
      </c>
      <c r="AD35" s="9"/>
    </row>
    <row r="36" spans="1:30" ht="16.5" thickBot="1" x14ac:dyDescent="0.3">
      <c r="A36" s="1" t="s">
        <v>80</v>
      </c>
      <c r="B36" s="635"/>
      <c r="C36" s="636"/>
      <c r="D36" s="13">
        <v>0</v>
      </c>
      <c r="E36" s="13">
        <v>0</v>
      </c>
      <c r="F36" s="92">
        <v>0</v>
      </c>
      <c r="G36" s="46">
        <f t="shared" si="6"/>
        <v>0</v>
      </c>
      <c r="H36" s="80"/>
      <c r="I36" s="93" t="s">
        <v>78</v>
      </c>
      <c r="J36" s="82">
        <v>253</v>
      </c>
      <c r="K36" s="83">
        <v>6685</v>
      </c>
      <c r="L36" s="96">
        <f t="shared" si="8"/>
        <v>0</v>
      </c>
      <c r="N36" s="85">
        <v>5103</v>
      </c>
      <c r="O36" s="54">
        <v>253</v>
      </c>
      <c r="P36" s="86"/>
      <c r="Q36" s="97"/>
      <c r="V36" s="637"/>
      <c r="W36" s="637"/>
      <c r="X36" s="645"/>
      <c r="Y36" s="645"/>
      <c r="Z36" s="94" t="s">
        <v>78</v>
      </c>
      <c r="AA36" s="89">
        <v>253</v>
      </c>
      <c r="AB36" s="90">
        <f t="shared" si="9"/>
        <v>6685</v>
      </c>
      <c r="AC36" s="98">
        <f t="shared" si="7"/>
        <v>0</v>
      </c>
      <c r="AD36" s="9"/>
    </row>
    <row r="37" spans="1:30" ht="18.75" customHeight="1" x14ac:dyDescent="0.25">
      <c r="B37" s="13" t="s">
        <v>81</v>
      </c>
      <c r="C37" s="13"/>
      <c r="D37" s="63">
        <f t="shared" ref="D37:E37" si="10">SUM(D28:D36)</f>
        <v>8.1</v>
      </c>
      <c r="E37" s="63">
        <f t="shared" si="10"/>
        <v>9.1</v>
      </c>
      <c r="F37" s="63"/>
      <c r="G37" s="63">
        <f>SUM(G28:G36)</f>
        <v>17.2</v>
      </c>
      <c r="H37" s="64"/>
      <c r="I37" s="13" t="s">
        <v>82</v>
      </c>
      <c r="J37" s="13"/>
      <c r="K37" s="13"/>
      <c r="L37" s="50">
        <f>SUM(L28:L36)</f>
        <v>18777</v>
      </c>
      <c r="N37" s="54"/>
      <c r="O37" s="68"/>
      <c r="P37" s="54"/>
      <c r="Q37" s="54"/>
      <c r="V37" s="646" t="s">
        <v>81</v>
      </c>
      <c r="W37" s="646"/>
      <c r="X37" s="626">
        <f>SUM(X28:X36)</f>
        <v>0</v>
      </c>
      <c r="Y37" s="626"/>
      <c r="Z37" s="646" t="s">
        <v>82</v>
      </c>
      <c r="AA37" s="646"/>
      <c r="AB37" s="646"/>
      <c r="AC37" s="56">
        <f>SUM(AC28:AC36)</f>
        <v>0</v>
      </c>
      <c r="AD37" s="9"/>
    </row>
    <row r="38" spans="1:30" ht="30.75" customHeight="1" x14ac:dyDescent="0.25">
      <c r="B38" s="99" t="s">
        <v>83</v>
      </c>
      <c r="C38" s="99"/>
      <c r="D38" s="99"/>
      <c r="E38" s="99"/>
      <c r="F38" s="99"/>
      <c r="G38" s="99"/>
      <c r="H38" s="100"/>
      <c r="I38" s="99"/>
      <c r="J38" s="99"/>
      <c r="K38" s="99"/>
      <c r="L38" s="99"/>
      <c r="M38" s="101"/>
      <c r="N38" s="54"/>
      <c r="O38" s="68"/>
      <c r="P38" s="54"/>
      <c r="Q38" s="54"/>
      <c r="V38" s="639" t="s">
        <v>83</v>
      </c>
      <c r="W38" s="639"/>
      <c r="X38" s="639"/>
      <c r="Y38" s="639"/>
      <c r="Z38" s="639"/>
      <c r="AA38" s="639"/>
      <c r="AB38" s="639"/>
      <c r="AC38" s="639"/>
      <c r="AD38" s="102"/>
    </row>
    <row r="39" spans="1:30" ht="15.75" customHeight="1" x14ac:dyDescent="0.25">
      <c r="B39" s="103" t="s">
        <v>84</v>
      </c>
      <c r="C39" s="103"/>
      <c r="D39" s="103"/>
      <c r="E39" s="103"/>
      <c r="F39" s="103"/>
      <c r="G39" s="104">
        <v>34389540</v>
      </c>
      <c r="H39" s="104"/>
      <c r="I39" s="13" t="s">
        <v>85</v>
      </c>
      <c r="J39" s="13"/>
      <c r="K39" s="13"/>
      <c r="L39" s="13"/>
      <c r="O39" s="1"/>
      <c r="V39" s="640" t="s">
        <v>84</v>
      </c>
      <c r="W39" s="640"/>
      <c r="X39" s="641">
        <f>+G39</f>
        <v>34389540</v>
      </c>
      <c r="Y39" s="641"/>
      <c r="Z39" s="642" t="s">
        <v>85</v>
      </c>
      <c r="AA39" s="642"/>
      <c r="AB39" s="642"/>
      <c r="AC39" s="642"/>
      <c r="AD39" s="9"/>
    </row>
    <row r="40" spans="1:30" ht="15.75" customHeight="1" x14ac:dyDescent="0.25">
      <c r="B40" s="105" t="s">
        <v>86</v>
      </c>
      <c r="C40" s="105"/>
      <c r="D40" s="105"/>
      <c r="E40" s="105"/>
      <c r="F40" s="105"/>
      <c r="G40" s="106">
        <v>180284.81</v>
      </c>
      <c r="H40" s="106"/>
      <c r="I40" s="106"/>
      <c r="J40" s="106"/>
      <c r="K40" s="50">
        <f>ROUND(G39/G40,0)</f>
        <v>191</v>
      </c>
      <c r="L40" s="50">
        <f>ROUND(K40*$G$26,0)</f>
        <v>43957</v>
      </c>
      <c r="N40" s="107"/>
      <c r="O40" s="107"/>
      <c r="P40" s="107"/>
      <c r="Q40" s="107"/>
      <c r="V40" s="643" t="s">
        <v>86</v>
      </c>
      <c r="W40" s="643"/>
      <c r="X40" s="644">
        <f>+G40</f>
        <v>180284.81</v>
      </c>
      <c r="Y40" s="644"/>
      <c r="Z40" s="644"/>
      <c r="AA40" s="644"/>
      <c r="AB40" s="56">
        <f>ROUND(X39/X40,0)</f>
        <v>191</v>
      </c>
      <c r="AC40" s="56">
        <f>ROUND(AB40*$X$26,0)</f>
        <v>0</v>
      </c>
      <c r="AD40" s="9"/>
    </row>
    <row r="41" spans="1:30" ht="15.75" customHeight="1" x14ac:dyDescent="0.25">
      <c r="B41" s="108" t="s">
        <v>87</v>
      </c>
      <c r="C41" s="108"/>
      <c r="D41" s="108"/>
      <c r="E41" s="108"/>
      <c r="F41" s="108"/>
      <c r="G41" s="108"/>
      <c r="H41" s="108"/>
      <c r="I41" s="108"/>
      <c r="J41" s="108"/>
      <c r="K41" s="108"/>
      <c r="L41" s="108"/>
      <c r="N41" s="101"/>
      <c r="O41" s="109"/>
      <c r="P41" s="101"/>
      <c r="Q41" s="101"/>
      <c r="V41" s="652" t="s">
        <v>87</v>
      </c>
      <c r="W41" s="652"/>
      <c r="X41" s="652"/>
      <c r="Y41" s="652"/>
      <c r="Z41" s="652"/>
      <c r="AA41" s="652"/>
      <c r="AB41" s="652"/>
      <c r="AC41" s="652"/>
      <c r="AD41" s="9"/>
    </row>
    <row r="42" spans="1:30" ht="28.5" customHeight="1" x14ac:dyDescent="0.25">
      <c r="B42" s="99" t="s">
        <v>88</v>
      </c>
      <c r="C42" s="99"/>
      <c r="D42" s="99"/>
      <c r="E42" s="99"/>
      <c r="F42" s="99"/>
      <c r="G42" s="99"/>
      <c r="H42" s="99"/>
      <c r="I42" s="99"/>
      <c r="J42" s="99"/>
      <c r="K42" s="99"/>
      <c r="L42" s="99"/>
      <c r="M42" s="107"/>
      <c r="O42" s="1"/>
      <c r="V42" s="639" t="s">
        <v>88</v>
      </c>
      <c r="W42" s="639"/>
      <c r="X42" s="639"/>
      <c r="Y42" s="639"/>
      <c r="Z42" s="639"/>
      <c r="AA42" s="639"/>
      <c r="AB42" s="639"/>
      <c r="AC42" s="639"/>
      <c r="AD42" s="110"/>
    </row>
    <row r="43" spans="1:30" x14ac:dyDescent="0.25">
      <c r="B43" s="111" t="s">
        <v>89</v>
      </c>
      <c r="C43" s="111"/>
      <c r="D43" s="111"/>
      <c r="E43" s="111"/>
      <c r="F43" s="111"/>
      <c r="G43" s="111"/>
      <c r="H43" s="111"/>
      <c r="I43" s="111"/>
      <c r="J43" s="111"/>
      <c r="K43" s="111"/>
      <c r="L43" s="111"/>
      <c r="M43" s="112"/>
      <c r="N43" s="101"/>
      <c r="O43" s="101"/>
      <c r="P43" s="101"/>
      <c r="Q43" s="101"/>
      <c r="V43" s="653" t="s">
        <v>89</v>
      </c>
      <c r="W43" s="653"/>
      <c r="X43" s="653"/>
      <c r="Y43" s="653"/>
      <c r="Z43" s="653"/>
      <c r="AA43" s="653"/>
      <c r="AB43" s="653"/>
      <c r="AC43" s="653"/>
      <c r="AD43" s="113"/>
    </row>
    <row r="44" spans="1:30" ht="24" customHeight="1" x14ac:dyDescent="0.25">
      <c r="B44" s="62" t="s">
        <v>90</v>
      </c>
      <c r="C44" s="62"/>
      <c r="D44" s="62"/>
      <c r="E44" s="62"/>
      <c r="F44" s="62"/>
      <c r="G44" s="62"/>
      <c r="H44" s="62"/>
      <c r="I44" s="62"/>
      <c r="J44" s="62"/>
      <c r="K44" s="62"/>
      <c r="L44" s="114">
        <f>SUM(L26,L37,L40)</f>
        <v>1004910</v>
      </c>
      <c r="O44" s="1"/>
      <c r="V44" s="654" t="s">
        <v>90</v>
      </c>
      <c r="W44" s="654"/>
      <c r="X44" s="654"/>
      <c r="Y44" s="654"/>
      <c r="Z44" s="654"/>
      <c r="AA44" s="654"/>
      <c r="AB44" s="654"/>
      <c r="AC44" s="115">
        <f>SUM(AC26,AC37,AC40)</f>
        <v>0</v>
      </c>
      <c r="AD44" s="9"/>
    </row>
    <row r="45" spans="1:30" ht="30.75" customHeight="1" x14ac:dyDescent="0.25">
      <c r="B45" s="99" t="s">
        <v>91</v>
      </c>
      <c r="C45" s="99"/>
      <c r="D45" s="99"/>
      <c r="E45" s="99"/>
      <c r="F45" s="99"/>
      <c r="G45" s="99"/>
      <c r="H45" s="99"/>
      <c r="I45" s="99"/>
      <c r="J45" s="99"/>
      <c r="K45" s="99"/>
      <c r="L45" s="99"/>
      <c r="M45" s="116"/>
      <c r="O45" s="1"/>
      <c r="V45" s="639" t="s">
        <v>91</v>
      </c>
      <c r="W45" s="639"/>
      <c r="X45" s="639"/>
      <c r="Y45" s="639"/>
      <c r="Z45" s="639"/>
      <c r="AA45" s="639"/>
      <c r="AB45" s="639"/>
      <c r="AC45" s="639"/>
      <c r="AD45" s="117"/>
    </row>
    <row r="46" spans="1:30" ht="18.75" customHeight="1" x14ac:dyDescent="0.25">
      <c r="B46" s="1"/>
      <c r="C46" s="118" t="s">
        <v>92</v>
      </c>
      <c r="D46" s="118"/>
      <c r="E46" s="118"/>
      <c r="F46" s="118"/>
      <c r="G46" s="118" t="s">
        <v>93</v>
      </c>
      <c r="H46" s="119"/>
      <c r="I46" s="120" t="s">
        <v>94</v>
      </c>
      <c r="J46" s="121"/>
      <c r="K46" s="121"/>
      <c r="L46" s="121"/>
      <c r="M46" s="122"/>
      <c r="O46" s="1"/>
      <c r="V46" s="9"/>
      <c r="W46" s="123" t="s">
        <v>92</v>
      </c>
      <c r="X46" s="655" t="s">
        <v>95</v>
      </c>
      <c r="Y46" s="655"/>
      <c r="Z46" s="656" t="s">
        <v>94</v>
      </c>
      <c r="AA46" s="656"/>
      <c r="AB46" s="656"/>
      <c r="AC46" s="656"/>
      <c r="AD46" s="124"/>
    </row>
    <row r="47" spans="1:30" ht="18.75" customHeight="1" x14ac:dyDescent="0.25">
      <c r="B47" s="107" t="s">
        <v>96</v>
      </c>
      <c r="C47" s="125">
        <f>K10+K11+K16+K19+K22</f>
        <v>116.60589999999999</v>
      </c>
      <c r="D47" s="125"/>
      <c r="E47" s="125"/>
      <c r="F47" s="125"/>
      <c r="G47" s="126">
        <f>K7</f>
        <v>1.0326</v>
      </c>
      <c r="H47" s="126"/>
      <c r="I47" s="127">
        <v>1316.85</v>
      </c>
      <c r="J47" s="128" t="s">
        <v>97</v>
      </c>
      <c r="K47" s="129">
        <f>ROUND(C47*G47*I47,0)</f>
        <v>158558</v>
      </c>
      <c r="L47" s="130"/>
      <c r="O47" s="1"/>
      <c r="V47" s="110" t="s">
        <v>96</v>
      </c>
      <c r="W47" s="131">
        <f>AB10+AB11+AB16+AB19+AB22</f>
        <v>0</v>
      </c>
      <c r="X47" s="647">
        <f>AB7</f>
        <v>1.0326</v>
      </c>
      <c r="Y47" s="647"/>
      <c r="Z47" s="132">
        <f>+I47</f>
        <v>1316.85</v>
      </c>
      <c r="AA47" s="133" t="s">
        <v>97</v>
      </c>
      <c r="AB47" s="134">
        <f>ROUND(W47*X47*Z47,0)</f>
        <v>0</v>
      </c>
      <c r="AC47" s="135"/>
      <c r="AD47" s="9"/>
    </row>
    <row r="48" spans="1:30" ht="18" customHeight="1" x14ac:dyDescent="0.25">
      <c r="B48" s="136" t="s">
        <v>74</v>
      </c>
      <c r="C48" s="125">
        <f>K12+K13+K17+K20+K23</f>
        <v>126.55999999999999</v>
      </c>
      <c r="D48" s="125"/>
      <c r="E48" s="125"/>
      <c r="F48" s="125"/>
      <c r="G48" s="126">
        <f>K7</f>
        <v>1.0326</v>
      </c>
      <c r="H48" s="126"/>
      <c r="I48" s="127">
        <v>898.23</v>
      </c>
      <c r="J48" s="128" t="s">
        <v>97</v>
      </c>
      <c r="K48" s="129">
        <f>ROUND(C48*G48*I48,0)</f>
        <v>117386</v>
      </c>
      <c r="L48" s="62"/>
      <c r="O48" s="1"/>
      <c r="V48" s="137" t="s">
        <v>74</v>
      </c>
      <c r="W48" s="131">
        <f>AB12+AB13+AB17+AB20+AB23</f>
        <v>0</v>
      </c>
      <c r="X48" s="647">
        <f>AB7</f>
        <v>1.0326</v>
      </c>
      <c r="Y48" s="647"/>
      <c r="Z48" s="132">
        <f>+I48</f>
        <v>898.23</v>
      </c>
      <c r="AA48" s="133" t="s">
        <v>97</v>
      </c>
      <c r="AB48" s="134">
        <f>ROUND(W48*X48*Z48,0)</f>
        <v>0</v>
      </c>
      <c r="AC48" s="138"/>
      <c r="AD48" s="9"/>
    </row>
    <row r="49" spans="2:30" ht="19.5" customHeight="1" thickBot="1" x14ac:dyDescent="0.3">
      <c r="B49" s="139" t="s">
        <v>78</v>
      </c>
      <c r="C49" s="140">
        <f>K14+K15+K18+K21+K24+K25</f>
        <v>0</v>
      </c>
      <c r="D49" s="125"/>
      <c r="E49" s="125"/>
      <c r="F49" s="125"/>
      <c r="G49" s="126">
        <f>K7</f>
        <v>1.0326</v>
      </c>
      <c r="H49" s="126"/>
      <c r="I49" s="127">
        <v>900.39</v>
      </c>
      <c r="J49" s="128" t="s">
        <v>97</v>
      </c>
      <c r="K49" s="129">
        <f>ROUND(C49*G49*I49,0)</f>
        <v>0</v>
      </c>
      <c r="L49" s="62"/>
      <c r="M49" s="112"/>
      <c r="N49" s="141"/>
      <c r="O49" s="142"/>
      <c r="P49" s="101"/>
      <c r="Q49" s="143"/>
      <c r="V49" s="144" t="s">
        <v>78</v>
      </c>
      <c r="W49" s="145">
        <f>AB14+AB15+AB18+AB21+AB24+AB25</f>
        <v>0</v>
      </c>
      <c r="X49" s="647">
        <f>AB7</f>
        <v>1.0326</v>
      </c>
      <c r="Y49" s="647"/>
      <c r="Z49" s="132">
        <f>+I49</f>
        <v>900.39</v>
      </c>
      <c r="AA49" s="133" t="s">
        <v>97</v>
      </c>
      <c r="AB49" s="134">
        <f>ROUND(W49*X49*Z49,0)</f>
        <v>0</v>
      </c>
      <c r="AC49" s="138"/>
      <c r="AD49" s="113"/>
    </row>
    <row r="50" spans="2:30" ht="24" customHeight="1" thickBot="1" x14ac:dyDescent="0.3">
      <c r="B50" s="146" t="s">
        <v>98</v>
      </c>
      <c r="C50" s="147">
        <f>SUM(C47:C49)</f>
        <v>243.16589999999997</v>
      </c>
      <c r="D50" s="148"/>
      <c r="E50" s="149"/>
      <c r="F50" s="149"/>
      <c r="G50" s="150" t="s">
        <v>99</v>
      </c>
      <c r="H50" s="150"/>
      <c r="I50" s="150"/>
      <c r="J50" s="150"/>
      <c r="K50" s="150"/>
      <c r="L50" s="50">
        <f>IF(B2=75,0,K49+K48+K47)</f>
        <v>275944</v>
      </c>
      <c r="N50" s="3"/>
      <c r="O50" s="1"/>
      <c r="V50" s="151" t="s">
        <v>98</v>
      </c>
      <c r="W50" s="152">
        <f>SUM(W47:W49)</f>
        <v>0</v>
      </c>
      <c r="X50" s="648" t="s">
        <v>99</v>
      </c>
      <c r="Y50" s="649"/>
      <c r="Z50" s="649"/>
      <c r="AA50" s="649"/>
      <c r="AB50" s="649"/>
      <c r="AC50" s="56">
        <f>IF(V2=75,0,AB49+AB48+AB47)</f>
        <v>0</v>
      </c>
      <c r="AD50" s="9"/>
    </row>
    <row r="51" spans="2:30" ht="19.5" customHeight="1" x14ac:dyDescent="0.25">
      <c r="B51" s="153" t="s">
        <v>100</v>
      </c>
      <c r="C51" s="153"/>
      <c r="D51" s="153"/>
      <c r="E51" s="153"/>
      <c r="F51" s="153"/>
      <c r="G51" s="153"/>
      <c r="H51" s="153"/>
      <c r="I51" s="153"/>
      <c r="J51" s="153"/>
      <c r="K51" s="153"/>
      <c r="L51" s="153"/>
      <c r="M51" s="141"/>
      <c r="N51" s="101"/>
      <c r="O51" s="1"/>
      <c r="V51" s="650" t="s">
        <v>100</v>
      </c>
      <c r="W51" s="650"/>
      <c r="X51" s="650"/>
      <c r="Y51" s="650"/>
      <c r="Z51" s="650"/>
      <c r="AA51" s="650"/>
      <c r="AB51" s="650"/>
      <c r="AC51" s="650"/>
      <c r="AD51" s="154"/>
    </row>
    <row r="52" spans="2:30" ht="27.75" customHeight="1" x14ac:dyDescent="0.25">
      <c r="B52" s="13" t="s">
        <v>101</v>
      </c>
      <c r="C52" s="13"/>
      <c r="D52" s="13"/>
      <c r="E52" s="13"/>
      <c r="F52" s="13"/>
      <c r="G52" s="13"/>
      <c r="H52" s="13"/>
      <c r="I52" s="13"/>
      <c r="J52" s="13"/>
      <c r="K52" s="13"/>
      <c r="L52" s="13"/>
      <c r="O52" s="1"/>
      <c r="V52" s="651" t="s">
        <v>101</v>
      </c>
      <c r="W52" s="651"/>
      <c r="X52" s="651"/>
      <c r="Y52" s="651"/>
      <c r="Z52" s="651"/>
      <c r="AA52" s="651"/>
      <c r="AB52" s="651"/>
      <c r="AC52" s="651"/>
      <c r="AD52" s="9"/>
    </row>
    <row r="53" spans="2:30" x14ac:dyDescent="0.25">
      <c r="B53" s="13" t="s">
        <v>102</v>
      </c>
      <c r="C53" s="13"/>
      <c r="D53" s="13"/>
      <c r="E53" s="13"/>
      <c r="F53" s="13"/>
      <c r="G53" s="155">
        <f>K26</f>
        <v>243.16589999999999</v>
      </c>
      <c r="H53" s="57" t="s">
        <v>103</v>
      </c>
      <c r="I53" s="57"/>
      <c r="J53" s="156">
        <v>197823.77</v>
      </c>
      <c r="K53" s="156"/>
      <c r="L53" s="156"/>
      <c r="N53" s="3"/>
      <c r="O53" s="1"/>
      <c r="V53" s="657" t="s">
        <v>102</v>
      </c>
      <c r="W53" s="657"/>
      <c r="X53" s="157">
        <f>AB26</f>
        <v>0</v>
      </c>
      <c r="Y53" s="658" t="s">
        <v>103</v>
      </c>
      <c r="Z53" s="658"/>
      <c r="AA53" s="659">
        <f>+J53</f>
        <v>197823.77</v>
      </c>
      <c r="AB53" s="659"/>
      <c r="AC53" s="659"/>
      <c r="AD53" s="9"/>
    </row>
    <row r="54" spans="2:30" x14ac:dyDescent="0.25">
      <c r="B54" s="13" t="s">
        <v>104</v>
      </c>
      <c r="C54" s="13"/>
      <c r="D54" s="13"/>
      <c r="E54" s="13"/>
      <c r="F54" s="13"/>
      <c r="G54" s="13"/>
      <c r="H54" s="13"/>
      <c r="I54" s="13"/>
      <c r="J54" s="13"/>
      <c r="K54" s="158">
        <f>ROUND(G53/J53,6)</f>
        <v>1.2290000000000001E-3</v>
      </c>
      <c r="L54" s="158"/>
      <c r="N54" s="101"/>
      <c r="O54" s="1"/>
      <c r="V54" s="657" t="s">
        <v>104</v>
      </c>
      <c r="W54" s="657"/>
      <c r="X54" s="657"/>
      <c r="Y54" s="657"/>
      <c r="Z54" s="657"/>
      <c r="AA54" s="657"/>
      <c r="AB54" s="660">
        <f>ROUND(X53/AA53,6)</f>
        <v>0</v>
      </c>
      <c r="AC54" s="660"/>
      <c r="AD54" s="9"/>
    </row>
    <row r="55" spans="2:30" ht="24" customHeight="1" x14ac:dyDescent="0.25">
      <c r="B55" s="13" t="s">
        <v>105</v>
      </c>
      <c r="C55" s="13"/>
      <c r="D55" s="13"/>
      <c r="E55" s="13"/>
      <c r="F55" s="13"/>
      <c r="G55" s="13"/>
      <c r="H55" s="13"/>
      <c r="I55" s="13"/>
      <c r="J55" s="13"/>
      <c r="K55" s="13"/>
      <c r="L55" s="13"/>
      <c r="O55" s="1"/>
      <c r="V55" s="651" t="s">
        <v>105</v>
      </c>
      <c r="W55" s="651"/>
      <c r="X55" s="651"/>
      <c r="Y55" s="651"/>
      <c r="Z55" s="651"/>
      <c r="AA55" s="651"/>
      <c r="AB55" s="651"/>
      <c r="AC55" s="651"/>
      <c r="AD55" s="9"/>
    </row>
    <row r="56" spans="2:30" x14ac:dyDescent="0.25">
      <c r="B56" s="13" t="s">
        <v>106</v>
      </c>
      <c r="C56" s="13"/>
      <c r="D56" s="13"/>
      <c r="E56" s="13"/>
      <c r="F56" s="13"/>
      <c r="G56" s="159">
        <f>G26</f>
        <v>230.14</v>
      </c>
      <c r="H56" s="57" t="s">
        <v>107</v>
      </c>
      <c r="I56" s="57"/>
      <c r="J56" s="156">
        <f>+G40</f>
        <v>180284.81</v>
      </c>
      <c r="K56" s="156"/>
      <c r="L56" s="156"/>
      <c r="O56" s="1"/>
      <c r="V56" s="657" t="s">
        <v>106</v>
      </c>
      <c r="W56" s="657"/>
      <c r="X56" s="160">
        <f>X26</f>
        <v>0</v>
      </c>
      <c r="Y56" s="658" t="s">
        <v>107</v>
      </c>
      <c r="Z56" s="658"/>
      <c r="AA56" s="659">
        <f>+J56</f>
        <v>180284.81</v>
      </c>
      <c r="AB56" s="659"/>
      <c r="AC56" s="659"/>
      <c r="AD56" s="9"/>
    </row>
    <row r="57" spans="2:30" x14ac:dyDescent="0.25">
      <c r="B57" s="13" t="s">
        <v>108</v>
      </c>
      <c r="C57" s="13"/>
      <c r="D57" s="13"/>
      <c r="E57" s="13"/>
      <c r="F57" s="13"/>
      <c r="G57" s="13"/>
      <c r="H57" s="13"/>
      <c r="I57" s="13"/>
      <c r="J57" s="13"/>
      <c r="K57" s="158">
        <f>ROUND(G56/J56,6)</f>
        <v>1.2769999999999999E-3</v>
      </c>
      <c r="L57" s="158"/>
      <c r="O57" s="1"/>
      <c r="V57" s="657" t="s">
        <v>108</v>
      </c>
      <c r="W57" s="657"/>
      <c r="X57" s="657"/>
      <c r="Y57" s="657"/>
      <c r="Z57" s="657"/>
      <c r="AA57" s="657"/>
      <c r="AB57" s="660">
        <f>ROUND(X56/AA56,6)</f>
        <v>0</v>
      </c>
      <c r="AC57" s="660"/>
      <c r="AD57" s="9"/>
    </row>
    <row r="58" spans="2:30" ht="20.25" customHeight="1" x14ac:dyDescent="0.25">
      <c r="B58" s="161" t="s">
        <v>109</v>
      </c>
      <c r="C58" s="161"/>
      <c r="D58" s="161"/>
      <c r="E58" s="161"/>
      <c r="F58" s="161"/>
      <c r="G58" s="161"/>
      <c r="H58" s="161"/>
      <c r="I58" s="161"/>
      <c r="J58" s="161"/>
      <c r="K58" s="161"/>
      <c r="L58" s="161"/>
      <c r="N58" s="18"/>
      <c r="O58" s="18"/>
      <c r="V58" s="629" t="s">
        <v>110</v>
      </c>
      <c r="W58" s="629"/>
      <c r="X58" s="629"/>
      <c r="Y58" s="661">
        <f>X65+X64+X62+X61+X60</f>
        <v>4123852</v>
      </c>
      <c r="Z58" s="661"/>
      <c r="AA58" s="162" t="s">
        <v>111</v>
      </c>
      <c r="AB58" s="163">
        <f>AB54</f>
        <v>0</v>
      </c>
      <c r="AC58" s="56">
        <f>ROUND(Y58*AB58,0)</f>
        <v>0</v>
      </c>
      <c r="AD58" s="9"/>
    </row>
    <row r="59" spans="2:30" x14ac:dyDescent="0.25">
      <c r="B59" s="62" t="s">
        <v>110</v>
      </c>
      <c r="C59" s="62"/>
      <c r="D59" s="62"/>
      <c r="E59" s="62"/>
      <c r="F59" s="62"/>
      <c r="G59" s="62"/>
      <c r="H59" s="164" t="s">
        <v>22</v>
      </c>
      <c r="I59" s="129">
        <v>4123852</v>
      </c>
      <c r="J59" s="165" t="s">
        <v>111</v>
      </c>
      <c r="K59" s="166">
        <f>K54</f>
        <v>1.2290000000000001E-3</v>
      </c>
      <c r="L59" s="50">
        <f>ROUND(I59*K59,0)</f>
        <v>5068</v>
      </c>
      <c r="O59" s="1"/>
      <c r="P59" s="165"/>
      <c r="Q59" s="165"/>
      <c r="V59" s="662" t="s">
        <v>112</v>
      </c>
      <c r="W59" s="662"/>
      <c r="X59" s="662"/>
      <c r="Y59" s="662"/>
      <c r="Z59" s="662"/>
      <c r="AA59" s="662"/>
      <c r="AB59" s="662"/>
      <c r="AC59" s="662"/>
      <c r="AD59" s="9"/>
    </row>
    <row r="60" spans="2:30" x14ac:dyDescent="0.25">
      <c r="B60" s="62" t="s">
        <v>112</v>
      </c>
      <c r="C60" s="62"/>
      <c r="D60" s="62"/>
      <c r="E60" s="62"/>
      <c r="F60" s="62"/>
      <c r="G60" s="62"/>
      <c r="H60" s="62"/>
      <c r="I60" s="62"/>
      <c r="J60" s="62"/>
      <c r="K60" s="62"/>
      <c r="L60" s="62"/>
      <c r="O60" s="1"/>
      <c r="P60" s="165"/>
      <c r="Q60" s="165"/>
      <c r="V60" s="663" t="s">
        <v>113</v>
      </c>
      <c r="W60" s="663"/>
      <c r="X60" s="664">
        <f>+G61</f>
        <v>0</v>
      </c>
      <c r="Y60" s="664"/>
      <c r="Z60" s="664"/>
      <c r="AA60" s="664"/>
      <c r="AB60" s="664"/>
      <c r="AC60" s="664"/>
      <c r="AD60" s="9"/>
    </row>
    <row r="61" spans="2:30" ht="15" customHeight="1" x14ac:dyDescent="0.25">
      <c r="B61" s="167" t="s">
        <v>113</v>
      </c>
      <c r="C61" s="62"/>
      <c r="D61" s="62"/>
      <c r="E61" s="62"/>
      <c r="F61" s="62"/>
      <c r="G61" s="168">
        <v>0</v>
      </c>
      <c r="H61" s="168"/>
      <c r="I61" s="168"/>
      <c r="J61" s="168"/>
      <c r="K61" s="168"/>
      <c r="L61" s="168"/>
      <c r="O61" s="1"/>
      <c r="P61" s="165"/>
      <c r="Q61" s="165"/>
      <c r="V61" s="663" t="s">
        <v>114</v>
      </c>
      <c r="W61" s="663"/>
      <c r="X61" s="664">
        <f>+G62</f>
        <v>0</v>
      </c>
      <c r="Y61" s="664"/>
      <c r="Z61" s="664"/>
      <c r="AA61" s="664"/>
      <c r="AB61" s="664"/>
      <c r="AC61" s="664"/>
      <c r="AD61" s="9"/>
    </row>
    <row r="62" spans="2:30" ht="13.5" customHeight="1" x14ac:dyDescent="0.25">
      <c r="B62" s="167" t="s">
        <v>114</v>
      </c>
      <c r="C62" s="62"/>
      <c r="D62" s="62"/>
      <c r="E62" s="62"/>
      <c r="F62" s="62"/>
      <c r="G62" s="168">
        <v>0</v>
      </c>
      <c r="H62" s="168"/>
      <c r="I62" s="168"/>
      <c r="J62" s="168"/>
      <c r="K62" s="168"/>
      <c r="L62" s="168"/>
      <c r="N62" s="165"/>
      <c r="O62" s="165"/>
      <c r="P62" s="165"/>
      <c r="Q62" s="165"/>
      <c r="V62" s="663" t="s">
        <v>115</v>
      </c>
      <c r="W62" s="663"/>
      <c r="X62" s="664">
        <v>0</v>
      </c>
      <c r="Y62" s="664"/>
      <c r="Z62" s="664"/>
      <c r="AA62" s="664"/>
      <c r="AB62" s="664"/>
      <c r="AC62" s="664"/>
      <c r="AD62" s="9"/>
    </row>
    <row r="63" spans="2:30" ht="13.5" hidden="1" customHeight="1" x14ac:dyDescent="0.25">
      <c r="B63" s="62" t="s">
        <v>115</v>
      </c>
      <c r="C63" s="62"/>
      <c r="D63" s="62"/>
      <c r="E63" s="62"/>
      <c r="F63" s="62"/>
      <c r="G63" s="168">
        <v>0</v>
      </c>
      <c r="H63" s="168"/>
      <c r="I63" s="168"/>
      <c r="J63" s="168"/>
      <c r="K63" s="168"/>
      <c r="L63" s="168"/>
      <c r="O63" s="1"/>
      <c r="P63" s="165"/>
      <c r="Q63" s="165"/>
      <c r="V63" s="662" t="s">
        <v>116</v>
      </c>
      <c r="W63" s="662"/>
      <c r="X63" s="662"/>
      <c r="Y63" s="662"/>
      <c r="Z63" s="662"/>
      <c r="AA63" s="662"/>
      <c r="AB63" s="662"/>
      <c r="AC63" s="662"/>
      <c r="AD63" s="117"/>
    </row>
    <row r="64" spans="2:30" ht="13.5" customHeight="1" x14ac:dyDescent="0.25">
      <c r="B64" s="62" t="s">
        <v>116</v>
      </c>
      <c r="C64" s="62"/>
      <c r="D64" s="62"/>
      <c r="E64" s="62"/>
      <c r="F64" s="62"/>
      <c r="G64" s="62"/>
      <c r="H64" s="62"/>
      <c r="I64" s="62"/>
      <c r="J64" s="62"/>
      <c r="K64" s="62"/>
      <c r="L64" s="62"/>
      <c r="M64" s="116"/>
      <c r="N64" s="18"/>
      <c r="O64" s="1"/>
      <c r="V64" s="663" t="s">
        <v>117</v>
      </c>
      <c r="W64" s="663"/>
      <c r="X64" s="664">
        <f>+G65</f>
        <v>4123852</v>
      </c>
      <c r="Y64" s="664"/>
      <c r="Z64" s="664"/>
      <c r="AA64" s="664"/>
      <c r="AB64" s="664"/>
      <c r="AC64" s="664"/>
      <c r="AD64" s="9"/>
    </row>
    <row r="65" spans="1:30" ht="12.75" customHeight="1" x14ac:dyDescent="0.25">
      <c r="B65" s="167" t="s">
        <v>117</v>
      </c>
      <c r="C65" s="62"/>
      <c r="D65" s="62"/>
      <c r="E65" s="62"/>
      <c r="F65" s="62"/>
      <c r="G65" s="168">
        <f>+I59</f>
        <v>4123852</v>
      </c>
      <c r="H65" s="168"/>
      <c r="I65" s="168"/>
      <c r="J65" s="168"/>
      <c r="K65" s="168"/>
      <c r="L65" s="168"/>
      <c r="O65" s="1"/>
      <c r="V65" s="663" t="s">
        <v>118</v>
      </c>
      <c r="W65" s="663"/>
      <c r="X65" s="664">
        <f>+G66</f>
        <v>0</v>
      </c>
      <c r="Y65" s="664"/>
      <c r="Z65" s="664"/>
      <c r="AA65" s="664"/>
      <c r="AB65" s="664"/>
      <c r="AC65" s="664"/>
      <c r="AD65" s="20"/>
    </row>
    <row r="66" spans="1:30" ht="15" customHeight="1" x14ac:dyDescent="0.25">
      <c r="B66" s="167" t="s">
        <v>118</v>
      </c>
      <c r="C66" s="62"/>
      <c r="D66" s="62"/>
      <c r="E66" s="62"/>
      <c r="F66" s="62"/>
      <c r="G66" s="168">
        <v>0</v>
      </c>
      <c r="H66" s="168"/>
      <c r="I66" s="168"/>
      <c r="J66" s="168"/>
      <c r="K66" s="168"/>
      <c r="L66" s="168"/>
      <c r="M66" s="18"/>
      <c r="N66" s="3"/>
      <c r="O66" s="169"/>
      <c r="P66" s="169"/>
      <c r="Q66" s="169"/>
      <c r="V66" s="651" t="s">
        <v>119</v>
      </c>
      <c r="W66" s="651"/>
      <c r="X66" s="651"/>
      <c r="Y66" s="661">
        <f>+I67</f>
        <v>96774526</v>
      </c>
      <c r="Z66" s="661"/>
      <c r="AA66" s="162" t="s">
        <v>111</v>
      </c>
      <c r="AB66" s="163">
        <f>AB54</f>
        <v>0</v>
      </c>
      <c r="AC66" s="56">
        <f>ROUND(Y66*AB66,0)</f>
        <v>0</v>
      </c>
      <c r="AD66" s="9"/>
    </row>
    <row r="67" spans="1:30" ht="20.25" customHeight="1" x14ac:dyDescent="0.25">
      <c r="B67" s="13" t="s">
        <v>119</v>
      </c>
      <c r="C67" s="13"/>
      <c r="D67" s="13"/>
      <c r="E67" s="13"/>
      <c r="F67" s="13"/>
      <c r="H67" s="164" t="s">
        <v>25</v>
      </c>
      <c r="I67" s="129">
        <v>96774526</v>
      </c>
      <c r="J67" s="165" t="s">
        <v>111</v>
      </c>
      <c r="K67" s="166">
        <f>K54</f>
        <v>1.2290000000000001E-3</v>
      </c>
      <c r="L67" s="50">
        <f>ROUND(I67*K67,0)</f>
        <v>118936</v>
      </c>
      <c r="O67" s="1"/>
      <c r="V67" s="651" t="s">
        <v>120</v>
      </c>
      <c r="W67" s="651"/>
      <c r="X67" s="651"/>
      <c r="Y67" s="651"/>
      <c r="Z67" s="651"/>
      <c r="AA67" s="651"/>
      <c r="AB67" s="651"/>
      <c r="AC67" s="651"/>
      <c r="AD67" s="9"/>
    </row>
    <row r="68" spans="1:30" ht="20.25" customHeight="1" x14ac:dyDescent="0.25">
      <c r="B68" s="13" t="s">
        <v>120</v>
      </c>
      <c r="C68" s="13"/>
      <c r="D68" s="13"/>
      <c r="E68" s="13"/>
      <c r="F68" s="13"/>
      <c r="H68" s="13"/>
      <c r="I68" s="13"/>
      <c r="J68" s="82"/>
      <c r="K68" s="13"/>
      <c r="L68" s="13"/>
      <c r="O68" s="1"/>
      <c r="V68" s="667" t="s">
        <v>121</v>
      </c>
      <c r="W68" s="667"/>
      <c r="X68" s="667"/>
      <c r="Y68" s="661">
        <f>+I69</f>
        <v>0</v>
      </c>
      <c r="Z68" s="661"/>
      <c r="AA68" s="162" t="s">
        <v>111</v>
      </c>
      <c r="AB68" s="163">
        <f>AB57</f>
        <v>0</v>
      </c>
      <c r="AC68" s="56">
        <f>ROUND(Y68*AB68,0)</f>
        <v>0</v>
      </c>
      <c r="AD68" s="9"/>
    </row>
    <row r="69" spans="1:30" ht="15" customHeight="1" x14ac:dyDescent="0.25">
      <c r="B69" s="170" t="s">
        <v>121</v>
      </c>
      <c r="C69" s="13"/>
      <c r="D69" s="13"/>
      <c r="E69" s="13"/>
      <c r="F69" s="13"/>
      <c r="H69" s="164" t="s">
        <v>23</v>
      </c>
      <c r="I69" s="129">
        <v>0</v>
      </c>
      <c r="J69" s="165" t="s">
        <v>111</v>
      </c>
      <c r="K69" s="166">
        <f>K57</f>
        <v>1.2769999999999999E-3</v>
      </c>
      <c r="L69" s="50">
        <f>ROUND(I69*K69,0)</f>
        <v>0</v>
      </c>
      <c r="O69" s="1"/>
      <c r="V69" s="651" t="s">
        <v>122</v>
      </c>
      <c r="W69" s="651"/>
      <c r="X69" s="651"/>
      <c r="Y69" s="668">
        <f>+I70</f>
        <v>-3460775</v>
      </c>
      <c r="Z69" s="668"/>
      <c r="AA69" s="162" t="s">
        <v>111</v>
      </c>
      <c r="AB69" s="163">
        <f>AB54</f>
        <v>0</v>
      </c>
      <c r="AC69" s="56">
        <f>ROUND(Y69*AB69,0)</f>
        <v>0</v>
      </c>
      <c r="AD69" s="9"/>
    </row>
    <row r="70" spans="1:30" ht="20.25" customHeight="1" x14ac:dyDescent="0.25">
      <c r="B70" s="13" t="s">
        <v>122</v>
      </c>
      <c r="C70" s="13"/>
      <c r="D70" s="13"/>
      <c r="E70" s="13"/>
      <c r="F70" s="13"/>
      <c r="H70" s="164" t="s">
        <v>22</v>
      </c>
      <c r="I70" s="129">
        <v>-3460775</v>
      </c>
      <c r="J70" s="165" t="s">
        <v>111</v>
      </c>
      <c r="K70" s="166">
        <f>K54</f>
        <v>1.2290000000000001E-3</v>
      </c>
      <c r="L70" s="50">
        <f>ROUND(I70*K70,0)</f>
        <v>-4253</v>
      </c>
      <c r="O70" s="1"/>
      <c r="V70" s="651" t="s">
        <v>123</v>
      </c>
      <c r="W70" s="651"/>
      <c r="X70" s="651"/>
      <c r="Y70" s="665">
        <f>+I71</f>
        <v>1874788</v>
      </c>
      <c r="Z70" s="665"/>
      <c r="AA70" s="162" t="s">
        <v>111</v>
      </c>
      <c r="AB70" s="163">
        <f>AB54</f>
        <v>0</v>
      </c>
      <c r="AC70" s="56">
        <f>ROUND(Y70*AB70,0)</f>
        <v>0</v>
      </c>
      <c r="AD70" s="9"/>
    </row>
    <row r="71" spans="1:30" ht="20.25" customHeight="1" x14ac:dyDescent="0.25">
      <c r="B71" s="13" t="s">
        <v>123</v>
      </c>
      <c r="C71" s="13"/>
      <c r="D71" s="13"/>
      <c r="E71" s="13"/>
      <c r="F71" s="13"/>
      <c r="H71" s="164" t="s">
        <v>22</v>
      </c>
      <c r="I71" s="129">
        <v>1874788</v>
      </c>
      <c r="J71" s="165" t="s">
        <v>111</v>
      </c>
      <c r="K71" s="166">
        <f>K54</f>
        <v>1.2290000000000001E-3</v>
      </c>
      <c r="L71" s="50">
        <f>ROUND(I71*K71,0)</f>
        <v>2304</v>
      </c>
      <c r="O71" s="1"/>
      <c r="V71" s="651" t="s">
        <v>124</v>
      </c>
      <c r="W71" s="651"/>
      <c r="X71" s="651"/>
      <c r="Y71" s="665">
        <f>+I72</f>
        <v>14223298</v>
      </c>
      <c r="Z71" s="665"/>
      <c r="AA71" s="162" t="s">
        <v>111</v>
      </c>
      <c r="AB71" s="163">
        <f>AB57</f>
        <v>0</v>
      </c>
      <c r="AC71" s="56">
        <f>ROUND(Y71*AB71,0)</f>
        <v>0</v>
      </c>
      <c r="AD71" s="9"/>
    </row>
    <row r="72" spans="1:30" ht="21" customHeight="1" x14ac:dyDescent="0.25">
      <c r="B72" s="13" t="s">
        <v>124</v>
      </c>
      <c r="C72" s="13"/>
      <c r="D72" s="13"/>
      <c r="E72" s="13"/>
      <c r="F72" s="13"/>
      <c r="H72" s="164" t="s">
        <v>23</v>
      </c>
      <c r="I72" s="171">
        <v>14223298</v>
      </c>
      <c r="J72" s="165" t="s">
        <v>111</v>
      </c>
      <c r="K72" s="166">
        <f>K57</f>
        <v>1.2769999999999999E-3</v>
      </c>
      <c r="L72" s="50">
        <f>ROUND(I72*K72,0)</f>
        <v>18163</v>
      </c>
      <c r="O72" s="1"/>
      <c r="V72" s="623" t="s">
        <v>125</v>
      </c>
      <c r="W72" s="623"/>
      <c r="X72" s="623"/>
      <c r="Y72" s="623"/>
      <c r="Z72" s="623"/>
      <c r="AA72" s="623"/>
      <c r="AB72" s="623"/>
      <c r="AC72" s="60"/>
      <c r="AD72" s="9"/>
    </row>
    <row r="73" spans="1:30" ht="17.25" customHeight="1" x14ac:dyDescent="0.25">
      <c r="B73" s="13" t="s">
        <v>125</v>
      </c>
      <c r="C73" s="13"/>
      <c r="D73" s="13"/>
      <c r="E73" s="13"/>
      <c r="F73" s="13"/>
      <c r="H73" s="13"/>
      <c r="I73" s="13"/>
      <c r="J73" s="82"/>
      <c r="K73" s="13"/>
      <c r="L73" s="59"/>
      <c r="O73" s="1"/>
      <c r="V73" s="651" t="s">
        <v>126</v>
      </c>
      <c r="W73" s="651"/>
      <c r="X73" s="651"/>
      <c r="Y73" s="651"/>
      <c r="Z73" s="651"/>
      <c r="AA73" s="651"/>
      <c r="AB73" s="651"/>
      <c r="AC73" s="651"/>
      <c r="AD73" s="9"/>
    </row>
    <row r="74" spans="1:30" ht="31.5" x14ac:dyDescent="0.25">
      <c r="B74" s="13" t="s">
        <v>126</v>
      </c>
      <c r="C74" s="13"/>
      <c r="D74" s="27" t="s">
        <v>13</v>
      </c>
      <c r="E74" s="27" t="s">
        <v>14</v>
      </c>
      <c r="F74" s="27"/>
      <c r="H74" s="164" t="s">
        <v>26</v>
      </c>
      <c r="I74" s="172"/>
      <c r="J74" s="164"/>
      <c r="K74" s="172"/>
      <c r="L74" s="112"/>
      <c r="O74" s="1"/>
      <c r="V74" s="666" t="s">
        <v>127</v>
      </c>
      <c r="W74" s="666"/>
      <c r="X74" s="173" t="s">
        <v>128</v>
      </c>
      <c r="Y74" s="174"/>
      <c r="Z74" s="175">
        <f>+I75</f>
        <v>0</v>
      </c>
      <c r="AA74" s="176" t="s">
        <v>129</v>
      </c>
      <c r="AB74" s="177">
        <f>+K75</f>
        <v>361</v>
      </c>
      <c r="AC74" s="56">
        <f>ROUND(AB74*Z74,0)</f>
        <v>0</v>
      </c>
      <c r="AD74" s="9"/>
    </row>
    <row r="75" spans="1:30" ht="19.5" customHeight="1" x14ac:dyDescent="0.25">
      <c r="A75" s="1" t="s">
        <v>130</v>
      </c>
      <c r="B75" s="178" t="s">
        <v>127</v>
      </c>
      <c r="C75" s="179" t="s">
        <v>128</v>
      </c>
      <c r="D75" s="178">
        <v>0</v>
      </c>
      <c r="E75" s="178">
        <v>0</v>
      </c>
      <c r="F75" s="178">
        <v>0</v>
      </c>
      <c r="G75" s="180">
        <f>IF(E75=0,D75,E75)</f>
        <v>0</v>
      </c>
      <c r="H75" s="181"/>
      <c r="I75" s="182">
        <f>AVERAGE(G75,D75)</f>
        <v>0</v>
      </c>
      <c r="J75" s="183" t="s">
        <v>129</v>
      </c>
      <c r="K75" s="184">
        <v>361</v>
      </c>
      <c r="L75" s="50">
        <f>ROUND(K75*I75,0)</f>
        <v>0</v>
      </c>
      <c r="N75" s="1">
        <v>7802</v>
      </c>
      <c r="O75" s="1">
        <v>0</v>
      </c>
      <c r="V75" s="666" t="s">
        <v>127</v>
      </c>
      <c r="W75" s="666"/>
      <c r="X75" s="173" t="s">
        <v>131</v>
      </c>
      <c r="Y75" s="185"/>
      <c r="Z75" s="186">
        <f>+I76</f>
        <v>0</v>
      </c>
      <c r="AA75" s="176" t="s">
        <v>129</v>
      </c>
      <c r="AB75" s="187">
        <f>+K76</f>
        <v>1358</v>
      </c>
      <c r="AC75" s="56">
        <f>ROUND(AB75*Z75,0)</f>
        <v>0</v>
      </c>
      <c r="AD75" s="9"/>
    </row>
    <row r="76" spans="1:30" ht="19.5" customHeight="1" x14ac:dyDescent="0.25">
      <c r="A76" s="1" t="s">
        <v>132</v>
      </c>
      <c r="B76" s="178" t="s">
        <v>127</v>
      </c>
      <c r="C76" s="179" t="s">
        <v>131</v>
      </c>
      <c r="D76" s="178">
        <v>0</v>
      </c>
      <c r="E76" s="178">
        <v>0</v>
      </c>
      <c r="F76" s="178">
        <v>0</v>
      </c>
      <c r="G76" s="180">
        <f>IF(E76=0,D76,E76)</f>
        <v>0</v>
      </c>
      <c r="H76" s="181"/>
      <c r="I76" s="182">
        <f>AVERAGE(G76,D76)</f>
        <v>0</v>
      </c>
      <c r="J76" s="183" t="s">
        <v>129</v>
      </c>
      <c r="K76" s="188">
        <v>1358</v>
      </c>
      <c r="L76" s="50">
        <f>ROUND(K76*I76,0)</f>
        <v>0</v>
      </c>
      <c r="N76" s="1">
        <v>7802</v>
      </c>
      <c r="O76" s="1">
        <v>110</v>
      </c>
      <c r="V76" s="651" t="s">
        <v>133</v>
      </c>
      <c r="W76" s="651"/>
      <c r="X76" s="651"/>
      <c r="Y76" s="661">
        <f>+I77</f>
        <v>33305823</v>
      </c>
      <c r="Z76" s="661"/>
      <c r="AA76" s="176" t="s">
        <v>129</v>
      </c>
      <c r="AB76" s="163">
        <f>AB54</f>
        <v>0</v>
      </c>
      <c r="AC76" s="56">
        <f>ROUND(Y76*AB76,0)</f>
        <v>0</v>
      </c>
      <c r="AD76" s="9"/>
    </row>
    <row r="77" spans="1:30" ht="26.25" customHeight="1" x14ac:dyDescent="0.25">
      <c r="B77" s="13" t="s">
        <v>133</v>
      </c>
      <c r="C77" s="13"/>
      <c r="D77" s="13"/>
      <c r="E77" s="13"/>
      <c r="F77" s="13"/>
      <c r="H77" s="164" t="s">
        <v>134</v>
      </c>
      <c r="I77" s="189">
        <v>33305823</v>
      </c>
      <c r="J77" s="165" t="s">
        <v>111</v>
      </c>
      <c r="K77" s="166">
        <f>K54</f>
        <v>1.2290000000000001E-3</v>
      </c>
      <c r="L77" s="50">
        <f>ROUND(I77*K77,0)</f>
        <v>40933</v>
      </c>
      <c r="O77" s="1"/>
      <c r="V77" s="651" t="str">
        <f>+B78</f>
        <v>15.  Additional Allocation (WFTE share)</v>
      </c>
      <c r="W77" s="651"/>
      <c r="X77" s="651"/>
      <c r="Y77" s="661">
        <f>+I78</f>
        <v>680688</v>
      </c>
      <c r="Z77" s="661"/>
      <c r="AA77" s="176" t="s">
        <v>129</v>
      </c>
      <c r="AB77" s="163">
        <f>AB54</f>
        <v>0</v>
      </c>
      <c r="AC77" s="56">
        <f>ROUND(Y77*AB77,0)</f>
        <v>0</v>
      </c>
      <c r="AD77" s="9"/>
    </row>
    <row r="78" spans="1:30" ht="26.25" customHeight="1" x14ac:dyDescent="0.25">
      <c r="B78" s="669" t="s">
        <v>135</v>
      </c>
      <c r="C78" s="669"/>
      <c r="D78" s="669"/>
      <c r="E78" s="13"/>
      <c r="F78" s="13"/>
      <c r="H78" s="164" t="s">
        <v>136</v>
      </c>
      <c r="I78" s="190">
        <v>680688</v>
      </c>
      <c r="J78" s="165" t="s">
        <v>111</v>
      </c>
      <c r="K78" s="166">
        <f>K54</f>
        <v>1.2290000000000001E-3</v>
      </c>
      <c r="L78" s="50">
        <f>ROUND(I78*K78,0)</f>
        <v>837</v>
      </c>
      <c r="O78" s="1"/>
      <c r="V78" s="651" t="str">
        <f t="shared" ref="V78:V79" si="11">+B79</f>
        <v>16.  Florida Teachers Lead Program Stipend</v>
      </c>
      <c r="W78" s="651"/>
      <c r="X78" s="651"/>
      <c r="Y78" s="191"/>
      <c r="Z78" s="191"/>
      <c r="AA78" s="191"/>
      <c r="AB78" s="191"/>
      <c r="AC78" s="134"/>
      <c r="AD78" s="9"/>
    </row>
    <row r="79" spans="1:30" ht="21" customHeight="1" x14ac:dyDescent="0.25">
      <c r="B79" s="669" t="s">
        <v>137</v>
      </c>
      <c r="C79" s="669"/>
      <c r="D79" s="669"/>
      <c r="E79" s="13"/>
      <c r="F79" s="13"/>
      <c r="H79" s="164"/>
      <c r="I79" s="172"/>
      <c r="J79" s="172"/>
      <c r="K79" s="172"/>
      <c r="L79" s="129"/>
      <c r="N79" s="192"/>
      <c r="O79" s="1"/>
      <c r="Q79" s="164"/>
      <c r="V79" s="651" t="str">
        <f t="shared" si="11"/>
        <v>17.  Food Service Allocation</v>
      </c>
      <c r="W79" s="651"/>
      <c r="X79" s="651"/>
      <c r="Y79" s="191"/>
      <c r="Z79" s="191"/>
      <c r="AA79" s="191"/>
      <c r="AB79" s="191"/>
      <c r="AC79" s="193"/>
      <c r="AD79" s="9"/>
    </row>
    <row r="80" spans="1:30" ht="21" customHeight="1" x14ac:dyDescent="0.25">
      <c r="B80" s="669" t="s">
        <v>138</v>
      </c>
      <c r="C80" s="669"/>
      <c r="D80" s="669"/>
      <c r="E80" s="13"/>
      <c r="F80" s="13"/>
      <c r="H80" s="194" t="s">
        <v>139</v>
      </c>
      <c r="I80" s="195"/>
      <c r="J80" s="195"/>
      <c r="K80" s="195"/>
      <c r="L80" s="196"/>
      <c r="N80" s="197"/>
      <c r="O80" s="1"/>
      <c r="Q80" s="164"/>
      <c r="V80" s="191"/>
      <c r="W80" s="191"/>
      <c r="X80" s="191"/>
      <c r="Y80" s="191"/>
      <c r="Z80" s="191"/>
      <c r="AA80" s="191"/>
      <c r="AB80" s="191"/>
      <c r="AC80" s="193"/>
      <c r="AD80" s="9"/>
    </row>
    <row r="81" spans="1:30" ht="21" customHeight="1" thickBot="1" x14ac:dyDescent="0.3">
      <c r="B81" s="13"/>
      <c r="C81" s="13"/>
      <c r="D81" s="13"/>
      <c r="E81" s="13"/>
      <c r="F81" s="13"/>
      <c r="G81" s="13"/>
      <c r="H81" s="13"/>
      <c r="I81" s="13"/>
      <c r="J81" s="13"/>
      <c r="K81" s="13"/>
      <c r="L81" s="196"/>
      <c r="M81" s="198"/>
      <c r="N81" s="197"/>
      <c r="O81" s="1"/>
      <c r="Q81" s="164"/>
      <c r="V81" s="191" t="s">
        <v>140</v>
      </c>
      <c r="W81" s="191"/>
      <c r="X81" s="191"/>
      <c r="Y81" s="191"/>
      <c r="Z81" s="191"/>
      <c r="AA81" s="191"/>
      <c r="AB81" s="191"/>
      <c r="AC81" s="199">
        <f>SUM(AC44:AC80)</f>
        <v>0</v>
      </c>
      <c r="AD81" s="200"/>
    </row>
    <row r="82" spans="1:30" ht="22.5" customHeight="1" thickTop="1" thickBot="1" x14ac:dyDescent="0.3">
      <c r="B82" s="13" t="s">
        <v>141</v>
      </c>
      <c r="C82" s="13"/>
      <c r="D82" s="13"/>
      <c r="E82" s="13"/>
      <c r="F82" s="13"/>
      <c r="G82" s="13"/>
      <c r="H82" s="13"/>
      <c r="I82" s="13"/>
      <c r="J82" s="13"/>
      <c r="K82" s="13"/>
      <c r="L82" s="201">
        <f>SUM(L44:L81)</f>
        <v>1462842</v>
      </c>
      <c r="M82" s="202"/>
      <c r="N82" s="203"/>
      <c r="O82" s="1"/>
      <c r="Q82" s="164"/>
      <c r="V82" s="191"/>
      <c r="W82" s="191"/>
      <c r="X82" s="191"/>
      <c r="Y82" s="191"/>
      <c r="Z82" s="191"/>
      <c r="AA82" s="191"/>
      <c r="AB82" s="191"/>
      <c r="AC82" s="204"/>
      <c r="AD82" s="200"/>
    </row>
    <row r="83" spans="1:30" ht="27.75" customHeight="1" thickTop="1" x14ac:dyDescent="0.25">
      <c r="B83" s="13" t="s">
        <v>142</v>
      </c>
      <c r="C83" s="13"/>
      <c r="D83" s="13"/>
      <c r="E83" s="13"/>
      <c r="F83" s="13"/>
      <c r="G83" s="13"/>
      <c r="H83" s="13"/>
      <c r="I83" s="13"/>
      <c r="J83" s="13"/>
      <c r="K83" s="82" t="s">
        <v>143</v>
      </c>
      <c r="L83" s="205" t="s">
        <v>144</v>
      </c>
      <c r="M83" s="202"/>
      <c r="N83" s="203"/>
      <c r="O83" s="1"/>
      <c r="Q83" s="164"/>
      <c r="V83" s="9" t="s">
        <v>145</v>
      </c>
      <c r="W83" s="9"/>
      <c r="X83" s="9"/>
      <c r="Y83" s="9"/>
      <c r="Z83" s="9"/>
      <c r="AA83" s="9"/>
      <c r="AB83" s="9"/>
      <c r="AC83" s="9"/>
      <c r="AD83" s="206"/>
    </row>
    <row r="84" spans="1:30" ht="18.75" customHeight="1" thickBot="1" x14ac:dyDescent="0.3">
      <c r="B84" s="13" t="s">
        <v>146</v>
      </c>
      <c r="C84" s="13"/>
      <c r="D84" s="13"/>
      <c r="E84" s="13"/>
      <c r="F84" s="13"/>
      <c r="G84" s="13"/>
      <c r="H84" s="13"/>
      <c r="I84" s="13"/>
      <c r="J84" s="13"/>
      <c r="K84" s="207" t="str">
        <f>IF(G26=0,"",IF((G11+G13+SUM(G15:G21))/G26&gt;0.75,1,""))</f>
        <v/>
      </c>
      <c r="L84" s="201">
        <f>'3961'!AC81</f>
        <v>0</v>
      </c>
      <c r="M84" s="202"/>
      <c r="N84" s="203"/>
      <c r="O84" s="1"/>
      <c r="Q84" s="164"/>
      <c r="V84" s="208" t="s">
        <v>147</v>
      </c>
      <c r="W84" s="208"/>
      <c r="X84" s="208"/>
      <c r="Y84" s="208"/>
      <c r="Z84" s="208"/>
      <c r="AA84" s="208"/>
      <c r="AB84" s="208"/>
      <c r="AC84" s="208"/>
      <c r="AD84" s="9"/>
    </row>
    <row r="85" spans="1:30" ht="18.75" customHeight="1" thickTop="1" x14ac:dyDescent="0.25">
      <c r="B85" s="13"/>
      <c r="C85" s="13"/>
      <c r="D85" s="13"/>
      <c r="E85" s="13"/>
      <c r="F85" s="13"/>
      <c r="G85" s="13"/>
      <c r="H85" s="13"/>
      <c r="I85" s="13"/>
      <c r="J85" s="13"/>
      <c r="M85" s="202"/>
      <c r="N85" s="203"/>
      <c r="O85" s="1"/>
      <c r="Q85" s="164"/>
      <c r="V85" s="208" t="s">
        <v>148</v>
      </c>
      <c r="W85" s="208"/>
      <c r="X85" s="208"/>
      <c r="Y85" s="208"/>
      <c r="Z85" s="208"/>
      <c r="AA85" s="208"/>
      <c r="AB85" s="208"/>
      <c r="AC85" s="208"/>
      <c r="AD85" s="206"/>
    </row>
    <row r="86" spans="1:30" ht="18.75" customHeight="1" x14ac:dyDescent="0.25">
      <c r="B86" s="2" t="s">
        <v>149</v>
      </c>
      <c r="C86" s="13"/>
      <c r="D86" s="13"/>
      <c r="E86" s="13"/>
      <c r="F86" s="13"/>
      <c r="G86" s="13"/>
      <c r="H86" s="13"/>
      <c r="I86" s="13"/>
      <c r="J86" s="209" t="s">
        <v>150</v>
      </c>
      <c r="K86" s="210">
        <f>IF(K84=1,L84,L82)</f>
        <v>1462842</v>
      </c>
      <c r="L86" s="211">
        <f>IF(G26=0,0,IF(G26&gt;250,-(((250/G26)*K86)*IF(M86="H",0.02,0.05)),IF(M86="H",-0.02*K86,-0.05*K86)))</f>
        <v>-73142.100000000006</v>
      </c>
      <c r="M86" s="212" t="str">
        <f>IF(B123="2801","H",IF(B123="2911","H",IF(B123="3382","H"," ")))</f>
        <v xml:space="preserve"> </v>
      </c>
      <c r="N86" s="203"/>
      <c r="O86" s="1"/>
      <c r="Q86" s="164"/>
      <c r="V86" s="208" t="s">
        <v>151</v>
      </c>
      <c r="W86" s="208"/>
      <c r="X86" s="208"/>
      <c r="Y86" s="208"/>
      <c r="Z86" s="208"/>
      <c r="AA86" s="208"/>
      <c r="AB86" s="208"/>
      <c r="AC86" s="208"/>
      <c r="AD86" s="206"/>
    </row>
    <row r="87" spans="1:30" ht="18.75" customHeight="1" x14ac:dyDescent="0.25">
      <c r="B87" s="2" t="s">
        <v>152</v>
      </c>
      <c r="C87" s="13"/>
      <c r="D87" s="13"/>
      <c r="E87" s="13"/>
      <c r="F87" s="13"/>
      <c r="G87" s="13"/>
      <c r="H87" s="13"/>
      <c r="I87" s="13"/>
      <c r="J87" s="13"/>
      <c r="K87" s="213"/>
      <c r="L87" s="205">
        <f>L82+L86</f>
        <v>1389699.9</v>
      </c>
      <c r="M87" s="202"/>
      <c r="N87" s="203"/>
      <c r="O87" s="1"/>
      <c r="Q87" s="164"/>
      <c r="V87" s="198"/>
      <c r="W87" s="198"/>
      <c r="X87" s="198"/>
      <c r="Y87" s="198"/>
      <c r="Z87" s="198"/>
      <c r="AA87" s="198"/>
      <c r="AB87" s="198"/>
      <c r="AC87" s="198"/>
      <c r="AD87" s="214"/>
    </row>
    <row r="88" spans="1:30" x14ac:dyDescent="0.25">
      <c r="V88" s="198"/>
      <c r="W88" s="198"/>
      <c r="X88" s="198"/>
      <c r="Y88" s="198"/>
      <c r="Z88" s="198"/>
      <c r="AA88" s="198"/>
      <c r="AB88" s="198"/>
      <c r="AC88" s="198"/>
      <c r="AD88" s="215"/>
    </row>
    <row r="89" spans="1:30" ht="18.75" customHeight="1" x14ac:dyDescent="0.25">
      <c r="A89" s="1" t="s">
        <v>153</v>
      </c>
      <c r="B89" s="13" t="s">
        <v>154</v>
      </c>
      <c r="C89" s="13"/>
      <c r="D89" s="13">
        <v>646923</v>
      </c>
      <c r="E89" s="13">
        <v>126463</v>
      </c>
      <c r="F89" s="13">
        <v>1152775</v>
      </c>
      <c r="G89" s="13"/>
      <c r="H89" s="13"/>
      <c r="I89" s="13"/>
      <c r="J89" s="13"/>
      <c r="K89" s="213"/>
      <c r="L89" s="84">
        <f>-F89-118462</f>
        <v>-1271237</v>
      </c>
      <c r="M89" s="202"/>
      <c r="N89" s="203"/>
      <c r="O89" s="1"/>
      <c r="Q89" s="164"/>
      <c r="V89" s="198">
        <v>2801</v>
      </c>
      <c r="W89" s="198"/>
      <c r="X89" s="198"/>
      <c r="Y89" s="198"/>
      <c r="Z89" s="198"/>
      <c r="AA89" s="198"/>
      <c r="AB89" s="198"/>
      <c r="AC89" s="198"/>
      <c r="AD89" s="214"/>
    </row>
    <row r="90" spans="1:30" ht="18.75" customHeight="1" x14ac:dyDescent="0.25">
      <c r="B90" s="13" t="s">
        <v>155</v>
      </c>
      <c r="C90" s="13"/>
      <c r="D90" s="13"/>
      <c r="E90" s="13"/>
      <c r="F90" s="13"/>
      <c r="G90" s="13"/>
      <c r="H90" s="13"/>
      <c r="I90" s="13"/>
      <c r="J90" s="13"/>
      <c r="K90" s="213"/>
      <c r="L90" s="205">
        <f>L87+L89</f>
        <v>118462.89999999991</v>
      </c>
      <c r="M90" s="202"/>
      <c r="N90" s="203"/>
      <c r="O90" s="1"/>
      <c r="Q90" s="164"/>
      <c r="V90" s="198">
        <v>2911</v>
      </c>
      <c r="W90" s="216"/>
      <c r="X90" s="216"/>
      <c r="Y90" s="216"/>
      <c r="Z90" s="216"/>
      <c r="AA90" s="216"/>
      <c r="AB90" s="216"/>
      <c r="AC90" s="216"/>
      <c r="AD90" s="214"/>
    </row>
    <row r="91" spans="1:30" ht="18.75" customHeight="1" x14ac:dyDescent="0.25">
      <c r="B91" s="13" t="s">
        <v>156</v>
      </c>
      <c r="C91" s="13"/>
      <c r="D91" s="13"/>
      <c r="E91" s="13"/>
      <c r="F91" s="13"/>
      <c r="G91" s="13"/>
      <c r="H91" s="13"/>
      <c r="I91" s="13"/>
      <c r="J91" s="13"/>
      <c r="K91" s="213"/>
      <c r="L91" s="205">
        <v>1</v>
      </c>
      <c r="M91" s="202"/>
      <c r="N91" s="203"/>
      <c r="O91" s="1"/>
      <c r="Q91" s="164"/>
      <c r="V91" s="198">
        <v>3382</v>
      </c>
      <c r="W91" s="216"/>
      <c r="X91" s="216"/>
      <c r="Y91" s="216"/>
      <c r="Z91" s="216"/>
      <c r="AA91" s="216"/>
      <c r="AB91" s="216"/>
      <c r="AC91" s="216"/>
      <c r="AD91" s="214"/>
    </row>
    <row r="92" spans="1:30" ht="18.75" customHeight="1" thickBot="1" x14ac:dyDescent="0.3">
      <c r="B92" s="13" t="s">
        <v>157</v>
      </c>
      <c r="C92" s="13"/>
      <c r="D92" s="13"/>
      <c r="E92" s="13"/>
      <c r="F92" s="13"/>
      <c r="G92" s="13"/>
      <c r="H92" s="13"/>
      <c r="I92" s="13"/>
      <c r="J92" s="13"/>
      <c r="K92" s="213"/>
      <c r="L92" s="217">
        <f>L90/L91</f>
        <v>118462.89999999991</v>
      </c>
      <c r="M92" s="202"/>
      <c r="N92" s="203"/>
      <c r="O92" s="1"/>
      <c r="Q92" s="164"/>
      <c r="V92" s="218"/>
      <c r="W92" s="218"/>
      <c r="X92" s="218"/>
      <c r="Y92" s="218"/>
      <c r="Z92" s="218"/>
      <c r="AA92" s="218"/>
      <c r="AB92" s="218"/>
      <c r="AC92" s="218"/>
      <c r="AD92" s="219"/>
    </row>
    <row r="93" spans="1:30" ht="18.75" customHeight="1" thickTop="1" x14ac:dyDescent="0.25">
      <c r="N93" s="219"/>
      <c r="O93" s="220"/>
      <c r="P93" s="219"/>
      <c r="Q93" s="219"/>
      <c r="V93" s="218"/>
      <c r="W93" s="218"/>
      <c r="X93" s="218"/>
      <c r="Y93" s="218"/>
      <c r="Z93" s="218"/>
      <c r="AA93" s="218"/>
      <c r="AB93" s="218"/>
      <c r="AC93" s="218"/>
      <c r="AD93" s="214"/>
    </row>
    <row r="94" spans="1:30" ht="18.75" customHeight="1" thickBot="1" x14ac:dyDescent="0.3">
      <c r="B94" s="221" t="s">
        <v>158</v>
      </c>
      <c r="C94" s="13"/>
      <c r="D94" s="13"/>
      <c r="E94" s="13"/>
      <c r="G94" s="13"/>
      <c r="H94" s="13"/>
      <c r="I94" s="13"/>
      <c r="J94" s="13"/>
      <c r="L94" s="222">
        <f>IF(M86="H",(K86*0.02)+L86,(K86*0.05)+L86)</f>
        <v>0</v>
      </c>
      <c r="M94" s="202"/>
      <c r="V94" s="223"/>
      <c r="W94" s="223"/>
      <c r="X94" s="223"/>
      <c r="Y94" s="223"/>
      <c r="Z94" s="223"/>
      <c r="AA94" s="223"/>
      <c r="AB94" s="223"/>
      <c r="AC94" s="223"/>
      <c r="AD94" s="214"/>
    </row>
    <row r="95" spans="1:30" ht="21.75" customHeight="1" thickTop="1" x14ac:dyDescent="0.25">
      <c r="B95" s="224" t="s">
        <v>159</v>
      </c>
      <c r="C95" s="224"/>
      <c r="D95" s="224"/>
      <c r="E95" s="224"/>
      <c r="F95" s="224"/>
      <c r="G95" s="224"/>
      <c r="H95" s="224"/>
      <c r="I95" s="224"/>
      <c r="J95" s="224"/>
      <c r="K95" s="224"/>
      <c r="L95" s="224"/>
      <c r="M95" s="219"/>
      <c r="V95" s="223"/>
      <c r="W95" s="223"/>
      <c r="X95" s="223"/>
      <c r="Y95" s="223"/>
      <c r="Z95" s="223"/>
      <c r="AA95" s="223"/>
      <c r="AB95" s="223"/>
      <c r="AC95" s="223"/>
      <c r="AD95" s="214"/>
    </row>
    <row r="96" spans="1:30" x14ac:dyDescent="0.25">
      <c r="B96" s="225"/>
      <c r="V96" s="223"/>
      <c r="W96" s="223"/>
      <c r="X96" s="223"/>
      <c r="Y96" s="223"/>
      <c r="Z96" s="223"/>
      <c r="AA96" s="223"/>
      <c r="AB96" s="223"/>
      <c r="AC96" s="223"/>
      <c r="AD96" s="219"/>
    </row>
    <row r="97" spans="2:30" x14ac:dyDescent="0.25">
      <c r="B97" s="225"/>
      <c r="V97" s="223"/>
      <c r="W97" s="223"/>
      <c r="X97" s="223"/>
      <c r="Y97" s="223"/>
      <c r="Z97" s="223"/>
      <c r="AA97" s="223"/>
      <c r="AB97" s="223"/>
      <c r="AC97" s="223"/>
      <c r="AD97" s="219"/>
    </row>
    <row r="98" spans="2:30" hidden="1" x14ac:dyDescent="0.25">
      <c r="B98" s="226" t="s">
        <v>160</v>
      </c>
      <c r="C98" s="227"/>
      <c r="V98" s="228"/>
      <c r="W98" s="228"/>
      <c r="X98" s="228"/>
      <c r="Y98" s="228"/>
      <c r="Z98" s="228"/>
      <c r="AA98" s="228"/>
      <c r="AB98" s="228"/>
      <c r="AC98" s="228"/>
    </row>
    <row r="99" spans="2:30" hidden="1" x14ac:dyDescent="0.25">
      <c r="B99" s="229"/>
      <c r="C99" s="227"/>
      <c r="V99" s="225"/>
      <c r="W99" s="13"/>
      <c r="X99" s="13"/>
      <c r="Y99" s="13"/>
      <c r="Z99" s="13"/>
      <c r="AA99" s="13"/>
      <c r="AB99" s="13"/>
      <c r="AC99" s="13"/>
    </row>
    <row r="100" spans="2:30" hidden="1" x14ac:dyDescent="0.25">
      <c r="B100" s="230" t="s">
        <v>161</v>
      </c>
      <c r="C100" s="226" t="s">
        <v>162</v>
      </c>
      <c r="V100" s="225"/>
    </row>
    <row r="101" spans="2:30" hidden="1" x14ac:dyDescent="0.25">
      <c r="B101" s="230" t="s">
        <v>163</v>
      </c>
      <c r="C101" s="226" t="s">
        <v>164</v>
      </c>
      <c r="V101" s="225"/>
    </row>
    <row r="102" spans="2:30" hidden="1" x14ac:dyDescent="0.25">
      <c r="B102" s="230" t="s">
        <v>165</v>
      </c>
      <c r="C102" s="226" t="s">
        <v>166</v>
      </c>
      <c r="V102" s="225"/>
      <c r="W102" s="231"/>
      <c r="X102" s="231"/>
      <c r="Y102" s="231"/>
      <c r="Z102" s="231"/>
      <c r="AA102" s="231"/>
      <c r="AB102" s="231"/>
      <c r="AC102" s="231"/>
      <c r="AD102" s="231"/>
    </row>
    <row r="103" spans="2:30" hidden="1" x14ac:dyDescent="0.25">
      <c r="B103" s="230" t="s">
        <v>167</v>
      </c>
      <c r="C103" s="226" t="s">
        <v>168</v>
      </c>
      <c r="V103" s="225"/>
    </row>
    <row r="104" spans="2:30" hidden="1" x14ac:dyDescent="0.25">
      <c r="B104" s="232"/>
      <c r="C104" s="226" t="s">
        <v>169</v>
      </c>
      <c r="V104" s="225"/>
    </row>
    <row r="105" spans="2:30" hidden="1" x14ac:dyDescent="0.25">
      <c r="B105" s="230" t="s">
        <v>170</v>
      </c>
      <c r="C105" s="226" t="s">
        <v>171</v>
      </c>
      <c r="V105" s="225"/>
    </row>
    <row r="106" spans="2:30" hidden="1" x14ac:dyDescent="0.25">
      <c r="B106" s="230" t="s">
        <v>172</v>
      </c>
      <c r="C106" s="226" t="s">
        <v>173</v>
      </c>
      <c r="V106" s="225"/>
    </row>
    <row r="107" spans="2:30" hidden="1" x14ac:dyDescent="0.25">
      <c r="B107" s="230" t="s">
        <v>315</v>
      </c>
      <c r="C107" s="226" t="s">
        <v>175</v>
      </c>
      <c r="V107" s="225"/>
    </row>
    <row r="108" spans="2:30" hidden="1" x14ac:dyDescent="0.25">
      <c r="B108" s="230" t="s">
        <v>176</v>
      </c>
      <c r="C108" s="226" t="s">
        <v>177</v>
      </c>
      <c r="V108" s="225"/>
    </row>
    <row r="109" spans="2:30" hidden="1" x14ac:dyDescent="0.25">
      <c r="B109" s="230" t="s">
        <v>178</v>
      </c>
      <c r="C109" s="226" t="s">
        <v>179</v>
      </c>
      <c r="V109" s="225"/>
    </row>
    <row r="110" spans="2:30" hidden="1" x14ac:dyDescent="0.25">
      <c r="B110" s="232"/>
      <c r="C110" s="226"/>
      <c r="V110" s="225"/>
    </row>
    <row r="111" spans="2:30" hidden="1" x14ac:dyDescent="0.25">
      <c r="B111" s="230" t="s">
        <v>180</v>
      </c>
      <c r="C111" s="226" t="s">
        <v>181</v>
      </c>
      <c r="V111" s="225"/>
    </row>
    <row r="112" spans="2:30" hidden="1" x14ac:dyDescent="0.25">
      <c r="B112" s="230" t="s">
        <v>180</v>
      </c>
      <c r="C112" s="226" t="s">
        <v>182</v>
      </c>
    </row>
    <row r="113" spans="2:3" hidden="1" x14ac:dyDescent="0.25">
      <c r="B113" s="230" t="s">
        <v>183</v>
      </c>
      <c r="C113" s="226" t="s">
        <v>184</v>
      </c>
    </row>
    <row r="114" spans="2:3" hidden="1" x14ac:dyDescent="0.25">
      <c r="B114" s="230" t="s">
        <v>185</v>
      </c>
      <c r="C114" s="226" t="s">
        <v>186</v>
      </c>
    </row>
    <row r="115" spans="2:3" hidden="1" x14ac:dyDescent="0.25">
      <c r="B115" s="230" t="s">
        <v>183</v>
      </c>
      <c r="C115" s="226" t="s">
        <v>187</v>
      </c>
    </row>
    <row r="116" spans="2:3" hidden="1" x14ac:dyDescent="0.25">
      <c r="B116" s="230" t="s">
        <v>188</v>
      </c>
      <c r="C116" s="226" t="s">
        <v>189</v>
      </c>
    </row>
    <row r="117" spans="2:3" hidden="1" x14ac:dyDescent="0.25">
      <c r="B117" s="230" t="s">
        <v>190</v>
      </c>
      <c r="C117" s="226" t="s">
        <v>191</v>
      </c>
    </row>
    <row r="118" spans="2:3" hidden="1" x14ac:dyDescent="0.25">
      <c r="B118" s="232" t="s">
        <v>192</v>
      </c>
      <c r="C118" s="226" t="s">
        <v>193</v>
      </c>
    </row>
    <row r="119" spans="2:3" hidden="1" x14ac:dyDescent="0.25">
      <c r="B119" s="232"/>
      <c r="C119" s="226"/>
    </row>
    <row r="120" spans="2:3" hidden="1" x14ac:dyDescent="0.25">
      <c r="B120" s="230" t="s">
        <v>161</v>
      </c>
      <c r="C120" s="226" t="s">
        <v>194</v>
      </c>
    </row>
    <row r="121" spans="2:3" hidden="1" x14ac:dyDescent="0.25">
      <c r="B121" s="230" t="s">
        <v>195</v>
      </c>
      <c r="C121" s="226" t="s">
        <v>196</v>
      </c>
    </row>
    <row r="122" spans="2:3" hidden="1" x14ac:dyDescent="0.25">
      <c r="B122" s="230" t="s">
        <v>197</v>
      </c>
      <c r="C122" s="226" t="s">
        <v>198</v>
      </c>
    </row>
    <row r="123" spans="2:3" hidden="1" x14ac:dyDescent="0.25">
      <c r="B123" s="230" t="s">
        <v>316</v>
      </c>
      <c r="C123" s="226" t="s">
        <v>200</v>
      </c>
    </row>
    <row r="124" spans="2:3" hidden="1" x14ac:dyDescent="0.25">
      <c r="B124" s="230" t="s">
        <v>317</v>
      </c>
      <c r="C124" s="226" t="s">
        <v>202</v>
      </c>
    </row>
    <row r="125" spans="2:3" hidden="1" x14ac:dyDescent="0.25">
      <c r="B125" s="230" t="s">
        <v>203</v>
      </c>
      <c r="C125" s="226" t="s">
        <v>204</v>
      </c>
    </row>
    <row r="126" spans="2:3" hidden="1" x14ac:dyDescent="0.25">
      <c r="B126" s="230" t="s">
        <v>203</v>
      </c>
      <c r="C126" s="226" t="s">
        <v>205</v>
      </c>
    </row>
    <row r="127" spans="2:3" hidden="1" x14ac:dyDescent="0.25">
      <c r="B127" s="230" t="s">
        <v>203</v>
      </c>
      <c r="C127" s="226" t="s">
        <v>206</v>
      </c>
    </row>
    <row r="128" spans="2:3" hidden="1" x14ac:dyDescent="0.25">
      <c r="B128" s="230" t="s">
        <v>203</v>
      </c>
      <c r="C128" s="226" t="s">
        <v>207</v>
      </c>
    </row>
    <row r="129" spans="2:3" hidden="1" x14ac:dyDescent="0.25">
      <c r="B129" s="230" t="s">
        <v>167</v>
      </c>
      <c r="C129" s="226" t="s">
        <v>208</v>
      </c>
    </row>
    <row r="130" spans="2:3" hidden="1" x14ac:dyDescent="0.25">
      <c r="B130" s="230" t="s">
        <v>209</v>
      </c>
      <c r="C130" s="226" t="s">
        <v>210</v>
      </c>
    </row>
    <row r="131" spans="2:3" hidden="1" x14ac:dyDescent="0.25">
      <c r="B131" s="230" t="s">
        <v>203</v>
      </c>
      <c r="C131" s="226" t="s">
        <v>211</v>
      </c>
    </row>
    <row r="132" spans="2:3" hidden="1" x14ac:dyDescent="0.25">
      <c r="B132" s="226"/>
      <c r="C132" s="226"/>
    </row>
    <row r="133" spans="2:3" hidden="1" x14ac:dyDescent="0.25">
      <c r="B133" s="226"/>
      <c r="C133" s="226"/>
    </row>
    <row r="134" spans="2:3" hidden="1" x14ac:dyDescent="0.25">
      <c r="B134" s="232"/>
      <c r="C134" s="232"/>
    </row>
    <row r="135" spans="2:3" hidden="1" x14ac:dyDescent="0.25">
      <c r="B135" s="232">
        <f>NvsElapsedTime</f>
        <v>1.15740695036948E-5</v>
      </c>
      <c r="C135" s="232"/>
    </row>
    <row r="136" spans="2:3" hidden="1" x14ac:dyDescent="0.25">
      <c r="B136" s="233">
        <f>NvsEndTime</f>
        <v>41754.488101851799</v>
      </c>
      <c r="C136" s="233" t="s">
        <v>212</v>
      </c>
    </row>
    <row r="137" spans="2:3" x14ac:dyDescent="0.25">
      <c r="B137" s="226"/>
      <c r="C137" s="234"/>
    </row>
    <row r="138" spans="2:3" x14ac:dyDescent="0.25">
      <c r="B138" s="226"/>
      <c r="C138" s="226"/>
    </row>
    <row r="139" spans="2:3" x14ac:dyDescent="0.25">
      <c r="B139" s="226"/>
      <c r="C139" s="226"/>
    </row>
    <row r="140" spans="2:3" x14ac:dyDescent="0.25">
      <c r="B140" s="226"/>
      <c r="C140" s="226"/>
    </row>
    <row r="141" spans="2:3" x14ac:dyDescent="0.25">
      <c r="B141" s="226"/>
      <c r="C141" s="226"/>
    </row>
    <row r="142" spans="2:3" x14ac:dyDescent="0.25">
      <c r="B142" s="226"/>
      <c r="C142" s="226"/>
    </row>
    <row r="143" spans="2:3" x14ac:dyDescent="0.25">
      <c r="B143" s="226"/>
      <c r="C143" s="226"/>
    </row>
    <row r="144" spans="2:3" x14ac:dyDescent="0.25">
      <c r="B144" s="226"/>
      <c r="C144" s="226"/>
    </row>
    <row r="145" spans="2:3" x14ac:dyDescent="0.25">
      <c r="B145" s="226"/>
      <c r="C145" s="226"/>
    </row>
    <row r="146" spans="2:3" x14ac:dyDescent="0.25">
      <c r="B146" s="226"/>
      <c r="C146" s="226"/>
    </row>
    <row r="147" spans="2:3" x14ac:dyDescent="0.25">
      <c r="B147" s="226"/>
      <c r="C147" s="226"/>
    </row>
    <row r="148" spans="2:3" x14ac:dyDescent="0.25">
      <c r="B148" s="226"/>
      <c r="C148" s="226"/>
    </row>
    <row r="149" spans="2:3" x14ac:dyDescent="0.25">
      <c r="B149" s="226"/>
      <c r="C149" s="226"/>
    </row>
    <row r="150" spans="2:3" x14ac:dyDescent="0.25">
      <c r="B150" s="226"/>
      <c r="C150" s="226"/>
    </row>
    <row r="151" spans="2:3" x14ac:dyDescent="0.25">
      <c r="B151" s="226"/>
      <c r="C151" s="226"/>
    </row>
  </sheetData>
  <mergeCells count="151">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9:W9"/>
    <mergeCell ref="X9:Y9"/>
    <mergeCell ref="Z9:AA9"/>
    <mergeCell ref="V10:W10"/>
    <mergeCell ref="X10:Y10"/>
    <mergeCell ref="Z10:AA10"/>
    <mergeCell ref="V7:W7"/>
    <mergeCell ref="X7:Y7"/>
    <mergeCell ref="Z7:AA7"/>
    <mergeCell ref="AB7:AC7"/>
    <mergeCell ref="V8:W8"/>
    <mergeCell ref="X8:Y8"/>
    <mergeCell ref="Z8:AA8"/>
    <mergeCell ref="W2:AC2"/>
    <mergeCell ref="V3:AC3"/>
    <mergeCell ref="V4:AC4"/>
    <mergeCell ref="V5:W5"/>
    <mergeCell ref="X5:Y5"/>
    <mergeCell ref="V6:AC6"/>
  </mergeCells>
  <printOptions horizontalCentered="1"/>
  <pageMargins left="0" right="0" top="0.67" bottom="0.2" header="0.25" footer="0.196850393700787"/>
  <pageSetup scale="63" fitToWidth="2" fitToHeight="2" orientation="portrait" horizontalDpi="4294967295" verticalDpi="4294967295" r:id="rId1"/>
  <headerFooter alignWithMargins="0">
    <oddHeader>&amp;L&amp;8&amp;F
&amp;D &amp;T</oddHeader>
    <oddFooter>&amp;C&amp;P</oddFooter>
  </headerFooter>
  <rowBreaks count="1" manualBreakCount="1">
    <brk id="51" max="16383" man="1"/>
  </rowBreaks>
  <legacyDrawing r:id="rId2"/>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D151"/>
  <sheetViews>
    <sheetView topLeftCell="B2" zoomScale="70" zoomScaleNormal="70" workbookViewId="0">
      <selection activeCell="L71" sqref="L70:L71"/>
    </sheetView>
  </sheetViews>
  <sheetFormatPr defaultColWidth="8.7109375" defaultRowHeight="15.75" x14ac:dyDescent="0.25"/>
  <cols>
    <col min="1" max="1" width="11.28515625" style="1" hidden="1" customWidth="1"/>
    <col min="2" max="2" width="10.28515625" style="2" customWidth="1"/>
    <col min="3" max="3" width="29" style="1" customWidth="1"/>
    <col min="4" max="5" width="12.28515625" style="1" customWidth="1"/>
    <col min="6" max="6" width="12.28515625" style="1" hidden="1" customWidth="1"/>
    <col min="7" max="7" width="16.140625" style="1" customWidth="1"/>
    <col min="8" max="8" width="6.7109375" style="1" customWidth="1"/>
    <col min="9" max="9" width="14.28515625" style="1" customWidth="1"/>
    <col min="10" max="10" width="12.85546875" style="1" customWidth="1"/>
    <col min="11" max="11" width="16.140625" style="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28515625" style="1" customWidth="1"/>
    <col min="18" max="18" width="8.85546875" style="1"/>
    <col min="19" max="21" width="0" style="1" hidden="1" customWidth="1"/>
    <col min="22" max="23" width="8.85546875" style="1"/>
    <col min="24" max="24" width="12.7109375" style="1" customWidth="1"/>
    <col min="25" max="27" width="8.85546875" style="1"/>
    <col min="28" max="28" width="13.140625" style="1" bestFit="1" customWidth="1"/>
    <col min="29" max="16384" width="8.7109375" style="1"/>
  </cols>
  <sheetData>
    <row r="1" spans="1:30" ht="15.6"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7"/>
      <c r="N2" s="3"/>
      <c r="O2" s="1"/>
      <c r="V2" s="8">
        <f>'3961 June Final'!B2</f>
        <v>50</v>
      </c>
      <c r="W2" s="606" t="s">
        <v>4</v>
      </c>
      <c r="X2" s="607"/>
      <c r="Y2" s="608"/>
      <c r="Z2" s="608"/>
      <c r="AA2" s="608"/>
      <c r="AB2" s="608"/>
      <c r="AC2" s="608"/>
      <c r="AD2" s="9"/>
    </row>
    <row r="3" spans="1:30" ht="20.25" x14ac:dyDescent="0.3">
      <c r="B3" s="10" t="str">
        <f>"Revenue Estimate Worksheet for "&amp;B124</f>
        <v>Revenue Estimate Worksheet for Gardens Sch of Tech Arts, Inc</v>
      </c>
      <c r="C3" s="11"/>
      <c r="D3" s="11"/>
      <c r="E3" s="11"/>
      <c r="F3" s="11"/>
      <c r="G3" s="11"/>
      <c r="H3" s="11"/>
      <c r="I3" s="11"/>
      <c r="J3" s="11"/>
      <c r="K3" s="11"/>
      <c r="L3" s="11"/>
      <c r="M3" s="10"/>
      <c r="N3" s="10"/>
      <c r="O3" s="10"/>
      <c r="P3" s="10"/>
      <c r="Q3" s="10"/>
      <c r="V3" s="609" t="s">
        <v>5</v>
      </c>
      <c r="W3" s="609"/>
      <c r="X3" s="609"/>
      <c r="Y3" s="609"/>
      <c r="Z3" s="609"/>
      <c r="AA3" s="609"/>
      <c r="AB3" s="609"/>
      <c r="AC3" s="609"/>
      <c r="AD3" s="12"/>
    </row>
    <row r="4" spans="1:30" ht="18.75" x14ac:dyDescent="0.3">
      <c r="B4" s="2" t="s">
        <v>6</v>
      </c>
      <c r="C4" s="13"/>
      <c r="D4" s="13"/>
      <c r="E4" s="13"/>
      <c r="F4" s="13"/>
      <c r="G4" s="13"/>
      <c r="H4" s="13"/>
      <c r="I4" s="13"/>
      <c r="J4" s="13"/>
      <c r="K4" s="13"/>
      <c r="L4" s="13"/>
      <c r="M4" s="14"/>
      <c r="N4" s="14"/>
      <c r="O4" s="14"/>
      <c r="P4" s="14"/>
      <c r="Q4" s="14"/>
      <c r="V4" s="610" t="str">
        <f>+Based_on_the_Second_Calculation_of_the_FEFP_2010_11</f>
        <v>Based on the Fourth Calculation of the FEFP 2013-14</v>
      </c>
      <c r="W4" s="610"/>
      <c r="X4" s="610"/>
      <c r="Y4" s="610"/>
      <c r="Z4" s="610"/>
      <c r="AA4" s="610"/>
      <c r="AB4" s="610"/>
      <c r="AC4" s="610"/>
      <c r="AD4" s="15"/>
    </row>
    <row r="5" spans="1:30" ht="18.75" customHeight="1" x14ac:dyDescent="0.25">
      <c r="B5" s="16" t="s">
        <v>7</v>
      </c>
      <c r="C5" s="16"/>
      <c r="D5" s="16"/>
      <c r="E5" s="16"/>
      <c r="F5" s="16"/>
      <c r="G5" s="17" t="s">
        <v>8</v>
      </c>
      <c r="H5" s="17"/>
      <c r="I5" s="17"/>
      <c r="J5" s="17"/>
      <c r="K5" s="17"/>
      <c r="L5" s="17"/>
      <c r="M5" s="18"/>
      <c r="N5" s="18"/>
      <c r="O5" s="18"/>
      <c r="P5" s="18"/>
      <c r="Q5" s="18"/>
      <c r="V5" s="611" t="s">
        <v>7</v>
      </c>
      <c r="W5" s="611"/>
      <c r="X5" s="612" t="s">
        <v>8</v>
      </c>
      <c r="Y5" s="612"/>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613" t="s">
        <v>9</v>
      </c>
      <c r="W6" s="613"/>
      <c r="X6" s="613"/>
      <c r="Y6" s="613"/>
      <c r="Z6" s="613"/>
      <c r="AA6" s="613"/>
      <c r="AB6" s="613"/>
      <c r="AC6" s="613"/>
      <c r="AD6" s="22"/>
    </row>
    <row r="7" spans="1:30" ht="18" customHeight="1" x14ac:dyDescent="0.25">
      <c r="B7" s="23" t="s">
        <v>10</v>
      </c>
      <c r="C7" s="23"/>
      <c r="D7" s="23"/>
      <c r="E7" s="23"/>
      <c r="F7" s="23"/>
      <c r="G7" s="24">
        <v>3752.3</v>
      </c>
      <c r="H7" s="24"/>
      <c r="I7" s="23" t="s">
        <v>11</v>
      </c>
      <c r="J7" s="23"/>
      <c r="K7" s="25">
        <v>1.0326</v>
      </c>
      <c r="L7" s="25"/>
      <c r="O7" s="1"/>
      <c r="V7" s="620" t="s">
        <v>10</v>
      </c>
      <c r="W7" s="620"/>
      <c r="X7" s="621">
        <f>'3961 June Final'!G7</f>
        <v>3752.3</v>
      </c>
      <c r="Y7" s="621"/>
      <c r="Z7" s="622" t="s">
        <v>11</v>
      </c>
      <c r="AA7" s="622"/>
      <c r="AB7" s="602">
        <f>+K7</f>
        <v>1.0326</v>
      </c>
      <c r="AC7" s="602"/>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603" t="s">
        <v>12</v>
      </c>
      <c r="W8" s="603"/>
      <c r="X8" s="604" t="s">
        <v>15</v>
      </c>
      <c r="Y8" s="604"/>
      <c r="Z8" s="605" t="s">
        <v>16</v>
      </c>
      <c r="AA8" s="605"/>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614" t="s">
        <v>22</v>
      </c>
      <c r="W9" s="614"/>
      <c r="X9" s="615" t="s">
        <v>23</v>
      </c>
      <c r="Y9" s="615"/>
      <c r="Z9" s="616" t="s">
        <v>24</v>
      </c>
      <c r="AA9" s="616"/>
      <c r="AB9" s="43" t="s">
        <v>25</v>
      </c>
      <c r="AC9" s="44" t="s">
        <v>26</v>
      </c>
      <c r="AD9" s="9"/>
    </row>
    <row r="10" spans="1:30" x14ac:dyDescent="0.25">
      <c r="A10" s="1" t="s">
        <v>27</v>
      </c>
      <c r="B10" s="45" t="s">
        <v>28</v>
      </c>
      <c r="C10" s="45"/>
      <c r="D10" s="45">
        <v>45.77</v>
      </c>
      <c r="E10" s="45">
        <v>42.79</v>
      </c>
      <c r="F10" s="45">
        <v>57.21</v>
      </c>
      <c r="G10" s="46">
        <f t="shared" ref="G10:G25" si="0">D10+E10</f>
        <v>88.56</v>
      </c>
      <c r="H10" s="47"/>
      <c r="I10" s="48">
        <v>1.125</v>
      </c>
      <c r="J10" s="48"/>
      <c r="K10" s="49">
        <f t="shared" ref="K10:K25" si="1">ROUND(G10*I10,4)</f>
        <v>99.63</v>
      </c>
      <c r="L10" s="50">
        <f t="shared" ref="L10:L25" si="2">ROUND(ROUND(K10*$G$7,4)*($K$7),0)</f>
        <v>386029</v>
      </c>
      <c r="N10" s="51">
        <v>5101</v>
      </c>
      <c r="O10" s="52">
        <v>101</v>
      </c>
      <c r="P10" s="53"/>
      <c r="Q10" s="54"/>
      <c r="V10" s="617" t="s">
        <v>28</v>
      </c>
      <c r="W10" s="617"/>
      <c r="X10" s="618">
        <f>IF('3961 June Final'!K$84=1,'3961 June Final'!G10,0)</f>
        <v>0</v>
      </c>
      <c r="Y10" s="618"/>
      <c r="Z10" s="619">
        <v>1</v>
      </c>
      <c r="AA10" s="619"/>
      <c r="AB10" s="55">
        <f t="shared" ref="AB10:AB25" si="3">ROUND(X10*Z10,4)</f>
        <v>0</v>
      </c>
      <c r="AC10" s="56">
        <f t="shared" ref="AC10:AC25" si="4">ROUND(ROUND(AB10*$X$7,4)*($AB$7),0)</f>
        <v>0</v>
      </c>
      <c r="AD10" s="9">
        <v>1</v>
      </c>
    </row>
    <row r="11" spans="1:30" x14ac:dyDescent="0.25">
      <c r="A11" s="1" t="s">
        <v>29</v>
      </c>
      <c r="B11" s="13" t="s">
        <v>30</v>
      </c>
      <c r="C11" s="13"/>
      <c r="D11" s="13">
        <v>4.51</v>
      </c>
      <c r="E11" s="13">
        <v>6.6</v>
      </c>
      <c r="F11" s="13">
        <v>5.81</v>
      </c>
      <c r="G11" s="46">
        <f t="shared" si="0"/>
        <v>11.11</v>
      </c>
      <c r="H11" s="47"/>
      <c r="I11" s="57">
        <f>I10</f>
        <v>1.125</v>
      </c>
      <c r="J11" s="57"/>
      <c r="K11" s="49">
        <f t="shared" si="1"/>
        <v>12.498799999999999</v>
      </c>
      <c r="L11" s="50">
        <f t="shared" si="2"/>
        <v>48428</v>
      </c>
      <c r="M11" s="1" t="str">
        <f>IF(ROUND(G11,2)=ROUND(SUM(G28:G30),2)," ","CHECK 2. PK-3 Lines Below")</f>
        <v xml:space="preserve"> </v>
      </c>
      <c r="N11" s="51">
        <v>5101</v>
      </c>
      <c r="O11" s="58" t="s">
        <v>31</v>
      </c>
      <c r="P11" s="53"/>
      <c r="Q11" s="54"/>
      <c r="V11" s="623" t="s">
        <v>30</v>
      </c>
      <c r="W11" s="623"/>
      <c r="X11" s="618">
        <f>IF('3961 June Final'!K$84=1,'3961 June Final'!G11,0)</f>
        <v>0</v>
      </c>
      <c r="Y11" s="618"/>
      <c r="Z11" s="624">
        <v>1</v>
      </c>
      <c r="AA11" s="624"/>
      <c r="AB11" s="55">
        <f t="shared" si="3"/>
        <v>0</v>
      </c>
      <c r="AC11" s="56">
        <f t="shared" si="4"/>
        <v>0</v>
      </c>
      <c r="AD11" s="9"/>
    </row>
    <row r="12" spans="1:30" x14ac:dyDescent="0.25">
      <c r="A12" s="1" t="s">
        <v>32</v>
      </c>
      <c r="B12" s="13" t="s">
        <v>33</v>
      </c>
      <c r="C12" s="13"/>
      <c r="D12" s="13">
        <v>61</v>
      </c>
      <c r="E12" s="13">
        <v>59.46</v>
      </c>
      <c r="F12" s="13">
        <v>77.58</v>
      </c>
      <c r="G12" s="46">
        <f t="shared" si="0"/>
        <v>120.46000000000001</v>
      </c>
      <c r="H12" s="47"/>
      <c r="I12" s="57">
        <v>1</v>
      </c>
      <c r="J12" s="57"/>
      <c r="K12" s="49">
        <f t="shared" si="1"/>
        <v>120.46</v>
      </c>
      <c r="L12" s="50">
        <f t="shared" si="2"/>
        <v>466737</v>
      </c>
      <c r="N12" s="51">
        <v>5102</v>
      </c>
      <c r="O12" s="52">
        <v>102</v>
      </c>
      <c r="P12" s="53"/>
      <c r="Q12" s="54"/>
      <c r="V12" s="623" t="s">
        <v>33</v>
      </c>
      <c r="W12" s="623"/>
      <c r="X12" s="618">
        <f>IF('3961 June Final'!K$84=1,'3961 June Final'!G12,0)</f>
        <v>0</v>
      </c>
      <c r="Y12" s="618"/>
      <c r="Z12" s="624">
        <v>1</v>
      </c>
      <c r="AA12" s="624"/>
      <c r="AB12" s="55">
        <f t="shared" si="3"/>
        <v>0</v>
      </c>
      <c r="AC12" s="56">
        <f t="shared" si="4"/>
        <v>0</v>
      </c>
      <c r="AD12" s="9"/>
    </row>
    <row r="13" spans="1:30" x14ac:dyDescent="0.25">
      <c r="A13" s="1" t="s">
        <v>34</v>
      </c>
      <c r="B13" s="13" t="s">
        <v>35</v>
      </c>
      <c r="C13" s="13"/>
      <c r="D13" s="13">
        <v>3.59</v>
      </c>
      <c r="E13" s="13">
        <v>2.5099999999999998</v>
      </c>
      <c r="F13" s="13">
        <v>4.46</v>
      </c>
      <c r="G13" s="46">
        <f t="shared" si="0"/>
        <v>6.1</v>
      </c>
      <c r="H13" s="47"/>
      <c r="I13" s="57">
        <f>I12</f>
        <v>1</v>
      </c>
      <c r="J13" s="57"/>
      <c r="K13" s="49">
        <f t="shared" si="1"/>
        <v>6.1</v>
      </c>
      <c r="L13" s="50">
        <f t="shared" si="2"/>
        <v>23635</v>
      </c>
      <c r="M13" s="1" t="str">
        <f>IF(ROUND(G13,2)=ROUND(SUM(G31:G33),2)," ","CHECK 2. PK-3 Lines Below")</f>
        <v xml:space="preserve"> </v>
      </c>
      <c r="N13" s="51">
        <v>5102</v>
      </c>
      <c r="O13" s="58" t="s">
        <v>36</v>
      </c>
      <c r="P13" s="53"/>
      <c r="Q13" s="54"/>
      <c r="V13" s="623" t="s">
        <v>35</v>
      </c>
      <c r="W13" s="623"/>
      <c r="X13" s="618">
        <f>IF('3961 June Final'!K$84=1,'3961 June Final'!G13,0)</f>
        <v>0</v>
      </c>
      <c r="Y13" s="618"/>
      <c r="Z13" s="624">
        <v>1</v>
      </c>
      <c r="AA13" s="624"/>
      <c r="AB13" s="55">
        <f t="shared" si="3"/>
        <v>0</v>
      </c>
      <c r="AC13" s="56">
        <f t="shared" si="4"/>
        <v>0</v>
      </c>
      <c r="AD13" s="9"/>
    </row>
    <row r="14" spans="1:30" x14ac:dyDescent="0.25">
      <c r="A14" s="1" t="s">
        <v>37</v>
      </c>
      <c r="B14" s="13" t="s">
        <v>38</v>
      </c>
      <c r="C14" s="13"/>
      <c r="D14" s="13">
        <v>0</v>
      </c>
      <c r="E14" s="13">
        <v>0</v>
      </c>
      <c r="F14" s="13">
        <v>0</v>
      </c>
      <c r="G14" s="46">
        <f t="shared" si="0"/>
        <v>0</v>
      </c>
      <c r="H14" s="47"/>
      <c r="I14" s="57">
        <v>1.0109999999999999</v>
      </c>
      <c r="J14" s="57"/>
      <c r="K14" s="49">
        <f t="shared" si="1"/>
        <v>0</v>
      </c>
      <c r="L14" s="50">
        <f t="shared" si="2"/>
        <v>0</v>
      </c>
      <c r="N14" s="51">
        <v>5103</v>
      </c>
      <c r="O14" s="52">
        <v>103</v>
      </c>
      <c r="P14" s="53"/>
      <c r="Q14" s="54"/>
      <c r="V14" s="623" t="s">
        <v>38</v>
      </c>
      <c r="W14" s="623"/>
      <c r="X14" s="618">
        <f>IF('3961 June Final'!K$84=1,'3961 June Final'!G14,0)</f>
        <v>0</v>
      </c>
      <c r="Y14" s="618"/>
      <c r="Z14" s="624">
        <v>1</v>
      </c>
      <c r="AA14" s="624"/>
      <c r="AB14" s="55">
        <f t="shared" si="3"/>
        <v>0</v>
      </c>
      <c r="AC14" s="56">
        <f t="shared" si="4"/>
        <v>0</v>
      </c>
      <c r="AD14" s="9"/>
    </row>
    <row r="15" spans="1:30" x14ac:dyDescent="0.25">
      <c r="A15" s="1" t="s">
        <v>39</v>
      </c>
      <c r="B15" s="13" t="s">
        <v>40</v>
      </c>
      <c r="C15" s="13"/>
      <c r="D15" s="13">
        <v>0</v>
      </c>
      <c r="E15" s="13">
        <v>0</v>
      </c>
      <c r="F15" s="13">
        <v>0</v>
      </c>
      <c r="G15" s="46">
        <f t="shared" si="0"/>
        <v>0</v>
      </c>
      <c r="H15" s="47"/>
      <c r="I15" s="57">
        <f>I14</f>
        <v>1.0109999999999999</v>
      </c>
      <c r="J15" s="57"/>
      <c r="K15" s="49">
        <f t="shared" si="1"/>
        <v>0</v>
      </c>
      <c r="L15" s="59">
        <f t="shared" si="2"/>
        <v>0</v>
      </c>
      <c r="M15" s="1" t="str">
        <f>IF(ROUND(G15,2)=ROUND(SUM(G34:G36),2)," ","CHECK 2. PK-3 Lines Below")</f>
        <v xml:space="preserve"> </v>
      </c>
      <c r="N15" s="51">
        <v>5103</v>
      </c>
      <c r="O15" s="58" t="s">
        <v>41</v>
      </c>
      <c r="P15" s="53"/>
      <c r="Q15" s="54"/>
      <c r="V15" s="623" t="s">
        <v>40</v>
      </c>
      <c r="W15" s="623"/>
      <c r="X15" s="618">
        <f>IF('3961 June Final'!K$84=1,'3961 June Final'!G15,0)</f>
        <v>0</v>
      </c>
      <c r="Y15" s="618"/>
      <c r="Z15" s="624">
        <v>1</v>
      </c>
      <c r="AA15" s="624"/>
      <c r="AB15" s="55">
        <f t="shared" si="3"/>
        <v>0</v>
      </c>
      <c r="AC15" s="60">
        <f t="shared" si="4"/>
        <v>0</v>
      </c>
      <c r="AD15" s="9"/>
    </row>
    <row r="16" spans="1:30" x14ac:dyDescent="0.25">
      <c r="A16" s="1" t="s">
        <v>42</v>
      </c>
      <c r="B16" s="13" t="s">
        <v>43</v>
      </c>
      <c r="C16" s="13"/>
      <c r="D16" s="13">
        <v>0</v>
      </c>
      <c r="E16" s="13">
        <v>0</v>
      </c>
      <c r="F16" s="13">
        <v>0</v>
      </c>
      <c r="G16" s="46">
        <f t="shared" si="0"/>
        <v>0</v>
      </c>
      <c r="H16" s="47"/>
      <c r="I16" s="57">
        <v>3.5579999999999998</v>
      </c>
      <c r="J16" s="57"/>
      <c r="K16" s="49">
        <f t="shared" si="1"/>
        <v>0</v>
      </c>
      <c r="L16" s="50">
        <f t="shared" si="2"/>
        <v>0</v>
      </c>
      <c r="N16" s="51">
        <v>5101</v>
      </c>
      <c r="O16" s="53">
        <v>254</v>
      </c>
      <c r="P16" s="53"/>
      <c r="Q16" s="54"/>
      <c r="V16" s="623" t="s">
        <v>43</v>
      </c>
      <c r="W16" s="623"/>
      <c r="X16" s="618">
        <f>IF('3961 June Final'!K$84=1,'3961 June Final'!G16,0)</f>
        <v>0</v>
      </c>
      <c r="Y16" s="618"/>
      <c r="Z16" s="624">
        <v>1</v>
      </c>
      <c r="AA16" s="624"/>
      <c r="AB16" s="55">
        <f t="shared" si="3"/>
        <v>0</v>
      </c>
      <c r="AC16" s="56">
        <f t="shared" si="4"/>
        <v>0</v>
      </c>
      <c r="AD16" s="9"/>
    </row>
    <row r="17" spans="1:30" x14ac:dyDescent="0.25">
      <c r="A17" s="1" t="s">
        <v>44</v>
      </c>
      <c r="B17" s="13" t="s">
        <v>45</v>
      </c>
      <c r="C17" s="13"/>
      <c r="D17" s="13">
        <v>0</v>
      </c>
      <c r="E17" s="13">
        <v>0</v>
      </c>
      <c r="F17" s="13">
        <v>0</v>
      </c>
      <c r="G17" s="46">
        <f t="shared" si="0"/>
        <v>0</v>
      </c>
      <c r="H17" s="47"/>
      <c r="I17" s="57">
        <f>I16</f>
        <v>3.5579999999999998</v>
      </c>
      <c r="J17" s="57"/>
      <c r="K17" s="49">
        <f t="shared" si="1"/>
        <v>0</v>
      </c>
      <c r="L17" s="50">
        <f t="shared" si="2"/>
        <v>0</v>
      </c>
      <c r="N17" s="51">
        <v>5102</v>
      </c>
      <c r="O17" s="54">
        <v>254</v>
      </c>
      <c r="P17" s="53"/>
      <c r="Q17" s="54"/>
      <c r="V17" s="623" t="s">
        <v>45</v>
      </c>
      <c r="W17" s="623"/>
      <c r="X17" s="618">
        <f>IF('3961 June Final'!K$84=1,'3961 June Final'!G17,0)</f>
        <v>0</v>
      </c>
      <c r="Y17" s="618"/>
      <c r="Z17" s="624">
        <v>1</v>
      </c>
      <c r="AA17" s="624"/>
      <c r="AB17" s="55">
        <f t="shared" si="3"/>
        <v>0</v>
      </c>
      <c r="AC17" s="56">
        <f t="shared" si="4"/>
        <v>0</v>
      </c>
      <c r="AD17" s="9"/>
    </row>
    <row r="18" spans="1:30" x14ac:dyDescent="0.25">
      <c r="A18" s="1" t="s">
        <v>46</v>
      </c>
      <c r="B18" s="13" t="s">
        <v>47</v>
      </c>
      <c r="C18" s="13"/>
      <c r="D18" s="13">
        <v>0</v>
      </c>
      <c r="E18" s="13">
        <v>0</v>
      </c>
      <c r="F18" s="13">
        <v>0</v>
      </c>
      <c r="G18" s="46">
        <f t="shared" si="0"/>
        <v>0</v>
      </c>
      <c r="H18" s="47"/>
      <c r="I18" s="57">
        <f>I17</f>
        <v>3.5579999999999998</v>
      </c>
      <c r="J18" s="57"/>
      <c r="K18" s="49">
        <f t="shared" si="1"/>
        <v>0</v>
      </c>
      <c r="L18" s="50">
        <f t="shared" si="2"/>
        <v>0</v>
      </c>
      <c r="N18" s="51">
        <v>5103</v>
      </c>
      <c r="O18" s="54">
        <v>254</v>
      </c>
      <c r="P18" s="53"/>
      <c r="Q18" s="54"/>
      <c r="V18" s="623" t="s">
        <v>47</v>
      </c>
      <c r="W18" s="623"/>
      <c r="X18" s="618">
        <f>IF('3961 June Final'!K$84=1,'3961 June Final'!G18,0)</f>
        <v>0</v>
      </c>
      <c r="Y18" s="618"/>
      <c r="Z18" s="624">
        <v>1</v>
      </c>
      <c r="AA18" s="624"/>
      <c r="AB18" s="55">
        <f t="shared" si="3"/>
        <v>0</v>
      </c>
      <c r="AC18" s="56">
        <f t="shared" si="4"/>
        <v>0</v>
      </c>
      <c r="AD18" s="9"/>
    </row>
    <row r="19" spans="1:30" ht="15" customHeight="1" x14ac:dyDescent="0.25">
      <c r="A19" s="1" t="s">
        <v>48</v>
      </c>
      <c r="B19" s="13" t="s">
        <v>49</v>
      </c>
      <c r="C19" s="13"/>
      <c r="D19" s="13">
        <v>0</v>
      </c>
      <c r="E19" s="13">
        <v>0</v>
      </c>
      <c r="F19" s="13">
        <v>0</v>
      </c>
      <c r="G19" s="46">
        <f t="shared" si="0"/>
        <v>0</v>
      </c>
      <c r="H19" s="47"/>
      <c r="I19" s="57">
        <v>5.0890000000000004</v>
      </c>
      <c r="J19" s="57"/>
      <c r="K19" s="49">
        <f t="shared" si="1"/>
        <v>0</v>
      </c>
      <c r="L19" s="50">
        <f t="shared" si="2"/>
        <v>0</v>
      </c>
      <c r="N19" s="51">
        <v>5101</v>
      </c>
      <c r="O19" s="53">
        <v>255</v>
      </c>
      <c r="P19" s="53"/>
      <c r="Q19" s="54"/>
      <c r="V19" s="623" t="s">
        <v>49</v>
      </c>
      <c r="W19" s="623"/>
      <c r="X19" s="618">
        <f>IF('3961 June Final'!K$84=1,'3961 June Final'!G19,0)</f>
        <v>0</v>
      </c>
      <c r="Y19" s="618"/>
      <c r="Z19" s="624">
        <v>1</v>
      </c>
      <c r="AA19" s="624"/>
      <c r="AB19" s="55">
        <f t="shared" si="3"/>
        <v>0</v>
      </c>
      <c r="AC19" s="56">
        <f t="shared" si="4"/>
        <v>0</v>
      </c>
      <c r="AD19" s="9"/>
    </row>
    <row r="20" spans="1:30" ht="15" customHeight="1" x14ac:dyDescent="0.25">
      <c r="A20" s="1" t="s">
        <v>50</v>
      </c>
      <c r="B20" s="13" t="s">
        <v>51</v>
      </c>
      <c r="C20" s="13"/>
      <c r="D20" s="13">
        <v>0</v>
      </c>
      <c r="E20" s="13">
        <v>0</v>
      </c>
      <c r="F20" s="13">
        <v>0</v>
      </c>
      <c r="G20" s="46">
        <f t="shared" si="0"/>
        <v>0</v>
      </c>
      <c r="H20" s="47"/>
      <c r="I20" s="57">
        <f>I19</f>
        <v>5.0890000000000004</v>
      </c>
      <c r="J20" s="57"/>
      <c r="K20" s="49">
        <f t="shared" si="1"/>
        <v>0</v>
      </c>
      <c r="L20" s="50">
        <f t="shared" si="2"/>
        <v>0</v>
      </c>
      <c r="N20" s="51">
        <v>5102</v>
      </c>
      <c r="O20" s="54">
        <v>255</v>
      </c>
      <c r="P20" s="53"/>
      <c r="Q20" s="54"/>
      <c r="V20" s="623" t="s">
        <v>51</v>
      </c>
      <c r="W20" s="623"/>
      <c r="X20" s="618">
        <f>IF('3961 June Final'!K$84=1,'3961 June Final'!G20,0)</f>
        <v>0</v>
      </c>
      <c r="Y20" s="618"/>
      <c r="Z20" s="624">
        <v>1</v>
      </c>
      <c r="AA20" s="624"/>
      <c r="AB20" s="55">
        <f t="shared" si="3"/>
        <v>0</v>
      </c>
      <c r="AC20" s="56">
        <f t="shared" si="4"/>
        <v>0</v>
      </c>
      <c r="AD20" s="9"/>
    </row>
    <row r="21" spans="1:30" ht="15" customHeight="1" x14ac:dyDescent="0.25">
      <c r="A21" s="1" t="s">
        <v>52</v>
      </c>
      <c r="B21" s="13" t="s">
        <v>53</v>
      </c>
      <c r="C21" s="13"/>
      <c r="D21" s="13">
        <v>0</v>
      </c>
      <c r="E21" s="13">
        <v>0</v>
      </c>
      <c r="F21" s="13">
        <v>0</v>
      </c>
      <c r="G21" s="46">
        <f t="shared" si="0"/>
        <v>0</v>
      </c>
      <c r="H21" s="47"/>
      <c r="I21" s="57">
        <f>I20</f>
        <v>5.0890000000000004</v>
      </c>
      <c r="J21" s="57"/>
      <c r="K21" s="49">
        <f t="shared" si="1"/>
        <v>0</v>
      </c>
      <c r="L21" s="50">
        <f t="shared" si="2"/>
        <v>0</v>
      </c>
      <c r="N21" s="51">
        <v>5103</v>
      </c>
      <c r="O21" s="54">
        <v>255</v>
      </c>
      <c r="P21" s="53"/>
      <c r="Q21" s="54"/>
      <c r="V21" s="623" t="s">
        <v>53</v>
      </c>
      <c r="W21" s="623"/>
      <c r="X21" s="618">
        <f>IF('3961 June Final'!K$84=1,'3961 June Final'!G21,0)</f>
        <v>0</v>
      </c>
      <c r="Y21" s="618"/>
      <c r="Z21" s="624">
        <v>1</v>
      </c>
      <c r="AA21" s="624"/>
      <c r="AB21" s="55">
        <f t="shared" si="3"/>
        <v>0</v>
      </c>
      <c r="AC21" s="56">
        <f t="shared" si="4"/>
        <v>0</v>
      </c>
      <c r="AD21" s="9"/>
    </row>
    <row r="22" spans="1:30" x14ac:dyDescent="0.25">
      <c r="A22" s="1" t="s">
        <v>54</v>
      </c>
      <c r="B22" s="13" t="s">
        <v>55</v>
      </c>
      <c r="C22" s="13"/>
      <c r="D22" s="13">
        <v>1.74</v>
      </c>
      <c r="E22" s="13">
        <v>1.3</v>
      </c>
      <c r="F22" s="13">
        <v>2.73</v>
      </c>
      <c r="G22" s="46">
        <f t="shared" si="0"/>
        <v>3.04</v>
      </c>
      <c r="H22" s="47"/>
      <c r="I22" s="57">
        <v>1.145</v>
      </c>
      <c r="J22" s="57"/>
      <c r="K22" s="49">
        <f t="shared" si="1"/>
        <v>3.4807999999999999</v>
      </c>
      <c r="L22" s="50">
        <f t="shared" si="2"/>
        <v>13487</v>
      </c>
      <c r="N22" s="51">
        <v>5101</v>
      </c>
      <c r="O22" s="52">
        <v>130</v>
      </c>
      <c r="P22" s="53"/>
      <c r="Q22" s="54"/>
      <c r="V22" s="623" t="s">
        <v>55</v>
      </c>
      <c r="W22" s="623"/>
      <c r="X22" s="618">
        <f>IF('3961 June Final'!K$84=1,'3961 June Final'!G22,0)</f>
        <v>0</v>
      </c>
      <c r="Y22" s="618"/>
      <c r="Z22" s="624">
        <v>1</v>
      </c>
      <c r="AA22" s="624"/>
      <c r="AB22" s="55">
        <f t="shared" si="3"/>
        <v>0</v>
      </c>
      <c r="AC22" s="56">
        <f t="shared" si="4"/>
        <v>0</v>
      </c>
      <c r="AD22" s="9"/>
    </row>
    <row r="23" spans="1:30" x14ac:dyDescent="0.25">
      <c r="A23" s="1" t="s">
        <v>56</v>
      </c>
      <c r="B23" s="13" t="s">
        <v>57</v>
      </c>
      <c r="C23" s="13"/>
      <c r="D23" s="13">
        <v>0.44</v>
      </c>
      <c r="E23" s="13">
        <v>0.44</v>
      </c>
      <c r="F23" s="13">
        <v>0</v>
      </c>
      <c r="G23" s="46">
        <f t="shared" si="0"/>
        <v>0.88</v>
      </c>
      <c r="H23" s="47"/>
      <c r="I23" s="57">
        <f>I22</f>
        <v>1.145</v>
      </c>
      <c r="J23" s="57"/>
      <c r="K23" s="49">
        <f t="shared" si="1"/>
        <v>1.0076000000000001</v>
      </c>
      <c r="L23" s="50">
        <f t="shared" si="2"/>
        <v>3904</v>
      </c>
      <c r="N23" s="51">
        <v>5102</v>
      </c>
      <c r="O23" s="52">
        <v>130</v>
      </c>
      <c r="P23" s="53"/>
      <c r="Q23" s="54"/>
      <c r="V23" s="623" t="s">
        <v>57</v>
      </c>
      <c r="W23" s="623"/>
      <c r="X23" s="618">
        <f>IF('3961 June Final'!K$84=1,'3961 June Final'!G23,0)</f>
        <v>0</v>
      </c>
      <c r="Y23" s="618"/>
      <c r="Z23" s="624">
        <v>1</v>
      </c>
      <c r="AA23" s="624"/>
      <c r="AB23" s="55">
        <f t="shared" si="3"/>
        <v>0</v>
      </c>
      <c r="AC23" s="56">
        <f t="shared" si="4"/>
        <v>0</v>
      </c>
      <c r="AD23" s="9"/>
    </row>
    <row r="24" spans="1:30" x14ac:dyDescent="0.25">
      <c r="A24" s="1" t="s">
        <v>58</v>
      </c>
      <c r="B24" s="13" t="s">
        <v>59</v>
      </c>
      <c r="C24" s="13"/>
      <c r="D24" s="13">
        <v>0</v>
      </c>
      <c r="E24" s="13">
        <v>0</v>
      </c>
      <c r="F24" s="13">
        <v>0</v>
      </c>
      <c r="G24" s="46">
        <f t="shared" si="0"/>
        <v>0</v>
      </c>
      <c r="H24" s="47"/>
      <c r="I24" s="57">
        <f>I23</f>
        <v>1.145</v>
      </c>
      <c r="J24" s="57"/>
      <c r="K24" s="49">
        <f t="shared" si="1"/>
        <v>0</v>
      </c>
      <c r="L24" s="50">
        <f t="shared" si="2"/>
        <v>0</v>
      </c>
      <c r="N24" s="51">
        <v>5103</v>
      </c>
      <c r="O24" s="52">
        <v>130</v>
      </c>
      <c r="P24" s="53"/>
      <c r="Q24" s="54"/>
      <c r="V24" s="623" t="s">
        <v>59</v>
      </c>
      <c r="W24" s="623"/>
      <c r="X24" s="618">
        <f>IF('3961 June Final'!K$84=1,'3961 June Final'!G24,0)</f>
        <v>0</v>
      </c>
      <c r="Y24" s="618"/>
      <c r="Z24" s="624">
        <v>1</v>
      </c>
      <c r="AA24" s="624"/>
      <c r="AB24" s="55">
        <f t="shared" si="3"/>
        <v>0</v>
      </c>
      <c r="AC24" s="56">
        <f t="shared" si="4"/>
        <v>0</v>
      </c>
      <c r="AD24" s="9"/>
    </row>
    <row r="25" spans="1:30" ht="16.5" thickBot="1" x14ac:dyDescent="0.3">
      <c r="A25" s="1" t="s">
        <v>60</v>
      </c>
      <c r="B25" s="13" t="s">
        <v>61</v>
      </c>
      <c r="C25" s="13"/>
      <c r="D25" s="13">
        <v>0</v>
      </c>
      <c r="E25" s="13">
        <v>0</v>
      </c>
      <c r="F25" s="13">
        <v>0</v>
      </c>
      <c r="G25" s="46">
        <f t="shared" si="0"/>
        <v>0</v>
      </c>
      <c r="H25" s="47"/>
      <c r="I25" s="57">
        <v>1.0109999999999999</v>
      </c>
      <c r="J25" s="57"/>
      <c r="K25" s="49">
        <f t="shared" si="1"/>
        <v>0</v>
      </c>
      <c r="L25" s="50">
        <f t="shared" si="2"/>
        <v>0</v>
      </c>
      <c r="N25" s="51">
        <v>5310</v>
      </c>
      <c r="O25" s="52">
        <v>300</v>
      </c>
      <c r="P25" s="53"/>
      <c r="Q25" s="54"/>
      <c r="V25" s="623" t="s">
        <v>61</v>
      </c>
      <c r="W25" s="623"/>
      <c r="X25" s="618">
        <f>IF('3961 June Final'!K$84=1,'3961 June Final'!G25,0)</f>
        <v>0</v>
      </c>
      <c r="Y25" s="618"/>
      <c r="Z25" s="624">
        <v>1</v>
      </c>
      <c r="AA25" s="624"/>
      <c r="AB25" s="55">
        <f t="shared" si="3"/>
        <v>0</v>
      </c>
      <c r="AC25" s="56">
        <f t="shared" si="4"/>
        <v>0</v>
      </c>
      <c r="AD25" s="9"/>
    </row>
    <row r="26" spans="1:30" ht="20.25" customHeight="1" thickBot="1" x14ac:dyDescent="0.3">
      <c r="B26" s="62" t="s">
        <v>62</v>
      </c>
      <c r="C26" s="62"/>
      <c r="D26" s="63">
        <f>SUM(D10:D25)</f>
        <v>117.05</v>
      </c>
      <c r="E26" s="63">
        <f>SUM(E10:E25)</f>
        <v>113.1</v>
      </c>
      <c r="F26" s="63"/>
      <c r="G26" s="63">
        <f>SUM(G10:G25)</f>
        <v>230.14999999999998</v>
      </c>
      <c r="H26" s="64"/>
      <c r="I26" s="64"/>
      <c r="J26" s="65"/>
      <c r="K26" s="66">
        <f>SUM(K10:K25)</f>
        <v>243.17719999999997</v>
      </c>
      <c r="L26" s="67">
        <f>SUM(L10:L25)</f>
        <v>942220</v>
      </c>
      <c r="N26" s="54"/>
      <c r="O26" s="68"/>
      <c r="P26" s="54"/>
      <c r="Q26" s="54"/>
      <c r="V26" s="625" t="s">
        <v>62</v>
      </c>
      <c r="W26" s="625"/>
      <c r="X26" s="626">
        <f>SUM(X10:X25)</f>
        <v>0</v>
      </c>
      <c r="Y26" s="626"/>
      <c r="Z26" s="627"/>
      <c r="AA26" s="628"/>
      <c r="AB26" s="69">
        <f>SUM(AB10:AB25)</f>
        <v>0</v>
      </c>
      <c r="AC26" s="70">
        <f>SUM(AC10:AC25)</f>
        <v>0</v>
      </c>
      <c r="AD26" s="9"/>
    </row>
    <row r="27" spans="1:30" ht="51.75" customHeight="1" x14ac:dyDescent="0.25">
      <c r="B27" s="62" t="s">
        <v>63</v>
      </c>
      <c r="C27" s="62"/>
      <c r="D27" s="71" t="s">
        <v>13</v>
      </c>
      <c r="E27" s="71" t="s">
        <v>14</v>
      </c>
      <c r="F27" s="27"/>
      <c r="G27" s="72" t="s">
        <v>64</v>
      </c>
      <c r="H27" s="73"/>
      <c r="I27" s="74" t="s">
        <v>65</v>
      </c>
      <c r="J27" s="74" t="s">
        <v>66</v>
      </c>
      <c r="K27" s="75" t="s">
        <v>67</v>
      </c>
      <c r="N27" s="54"/>
      <c r="O27" s="68"/>
      <c r="P27" s="54"/>
      <c r="Q27" s="54"/>
      <c r="V27" s="629" t="s">
        <v>63</v>
      </c>
      <c r="W27" s="629"/>
      <c r="X27" s="630" t="s">
        <v>64</v>
      </c>
      <c r="Y27" s="630"/>
      <c r="Z27" s="76" t="s">
        <v>65</v>
      </c>
      <c r="AA27" s="77" t="s">
        <v>66</v>
      </c>
      <c r="AB27" s="78" t="s">
        <v>67</v>
      </c>
      <c r="AC27" s="9"/>
      <c r="AD27" s="9"/>
    </row>
    <row r="28" spans="1:30" ht="15.75" customHeight="1" x14ac:dyDescent="0.25">
      <c r="A28" s="1" t="s">
        <v>68</v>
      </c>
      <c r="B28" s="631" t="s">
        <v>69</v>
      </c>
      <c r="C28" s="632"/>
      <c r="D28" s="582">
        <v>4.51</v>
      </c>
      <c r="E28" s="582">
        <v>6.6</v>
      </c>
      <c r="F28" s="79">
        <v>3.5</v>
      </c>
      <c r="G28" s="46">
        <f t="shared" ref="G28:G36" si="5">D28+E28</f>
        <v>11.11</v>
      </c>
      <c r="H28" s="80"/>
      <c r="I28" s="81" t="s">
        <v>70</v>
      </c>
      <c r="J28" s="82">
        <v>251</v>
      </c>
      <c r="K28" s="83">
        <v>1047</v>
      </c>
      <c r="L28" s="84">
        <f t="shared" ref="L28:L36" si="6">ROUND(G28*K28,0)</f>
        <v>11632</v>
      </c>
      <c r="N28" s="337">
        <v>5101</v>
      </c>
      <c r="O28" s="54">
        <v>251</v>
      </c>
      <c r="P28" s="86"/>
      <c r="Q28" s="87"/>
      <c r="V28" s="637" t="s">
        <v>69</v>
      </c>
      <c r="W28" s="637"/>
      <c r="X28" s="638"/>
      <c r="Y28" s="638"/>
      <c r="Z28" s="88" t="s">
        <v>70</v>
      </c>
      <c r="AA28" s="330">
        <v>251</v>
      </c>
      <c r="AB28" s="90">
        <f t="shared" ref="AB28:AB36" si="7">+K28</f>
        <v>1047</v>
      </c>
      <c r="AC28" s="91">
        <f t="shared" ref="AC28:AC36" si="8">ROUND(X28*AB28,0)</f>
        <v>0</v>
      </c>
      <c r="AD28" s="9"/>
    </row>
    <row r="29" spans="1:30" x14ac:dyDescent="0.25">
      <c r="A29" s="1" t="s">
        <v>71</v>
      </c>
      <c r="B29" s="633"/>
      <c r="C29" s="634"/>
      <c r="D29" s="582">
        <v>0</v>
      </c>
      <c r="E29" s="582">
        <v>0</v>
      </c>
      <c r="F29" s="92">
        <v>0</v>
      </c>
      <c r="G29" s="46">
        <f t="shared" si="5"/>
        <v>0</v>
      </c>
      <c r="H29" s="80"/>
      <c r="I29" s="82" t="s">
        <v>70</v>
      </c>
      <c r="J29" s="82">
        <v>252</v>
      </c>
      <c r="K29" s="83">
        <v>3380</v>
      </c>
      <c r="L29" s="84">
        <f t="shared" si="6"/>
        <v>0</v>
      </c>
      <c r="N29" s="337">
        <v>5101</v>
      </c>
      <c r="O29" s="54">
        <v>252</v>
      </c>
      <c r="P29" s="86"/>
      <c r="Q29" s="87"/>
      <c r="V29" s="637"/>
      <c r="W29" s="637"/>
      <c r="X29" s="638"/>
      <c r="Y29" s="638"/>
      <c r="Z29" s="330" t="s">
        <v>70</v>
      </c>
      <c r="AA29" s="330">
        <v>252</v>
      </c>
      <c r="AB29" s="90">
        <f t="shared" si="7"/>
        <v>3380</v>
      </c>
      <c r="AC29" s="91">
        <f t="shared" si="8"/>
        <v>0</v>
      </c>
      <c r="AD29" s="9"/>
    </row>
    <row r="30" spans="1:30" x14ac:dyDescent="0.25">
      <c r="A30" s="1" t="s">
        <v>72</v>
      </c>
      <c r="B30" s="633"/>
      <c r="C30" s="634"/>
      <c r="D30" s="582">
        <v>0</v>
      </c>
      <c r="E30" s="582">
        <v>0</v>
      </c>
      <c r="F30" s="92">
        <v>0</v>
      </c>
      <c r="G30" s="46">
        <f t="shared" si="5"/>
        <v>0</v>
      </c>
      <c r="H30" s="80"/>
      <c r="I30" s="82" t="s">
        <v>70</v>
      </c>
      <c r="J30" s="82">
        <v>253</v>
      </c>
      <c r="K30" s="83">
        <v>6896</v>
      </c>
      <c r="L30" s="84">
        <f t="shared" si="6"/>
        <v>0</v>
      </c>
      <c r="N30" s="337">
        <v>5101</v>
      </c>
      <c r="O30" s="54">
        <v>253</v>
      </c>
      <c r="P30" s="86"/>
      <c r="Q30" s="68"/>
      <c r="V30" s="637"/>
      <c r="W30" s="637"/>
      <c r="X30" s="638"/>
      <c r="Y30" s="638"/>
      <c r="Z30" s="330" t="s">
        <v>70</v>
      </c>
      <c r="AA30" s="330">
        <v>253</v>
      </c>
      <c r="AB30" s="90">
        <f t="shared" si="7"/>
        <v>6896</v>
      </c>
      <c r="AC30" s="91">
        <f t="shared" si="8"/>
        <v>0</v>
      </c>
      <c r="AD30" s="9"/>
    </row>
    <row r="31" spans="1:30" x14ac:dyDescent="0.25">
      <c r="A31" s="1" t="s">
        <v>73</v>
      </c>
      <c r="B31" s="633"/>
      <c r="C31" s="634"/>
      <c r="D31" s="582">
        <v>3.59</v>
      </c>
      <c r="E31" s="582">
        <v>2.5099999999999998</v>
      </c>
      <c r="F31" s="92">
        <v>3</v>
      </c>
      <c r="G31" s="46">
        <f t="shared" si="5"/>
        <v>6.1</v>
      </c>
      <c r="H31" s="80"/>
      <c r="I31" s="93" t="s">
        <v>74</v>
      </c>
      <c r="J31" s="82">
        <v>251</v>
      </c>
      <c r="K31" s="83">
        <v>1173</v>
      </c>
      <c r="L31" s="84">
        <f t="shared" si="6"/>
        <v>7155</v>
      </c>
      <c r="N31" s="337">
        <v>5102</v>
      </c>
      <c r="O31" s="54">
        <v>251</v>
      </c>
      <c r="P31" s="86"/>
      <c r="Q31" s="68"/>
      <c r="V31" s="637"/>
      <c r="W31" s="637"/>
      <c r="X31" s="638"/>
      <c r="Y31" s="638"/>
      <c r="Z31" s="94" t="s">
        <v>74</v>
      </c>
      <c r="AA31" s="330">
        <v>251</v>
      </c>
      <c r="AB31" s="90">
        <f t="shared" si="7"/>
        <v>1173</v>
      </c>
      <c r="AC31" s="91">
        <f t="shared" si="8"/>
        <v>0</v>
      </c>
      <c r="AD31" s="9"/>
    </row>
    <row r="32" spans="1:30" x14ac:dyDescent="0.25">
      <c r="A32" s="1" t="s">
        <v>75</v>
      </c>
      <c r="B32" s="633"/>
      <c r="C32" s="634"/>
      <c r="D32" s="582">
        <v>0</v>
      </c>
      <c r="E32" s="582">
        <v>0</v>
      </c>
      <c r="F32" s="92">
        <v>0</v>
      </c>
      <c r="G32" s="46">
        <f t="shared" si="5"/>
        <v>0</v>
      </c>
      <c r="H32" s="80"/>
      <c r="I32" s="93" t="s">
        <v>74</v>
      </c>
      <c r="J32" s="82">
        <v>252</v>
      </c>
      <c r="K32" s="83">
        <v>3506</v>
      </c>
      <c r="L32" s="84">
        <f t="shared" si="6"/>
        <v>0</v>
      </c>
      <c r="N32" s="337">
        <v>5102</v>
      </c>
      <c r="O32" s="54">
        <v>252</v>
      </c>
      <c r="P32" s="86"/>
      <c r="Q32" s="54"/>
      <c r="V32" s="637"/>
      <c r="W32" s="637"/>
      <c r="X32" s="638"/>
      <c r="Y32" s="638"/>
      <c r="Z32" s="94" t="s">
        <v>74</v>
      </c>
      <c r="AA32" s="330">
        <v>252</v>
      </c>
      <c r="AB32" s="90">
        <f t="shared" si="7"/>
        <v>3506</v>
      </c>
      <c r="AC32" s="91">
        <f t="shared" si="8"/>
        <v>0</v>
      </c>
      <c r="AD32" s="9"/>
    </row>
    <row r="33" spans="1:30" x14ac:dyDescent="0.25">
      <c r="A33" s="1" t="s">
        <v>76</v>
      </c>
      <c r="B33" s="633"/>
      <c r="C33" s="634"/>
      <c r="D33" s="13">
        <v>0</v>
      </c>
      <c r="E33" s="13">
        <v>0</v>
      </c>
      <c r="F33" s="92">
        <v>0</v>
      </c>
      <c r="G33" s="46">
        <f t="shared" si="5"/>
        <v>0</v>
      </c>
      <c r="H33" s="80"/>
      <c r="I33" s="93" t="s">
        <v>74</v>
      </c>
      <c r="J33" s="82">
        <v>253</v>
      </c>
      <c r="K33" s="83">
        <v>7023</v>
      </c>
      <c r="L33" s="84">
        <f t="shared" si="6"/>
        <v>0</v>
      </c>
      <c r="N33" s="337">
        <v>5102</v>
      </c>
      <c r="O33" s="54">
        <v>253</v>
      </c>
      <c r="P33" s="86"/>
      <c r="Q33" s="87"/>
      <c r="V33" s="637"/>
      <c r="W33" s="637"/>
      <c r="X33" s="638"/>
      <c r="Y33" s="638"/>
      <c r="Z33" s="94" t="s">
        <v>74</v>
      </c>
      <c r="AA33" s="330">
        <v>253</v>
      </c>
      <c r="AB33" s="90">
        <f t="shared" si="7"/>
        <v>7023</v>
      </c>
      <c r="AC33" s="91">
        <f t="shared" si="8"/>
        <v>0</v>
      </c>
      <c r="AD33" s="9"/>
    </row>
    <row r="34" spans="1:30" x14ac:dyDescent="0.25">
      <c r="A34" s="1" t="s">
        <v>77</v>
      </c>
      <c r="B34" s="633"/>
      <c r="C34" s="634"/>
      <c r="D34" s="13">
        <v>0</v>
      </c>
      <c r="E34" s="13">
        <v>0</v>
      </c>
      <c r="F34" s="92">
        <v>0</v>
      </c>
      <c r="G34" s="46">
        <f t="shared" si="5"/>
        <v>0</v>
      </c>
      <c r="H34" s="80"/>
      <c r="I34" s="93" t="s">
        <v>78</v>
      </c>
      <c r="J34" s="82">
        <v>251</v>
      </c>
      <c r="K34" s="83">
        <v>835</v>
      </c>
      <c r="L34" s="84">
        <f t="shared" si="6"/>
        <v>0</v>
      </c>
      <c r="N34" s="337">
        <v>5103</v>
      </c>
      <c r="O34" s="54">
        <v>251</v>
      </c>
      <c r="P34" s="86"/>
      <c r="Q34" s="87"/>
      <c r="V34" s="637"/>
      <c r="W34" s="637"/>
      <c r="X34" s="638"/>
      <c r="Y34" s="638"/>
      <c r="Z34" s="94" t="s">
        <v>78</v>
      </c>
      <c r="AA34" s="330">
        <v>251</v>
      </c>
      <c r="AB34" s="90">
        <f t="shared" si="7"/>
        <v>835</v>
      </c>
      <c r="AC34" s="91">
        <f t="shared" si="8"/>
        <v>0</v>
      </c>
      <c r="AD34" s="9"/>
    </row>
    <row r="35" spans="1:30" x14ac:dyDescent="0.25">
      <c r="A35" s="1" t="s">
        <v>79</v>
      </c>
      <c r="B35" s="633"/>
      <c r="C35" s="634"/>
      <c r="D35" s="13">
        <v>0</v>
      </c>
      <c r="E35" s="13">
        <v>0</v>
      </c>
      <c r="F35" s="92">
        <v>0</v>
      </c>
      <c r="G35" s="46">
        <f t="shared" si="5"/>
        <v>0</v>
      </c>
      <c r="H35" s="80"/>
      <c r="I35" s="93" t="s">
        <v>78</v>
      </c>
      <c r="J35" s="82">
        <v>252</v>
      </c>
      <c r="K35" s="83">
        <v>3168</v>
      </c>
      <c r="L35" s="84">
        <f t="shared" si="6"/>
        <v>0</v>
      </c>
      <c r="N35" s="337">
        <v>5103</v>
      </c>
      <c r="O35" s="54">
        <v>252</v>
      </c>
      <c r="P35" s="86"/>
      <c r="Q35" s="95"/>
      <c r="V35" s="637"/>
      <c r="W35" s="637"/>
      <c r="X35" s="638"/>
      <c r="Y35" s="638"/>
      <c r="Z35" s="94" t="s">
        <v>78</v>
      </c>
      <c r="AA35" s="330">
        <v>252</v>
      </c>
      <c r="AB35" s="90">
        <f t="shared" si="7"/>
        <v>3168</v>
      </c>
      <c r="AC35" s="91">
        <f t="shared" si="8"/>
        <v>0</v>
      </c>
      <c r="AD35" s="9"/>
    </row>
    <row r="36" spans="1:30" ht="16.5" thickBot="1" x14ac:dyDescent="0.3">
      <c r="A36" s="1" t="s">
        <v>80</v>
      </c>
      <c r="B36" s="635"/>
      <c r="C36" s="636"/>
      <c r="D36" s="13">
        <v>0</v>
      </c>
      <c r="E36" s="13">
        <v>0</v>
      </c>
      <c r="F36" s="92">
        <v>0</v>
      </c>
      <c r="G36" s="46">
        <f t="shared" si="5"/>
        <v>0</v>
      </c>
      <c r="H36" s="80"/>
      <c r="I36" s="93" t="s">
        <v>78</v>
      </c>
      <c r="J36" s="82">
        <v>253</v>
      </c>
      <c r="K36" s="83">
        <v>6685</v>
      </c>
      <c r="L36" s="96">
        <f t="shared" si="6"/>
        <v>0</v>
      </c>
      <c r="N36" s="337">
        <v>5103</v>
      </c>
      <c r="O36" s="54">
        <v>253</v>
      </c>
      <c r="P36" s="86"/>
      <c r="Q36" s="97"/>
      <c r="V36" s="637"/>
      <c r="W36" s="637"/>
      <c r="X36" s="645"/>
      <c r="Y36" s="645"/>
      <c r="Z36" s="94" t="s">
        <v>78</v>
      </c>
      <c r="AA36" s="330">
        <v>253</v>
      </c>
      <c r="AB36" s="90">
        <f t="shared" si="7"/>
        <v>6685</v>
      </c>
      <c r="AC36" s="98">
        <f t="shared" si="8"/>
        <v>0</v>
      </c>
      <c r="AD36" s="9"/>
    </row>
    <row r="37" spans="1:30" ht="18.75" customHeight="1" x14ac:dyDescent="0.25">
      <c r="B37" s="13" t="s">
        <v>81</v>
      </c>
      <c r="C37" s="13"/>
      <c r="D37" s="63">
        <f>SUM(D28:D36)</f>
        <v>8.1</v>
      </c>
      <c r="E37" s="63">
        <f>SUM(E28:E36)</f>
        <v>9.11</v>
      </c>
      <c r="F37" s="63"/>
      <c r="G37" s="63">
        <f>SUM(G28:G36)</f>
        <v>17.21</v>
      </c>
      <c r="H37" s="64"/>
      <c r="I37" s="13" t="s">
        <v>82</v>
      </c>
      <c r="J37" s="13"/>
      <c r="K37" s="13"/>
      <c r="L37" s="50">
        <f>SUM(L28:L36)</f>
        <v>18787</v>
      </c>
      <c r="N37" s="54"/>
      <c r="O37" s="68"/>
      <c r="P37" s="54"/>
      <c r="Q37" s="54"/>
      <c r="V37" s="646" t="s">
        <v>81</v>
      </c>
      <c r="W37" s="646"/>
      <c r="X37" s="626">
        <f>SUM(X28:X36)</f>
        <v>0</v>
      </c>
      <c r="Y37" s="626"/>
      <c r="Z37" s="646" t="s">
        <v>82</v>
      </c>
      <c r="AA37" s="646"/>
      <c r="AB37" s="646"/>
      <c r="AC37" s="56">
        <f>SUM(AC28:AC36)</f>
        <v>0</v>
      </c>
      <c r="AD37" s="9"/>
    </row>
    <row r="38" spans="1:30" ht="30.75" customHeight="1" x14ac:dyDescent="0.25">
      <c r="B38" s="99" t="s">
        <v>83</v>
      </c>
      <c r="C38" s="99"/>
      <c r="D38" s="99"/>
      <c r="E38" s="99"/>
      <c r="F38" s="99"/>
      <c r="G38" s="99"/>
      <c r="H38" s="100"/>
      <c r="I38" s="99"/>
      <c r="J38" s="99"/>
      <c r="K38" s="99"/>
      <c r="L38" s="99"/>
      <c r="M38" s="101"/>
      <c r="N38" s="54"/>
      <c r="O38" s="68"/>
      <c r="P38" s="54"/>
      <c r="Q38" s="54"/>
      <c r="V38" s="639" t="s">
        <v>83</v>
      </c>
      <c r="W38" s="639"/>
      <c r="X38" s="639"/>
      <c r="Y38" s="639"/>
      <c r="Z38" s="639"/>
      <c r="AA38" s="639"/>
      <c r="AB38" s="639"/>
      <c r="AC38" s="639"/>
      <c r="AD38" s="102"/>
    </row>
    <row r="39" spans="1:30" ht="15.75" customHeight="1" x14ac:dyDescent="0.25">
      <c r="B39" s="103" t="s">
        <v>84</v>
      </c>
      <c r="C39" s="103"/>
      <c r="D39" s="103"/>
      <c r="E39" s="103"/>
      <c r="F39" s="103"/>
      <c r="G39" s="104">
        <v>34389540</v>
      </c>
      <c r="H39" s="104"/>
      <c r="I39" s="13" t="s">
        <v>85</v>
      </c>
      <c r="J39" s="13"/>
      <c r="K39" s="13"/>
      <c r="L39" s="13"/>
      <c r="O39" s="1"/>
      <c r="V39" s="640" t="s">
        <v>84</v>
      </c>
      <c r="W39" s="640"/>
      <c r="X39" s="641">
        <f>+G39</f>
        <v>34389540</v>
      </c>
      <c r="Y39" s="641"/>
      <c r="Z39" s="642" t="s">
        <v>85</v>
      </c>
      <c r="AA39" s="642"/>
      <c r="AB39" s="642"/>
      <c r="AC39" s="642"/>
      <c r="AD39" s="9"/>
    </row>
    <row r="40" spans="1:30" ht="15.75" customHeight="1" x14ac:dyDescent="0.25">
      <c r="B40" s="105" t="s">
        <v>86</v>
      </c>
      <c r="C40" s="105"/>
      <c r="D40" s="105"/>
      <c r="E40" s="105"/>
      <c r="F40" s="105"/>
      <c r="G40" s="106">
        <v>180284.81</v>
      </c>
      <c r="H40" s="106"/>
      <c r="I40" s="106"/>
      <c r="J40" s="106"/>
      <c r="K40" s="50">
        <f>ROUND(G39/G40,0)</f>
        <v>191</v>
      </c>
      <c r="L40" s="50">
        <f>ROUND(K40*$G$26,0)</f>
        <v>43959</v>
      </c>
      <c r="N40" s="107"/>
      <c r="O40" s="107"/>
      <c r="P40" s="107"/>
      <c r="Q40" s="107"/>
      <c r="V40" s="643" t="s">
        <v>86</v>
      </c>
      <c r="W40" s="643"/>
      <c r="X40" s="644">
        <f>+G40</f>
        <v>180284.81</v>
      </c>
      <c r="Y40" s="644"/>
      <c r="Z40" s="644"/>
      <c r="AA40" s="644"/>
      <c r="AB40" s="56">
        <f>ROUND(X39/X40,0)</f>
        <v>191</v>
      </c>
      <c r="AC40" s="56">
        <f>ROUND(AB40*$X$26,0)</f>
        <v>0</v>
      </c>
      <c r="AD40" s="9"/>
    </row>
    <row r="41" spans="1:30" ht="15.75" customHeight="1" x14ac:dyDescent="0.25">
      <c r="B41" s="108" t="s">
        <v>87</v>
      </c>
      <c r="C41" s="108"/>
      <c r="D41" s="108"/>
      <c r="E41" s="108"/>
      <c r="F41" s="108"/>
      <c r="G41" s="108"/>
      <c r="H41" s="108"/>
      <c r="I41" s="108"/>
      <c r="J41" s="108"/>
      <c r="K41" s="108"/>
      <c r="L41" s="108"/>
      <c r="N41" s="101"/>
      <c r="O41" s="109"/>
      <c r="P41" s="101"/>
      <c r="Q41" s="101"/>
      <c r="V41" s="652" t="s">
        <v>87</v>
      </c>
      <c r="W41" s="652"/>
      <c r="X41" s="652"/>
      <c r="Y41" s="652"/>
      <c r="Z41" s="652"/>
      <c r="AA41" s="652"/>
      <c r="AB41" s="652"/>
      <c r="AC41" s="652"/>
      <c r="AD41" s="9"/>
    </row>
    <row r="42" spans="1:30" ht="28.5" customHeight="1" x14ac:dyDescent="0.25">
      <c r="B42" s="99" t="s">
        <v>88</v>
      </c>
      <c r="C42" s="99"/>
      <c r="D42" s="99"/>
      <c r="E42" s="99"/>
      <c r="F42" s="99"/>
      <c r="G42" s="99"/>
      <c r="H42" s="99"/>
      <c r="I42" s="99"/>
      <c r="J42" s="99"/>
      <c r="K42" s="99"/>
      <c r="L42" s="99"/>
      <c r="M42" s="107"/>
      <c r="O42" s="1"/>
      <c r="V42" s="639" t="s">
        <v>88</v>
      </c>
      <c r="W42" s="639"/>
      <c r="X42" s="639"/>
      <c r="Y42" s="639"/>
      <c r="Z42" s="639"/>
      <c r="AA42" s="639"/>
      <c r="AB42" s="639"/>
      <c r="AC42" s="639"/>
      <c r="AD42" s="334"/>
    </row>
    <row r="43" spans="1:30" x14ac:dyDescent="0.25">
      <c r="B43" s="111" t="s">
        <v>89</v>
      </c>
      <c r="C43" s="111"/>
      <c r="D43" s="111"/>
      <c r="E43" s="111"/>
      <c r="F43" s="111"/>
      <c r="G43" s="111"/>
      <c r="H43" s="111"/>
      <c r="I43" s="111"/>
      <c r="J43" s="111"/>
      <c r="K43" s="111"/>
      <c r="L43" s="111"/>
      <c r="M43" s="112"/>
      <c r="N43" s="101"/>
      <c r="O43" s="101"/>
      <c r="P43" s="101"/>
      <c r="Q43" s="101"/>
      <c r="V43" s="653" t="s">
        <v>89</v>
      </c>
      <c r="W43" s="653"/>
      <c r="X43" s="653"/>
      <c r="Y43" s="653"/>
      <c r="Z43" s="653"/>
      <c r="AA43" s="653"/>
      <c r="AB43" s="653"/>
      <c r="AC43" s="653"/>
      <c r="AD43" s="113"/>
    </row>
    <row r="44" spans="1:30" ht="24" customHeight="1" x14ac:dyDescent="0.25">
      <c r="B44" s="62" t="s">
        <v>90</v>
      </c>
      <c r="C44" s="62"/>
      <c r="D44" s="62"/>
      <c r="E44" s="62"/>
      <c r="F44" s="62"/>
      <c r="G44" s="62"/>
      <c r="H44" s="62"/>
      <c r="I44" s="62"/>
      <c r="J44" s="62"/>
      <c r="K44" s="62"/>
      <c r="L44" s="114">
        <f>SUM(L26,L37,L40)</f>
        <v>1004966</v>
      </c>
      <c r="O44" s="1"/>
      <c r="V44" s="654" t="s">
        <v>90</v>
      </c>
      <c r="W44" s="654"/>
      <c r="X44" s="654"/>
      <c r="Y44" s="654"/>
      <c r="Z44" s="654"/>
      <c r="AA44" s="654"/>
      <c r="AB44" s="654"/>
      <c r="AC44" s="115">
        <f>SUM(AC26,AC37,AC40)</f>
        <v>0</v>
      </c>
      <c r="AD44" s="9"/>
    </row>
    <row r="45" spans="1:30" ht="30.75" customHeight="1" x14ac:dyDescent="0.25">
      <c r="B45" s="99" t="s">
        <v>91</v>
      </c>
      <c r="C45" s="99"/>
      <c r="D45" s="99"/>
      <c r="E45" s="99"/>
      <c r="F45" s="99"/>
      <c r="G45" s="99"/>
      <c r="H45" s="99"/>
      <c r="I45" s="99"/>
      <c r="J45" s="99"/>
      <c r="K45" s="99"/>
      <c r="L45" s="99"/>
      <c r="M45" s="116"/>
      <c r="O45" s="1"/>
      <c r="V45" s="639" t="s">
        <v>91</v>
      </c>
      <c r="W45" s="639"/>
      <c r="X45" s="639"/>
      <c r="Y45" s="639"/>
      <c r="Z45" s="639"/>
      <c r="AA45" s="639"/>
      <c r="AB45" s="639"/>
      <c r="AC45" s="639"/>
      <c r="AD45" s="333"/>
    </row>
    <row r="46" spans="1:30" ht="18.75" customHeight="1" x14ac:dyDescent="0.25">
      <c r="B46" s="1"/>
      <c r="C46" s="118" t="s">
        <v>92</v>
      </c>
      <c r="D46" s="118"/>
      <c r="E46" s="118"/>
      <c r="F46" s="118"/>
      <c r="G46" s="118" t="s">
        <v>93</v>
      </c>
      <c r="H46" s="119"/>
      <c r="I46" s="120" t="s">
        <v>94</v>
      </c>
      <c r="J46" s="121"/>
      <c r="K46" s="121"/>
      <c r="L46" s="121"/>
      <c r="M46" s="122"/>
      <c r="O46" s="1"/>
      <c r="V46" s="9"/>
      <c r="W46" s="336" t="s">
        <v>92</v>
      </c>
      <c r="X46" s="655" t="s">
        <v>95</v>
      </c>
      <c r="Y46" s="655"/>
      <c r="Z46" s="656" t="s">
        <v>94</v>
      </c>
      <c r="AA46" s="656"/>
      <c r="AB46" s="656"/>
      <c r="AC46" s="656"/>
      <c r="AD46" s="124"/>
    </row>
    <row r="47" spans="1:30" ht="18.75" customHeight="1" x14ac:dyDescent="0.25">
      <c r="B47" s="107" t="s">
        <v>96</v>
      </c>
      <c r="C47" s="125">
        <f>K10+K11+K16+K19+K22</f>
        <v>115.6096</v>
      </c>
      <c r="D47" s="125"/>
      <c r="E47" s="125"/>
      <c r="F47" s="125"/>
      <c r="G47" s="126">
        <f>K7</f>
        <v>1.0326</v>
      </c>
      <c r="H47" s="126"/>
      <c r="I47" s="127">
        <v>1316.85</v>
      </c>
      <c r="J47" s="128" t="s">
        <v>97</v>
      </c>
      <c r="K47" s="129">
        <f>ROUND(C47*G47*I47,0)</f>
        <v>157204</v>
      </c>
      <c r="L47" s="130"/>
      <c r="O47" s="1"/>
      <c r="V47" s="334" t="s">
        <v>96</v>
      </c>
      <c r="W47" s="131">
        <f>AB10+AB11+AB16+AB19+AB22</f>
        <v>0</v>
      </c>
      <c r="X47" s="647">
        <f>AB7</f>
        <v>1.0326</v>
      </c>
      <c r="Y47" s="647"/>
      <c r="Z47" s="132">
        <f>+I47</f>
        <v>1316.85</v>
      </c>
      <c r="AA47" s="133" t="s">
        <v>97</v>
      </c>
      <c r="AB47" s="134">
        <f>ROUND(W47*X47*Z47,0)</f>
        <v>0</v>
      </c>
      <c r="AC47" s="135"/>
      <c r="AD47" s="9"/>
    </row>
    <row r="48" spans="1:30" ht="18" customHeight="1" x14ac:dyDescent="0.25">
      <c r="B48" s="136" t="s">
        <v>74</v>
      </c>
      <c r="C48" s="125">
        <f>K12+K13+K17+K20+K23</f>
        <v>127.56759999999998</v>
      </c>
      <c r="D48" s="125"/>
      <c r="E48" s="125"/>
      <c r="F48" s="125"/>
      <c r="G48" s="126">
        <f>K7</f>
        <v>1.0326</v>
      </c>
      <c r="H48" s="126"/>
      <c r="I48" s="127">
        <v>898.23</v>
      </c>
      <c r="J48" s="128" t="s">
        <v>97</v>
      </c>
      <c r="K48" s="129">
        <f>ROUND(C48*G48*I48,0)</f>
        <v>118321</v>
      </c>
      <c r="L48" s="62"/>
      <c r="O48" s="1"/>
      <c r="V48" s="137" t="s">
        <v>74</v>
      </c>
      <c r="W48" s="131">
        <f>AB12+AB13+AB17+AB20+AB23</f>
        <v>0</v>
      </c>
      <c r="X48" s="647">
        <f>AB7</f>
        <v>1.0326</v>
      </c>
      <c r="Y48" s="647"/>
      <c r="Z48" s="132">
        <f>+I48</f>
        <v>898.23</v>
      </c>
      <c r="AA48" s="133" t="s">
        <v>97</v>
      </c>
      <c r="AB48" s="134">
        <f>ROUND(W48*X48*Z48,0)</f>
        <v>0</v>
      </c>
      <c r="AC48" s="138"/>
      <c r="AD48" s="9"/>
    </row>
    <row r="49" spans="2:30" ht="19.5" customHeight="1" thickBot="1" x14ac:dyDescent="0.3">
      <c r="B49" s="139" t="s">
        <v>78</v>
      </c>
      <c r="C49" s="140">
        <f>K14+K15+K18+K21+K24+K25</f>
        <v>0</v>
      </c>
      <c r="D49" s="125"/>
      <c r="E49" s="125"/>
      <c r="F49" s="125"/>
      <c r="G49" s="126">
        <f>K7</f>
        <v>1.0326</v>
      </c>
      <c r="H49" s="126"/>
      <c r="I49" s="127">
        <v>900.39</v>
      </c>
      <c r="J49" s="128" t="s">
        <v>97</v>
      </c>
      <c r="K49" s="129">
        <f>ROUND(C49*G49*I49,0)</f>
        <v>0</v>
      </c>
      <c r="L49" s="62"/>
      <c r="M49" s="112"/>
      <c r="N49" s="141"/>
      <c r="O49" s="142"/>
      <c r="P49" s="101"/>
      <c r="Q49" s="143"/>
      <c r="V49" s="144" t="s">
        <v>78</v>
      </c>
      <c r="W49" s="145">
        <f>AB14+AB15+AB18+AB21+AB24+AB25</f>
        <v>0</v>
      </c>
      <c r="X49" s="647">
        <f>AB7</f>
        <v>1.0326</v>
      </c>
      <c r="Y49" s="647"/>
      <c r="Z49" s="132">
        <f>+I49</f>
        <v>900.39</v>
      </c>
      <c r="AA49" s="133" t="s">
        <v>97</v>
      </c>
      <c r="AB49" s="134">
        <f>ROUND(W49*X49*Z49,0)</f>
        <v>0</v>
      </c>
      <c r="AC49" s="138"/>
      <c r="AD49" s="113"/>
    </row>
    <row r="50" spans="2:30" ht="24" customHeight="1" thickBot="1" x14ac:dyDescent="0.3">
      <c r="B50" s="146" t="s">
        <v>98</v>
      </c>
      <c r="C50" s="147">
        <f>SUM(C47:C49)</f>
        <v>243.17719999999997</v>
      </c>
      <c r="D50" s="148"/>
      <c r="E50" s="149"/>
      <c r="F50" s="149"/>
      <c r="G50" s="150" t="s">
        <v>99</v>
      </c>
      <c r="H50" s="150"/>
      <c r="I50" s="150"/>
      <c r="J50" s="150"/>
      <c r="K50" s="150"/>
      <c r="L50" s="50">
        <f>IF(B2=75,0,K49+K48+K47)</f>
        <v>275525</v>
      </c>
      <c r="N50" s="3"/>
      <c r="O50" s="1"/>
      <c r="V50" s="335" t="s">
        <v>98</v>
      </c>
      <c r="W50" s="152">
        <f>SUM(W47:W49)</f>
        <v>0</v>
      </c>
      <c r="X50" s="648" t="s">
        <v>99</v>
      </c>
      <c r="Y50" s="649"/>
      <c r="Z50" s="649"/>
      <c r="AA50" s="649"/>
      <c r="AB50" s="649"/>
      <c r="AC50" s="56">
        <f>IF(V2=75,0,AB49+AB48+AB47)</f>
        <v>0</v>
      </c>
      <c r="AD50" s="9"/>
    </row>
    <row r="51" spans="2:30" ht="19.5" customHeight="1" x14ac:dyDescent="0.25">
      <c r="B51" s="153" t="s">
        <v>100</v>
      </c>
      <c r="C51" s="153"/>
      <c r="D51" s="153"/>
      <c r="E51" s="153"/>
      <c r="F51" s="153"/>
      <c r="G51" s="153"/>
      <c r="H51" s="153"/>
      <c r="I51" s="153"/>
      <c r="J51" s="153"/>
      <c r="K51" s="153"/>
      <c r="L51" s="153"/>
      <c r="M51" s="141"/>
      <c r="N51" s="101"/>
      <c r="O51" s="1"/>
      <c r="V51" s="650" t="s">
        <v>100</v>
      </c>
      <c r="W51" s="650"/>
      <c r="X51" s="650"/>
      <c r="Y51" s="650"/>
      <c r="Z51" s="650"/>
      <c r="AA51" s="650"/>
      <c r="AB51" s="650"/>
      <c r="AC51" s="650"/>
      <c r="AD51" s="154"/>
    </row>
    <row r="52" spans="2:30" ht="27.75" customHeight="1" x14ac:dyDescent="0.25">
      <c r="B52" s="13" t="s">
        <v>101</v>
      </c>
      <c r="C52" s="13"/>
      <c r="D52" s="13"/>
      <c r="E52" s="13"/>
      <c r="F52" s="13"/>
      <c r="G52" s="13"/>
      <c r="H52" s="13"/>
      <c r="I52" s="13"/>
      <c r="J52" s="13"/>
      <c r="K52" s="13"/>
      <c r="L52" s="13"/>
      <c r="O52" s="1"/>
      <c r="V52" s="651" t="s">
        <v>101</v>
      </c>
      <c r="W52" s="651"/>
      <c r="X52" s="651"/>
      <c r="Y52" s="651"/>
      <c r="Z52" s="651"/>
      <c r="AA52" s="651"/>
      <c r="AB52" s="651"/>
      <c r="AC52" s="651"/>
      <c r="AD52" s="9"/>
    </row>
    <row r="53" spans="2:30" x14ac:dyDescent="0.25">
      <c r="B53" s="13" t="s">
        <v>102</v>
      </c>
      <c r="C53" s="13"/>
      <c r="D53" s="13"/>
      <c r="E53" s="13"/>
      <c r="F53" s="13"/>
      <c r="G53" s="155">
        <f>K26</f>
        <v>243.17719999999997</v>
      </c>
      <c r="H53" s="57" t="s">
        <v>103</v>
      </c>
      <c r="I53" s="57"/>
      <c r="J53" s="156">
        <v>197823.77</v>
      </c>
      <c r="K53" s="156"/>
      <c r="L53" s="156"/>
      <c r="N53" s="3"/>
      <c r="O53" s="1"/>
      <c r="V53" s="657" t="s">
        <v>102</v>
      </c>
      <c r="W53" s="657"/>
      <c r="X53" s="157">
        <f>AB26</f>
        <v>0</v>
      </c>
      <c r="Y53" s="658" t="s">
        <v>103</v>
      </c>
      <c r="Z53" s="658"/>
      <c r="AA53" s="659">
        <f>+J53</f>
        <v>197823.77</v>
      </c>
      <c r="AB53" s="659"/>
      <c r="AC53" s="659"/>
      <c r="AD53" s="9"/>
    </row>
    <row r="54" spans="2:30" x14ac:dyDescent="0.25">
      <c r="B54" s="13" t="s">
        <v>104</v>
      </c>
      <c r="C54" s="13"/>
      <c r="D54" s="13"/>
      <c r="E54" s="13"/>
      <c r="F54" s="13"/>
      <c r="G54" s="13"/>
      <c r="H54" s="13"/>
      <c r="I54" s="13"/>
      <c r="J54" s="13"/>
      <c r="K54" s="158">
        <f>ROUND(G53/J53,6)</f>
        <v>1.2290000000000001E-3</v>
      </c>
      <c r="L54" s="158"/>
      <c r="N54" s="101"/>
      <c r="O54" s="1"/>
      <c r="V54" s="657" t="s">
        <v>104</v>
      </c>
      <c r="W54" s="657"/>
      <c r="X54" s="657"/>
      <c r="Y54" s="657"/>
      <c r="Z54" s="657"/>
      <c r="AA54" s="657"/>
      <c r="AB54" s="660">
        <f>ROUND(X53/AA53,6)</f>
        <v>0</v>
      </c>
      <c r="AC54" s="660"/>
      <c r="AD54" s="9"/>
    </row>
    <row r="55" spans="2:30" ht="24" customHeight="1" x14ac:dyDescent="0.25">
      <c r="B55" s="13" t="s">
        <v>105</v>
      </c>
      <c r="C55" s="13"/>
      <c r="D55" s="13"/>
      <c r="E55" s="13"/>
      <c r="F55" s="13"/>
      <c r="G55" s="13"/>
      <c r="H55" s="13"/>
      <c r="I55" s="13"/>
      <c r="J55" s="13"/>
      <c r="K55" s="13"/>
      <c r="L55" s="13"/>
      <c r="O55" s="1"/>
      <c r="V55" s="651" t="s">
        <v>105</v>
      </c>
      <c r="W55" s="651"/>
      <c r="X55" s="651"/>
      <c r="Y55" s="651"/>
      <c r="Z55" s="651"/>
      <c r="AA55" s="651"/>
      <c r="AB55" s="651"/>
      <c r="AC55" s="651"/>
      <c r="AD55" s="9"/>
    </row>
    <row r="56" spans="2:30" x14ac:dyDescent="0.25">
      <c r="B56" s="13" t="s">
        <v>106</v>
      </c>
      <c r="C56" s="13"/>
      <c r="D56" s="13"/>
      <c r="E56" s="13"/>
      <c r="F56" s="13"/>
      <c r="G56" s="159">
        <f>G26</f>
        <v>230.14999999999998</v>
      </c>
      <c r="H56" s="57" t="s">
        <v>107</v>
      </c>
      <c r="I56" s="57"/>
      <c r="J56" s="156">
        <f>+G40</f>
        <v>180284.81</v>
      </c>
      <c r="K56" s="156"/>
      <c r="L56" s="156"/>
      <c r="O56" s="1"/>
      <c r="V56" s="657" t="s">
        <v>106</v>
      </c>
      <c r="W56" s="657"/>
      <c r="X56" s="160">
        <f>X26</f>
        <v>0</v>
      </c>
      <c r="Y56" s="658" t="s">
        <v>107</v>
      </c>
      <c r="Z56" s="658"/>
      <c r="AA56" s="659">
        <f>+J56</f>
        <v>180284.81</v>
      </c>
      <c r="AB56" s="659"/>
      <c r="AC56" s="659"/>
      <c r="AD56" s="9"/>
    </row>
    <row r="57" spans="2:30" x14ac:dyDescent="0.25">
      <c r="B57" s="13" t="s">
        <v>108</v>
      </c>
      <c r="C57" s="13"/>
      <c r="D57" s="13"/>
      <c r="E57" s="13"/>
      <c r="F57" s="13"/>
      <c r="G57" s="13"/>
      <c r="H57" s="13"/>
      <c r="I57" s="13"/>
      <c r="J57" s="13"/>
      <c r="K57" s="158">
        <f>ROUND(G56/J56,6)</f>
        <v>1.2769999999999999E-3</v>
      </c>
      <c r="L57" s="158"/>
      <c r="O57" s="1"/>
      <c r="V57" s="657" t="s">
        <v>108</v>
      </c>
      <c r="W57" s="657"/>
      <c r="X57" s="657"/>
      <c r="Y57" s="657"/>
      <c r="Z57" s="657"/>
      <c r="AA57" s="657"/>
      <c r="AB57" s="660">
        <f>ROUND(X56/AA56,6)</f>
        <v>0</v>
      </c>
      <c r="AC57" s="660"/>
      <c r="AD57" s="9"/>
    </row>
    <row r="58" spans="2:30" ht="20.25" customHeight="1" x14ac:dyDescent="0.25">
      <c r="B58" s="161" t="s">
        <v>109</v>
      </c>
      <c r="C58" s="161"/>
      <c r="D58" s="161"/>
      <c r="E58" s="161"/>
      <c r="F58" s="161"/>
      <c r="G58" s="161"/>
      <c r="H58" s="161"/>
      <c r="I58" s="161"/>
      <c r="J58" s="161"/>
      <c r="K58" s="161"/>
      <c r="L58" s="161"/>
      <c r="N58" s="18"/>
      <c r="O58" s="18"/>
      <c r="V58" s="629" t="s">
        <v>110</v>
      </c>
      <c r="W58" s="629"/>
      <c r="X58" s="629"/>
      <c r="Y58" s="661">
        <f>X65+X64+X62+X61+X60</f>
        <v>4123852</v>
      </c>
      <c r="Z58" s="661"/>
      <c r="AA58" s="332" t="s">
        <v>111</v>
      </c>
      <c r="AB58" s="163">
        <f>AB54</f>
        <v>0</v>
      </c>
      <c r="AC58" s="56">
        <f>ROUND(Y58*AB58,0)</f>
        <v>0</v>
      </c>
      <c r="AD58" s="9"/>
    </row>
    <row r="59" spans="2:30" x14ac:dyDescent="0.25">
      <c r="B59" s="62" t="s">
        <v>110</v>
      </c>
      <c r="C59" s="62"/>
      <c r="D59" s="62"/>
      <c r="E59" s="62"/>
      <c r="F59" s="62"/>
      <c r="G59" s="62"/>
      <c r="H59" s="164" t="s">
        <v>22</v>
      </c>
      <c r="I59" s="129">
        <v>4123852</v>
      </c>
      <c r="J59" s="165" t="s">
        <v>111</v>
      </c>
      <c r="K59" s="166">
        <f>K54</f>
        <v>1.2290000000000001E-3</v>
      </c>
      <c r="L59" s="50">
        <f>ROUND(I59*K59,0)</f>
        <v>5068</v>
      </c>
      <c r="O59" s="1"/>
      <c r="P59" s="165"/>
      <c r="Q59" s="165"/>
      <c r="V59" s="662" t="s">
        <v>112</v>
      </c>
      <c r="W59" s="662"/>
      <c r="X59" s="662"/>
      <c r="Y59" s="662"/>
      <c r="Z59" s="662"/>
      <c r="AA59" s="662"/>
      <c r="AB59" s="662"/>
      <c r="AC59" s="662"/>
      <c r="AD59" s="9"/>
    </row>
    <row r="60" spans="2:30" x14ac:dyDescent="0.25">
      <c r="B60" s="62" t="s">
        <v>112</v>
      </c>
      <c r="C60" s="62"/>
      <c r="D60" s="62"/>
      <c r="E60" s="62"/>
      <c r="F60" s="62"/>
      <c r="G60" s="62"/>
      <c r="H60" s="62"/>
      <c r="I60" s="62"/>
      <c r="J60" s="62"/>
      <c r="K60" s="62"/>
      <c r="L60" s="62"/>
      <c r="O60" s="1"/>
      <c r="P60" s="165"/>
      <c r="Q60" s="165"/>
      <c r="V60" s="663" t="s">
        <v>113</v>
      </c>
      <c r="W60" s="663"/>
      <c r="X60" s="664">
        <f>+G61</f>
        <v>0</v>
      </c>
      <c r="Y60" s="664"/>
      <c r="Z60" s="664"/>
      <c r="AA60" s="664"/>
      <c r="AB60" s="664"/>
      <c r="AC60" s="664"/>
      <c r="AD60" s="9"/>
    </row>
    <row r="61" spans="2:30" ht="15" customHeight="1" x14ac:dyDescent="0.25">
      <c r="B61" s="167" t="s">
        <v>113</v>
      </c>
      <c r="C61" s="62"/>
      <c r="D61" s="62"/>
      <c r="E61" s="62"/>
      <c r="F61" s="62"/>
      <c r="G61" s="168">
        <v>0</v>
      </c>
      <c r="H61" s="168"/>
      <c r="I61" s="168"/>
      <c r="J61" s="168"/>
      <c r="K61" s="168"/>
      <c r="L61" s="168"/>
      <c r="O61" s="1"/>
      <c r="P61" s="165"/>
      <c r="Q61" s="165"/>
      <c r="V61" s="663" t="s">
        <v>114</v>
      </c>
      <c r="W61" s="663"/>
      <c r="X61" s="664">
        <f>+G62</f>
        <v>0</v>
      </c>
      <c r="Y61" s="664"/>
      <c r="Z61" s="664"/>
      <c r="AA61" s="664"/>
      <c r="AB61" s="664"/>
      <c r="AC61" s="664"/>
      <c r="AD61" s="9"/>
    </row>
    <row r="62" spans="2:30" ht="13.5" customHeight="1" x14ac:dyDescent="0.25">
      <c r="B62" s="167" t="s">
        <v>114</v>
      </c>
      <c r="C62" s="62"/>
      <c r="D62" s="62"/>
      <c r="E62" s="62"/>
      <c r="F62" s="62"/>
      <c r="G62" s="168">
        <v>0</v>
      </c>
      <c r="H62" s="168"/>
      <c r="I62" s="168"/>
      <c r="J62" s="168"/>
      <c r="K62" s="168"/>
      <c r="L62" s="168"/>
      <c r="N62" s="165"/>
      <c r="O62" s="165"/>
      <c r="P62" s="165"/>
      <c r="Q62" s="165"/>
      <c r="V62" s="663" t="s">
        <v>115</v>
      </c>
      <c r="W62" s="663"/>
      <c r="X62" s="664">
        <v>0</v>
      </c>
      <c r="Y62" s="664"/>
      <c r="Z62" s="664"/>
      <c r="AA62" s="664"/>
      <c r="AB62" s="664"/>
      <c r="AC62" s="664"/>
      <c r="AD62" s="9"/>
    </row>
    <row r="63" spans="2:30" ht="13.5" hidden="1" customHeight="1" x14ac:dyDescent="0.25">
      <c r="B63" s="62" t="s">
        <v>115</v>
      </c>
      <c r="C63" s="62"/>
      <c r="D63" s="62"/>
      <c r="E63" s="62"/>
      <c r="F63" s="62"/>
      <c r="G63" s="168">
        <v>0</v>
      </c>
      <c r="H63" s="168"/>
      <c r="I63" s="168"/>
      <c r="J63" s="168"/>
      <c r="K63" s="168"/>
      <c r="L63" s="168"/>
      <c r="O63" s="1"/>
      <c r="P63" s="165"/>
      <c r="Q63" s="165"/>
      <c r="V63" s="662" t="s">
        <v>116</v>
      </c>
      <c r="W63" s="662"/>
      <c r="X63" s="662"/>
      <c r="Y63" s="662"/>
      <c r="Z63" s="662"/>
      <c r="AA63" s="662"/>
      <c r="AB63" s="662"/>
      <c r="AC63" s="662"/>
      <c r="AD63" s="333"/>
    </row>
    <row r="64" spans="2:30" ht="13.5" customHeight="1" x14ac:dyDescent="0.25">
      <c r="B64" s="62" t="s">
        <v>116</v>
      </c>
      <c r="C64" s="62"/>
      <c r="D64" s="62"/>
      <c r="E64" s="62"/>
      <c r="F64" s="62"/>
      <c r="G64" s="62"/>
      <c r="H64" s="62"/>
      <c r="I64" s="62"/>
      <c r="J64" s="62"/>
      <c r="K64" s="62"/>
      <c r="L64" s="62"/>
      <c r="M64" s="116"/>
      <c r="N64" s="18"/>
      <c r="O64" s="1"/>
      <c r="V64" s="663" t="s">
        <v>117</v>
      </c>
      <c r="W64" s="663"/>
      <c r="X64" s="664">
        <f>+G65</f>
        <v>4123852</v>
      </c>
      <c r="Y64" s="664"/>
      <c r="Z64" s="664"/>
      <c r="AA64" s="664"/>
      <c r="AB64" s="664"/>
      <c r="AC64" s="664"/>
      <c r="AD64" s="9"/>
    </row>
    <row r="65" spans="1:30" ht="12.75" customHeight="1" x14ac:dyDescent="0.25">
      <c r="B65" s="167" t="s">
        <v>117</v>
      </c>
      <c r="C65" s="62"/>
      <c r="D65" s="62"/>
      <c r="E65" s="62"/>
      <c r="F65" s="62"/>
      <c r="G65" s="168">
        <f>+I59</f>
        <v>4123852</v>
      </c>
      <c r="H65" s="168"/>
      <c r="I65" s="168"/>
      <c r="J65" s="168"/>
      <c r="K65" s="168"/>
      <c r="L65" s="168"/>
      <c r="O65" s="1"/>
      <c r="V65" s="663" t="s">
        <v>118</v>
      </c>
      <c r="W65" s="663"/>
      <c r="X65" s="664">
        <f>+G66</f>
        <v>0</v>
      </c>
      <c r="Y65" s="664"/>
      <c r="Z65" s="664"/>
      <c r="AA65" s="664"/>
      <c r="AB65" s="664"/>
      <c r="AC65" s="664"/>
      <c r="AD65" s="20"/>
    </row>
    <row r="66" spans="1:30" ht="15" customHeight="1" x14ac:dyDescent="0.25">
      <c r="B66" s="167" t="s">
        <v>118</v>
      </c>
      <c r="C66" s="62"/>
      <c r="D66" s="62"/>
      <c r="E66" s="62"/>
      <c r="F66" s="62"/>
      <c r="G66" s="168">
        <v>0</v>
      </c>
      <c r="H66" s="168"/>
      <c r="I66" s="168"/>
      <c r="J66" s="168"/>
      <c r="K66" s="168"/>
      <c r="L66" s="168"/>
      <c r="M66" s="18"/>
      <c r="N66" s="3"/>
      <c r="O66" s="169"/>
      <c r="P66" s="169"/>
      <c r="Q66" s="169"/>
      <c r="V66" s="651" t="s">
        <v>119</v>
      </c>
      <c r="W66" s="651"/>
      <c r="X66" s="651"/>
      <c r="Y66" s="661">
        <f>+I67</f>
        <v>96774526</v>
      </c>
      <c r="Z66" s="661"/>
      <c r="AA66" s="332" t="s">
        <v>111</v>
      </c>
      <c r="AB66" s="163">
        <f>AB54</f>
        <v>0</v>
      </c>
      <c r="AC66" s="56">
        <f>ROUND(Y66*AB66,0)</f>
        <v>0</v>
      </c>
      <c r="AD66" s="9"/>
    </row>
    <row r="67" spans="1:30" ht="20.25" customHeight="1" x14ac:dyDescent="0.25">
      <c r="B67" s="13" t="s">
        <v>119</v>
      </c>
      <c r="C67" s="13"/>
      <c r="D67" s="13"/>
      <c r="E67" s="13"/>
      <c r="F67" s="13"/>
      <c r="H67" s="164" t="s">
        <v>25</v>
      </c>
      <c r="I67" s="129">
        <v>96774526</v>
      </c>
      <c r="J67" s="165" t="s">
        <v>111</v>
      </c>
      <c r="K67" s="166">
        <f>K54</f>
        <v>1.2290000000000001E-3</v>
      </c>
      <c r="L67" s="50">
        <f>ROUND(I67*K67,0)</f>
        <v>118936</v>
      </c>
      <c r="O67" s="1"/>
      <c r="V67" s="651" t="s">
        <v>120</v>
      </c>
      <c r="W67" s="651"/>
      <c r="X67" s="651"/>
      <c r="Y67" s="651"/>
      <c r="Z67" s="651"/>
      <c r="AA67" s="651"/>
      <c r="AB67" s="651"/>
      <c r="AC67" s="651"/>
      <c r="AD67" s="9"/>
    </row>
    <row r="68" spans="1:30" ht="20.25" customHeight="1" x14ac:dyDescent="0.25">
      <c r="B68" s="13" t="s">
        <v>120</v>
      </c>
      <c r="C68" s="13"/>
      <c r="D68" s="13"/>
      <c r="E68" s="13"/>
      <c r="F68" s="13"/>
      <c r="H68" s="13"/>
      <c r="I68" s="13"/>
      <c r="J68" s="82"/>
      <c r="K68" s="13"/>
      <c r="L68" s="13"/>
      <c r="O68" s="1"/>
      <c r="V68" s="667" t="s">
        <v>121</v>
      </c>
      <c r="W68" s="667"/>
      <c r="X68" s="667"/>
      <c r="Y68" s="661">
        <f>+I69</f>
        <v>0</v>
      </c>
      <c r="Z68" s="661"/>
      <c r="AA68" s="332" t="s">
        <v>111</v>
      </c>
      <c r="AB68" s="163">
        <f>AB57</f>
        <v>0</v>
      </c>
      <c r="AC68" s="56">
        <f>ROUND(Y68*AB68,0)</f>
        <v>0</v>
      </c>
      <c r="AD68" s="9"/>
    </row>
    <row r="69" spans="1:30" ht="15" customHeight="1" x14ac:dyDescent="0.25">
      <c r="B69" s="170" t="s">
        <v>121</v>
      </c>
      <c r="C69" s="13"/>
      <c r="D69" s="13"/>
      <c r="E69" s="13"/>
      <c r="F69" s="13"/>
      <c r="H69" s="164" t="s">
        <v>23</v>
      </c>
      <c r="I69" s="129">
        <v>0</v>
      </c>
      <c r="J69" s="165" t="s">
        <v>111</v>
      </c>
      <c r="K69" s="166">
        <f>K57</f>
        <v>1.2769999999999999E-3</v>
      </c>
      <c r="L69" s="50">
        <f>ROUND(I69*K69,0)</f>
        <v>0</v>
      </c>
      <c r="O69" s="1"/>
      <c r="V69" s="651" t="s">
        <v>122</v>
      </c>
      <c r="W69" s="651"/>
      <c r="X69" s="651"/>
      <c r="Y69" s="668">
        <f>+I70</f>
        <v>-3460775</v>
      </c>
      <c r="Z69" s="668"/>
      <c r="AA69" s="332" t="s">
        <v>111</v>
      </c>
      <c r="AB69" s="163">
        <f>AB54</f>
        <v>0</v>
      </c>
      <c r="AC69" s="56">
        <f>ROUND(Y69*AB69,0)</f>
        <v>0</v>
      </c>
      <c r="AD69" s="9"/>
    </row>
    <row r="70" spans="1:30" ht="20.25" customHeight="1" x14ac:dyDescent="0.25">
      <c r="B70" s="13" t="s">
        <v>122</v>
      </c>
      <c r="C70" s="13"/>
      <c r="D70" s="13"/>
      <c r="E70" s="13"/>
      <c r="F70" s="13"/>
      <c r="H70" s="164" t="s">
        <v>22</v>
      </c>
      <c r="I70" s="129">
        <v>-3460775</v>
      </c>
      <c r="J70" s="165" t="s">
        <v>111</v>
      </c>
      <c r="K70" s="166">
        <f>K54</f>
        <v>1.2290000000000001E-3</v>
      </c>
      <c r="L70" s="50">
        <f>ROUND(I70*K70,0)</f>
        <v>-4253</v>
      </c>
      <c r="O70" s="1"/>
      <c r="V70" s="651" t="s">
        <v>123</v>
      </c>
      <c r="W70" s="651"/>
      <c r="X70" s="651"/>
      <c r="Y70" s="665">
        <f>+I71</f>
        <v>1874788</v>
      </c>
      <c r="Z70" s="665"/>
      <c r="AA70" s="332" t="s">
        <v>111</v>
      </c>
      <c r="AB70" s="163">
        <f>AB54</f>
        <v>0</v>
      </c>
      <c r="AC70" s="56">
        <f>ROUND(Y70*AB70,0)</f>
        <v>0</v>
      </c>
      <c r="AD70" s="9"/>
    </row>
    <row r="71" spans="1:30" ht="20.25" customHeight="1" x14ac:dyDescent="0.25">
      <c r="B71" s="13" t="s">
        <v>123</v>
      </c>
      <c r="C71" s="13"/>
      <c r="D71" s="13"/>
      <c r="E71" s="13"/>
      <c r="F71" s="13"/>
      <c r="H71" s="164" t="s">
        <v>22</v>
      </c>
      <c r="I71" s="129">
        <v>1874788</v>
      </c>
      <c r="J71" s="165" t="s">
        <v>111</v>
      </c>
      <c r="K71" s="166">
        <f>K54</f>
        <v>1.2290000000000001E-3</v>
      </c>
      <c r="L71" s="50">
        <f>ROUND(I71*K71,0)</f>
        <v>2304</v>
      </c>
      <c r="O71" s="1"/>
      <c r="V71" s="651" t="s">
        <v>124</v>
      </c>
      <c r="W71" s="651"/>
      <c r="X71" s="651"/>
      <c r="Y71" s="665">
        <f>+I72</f>
        <v>14223298</v>
      </c>
      <c r="Z71" s="665"/>
      <c r="AA71" s="332" t="s">
        <v>111</v>
      </c>
      <c r="AB71" s="163">
        <f>AB57</f>
        <v>0</v>
      </c>
      <c r="AC71" s="56">
        <f>ROUND(Y71*AB71,0)</f>
        <v>0</v>
      </c>
      <c r="AD71" s="9"/>
    </row>
    <row r="72" spans="1:30" ht="21" customHeight="1" x14ac:dyDescent="0.25">
      <c r="B72" s="13" t="s">
        <v>124</v>
      </c>
      <c r="C72" s="13"/>
      <c r="D72" s="13"/>
      <c r="E72" s="13"/>
      <c r="F72" s="13"/>
      <c r="H72" s="164" t="s">
        <v>23</v>
      </c>
      <c r="I72" s="171">
        <v>14223298</v>
      </c>
      <c r="J72" s="165" t="s">
        <v>111</v>
      </c>
      <c r="K72" s="166">
        <f>K57</f>
        <v>1.2769999999999999E-3</v>
      </c>
      <c r="L72" s="50">
        <f>ROUND(I72*K72,0)</f>
        <v>18163</v>
      </c>
      <c r="O72" s="1"/>
      <c r="V72" s="623" t="s">
        <v>125</v>
      </c>
      <c r="W72" s="623"/>
      <c r="X72" s="623"/>
      <c r="Y72" s="623"/>
      <c r="Z72" s="623"/>
      <c r="AA72" s="623"/>
      <c r="AB72" s="623"/>
      <c r="AC72" s="60"/>
      <c r="AD72" s="9"/>
    </row>
    <row r="73" spans="1:30" ht="17.25" customHeight="1" x14ac:dyDescent="0.25">
      <c r="B73" s="13" t="s">
        <v>125</v>
      </c>
      <c r="C73" s="13"/>
      <c r="D73" s="13"/>
      <c r="E73" s="13"/>
      <c r="F73" s="13"/>
      <c r="H73" s="13"/>
      <c r="I73" s="13"/>
      <c r="J73" s="82"/>
      <c r="K73" s="13"/>
      <c r="L73" s="59"/>
      <c r="O73" s="1"/>
      <c r="V73" s="651" t="s">
        <v>126</v>
      </c>
      <c r="W73" s="651"/>
      <c r="X73" s="651"/>
      <c r="Y73" s="651"/>
      <c r="Z73" s="651"/>
      <c r="AA73" s="651"/>
      <c r="AB73" s="651"/>
      <c r="AC73" s="651"/>
      <c r="AD73" s="9"/>
    </row>
    <row r="74" spans="1:30" ht="31.5" x14ac:dyDescent="0.25">
      <c r="B74" s="13" t="s">
        <v>126</v>
      </c>
      <c r="C74" s="13"/>
      <c r="D74" s="27" t="s">
        <v>13</v>
      </c>
      <c r="E74" s="27" t="s">
        <v>14</v>
      </c>
      <c r="F74" s="27"/>
      <c r="H74" s="164" t="s">
        <v>26</v>
      </c>
      <c r="I74" s="172"/>
      <c r="J74" s="164"/>
      <c r="K74" s="172"/>
      <c r="L74" s="112"/>
      <c r="O74" s="1"/>
      <c r="V74" s="666" t="s">
        <v>127</v>
      </c>
      <c r="W74" s="666"/>
      <c r="X74" s="173" t="s">
        <v>128</v>
      </c>
      <c r="Y74" s="174"/>
      <c r="Z74" s="175">
        <f>+I75</f>
        <v>0</v>
      </c>
      <c r="AA74" s="331" t="s">
        <v>129</v>
      </c>
      <c r="AB74" s="177">
        <f>+K75</f>
        <v>361</v>
      </c>
      <c r="AC74" s="56">
        <f>ROUND(AB74*Z74,0)</f>
        <v>0</v>
      </c>
      <c r="AD74" s="9"/>
    </row>
    <row r="75" spans="1:30" ht="19.5" customHeight="1" x14ac:dyDescent="0.25">
      <c r="A75" s="1" t="s">
        <v>130</v>
      </c>
      <c r="B75" s="178" t="s">
        <v>127</v>
      </c>
      <c r="C75" s="179" t="s">
        <v>128</v>
      </c>
      <c r="D75" s="178">
        <v>0</v>
      </c>
      <c r="E75" s="178">
        <v>0</v>
      </c>
      <c r="F75" s="178">
        <v>0</v>
      </c>
      <c r="G75" s="180">
        <f>IF(E75=0,D75,E75)</f>
        <v>0</v>
      </c>
      <c r="H75" s="181"/>
      <c r="I75" s="182">
        <f>AVERAGE(G75,D75)</f>
        <v>0</v>
      </c>
      <c r="J75" s="183" t="s">
        <v>129</v>
      </c>
      <c r="K75" s="184">
        <v>361</v>
      </c>
      <c r="L75" s="50">
        <f>ROUND(K75*I75,0)</f>
        <v>0</v>
      </c>
      <c r="N75" s="1">
        <v>7802</v>
      </c>
      <c r="O75" s="1">
        <v>0</v>
      </c>
      <c r="V75" s="666" t="s">
        <v>127</v>
      </c>
      <c r="W75" s="666"/>
      <c r="X75" s="173" t="s">
        <v>131</v>
      </c>
      <c r="Y75" s="185"/>
      <c r="Z75" s="186">
        <f>+I76</f>
        <v>0</v>
      </c>
      <c r="AA75" s="331" t="s">
        <v>129</v>
      </c>
      <c r="AB75" s="187">
        <f>+K76</f>
        <v>1358</v>
      </c>
      <c r="AC75" s="56">
        <f>ROUND(AB75*Z75,0)</f>
        <v>0</v>
      </c>
      <c r="AD75" s="9"/>
    </row>
    <row r="76" spans="1:30" ht="19.5" customHeight="1" x14ac:dyDescent="0.25">
      <c r="A76" s="1" t="s">
        <v>132</v>
      </c>
      <c r="B76" s="178" t="s">
        <v>127</v>
      </c>
      <c r="C76" s="179" t="s">
        <v>131</v>
      </c>
      <c r="D76" s="178">
        <v>0</v>
      </c>
      <c r="E76" s="178">
        <v>0</v>
      </c>
      <c r="F76" s="178">
        <v>0</v>
      </c>
      <c r="G76" s="180">
        <f>IF(E76=0,D76,E76)</f>
        <v>0</v>
      </c>
      <c r="H76" s="181"/>
      <c r="I76" s="182">
        <f>AVERAGE(G76,D76)</f>
        <v>0</v>
      </c>
      <c r="J76" s="183" t="s">
        <v>129</v>
      </c>
      <c r="K76" s="188">
        <v>1358</v>
      </c>
      <c r="L76" s="50">
        <f>ROUND(K76*I76,0)</f>
        <v>0</v>
      </c>
      <c r="N76" s="1">
        <v>7802</v>
      </c>
      <c r="O76" s="1">
        <v>110</v>
      </c>
      <c r="V76" s="651" t="s">
        <v>133</v>
      </c>
      <c r="W76" s="651"/>
      <c r="X76" s="651"/>
      <c r="Y76" s="661">
        <f>+I77</f>
        <v>33305823</v>
      </c>
      <c r="Z76" s="661"/>
      <c r="AA76" s="331" t="s">
        <v>129</v>
      </c>
      <c r="AB76" s="163">
        <f>AB54</f>
        <v>0</v>
      </c>
      <c r="AC76" s="56">
        <f>ROUND(Y76*AB76,0)</f>
        <v>0</v>
      </c>
      <c r="AD76" s="9"/>
    </row>
    <row r="77" spans="1:30" ht="26.25" customHeight="1" x14ac:dyDescent="0.25">
      <c r="B77" s="13" t="s">
        <v>133</v>
      </c>
      <c r="C77" s="13"/>
      <c r="D77" s="13"/>
      <c r="E77" s="13"/>
      <c r="F77" s="13"/>
      <c r="H77" s="164" t="s">
        <v>134</v>
      </c>
      <c r="I77" s="189">
        <v>33305823</v>
      </c>
      <c r="J77" s="165" t="s">
        <v>111</v>
      </c>
      <c r="K77" s="166">
        <f>K54</f>
        <v>1.2290000000000001E-3</v>
      </c>
      <c r="L77" s="50">
        <f>ROUND(I77*K77,0)</f>
        <v>40933</v>
      </c>
      <c r="O77" s="1"/>
      <c r="V77" s="651" t="str">
        <f>+B78</f>
        <v>15.  Additional Allocation (WFTE share)</v>
      </c>
      <c r="W77" s="651"/>
      <c r="X77" s="651"/>
      <c r="Y77" s="661">
        <f>+I78</f>
        <v>680688</v>
      </c>
      <c r="Z77" s="661"/>
      <c r="AA77" s="331" t="s">
        <v>129</v>
      </c>
      <c r="AB77" s="163">
        <f>AB54</f>
        <v>0</v>
      </c>
      <c r="AC77" s="56">
        <f>ROUND(Y77*AB77,0)</f>
        <v>0</v>
      </c>
      <c r="AD77" s="9"/>
    </row>
    <row r="78" spans="1:30" ht="26.25" customHeight="1" x14ac:dyDescent="0.25">
      <c r="B78" s="669" t="s">
        <v>135</v>
      </c>
      <c r="C78" s="669"/>
      <c r="D78" s="669"/>
      <c r="E78" s="13"/>
      <c r="F78" s="13"/>
      <c r="H78" s="164" t="s">
        <v>136</v>
      </c>
      <c r="I78" s="190">
        <v>680688</v>
      </c>
      <c r="J78" s="165" t="s">
        <v>111</v>
      </c>
      <c r="K78" s="166">
        <f>K54</f>
        <v>1.2290000000000001E-3</v>
      </c>
      <c r="L78" s="50">
        <f>ROUND(I78*K78,0)</f>
        <v>837</v>
      </c>
      <c r="O78" s="1"/>
      <c r="V78" s="651" t="str">
        <f>+B79</f>
        <v>16.  Florida Teachers Lead Program Stipend</v>
      </c>
      <c r="W78" s="651"/>
      <c r="X78" s="651"/>
      <c r="Y78" s="191"/>
      <c r="Z78" s="191"/>
      <c r="AA78" s="191"/>
      <c r="AB78" s="191"/>
      <c r="AC78" s="134"/>
      <c r="AD78" s="9"/>
    </row>
    <row r="79" spans="1:30" ht="21" customHeight="1" x14ac:dyDescent="0.25">
      <c r="B79" s="669" t="s">
        <v>137</v>
      </c>
      <c r="C79" s="669"/>
      <c r="D79" s="669"/>
      <c r="E79" s="13"/>
      <c r="F79" s="13"/>
      <c r="H79" s="164"/>
      <c r="I79" s="172"/>
      <c r="J79" s="172"/>
      <c r="K79" s="172"/>
      <c r="L79" s="129"/>
      <c r="N79" s="192"/>
      <c r="O79" s="1"/>
      <c r="Q79" s="164"/>
      <c r="V79" s="651" t="str">
        <f>+B80</f>
        <v>17.  Food Service Allocation</v>
      </c>
      <c r="W79" s="651"/>
      <c r="X79" s="651"/>
      <c r="Y79" s="191"/>
      <c r="Z79" s="191"/>
      <c r="AA79" s="191"/>
      <c r="AB79" s="191"/>
      <c r="AC79" s="193"/>
      <c r="AD79" s="9"/>
    </row>
    <row r="80" spans="1:30" ht="21" customHeight="1" x14ac:dyDescent="0.25">
      <c r="B80" s="669" t="s">
        <v>138</v>
      </c>
      <c r="C80" s="669"/>
      <c r="D80" s="669"/>
      <c r="E80" s="13"/>
      <c r="F80" s="13"/>
      <c r="H80" s="194" t="s">
        <v>139</v>
      </c>
      <c r="I80" s="195"/>
      <c r="J80" s="195"/>
      <c r="K80" s="195"/>
      <c r="L80" s="196"/>
      <c r="N80" s="197"/>
      <c r="O80" s="1"/>
      <c r="Q80" s="164"/>
      <c r="V80" s="191"/>
      <c r="W80" s="191"/>
      <c r="X80" s="191"/>
      <c r="Y80" s="191"/>
      <c r="Z80" s="191"/>
      <c r="AA80" s="191"/>
      <c r="AB80" s="191"/>
      <c r="AC80" s="193"/>
      <c r="AD80" s="9"/>
    </row>
    <row r="81" spans="1:30" ht="21" customHeight="1" thickBot="1" x14ac:dyDescent="0.3">
      <c r="B81" s="13"/>
      <c r="C81" s="13"/>
      <c r="D81" s="13"/>
      <c r="E81" s="13"/>
      <c r="F81" s="13"/>
      <c r="G81" s="13"/>
      <c r="H81" s="13"/>
      <c r="I81" s="13"/>
      <c r="J81" s="13"/>
      <c r="K81" s="13"/>
      <c r="L81" s="196"/>
      <c r="M81" s="198"/>
      <c r="N81" s="197"/>
      <c r="O81" s="1"/>
      <c r="Q81" s="164"/>
      <c r="V81" s="191" t="s">
        <v>140</v>
      </c>
      <c r="W81" s="191"/>
      <c r="X81" s="191"/>
      <c r="Y81" s="191"/>
      <c r="Z81" s="191"/>
      <c r="AA81" s="191"/>
      <c r="AB81" s="191"/>
      <c r="AC81" s="199">
        <f>SUM(AC44:AC80)</f>
        <v>0</v>
      </c>
      <c r="AD81" s="200"/>
    </row>
    <row r="82" spans="1:30" ht="22.5" customHeight="1" thickTop="1" thickBot="1" x14ac:dyDescent="0.3">
      <c r="B82" s="13" t="s">
        <v>141</v>
      </c>
      <c r="C82" s="13"/>
      <c r="D82" s="13"/>
      <c r="E82" s="13"/>
      <c r="F82" s="13"/>
      <c r="G82" s="13"/>
      <c r="H82" s="13"/>
      <c r="I82" s="13"/>
      <c r="J82" s="13"/>
      <c r="K82" s="13"/>
      <c r="L82" s="201">
        <f>SUM(L44:L81)</f>
        <v>1462479</v>
      </c>
      <c r="M82" s="202"/>
      <c r="N82" s="203"/>
      <c r="O82" s="1"/>
      <c r="Q82" s="164"/>
      <c r="V82" s="191"/>
      <c r="W82" s="191"/>
      <c r="X82" s="191"/>
      <c r="Y82" s="191"/>
      <c r="Z82" s="191"/>
      <c r="AA82" s="191"/>
      <c r="AB82" s="191"/>
      <c r="AC82" s="204"/>
      <c r="AD82" s="200"/>
    </row>
    <row r="83" spans="1:30" ht="27.75" customHeight="1" thickTop="1" x14ac:dyDescent="0.25">
      <c r="B83" s="13" t="s">
        <v>142</v>
      </c>
      <c r="C83" s="13"/>
      <c r="D83" s="13"/>
      <c r="E83" s="13"/>
      <c r="F83" s="13"/>
      <c r="G83" s="13"/>
      <c r="H83" s="13"/>
      <c r="I83" s="13"/>
      <c r="J83" s="13"/>
      <c r="K83" s="82" t="s">
        <v>143</v>
      </c>
      <c r="L83" s="205" t="s">
        <v>144</v>
      </c>
      <c r="M83" s="202"/>
      <c r="N83" s="203"/>
      <c r="O83" s="1"/>
      <c r="Q83" s="164"/>
      <c r="V83" s="9" t="s">
        <v>145</v>
      </c>
      <c r="W83" s="9"/>
      <c r="X83" s="9"/>
      <c r="Y83" s="9"/>
      <c r="Z83" s="9"/>
      <c r="AA83" s="9"/>
      <c r="AB83" s="9"/>
      <c r="AC83" s="9"/>
      <c r="AD83" s="206"/>
    </row>
    <row r="84" spans="1:30" ht="18.75" customHeight="1" thickBot="1" x14ac:dyDescent="0.3">
      <c r="B84" s="13" t="s">
        <v>146</v>
      </c>
      <c r="C84" s="13"/>
      <c r="D84" s="13"/>
      <c r="E84" s="13"/>
      <c r="F84" s="13"/>
      <c r="G84" s="13"/>
      <c r="H84" s="13"/>
      <c r="I84" s="13"/>
      <c r="J84" s="13"/>
      <c r="K84" s="207" t="str">
        <f>IF(G26=0,"",IF((G11+G13+SUM(G15:G21))/G26&gt;0.75,1,""))</f>
        <v/>
      </c>
      <c r="L84" s="201">
        <f>'3961 June Final'!AC81</f>
        <v>0</v>
      </c>
      <c r="M84" s="202"/>
      <c r="N84" s="203"/>
      <c r="O84" s="1"/>
      <c r="Q84" s="164"/>
      <c r="V84" s="208" t="s">
        <v>147</v>
      </c>
      <c r="W84" s="208"/>
      <c r="X84" s="208"/>
      <c r="Y84" s="208"/>
      <c r="Z84" s="208"/>
      <c r="AA84" s="208"/>
      <c r="AB84" s="208"/>
      <c r="AC84" s="208"/>
      <c r="AD84" s="9"/>
    </row>
    <row r="85" spans="1:30" ht="18.75" customHeight="1" thickTop="1" x14ac:dyDescent="0.25">
      <c r="B85" s="13"/>
      <c r="C85" s="13"/>
      <c r="D85" s="13"/>
      <c r="E85" s="13"/>
      <c r="F85" s="13"/>
      <c r="G85" s="13"/>
      <c r="H85" s="13"/>
      <c r="I85" s="13"/>
      <c r="J85" s="13"/>
      <c r="M85" s="202"/>
      <c r="N85" s="203"/>
      <c r="O85" s="1"/>
      <c r="Q85" s="164"/>
      <c r="V85" s="208" t="s">
        <v>148</v>
      </c>
      <c r="W85" s="208"/>
      <c r="X85" s="208"/>
      <c r="Y85" s="208"/>
      <c r="Z85" s="208"/>
      <c r="AA85" s="208"/>
      <c r="AB85" s="208"/>
      <c r="AC85" s="208"/>
      <c r="AD85" s="206"/>
    </row>
    <row r="86" spans="1:30" ht="18.75" customHeight="1" x14ac:dyDescent="0.25">
      <c r="B86" s="2" t="s">
        <v>149</v>
      </c>
      <c r="C86" s="13"/>
      <c r="D86" s="13"/>
      <c r="E86" s="13"/>
      <c r="F86" s="13"/>
      <c r="G86" s="13"/>
      <c r="H86" s="13"/>
      <c r="I86" s="13"/>
      <c r="J86" s="209" t="s">
        <v>150</v>
      </c>
      <c r="K86" s="210">
        <f>IF(K84=1,L84,L82)</f>
        <v>1462479</v>
      </c>
      <c r="L86" s="211">
        <f>IF(G26=0,0,IF(G26&gt;250,-(((250/G26)*K86)*IF(M86="H",0.02,0.05)),IF(M86="H",-0.02*K86,-0.05*K86)))</f>
        <v>-73123.95</v>
      </c>
      <c r="M86" s="212" t="str">
        <f>IF(B123="2801","H",IF(B123="2911","H",IF(B123="3382","H"," ")))</f>
        <v xml:space="preserve"> </v>
      </c>
      <c r="N86" s="203"/>
      <c r="O86" s="1"/>
      <c r="Q86" s="164"/>
      <c r="V86" s="208" t="s">
        <v>151</v>
      </c>
      <c r="W86" s="208"/>
      <c r="X86" s="208"/>
      <c r="Y86" s="208"/>
      <c r="Z86" s="208"/>
      <c r="AA86" s="208"/>
      <c r="AB86" s="208"/>
      <c r="AC86" s="208"/>
      <c r="AD86" s="206"/>
    </row>
    <row r="87" spans="1:30" ht="18.75" customHeight="1" x14ac:dyDescent="0.25">
      <c r="B87" s="2" t="s">
        <v>152</v>
      </c>
      <c r="C87" s="13"/>
      <c r="D87" s="13"/>
      <c r="E87" s="13"/>
      <c r="F87" s="13"/>
      <c r="G87" s="13"/>
      <c r="H87" s="13"/>
      <c r="I87" s="13"/>
      <c r="J87" s="13"/>
      <c r="K87" s="213"/>
      <c r="L87" s="205">
        <f>L82+L86</f>
        <v>1389355.05</v>
      </c>
      <c r="M87" s="202"/>
      <c r="N87" s="203"/>
      <c r="O87" s="1"/>
      <c r="Q87" s="164"/>
      <c r="V87" s="198"/>
      <c r="W87" s="198"/>
      <c r="X87" s="198"/>
      <c r="Y87" s="198"/>
      <c r="Z87" s="198"/>
      <c r="AA87" s="198"/>
      <c r="AB87" s="198"/>
      <c r="AC87" s="198"/>
      <c r="AD87" s="214"/>
    </row>
    <row r="88" spans="1:30" x14ac:dyDescent="0.25">
      <c r="V88" s="198"/>
      <c r="W88" s="198"/>
      <c r="X88" s="198"/>
      <c r="Y88" s="198"/>
      <c r="Z88" s="198"/>
      <c r="AA88" s="198"/>
      <c r="AB88" s="198"/>
      <c r="AC88" s="198"/>
      <c r="AD88" s="215"/>
    </row>
    <row r="89" spans="1:30" ht="18.75" customHeight="1" x14ac:dyDescent="0.25">
      <c r="A89" s="1" t="s">
        <v>153</v>
      </c>
      <c r="B89" s="13" t="s">
        <v>154</v>
      </c>
      <c r="C89" s="13"/>
      <c r="D89" s="13">
        <v>646923</v>
      </c>
      <c r="E89" s="13">
        <v>126463</v>
      </c>
      <c r="F89" s="13">
        <v>1152775</v>
      </c>
      <c r="G89" s="13"/>
      <c r="H89" s="13"/>
      <c r="I89" s="13"/>
      <c r="J89" s="13"/>
      <c r="K89" s="213"/>
      <c r="L89" s="84">
        <v>-1389699.9</v>
      </c>
      <c r="M89" s="202"/>
      <c r="N89" s="203"/>
      <c r="O89" s="1"/>
      <c r="Q89" s="164"/>
      <c r="V89" s="198">
        <v>2801</v>
      </c>
      <c r="W89" s="198"/>
      <c r="X89" s="198"/>
      <c r="Y89" s="198"/>
      <c r="Z89" s="198"/>
      <c r="AA89" s="198"/>
      <c r="AB89" s="198"/>
      <c r="AC89" s="198"/>
      <c r="AD89" s="214"/>
    </row>
    <row r="90" spans="1:30" ht="18.75" customHeight="1" x14ac:dyDescent="0.25">
      <c r="B90" s="13" t="s">
        <v>155</v>
      </c>
      <c r="C90" s="13"/>
      <c r="D90" s="13"/>
      <c r="E90" s="13"/>
      <c r="F90" s="13"/>
      <c r="G90" s="13"/>
      <c r="H90" s="13"/>
      <c r="I90" s="13"/>
      <c r="J90" s="13"/>
      <c r="K90" s="213"/>
      <c r="L90" s="205">
        <f>L87+L89</f>
        <v>-344.8499999998603</v>
      </c>
      <c r="M90" s="202"/>
      <c r="N90" s="203"/>
      <c r="O90" s="1"/>
      <c r="Q90" s="164"/>
      <c r="V90" s="198">
        <v>2911</v>
      </c>
      <c r="W90" s="216"/>
      <c r="X90" s="216"/>
      <c r="Y90" s="216"/>
      <c r="Z90" s="216"/>
      <c r="AA90" s="216"/>
      <c r="AB90" s="216"/>
      <c r="AC90" s="216"/>
      <c r="AD90" s="214"/>
    </row>
    <row r="91" spans="1:30" ht="18.75" customHeight="1" x14ac:dyDescent="0.25">
      <c r="B91" s="13" t="s">
        <v>156</v>
      </c>
      <c r="C91" s="13"/>
      <c r="D91" s="13"/>
      <c r="E91" s="13"/>
      <c r="F91" s="13"/>
      <c r="G91" s="13"/>
      <c r="H91" s="13"/>
      <c r="I91" s="13"/>
      <c r="J91" s="13"/>
      <c r="K91" s="213"/>
      <c r="L91" s="205">
        <v>1</v>
      </c>
      <c r="M91" s="202"/>
      <c r="N91" s="203"/>
      <c r="O91" s="1"/>
      <c r="Q91" s="164"/>
      <c r="V91" s="198">
        <v>3382</v>
      </c>
      <c r="W91" s="216"/>
      <c r="X91" s="216"/>
      <c r="Y91" s="216"/>
      <c r="Z91" s="216"/>
      <c r="AA91" s="216"/>
      <c r="AB91" s="216"/>
      <c r="AC91" s="216"/>
      <c r="AD91" s="214"/>
    </row>
    <row r="92" spans="1:30" ht="18.75" customHeight="1" thickBot="1" x14ac:dyDescent="0.3">
      <c r="B92" s="13" t="s">
        <v>434</v>
      </c>
      <c r="C92" s="13"/>
      <c r="D92" s="13"/>
      <c r="E92" s="13"/>
      <c r="F92" s="13"/>
      <c r="G92" s="13"/>
      <c r="H92" s="13"/>
      <c r="I92" s="13"/>
      <c r="J92" s="13"/>
      <c r="K92" s="213"/>
      <c r="L92" s="217">
        <f>L90/L91</f>
        <v>-344.8499999998603</v>
      </c>
      <c r="M92" s="202"/>
      <c r="N92" s="203"/>
      <c r="O92" s="1"/>
      <c r="Q92" s="164"/>
      <c r="V92" s="218"/>
      <c r="W92" s="218"/>
      <c r="X92" s="218"/>
      <c r="Y92" s="218"/>
      <c r="Z92" s="218"/>
      <c r="AA92" s="218"/>
      <c r="AB92" s="218"/>
      <c r="AC92" s="218"/>
      <c r="AD92" s="219"/>
    </row>
    <row r="93" spans="1:30" ht="18.75" customHeight="1" thickTop="1" x14ac:dyDescent="0.25">
      <c r="N93" s="219"/>
      <c r="O93" s="220"/>
      <c r="P93" s="219"/>
      <c r="Q93" s="219"/>
      <c r="V93" s="218"/>
      <c r="W93" s="218"/>
      <c r="X93" s="218"/>
      <c r="Y93" s="218"/>
      <c r="Z93" s="218"/>
      <c r="AA93" s="218"/>
      <c r="AB93" s="218"/>
      <c r="AC93" s="218"/>
      <c r="AD93" s="214"/>
    </row>
    <row r="94" spans="1:30" ht="18.75" customHeight="1" thickBot="1" x14ac:dyDescent="0.3">
      <c r="B94" s="221" t="s">
        <v>158</v>
      </c>
      <c r="C94" s="13"/>
      <c r="D94" s="13"/>
      <c r="E94" s="13"/>
      <c r="G94" s="13"/>
      <c r="H94" s="13"/>
      <c r="I94" s="13"/>
      <c r="J94" s="13"/>
      <c r="L94" s="222">
        <f>IF(M86="H",(K86*0.02)+L86,(K86*0.05)+L86)</f>
        <v>0</v>
      </c>
      <c r="M94" s="202"/>
      <c r="V94" s="223"/>
      <c r="W94" s="223"/>
      <c r="X94" s="223"/>
      <c r="Y94" s="223"/>
      <c r="Z94" s="223"/>
      <c r="AA94" s="223"/>
      <c r="AB94" s="223"/>
      <c r="AC94" s="223"/>
      <c r="AD94" s="214"/>
    </row>
    <row r="95" spans="1:30" ht="21.75" customHeight="1" thickTop="1" x14ac:dyDescent="0.25">
      <c r="B95" s="224" t="s">
        <v>159</v>
      </c>
      <c r="C95" s="224"/>
      <c r="D95" s="224"/>
      <c r="E95" s="224"/>
      <c r="F95" s="224"/>
      <c r="G95" s="224"/>
      <c r="H95" s="224"/>
      <c r="I95" s="224"/>
      <c r="J95" s="224"/>
      <c r="K95" s="224"/>
      <c r="L95" s="224"/>
      <c r="M95" s="219"/>
      <c r="V95" s="223"/>
      <c r="W95" s="223"/>
      <c r="X95" s="223"/>
      <c r="Y95" s="223"/>
      <c r="Z95" s="223"/>
      <c r="AA95" s="223"/>
      <c r="AB95" s="223"/>
      <c r="AC95" s="223"/>
      <c r="AD95" s="214"/>
    </row>
    <row r="96" spans="1:30" x14ac:dyDescent="0.25">
      <c r="B96" s="225"/>
      <c r="V96" s="223"/>
      <c r="W96" s="223"/>
      <c r="X96" s="223"/>
      <c r="Y96" s="223"/>
      <c r="Z96" s="223"/>
      <c r="AA96" s="223"/>
      <c r="AB96" s="223"/>
      <c r="AC96" s="223"/>
      <c r="AD96" s="219"/>
    </row>
    <row r="97" spans="2:30" x14ac:dyDescent="0.25">
      <c r="B97" s="225"/>
      <c r="V97" s="223"/>
      <c r="W97" s="223"/>
      <c r="X97" s="223"/>
      <c r="Y97" s="223"/>
      <c r="Z97" s="223"/>
      <c r="AA97" s="223"/>
      <c r="AB97" s="223"/>
      <c r="AC97" s="223"/>
      <c r="AD97" s="219"/>
    </row>
    <row r="98" spans="2:30" hidden="1" x14ac:dyDescent="0.25">
      <c r="B98" s="226" t="s">
        <v>160</v>
      </c>
      <c r="C98" s="227"/>
      <c r="V98" s="228"/>
      <c r="W98" s="228"/>
      <c r="X98" s="228"/>
      <c r="Y98" s="228"/>
      <c r="Z98" s="228"/>
      <c r="AA98" s="228"/>
      <c r="AB98" s="228"/>
      <c r="AC98" s="228"/>
    </row>
    <row r="99" spans="2:30" hidden="1" x14ac:dyDescent="0.25">
      <c r="B99" s="229"/>
      <c r="C99" s="227"/>
      <c r="V99" s="225"/>
      <c r="W99" s="13"/>
      <c r="X99" s="13"/>
      <c r="Y99" s="13"/>
      <c r="Z99" s="13"/>
      <c r="AA99" s="13"/>
      <c r="AB99" s="13"/>
      <c r="AC99" s="13"/>
    </row>
    <row r="100" spans="2:30" hidden="1" x14ac:dyDescent="0.25">
      <c r="B100" s="230" t="s">
        <v>161</v>
      </c>
      <c r="C100" s="226" t="s">
        <v>162</v>
      </c>
      <c r="V100" s="225"/>
    </row>
    <row r="101" spans="2:30" hidden="1" x14ac:dyDescent="0.25">
      <c r="B101" s="230" t="s">
        <v>163</v>
      </c>
      <c r="C101" s="226" t="s">
        <v>164</v>
      </c>
      <c r="V101" s="225"/>
    </row>
    <row r="102" spans="2:30" hidden="1" x14ac:dyDescent="0.25">
      <c r="B102" s="230" t="s">
        <v>165</v>
      </c>
      <c r="C102" s="226" t="s">
        <v>166</v>
      </c>
      <c r="V102" s="225"/>
      <c r="W102" s="231"/>
      <c r="X102" s="231"/>
      <c r="Y102" s="231"/>
      <c r="Z102" s="231"/>
      <c r="AA102" s="231"/>
      <c r="AB102" s="231"/>
      <c r="AC102" s="231"/>
      <c r="AD102" s="231"/>
    </row>
    <row r="103" spans="2:30" hidden="1" x14ac:dyDescent="0.25">
      <c r="B103" s="230" t="s">
        <v>167</v>
      </c>
      <c r="C103" s="226" t="s">
        <v>168</v>
      </c>
      <c r="V103" s="225"/>
    </row>
    <row r="104" spans="2:30" hidden="1" x14ac:dyDescent="0.25">
      <c r="B104" s="232"/>
      <c r="C104" s="226" t="s">
        <v>169</v>
      </c>
      <c r="V104" s="225"/>
    </row>
    <row r="105" spans="2:30" hidden="1" x14ac:dyDescent="0.25">
      <c r="B105" s="230" t="s">
        <v>170</v>
      </c>
      <c r="C105" s="226" t="s">
        <v>171</v>
      </c>
      <c r="V105" s="225"/>
    </row>
    <row r="106" spans="2:30" hidden="1" x14ac:dyDescent="0.25">
      <c r="B106" s="230" t="s">
        <v>172</v>
      </c>
      <c r="C106" s="226" t="s">
        <v>173</v>
      </c>
      <c r="V106" s="225"/>
    </row>
    <row r="107" spans="2:30" hidden="1" x14ac:dyDescent="0.25">
      <c r="B107" s="230" t="s">
        <v>315</v>
      </c>
      <c r="C107" s="226" t="s">
        <v>175</v>
      </c>
      <c r="V107" s="225"/>
    </row>
    <row r="108" spans="2:30" hidden="1" x14ac:dyDescent="0.25">
      <c r="B108" s="230" t="s">
        <v>176</v>
      </c>
      <c r="C108" s="226" t="s">
        <v>177</v>
      </c>
      <c r="V108" s="225"/>
    </row>
    <row r="109" spans="2:30" hidden="1" x14ac:dyDescent="0.25">
      <c r="B109" s="230" t="s">
        <v>178</v>
      </c>
      <c r="C109" s="226" t="s">
        <v>179</v>
      </c>
      <c r="V109" s="225"/>
    </row>
    <row r="110" spans="2:30" hidden="1" x14ac:dyDescent="0.25">
      <c r="B110" s="232"/>
      <c r="C110" s="226"/>
      <c r="V110" s="225"/>
    </row>
    <row r="111" spans="2:30" hidden="1" x14ac:dyDescent="0.25">
      <c r="B111" s="230" t="s">
        <v>180</v>
      </c>
      <c r="C111" s="226" t="s">
        <v>181</v>
      </c>
      <c r="V111" s="225"/>
    </row>
    <row r="112" spans="2:30" hidden="1" x14ac:dyDescent="0.25">
      <c r="B112" s="230" t="s">
        <v>180</v>
      </c>
      <c r="C112" s="226" t="s">
        <v>182</v>
      </c>
    </row>
    <row r="113" spans="2:3" hidden="1" x14ac:dyDescent="0.25">
      <c r="B113" s="230" t="s">
        <v>183</v>
      </c>
      <c r="C113" s="226" t="s">
        <v>184</v>
      </c>
    </row>
    <row r="114" spans="2:3" hidden="1" x14ac:dyDescent="0.25">
      <c r="B114" s="230" t="s">
        <v>185</v>
      </c>
      <c r="C114" s="226" t="s">
        <v>186</v>
      </c>
    </row>
    <row r="115" spans="2:3" hidden="1" x14ac:dyDescent="0.25">
      <c r="B115" s="230" t="s">
        <v>183</v>
      </c>
      <c r="C115" s="226" t="s">
        <v>187</v>
      </c>
    </row>
    <row r="116" spans="2:3" hidden="1" x14ac:dyDescent="0.25">
      <c r="B116" s="230" t="s">
        <v>188</v>
      </c>
      <c r="C116" s="226" t="s">
        <v>189</v>
      </c>
    </row>
    <row r="117" spans="2:3" hidden="1" x14ac:dyDescent="0.25">
      <c r="B117" s="230" t="s">
        <v>190</v>
      </c>
      <c r="C117" s="226" t="s">
        <v>191</v>
      </c>
    </row>
    <row r="118" spans="2:3" hidden="1" x14ac:dyDescent="0.25">
      <c r="B118" s="232" t="s">
        <v>192</v>
      </c>
      <c r="C118" s="226" t="s">
        <v>193</v>
      </c>
    </row>
    <row r="119" spans="2:3" hidden="1" x14ac:dyDescent="0.25">
      <c r="B119" s="232"/>
      <c r="C119" s="226"/>
    </row>
    <row r="120" spans="2:3" hidden="1" x14ac:dyDescent="0.25">
      <c r="B120" s="230" t="s">
        <v>161</v>
      </c>
      <c r="C120" s="226" t="s">
        <v>194</v>
      </c>
    </row>
    <row r="121" spans="2:3" hidden="1" x14ac:dyDescent="0.25">
      <c r="B121" s="230" t="s">
        <v>195</v>
      </c>
      <c r="C121" s="226" t="s">
        <v>196</v>
      </c>
    </row>
    <row r="122" spans="2:3" hidden="1" x14ac:dyDescent="0.25">
      <c r="B122" s="230" t="s">
        <v>197</v>
      </c>
      <c r="C122" s="226" t="s">
        <v>198</v>
      </c>
    </row>
    <row r="123" spans="2:3" hidden="1" x14ac:dyDescent="0.25">
      <c r="B123" s="230" t="s">
        <v>316</v>
      </c>
      <c r="C123" s="226" t="s">
        <v>200</v>
      </c>
    </row>
    <row r="124" spans="2:3" hidden="1" x14ac:dyDescent="0.25">
      <c r="B124" s="230" t="s">
        <v>317</v>
      </c>
      <c r="C124" s="226" t="s">
        <v>202</v>
      </c>
    </row>
    <row r="125" spans="2:3" hidden="1" x14ac:dyDescent="0.25">
      <c r="B125" s="230" t="s">
        <v>203</v>
      </c>
      <c r="C125" s="226" t="s">
        <v>204</v>
      </c>
    </row>
    <row r="126" spans="2:3" hidden="1" x14ac:dyDescent="0.25">
      <c r="B126" s="230" t="s">
        <v>203</v>
      </c>
      <c r="C126" s="226" t="s">
        <v>205</v>
      </c>
    </row>
    <row r="127" spans="2:3" hidden="1" x14ac:dyDescent="0.25">
      <c r="B127" s="230" t="s">
        <v>203</v>
      </c>
      <c r="C127" s="226" t="s">
        <v>206</v>
      </c>
    </row>
    <row r="128" spans="2:3" hidden="1" x14ac:dyDescent="0.25">
      <c r="B128" s="230" t="s">
        <v>203</v>
      </c>
      <c r="C128" s="226" t="s">
        <v>207</v>
      </c>
    </row>
    <row r="129" spans="2:3" hidden="1" x14ac:dyDescent="0.25">
      <c r="B129" s="230" t="s">
        <v>167</v>
      </c>
      <c r="C129" s="226" t="s">
        <v>208</v>
      </c>
    </row>
    <row r="130" spans="2:3" hidden="1" x14ac:dyDescent="0.25">
      <c r="B130" s="230" t="s">
        <v>209</v>
      </c>
      <c r="C130" s="226" t="s">
        <v>210</v>
      </c>
    </row>
    <row r="131" spans="2:3" hidden="1" x14ac:dyDescent="0.25">
      <c r="B131" s="230" t="s">
        <v>203</v>
      </c>
      <c r="C131" s="226" t="s">
        <v>211</v>
      </c>
    </row>
    <row r="132" spans="2:3" hidden="1" x14ac:dyDescent="0.25">
      <c r="B132" s="226"/>
      <c r="C132" s="226"/>
    </row>
    <row r="133" spans="2:3" hidden="1" x14ac:dyDescent="0.25">
      <c r="B133" s="226"/>
      <c r="C133" s="226"/>
    </row>
    <row r="134" spans="2:3" hidden="1" x14ac:dyDescent="0.25">
      <c r="B134" s="232"/>
      <c r="C134" s="232"/>
    </row>
    <row r="135" spans="2:3" hidden="1" x14ac:dyDescent="0.25">
      <c r="B135" s="232">
        <f>NvsElapsedTime</f>
        <v>1.15740695036948E-5</v>
      </c>
      <c r="C135" s="232"/>
    </row>
    <row r="136" spans="2:3" hidden="1" x14ac:dyDescent="0.25">
      <c r="B136" s="233">
        <f>NvsEndTime</f>
        <v>41754.488101851799</v>
      </c>
      <c r="C136" s="233" t="s">
        <v>212</v>
      </c>
    </row>
    <row r="137" spans="2:3" x14ac:dyDescent="0.25">
      <c r="B137" s="226"/>
      <c r="C137" s="234"/>
    </row>
    <row r="138" spans="2:3" x14ac:dyDescent="0.25">
      <c r="B138" s="226"/>
      <c r="C138" s="226"/>
    </row>
    <row r="139" spans="2:3" x14ac:dyDescent="0.25">
      <c r="B139" s="226"/>
      <c r="C139" s="226"/>
    </row>
    <row r="140" spans="2:3" x14ac:dyDescent="0.25">
      <c r="B140" s="226"/>
      <c r="C140" s="226"/>
    </row>
    <row r="141" spans="2:3" x14ac:dyDescent="0.25">
      <c r="B141" s="226"/>
      <c r="C141" s="226"/>
    </row>
    <row r="142" spans="2:3" x14ac:dyDescent="0.25">
      <c r="B142" s="226"/>
      <c r="C142" s="226"/>
    </row>
    <row r="143" spans="2:3" x14ac:dyDescent="0.25">
      <c r="B143" s="226"/>
      <c r="C143" s="226"/>
    </row>
    <row r="144" spans="2:3" x14ac:dyDescent="0.25">
      <c r="B144" s="226"/>
      <c r="C144" s="226"/>
    </row>
    <row r="145" spans="2:3" x14ac:dyDescent="0.25">
      <c r="B145" s="226"/>
      <c r="C145" s="226"/>
    </row>
    <row r="146" spans="2:3" x14ac:dyDescent="0.25">
      <c r="B146" s="226"/>
      <c r="C146" s="226"/>
    </row>
    <row r="147" spans="2:3" x14ac:dyDescent="0.25">
      <c r="B147" s="226"/>
      <c r="C147" s="226"/>
    </row>
    <row r="148" spans="2:3" x14ac:dyDescent="0.25">
      <c r="B148" s="226"/>
      <c r="C148" s="226"/>
    </row>
    <row r="149" spans="2:3" x14ac:dyDescent="0.25">
      <c r="B149" s="226"/>
      <c r="C149" s="226"/>
    </row>
    <row r="150" spans="2:3" x14ac:dyDescent="0.25">
      <c r="B150" s="226"/>
      <c r="C150" s="226"/>
    </row>
    <row r="151" spans="2:3" x14ac:dyDescent="0.25">
      <c r="B151" s="226"/>
      <c r="C151" s="226"/>
    </row>
  </sheetData>
  <mergeCells count="151">
    <mergeCell ref="B80:D80"/>
    <mergeCell ref="V76:X76"/>
    <mergeCell ref="Y76:Z76"/>
    <mergeCell ref="V77:X77"/>
    <mergeCell ref="Y77:Z77"/>
    <mergeCell ref="B78:D78"/>
    <mergeCell ref="V78:X78"/>
    <mergeCell ref="V70:X70"/>
    <mergeCell ref="Y70:Z70"/>
    <mergeCell ref="V71:X71"/>
    <mergeCell ref="Y71:Z71"/>
    <mergeCell ref="V72:AB72"/>
    <mergeCell ref="V73:AC73"/>
    <mergeCell ref="V74:W74"/>
    <mergeCell ref="V75:W75"/>
    <mergeCell ref="B79:D79"/>
    <mergeCell ref="V79:X79"/>
    <mergeCell ref="V65:W65"/>
    <mergeCell ref="X65:AC65"/>
    <mergeCell ref="V66:X66"/>
    <mergeCell ref="Y66:Z66"/>
    <mergeCell ref="V67:AC67"/>
    <mergeCell ref="V68:X68"/>
    <mergeCell ref="Y68:Z68"/>
    <mergeCell ref="V69:X69"/>
    <mergeCell ref="Y69:Z69"/>
    <mergeCell ref="V60:W60"/>
    <mergeCell ref="X60:AC60"/>
    <mergeCell ref="V61:W61"/>
    <mergeCell ref="X61:AC61"/>
    <mergeCell ref="V62:W62"/>
    <mergeCell ref="X62:AC62"/>
    <mergeCell ref="V63:AC63"/>
    <mergeCell ref="V64:W64"/>
    <mergeCell ref="X64:AC64"/>
    <mergeCell ref="V55:AC55"/>
    <mergeCell ref="V56:W56"/>
    <mergeCell ref="Y56:Z56"/>
    <mergeCell ref="AA56:AC56"/>
    <mergeCell ref="V57:AA57"/>
    <mergeCell ref="AB57:AC57"/>
    <mergeCell ref="V58:X58"/>
    <mergeCell ref="Y58:Z58"/>
    <mergeCell ref="V59:AC59"/>
    <mergeCell ref="X49:Y49"/>
    <mergeCell ref="X50:AB50"/>
    <mergeCell ref="V51:AC51"/>
    <mergeCell ref="V52:AC52"/>
    <mergeCell ref="V53:W53"/>
    <mergeCell ref="Y53:Z53"/>
    <mergeCell ref="AA53:AC53"/>
    <mergeCell ref="V54:AA54"/>
    <mergeCell ref="AB54:AC54"/>
    <mergeCell ref="V41:AC41"/>
    <mergeCell ref="V42:AC42"/>
    <mergeCell ref="V43:AC43"/>
    <mergeCell ref="V44:AB44"/>
    <mergeCell ref="V45:AC45"/>
    <mergeCell ref="X46:Y46"/>
    <mergeCell ref="Z46:AC46"/>
    <mergeCell ref="X47:Y47"/>
    <mergeCell ref="X48:Y48"/>
    <mergeCell ref="V37:W37"/>
    <mergeCell ref="X37:Y37"/>
    <mergeCell ref="Z37:AB37"/>
    <mergeCell ref="V38:AC38"/>
    <mergeCell ref="V39:W39"/>
    <mergeCell ref="X39:Y39"/>
    <mergeCell ref="Z39:AC39"/>
    <mergeCell ref="V40:W40"/>
    <mergeCell ref="X40:AA40"/>
    <mergeCell ref="V26:W26"/>
    <mergeCell ref="X26:Y26"/>
    <mergeCell ref="Z26:AA26"/>
    <mergeCell ref="V27:W27"/>
    <mergeCell ref="X27:Y27"/>
    <mergeCell ref="B28:C36"/>
    <mergeCell ref="V28:W36"/>
    <mergeCell ref="X28:Y28"/>
    <mergeCell ref="X29:Y29"/>
    <mergeCell ref="X30:Y30"/>
    <mergeCell ref="X31:Y31"/>
    <mergeCell ref="X32:Y32"/>
    <mergeCell ref="X33:Y33"/>
    <mergeCell ref="X34:Y34"/>
    <mergeCell ref="X35:Y35"/>
    <mergeCell ref="X36:Y36"/>
    <mergeCell ref="V23:W23"/>
    <mergeCell ref="X23:Y23"/>
    <mergeCell ref="Z23:AA23"/>
    <mergeCell ref="V24:W24"/>
    <mergeCell ref="X24:Y24"/>
    <mergeCell ref="Z24:AA24"/>
    <mergeCell ref="V25:W25"/>
    <mergeCell ref="X25:Y25"/>
    <mergeCell ref="Z25:AA25"/>
    <mergeCell ref="V20:W20"/>
    <mergeCell ref="X20:Y20"/>
    <mergeCell ref="Z20:AA20"/>
    <mergeCell ref="V21:W21"/>
    <mergeCell ref="X21:Y21"/>
    <mergeCell ref="Z21:AA21"/>
    <mergeCell ref="V22:W22"/>
    <mergeCell ref="X22:Y22"/>
    <mergeCell ref="Z22:AA22"/>
    <mergeCell ref="V17:W17"/>
    <mergeCell ref="X17:Y17"/>
    <mergeCell ref="Z17:AA17"/>
    <mergeCell ref="V18:W18"/>
    <mergeCell ref="X18:Y18"/>
    <mergeCell ref="Z18:AA18"/>
    <mergeCell ref="V19:W19"/>
    <mergeCell ref="X19:Y19"/>
    <mergeCell ref="Z19:AA19"/>
    <mergeCell ref="V14:W14"/>
    <mergeCell ref="X14:Y14"/>
    <mergeCell ref="Z14:AA14"/>
    <mergeCell ref="V15:W15"/>
    <mergeCell ref="X15:Y15"/>
    <mergeCell ref="Z15:AA15"/>
    <mergeCell ref="V16:W16"/>
    <mergeCell ref="X16:Y16"/>
    <mergeCell ref="Z16:AA16"/>
    <mergeCell ref="V11:W11"/>
    <mergeCell ref="X11:Y11"/>
    <mergeCell ref="Z11:AA11"/>
    <mergeCell ref="V12:W12"/>
    <mergeCell ref="X12:Y12"/>
    <mergeCell ref="Z12:AA12"/>
    <mergeCell ref="V13:W13"/>
    <mergeCell ref="X13:Y13"/>
    <mergeCell ref="Z13:AA13"/>
    <mergeCell ref="V8:W8"/>
    <mergeCell ref="X8:Y8"/>
    <mergeCell ref="Z8:AA8"/>
    <mergeCell ref="V9:W9"/>
    <mergeCell ref="X9:Y9"/>
    <mergeCell ref="Z9:AA9"/>
    <mergeCell ref="V10:W10"/>
    <mergeCell ref="X10:Y10"/>
    <mergeCell ref="Z10:AA10"/>
    <mergeCell ref="W2:AC2"/>
    <mergeCell ref="V3:AC3"/>
    <mergeCell ref="V4:AC4"/>
    <mergeCell ref="V5:W5"/>
    <mergeCell ref="X5:Y5"/>
    <mergeCell ref="V6:AC6"/>
    <mergeCell ref="V7:W7"/>
    <mergeCell ref="X7:Y7"/>
    <mergeCell ref="Z7:AA7"/>
    <mergeCell ref="AB7:AC7"/>
  </mergeCells>
  <printOptions horizontalCentered="1"/>
  <pageMargins left="0" right="0" top="0.67" bottom="0.2" header="0.25" footer="0.196850393700787"/>
  <pageSetup scale="63" fitToWidth="2" fitToHeight="2" orientation="portrait" horizontalDpi="4294967295" verticalDpi="4294967295" r:id="rId1"/>
  <headerFooter alignWithMargins="0">
    <oddHeader>&amp;L&amp;8&amp;F
&amp;D &amp;T</oddHeader>
    <oddFooter>&amp;C&amp;P</oddFooter>
  </headerFooter>
  <rowBreaks count="1" manualBreakCount="1">
    <brk id="51" max="16383" man="1"/>
  </rowBreaks>
  <legacyDrawing r:id="rId2"/>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pageSetUpPr fitToPage="1"/>
  </sheetPr>
  <dimension ref="A1:AD151"/>
  <sheetViews>
    <sheetView topLeftCell="B17" zoomScale="70" zoomScaleNormal="70" workbookViewId="0">
      <selection activeCell="L71" sqref="L70:L71"/>
    </sheetView>
  </sheetViews>
  <sheetFormatPr defaultColWidth="8.85546875" defaultRowHeight="15.75" x14ac:dyDescent="0.25"/>
  <cols>
    <col min="1" max="1" width="11.28515625" style="1" hidden="1" customWidth="1"/>
    <col min="2" max="2" width="10.28515625" style="2" customWidth="1"/>
    <col min="3" max="3" width="29" style="1" customWidth="1"/>
    <col min="4" max="5" width="12.28515625" style="1" customWidth="1"/>
    <col min="6" max="6" width="12.28515625" style="1" hidden="1" customWidth="1"/>
    <col min="7" max="7" width="16.140625" style="1" customWidth="1"/>
    <col min="8" max="8" width="6.7109375" style="1" customWidth="1"/>
    <col min="9" max="9" width="14.28515625" style="1" customWidth="1"/>
    <col min="10" max="10" width="12.85546875" style="1" customWidth="1"/>
    <col min="11" max="11" width="16.140625" style="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28515625" style="1" customWidth="1"/>
    <col min="18" max="18" width="8.85546875" style="1"/>
    <col min="19" max="21" width="0" style="1" hidden="1" customWidth="1"/>
    <col min="22" max="23" width="8.85546875" style="1"/>
    <col min="24" max="24" width="12.7109375" style="1" customWidth="1"/>
    <col min="25" max="27" width="8.85546875" style="1"/>
    <col min="28" max="28" width="13.140625" style="1" bestFit="1" customWidth="1"/>
    <col min="29" max="16384" width="8.85546875" style="1"/>
  </cols>
  <sheetData>
    <row r="1" spans="1:30" ht="15.6"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7"/>
      <c r="N2" s="3"/>
      <c r="O2" s="1"/>
      <c r="V2" s="8">
        <f>'3971'!B2</f>
        <v>50</v>
      </c>
      <c r="W2" s="606" t="s">
        <v>4</v>
      </c>
      <c r="X2" s="607"/>
      <c r="Y2" s="608"/>
      <c r="Z2" s="608"/>
      <c r="AA2" s="608"/>
      <c r="AB2" s="608"/>
      <c r="AC2" s="608"/>
      <c r="AD2" s="9"/>
    </row>
    <row r="3" spans="1:30" ht="20.25" x14ac:dyDescent="0.3">
      <c r="B3" s="10" t="str">
        <f>"Revenue Estimate Worksheet for "&amp;B124</f>
        <v>Revenue Estimate Worksheet for Mavericks HS of Palm Springs</v>
      </c>
      <c r="C3" s="11"/>
      <c r="D3" s="11"/>
      <c r="E3" s="11"/>
      <c r="F3" s="11"/>
      <c r="G3" s="11"/>
      <c r="H3" s="11"/>
      <c r="I3" s="11"/>
      <c r="J3" s="11"/>
      <c r="K3" s="11"/>
      <c r="L3" s="11"/>
      <c r="M3" s="10"/>
      <c r="N3" s="10"/>
      <c r="O3" s="10"/>
      <c r="P3" s="10"/>
      <c r="Q3" s="10"/>
      <c r="V3" s="609" t="s">
        <v>5</v>
      </c>
      <c r="W3" s="609"/>
      <c r="X3" s="609"/>
      <c r="Y3" s="609"/>
      <c r="Z3" s="609"/>
      <c r="AA3" s="609"/>
      <c r="AB3" s="609"/>
      <c r="AC3" s="609"/>
      <c r="AD3" s="12"/>
    </row>
    <row r="4" spans="1:30" ht="18.75" x14ac:dyDescent="0.3">
      <c r="B4" s="2" t="s">
        <v>6</v>
      </c>
      <c r="C4" s="13"/>
      <c r="D4" s="13"/>
      <c r="E4" s="13"/>
      <c r="F4" s="13"/>
      <c r="G4" s="13"/>
      <c r="H4" s="13"/>
      <c r="I4" s="13"/>
      <c r="J4" s="13"/>
      <c r="K4" s="13"/>
      <c r="L4" s="13"/>
      <c r="M4" s="14"/>
      <c r="N4" s="14"/>
      <c r="O4" s="14"/>
      <c r="P4" s="14"/>
      <c r="Q4" s="14"/>
      <c r="V4" s="610" t="str">
        <f>+Based_on_the_Second_Calculation_of_the_FEFP_2010_11</f>
        <v>Based on the Fourth Calculation of the FEFP 2013-14</v>
      </c>
      <c r="W4" s="610"/>
      <c r="X4" s="610"/>
      <c r="Y4" s="610"/>
      <c r="Z4" s="610"/>
      <c r="AA4" s="610"/>
      <c r="AB4" s="610"/>
      <c r="AC4" s="610"/>
      <c r="AD4" s="15"/>
    </row>
    <row r="5" spans="1:30" ht="18.75" customHeight="1" x14ac:dyDescent="0.25">
      <c r="B5" s="16" t="s">
        <v>7</v>
      </c>
      <c r="C5" s="16"/>
      <c r="D5" s="16"/>
      <c r="E5" s="16"/>
      <c r="F5" s="16"/>
      <c r="G5" s="17" t="s">
        <v>8</v>
      </c>
      <c r="H5" s="17"/>
      <c r="I5" s="17"/>
      <c r="J5" s="17"/>
      <c r="K5" s="17"/>
      <c r="L5" s="17"/>
      <c r="M5" s="18"/>
      <c r="N5" s="18"/>
      <c r="O5" s="18"/>
      <c r="P5" s="18"/>
      <c r="Q5" s="18"/>
      <c r="V5" s="611" t="s">
        <v>7</v>
      </c>
      <c r="W5" s="611"/>
      <c r="X5" s="612" t="s">
        <v>8</v>
      </c>
      <c r="Y5" s="612"/>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613" t="s">
        <v>9</v>
      </c>
      <c r="W6" s="613"/>
      <c r="X6" s="613"/>
      <c r="Y6" s="613"/>
      <c r="Z6" s="613"/>
      <c r="AA6" s="613"/>
      <c r="AB6" s="613"/>
      <c r="AC6" s="613"/>
      <c r="AD6" s="22"/>
    </row>
    <row r="7" spans="1:30" ht="18" customHeight="1" x14ac:dyDescent="0.25">
      <c r="B7" s="23" t="s">
        <v>10</v>
      </c>
      <c r="C7" s="23"/>
      <c r="D7" s="23"/>
      <c r="E7" s="23"/>
      <c r="F7" s="23"/>
      <c r="G7" s="24">
        <v>3752.3</v>
      </c>
      <c r="H7" s="24"/>
      <c r="I7" s="23" t="s">
        <v>11</v>
      </c>
      <c r="J7" s="23"/>
      <c r="K7" s="25">
        <v>1.0326</v>
      </c>
      <c r="L7" s="25"/>
      <c r="O7" s="1"/>
      <c r="V7" s="620" t="s">
        <v>10</v>
      </c>
      <c r="W7" s="620"/>
      <c r="X7" s="621">
        <f>'3971'!G7</f>
        <v>3752.3</v>
      </c>
      <c r="Y7" s="621"/>
      <c r="Z7" s="622" t="s">
        <v>11</v>
      </c>
      <c r="AA7" s="622"/>
      <c r="AB7" s="602">
        <f>+K7</f>
        <v>1.0326</v>
      </c>
      <c r="AC7" s="602"/>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603" t="s">
        <v>12</v>
      </c>
      <c r="W8" s="603"/>
      <c r="X8" s="604" t="s">
        <v>15</v>
      </c>
      <c r="Y8" s="604"/>
      <c r="Z8" s="605" t="s">
        <v>16</v>
      </c>
      <c r="AA8" s="605"/>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614" t="s">
        <v>22</v>
      </c>
      <c r="W9" s="614"/>
      <c r="X9" s="615" t="s">
        <v>23</v>
      </c>
      <c r="Y9" s="615"/>
      <c r="Z9" s="616" t="s">
        <v>24</v>
      </c>
      <c r="AA9" s="616"/>
      <c r="AB9" s="43" t="s">
        <v>25</v>
      </c>
      <c r="AC9" s="44" t="s">
        <v>26</v>
      </c>
      <c r="AD9" s="9"/>
    </row>
    <row r="10" spans="1:30" x14ac:dyDescent="0.25">
      <c r="A10" s="1" t="s">
        <v>27</v>
      </c>
      <c r="B10" s="45" t="s">
        <v>28</v>
      </c>
      <c r="C10" s="45"/>
      <c r="D10" s="45">
        <v>0</v>
      </c>
      <c r="E10" s="45">
        <v>0</v>
      </c>
      <c r="F10" s="45">
        <v>0</v>
      </c>
      <c r="G10" s="46">
        <f>D10+E10</f>
        <v>0</v>
      </c>
      <c r="H10" s="47"/>
      <c r="I10" s="48">
        <v>1.125</v>
      </c>
      <c r="J10" s="48"/>
      <c r="K10" s="49">
        <f>ROUND(G10*I10,4)</f>
        <v>0</v>
      </c>
      <c r="L10" s="50">
        <f>ROUND(ROUND(K10*$G$7,4)*($K$7),0)</f>
        <v>0</v>
      </c>
      <c r="N10" s="51">
        <v>5101</v>
      </c>
      <c r="O10" s="52">
        <v>101</v>
      </c>
      <c r="P10" s="53"/>
      <c r="Q10" s="54"/>
      <c r="V10" s="617" t="s">
        <v>28</v>
      </c>
      <c r="W10" s="617"/>
      <c r="X10" s="618">
        <f>IF('3971'!K$84=1,'3971'!G10,0)</f>
        <v>0</v>
      </c>
      <c r="Y10" s="618"/>
      <c r="Z10" s="619">
        <v>1</v>
      </c>
      <c r="AA10" s="619"/>
      <c r="AB10" s="55">
        <f t="shared" ref="AB10:AB25" si="0">ROUND(X10*Z10,4)</f>
        <v>0</v>
      </c>
      <c r="AC10" s="56">
        <f t="shared" ref="AC10:AC25" si="1">ROUND(ROUND(AB10*$X$7,4)*($AB$7),0)</f>
        <v>0</v>
      </c>
      <c r="AD10" s="9">
        <v>1</v>
      </c>
    </row>
    <row r="11" spans="1:30" x14ac:dyDescent="0.25">
      <c r="A11" s="1" t="s">
        <v>29</v>
      </c>
      <c r="B11" s="13" t="s">
        <v>30</v>
      </c>
      <c r="C11" s="13"/>
      <c r="D11" s="13">
        <v>0</v>
      </c>
      <c r="E11" s="13">
        <v>0</v>
      </c>
      <c r="F11" s="13">
        <v>0</v>
      </c>
      <c r="G11" s="46">
        <f t="shared" ref="G11:G25" si="2">D11+E11</f>
        <v>0</v>
      </c>
      <c r="H11" s="47"/>
      <c r="I11" s="57">
        <f>I10</f>
        <v>1.125</v>
      </c>
      <c r="J11" s="57"/>
      <c r="K11" s="49">
        <f t="shared" ref="K11:K25" si="3">ROUND(G11*I11,4)</f>
        <v>0</v>
      </c>
      <c r="L11" s="50">
        <f t="shared" ref="L11:L25" si="4">ROUND(ROUND(K11*$G$7,4)*($K$7),0)</f>
        <v>0</v>
      </c>
      <c r="M11" s="1" t="str">
        <f>IF(ROUND(G11,2)=ROUND(SUM(G28:G30),2)," ","CHECK 2. PK-3 Lines Below")</f>
        <v xml:space="preserve"> </v>
      </c>
      <c r="N11" s="51">
        <v>5101</v>
      </c>
      <c r="O11" s="58" t="s">
        <v>31</v>
      </c>
      <c r="P11" s="53"/>
      <c r="Q11" s="54"/>
      <c r="V11" s="623" t="s">
        <v>30</v>
      </c>
      <c r="W11" s="623"/>
      <c r="X11" s="618">
        <f>IF('3971'!K$84=1,'3971'!G11,0)</f>
        <v>0</v>
      </c>
      <c r="Y11" s="618"/>
      <c r="Z11" s="624">
        <v>1</v>
      </c>
      <c r="AA11" s="624"/>
      <c r="AB11" s="55">
        <f t="shared" si="0"/>
        <v>0</v>
      </c>
      <c r="AC11" s="56">
        <f t="shared" si="1"/>
        <v>0</v>
      </c>
      <c r="AD11" s="9"/>
    </row>
    <row r="12" spans="1:30" x14ac:dyDescent="0.25">
      <c r="A12" s="1" t="s">
        <v>32</v>
      </c>
      <c r="B12" s="13" t="s">
        <v>33</v>
      </c>
      <c r="C12" s="13"/>
      <c r="D12" s="13">
        <v>0</v>
      </c>
      <c r="E12" s="13">
        <v>0</v>
      </c>
      <c r="F12" s="13">
        <v>0</v>
      </c>
      <c r="G12" s="46">
        <f t="shared" si="2"/>
        <v>0</v>
      </c>
      <c r="H12" s="47"/>
      <c r="I12" s="57">
        <v>1</v>
      </c>
      <c r="J12" s="57"/>
      <c r="K12" s="49">
        <f t="shared" si="3"/>
        <v>0</v>
      </c>
      <c r="L12" s="50">
        <f t="shared" si="4"/>
        <v>0</v>
      </c>
      <c r="N12" s="51">
        <v>5102</v>
      </c>
      <c r="O12" s="52">
        <v>102</v>
      </c>
      <c r="P12" s="53"/>
      <c r="Q12" s="54"/>
      <c r="V12" s="623" t="s">
        <v>33</v>
      </c>
      <c r="W12" s="623"/>
      <c r="X12" s="618">
        <f>IF('3971'!K$84=1,'3971'!G12,0)</f>
        <v>0</v>
      </c>
      <c r="Y12" s="618"/>
      <c r="Z12" s="624">
        <v>1</v>
      </c>
      <c r="AA12" s="624"/>
      <c r="AB12" s="55">
        <f t="shared" si="0"/>
        <v>0</v>
      </c>
      <c r="AC12" s="56">
        <f t="shared" si="1"/>
        <v>0</v>
      </c>
      <c r="AD12" s="9"/>
    </row>
    <row r="13" spans="1:30" x14ac:dyDescent="0.25">
      <c r="A13" s="1" t="s">
        <v>34</v>
      </c>
      <c r="B13" s="13" t="s">
        <v>35</v>
      </c>
      <c r="C13" s="13"/>
      <c r="D13" s="13">
        <v>0</v>
      </c>
      <c r="E13" s="13">
        <v>0</v>
      </c>
      <c r="F13" s="13">
        <v>0</v>
      </c>
      <c r="G13" s="46">
        <f t="shared" si="2"/>
        <v>0</v>
      </c>
      <c r="H13" s="47"/>
      <c r="I13" s="57">
        <f>I12</f>
        <v>1</v>
      </c>
      <c r="J13" s="57"/>
      <c r="K13" s="49">
        <f t="shared" si="3"/>
        <v>0</v>
      </c>
      <c r="L13" s="50">
        <f t="shared" si="4"/>
        <v>0</v>
      </c>
      <c r="M13" s="1" t="str">
        <f>IF(ROUND(G13,2)=ROUND(SUM(G31:G33),2)," ","CHECK 2. PK-3 Lines Below")</f>
        <v xml:space="preserve"> </v>
      </c>
      <c r="N13" s="51">
        <v>5102</v>
      </c>
      <c r="O13" s="58" t="s">
        <v>36</v>
      </c>
      <c r="P13" s="53"/>
      <c r="Q13" s="54"/>
      <c r="V13" s="623" t="s">
        <v>35</v>
      </c>
      <c r="W13" s="623"/>
      <c r="X13" s="618">
        <f>IF('3971'!K$84=1,'3971'!G13,0)</f>
        <v>0</v>
      </c>
      <c r="Y13" s="618"/>
      <c r="Z13" s="624">
        <v>1</v>
      </c>
      <c r="AA13" s="624"/>
      <c r="AB13" s="55">
        <f t="shared" si="0"/>
        <v>0</v>
      </c>
      <c r="AC13" s="56">
        <f t="shared" si="1"/>
        <v>0</v>
      </c>
      <c r="AD13" s="9"/>
    </row>
    <row r="14" spans="1:30" x14ac:dyDescent="0.25">
      <c r="A14" s="1" t="s">
        <v>37</v>
      </c>
      <c r="B14" s="13" t="s">
        <v>38</v>
      </c>
      <c r="C14" s="13"/>
      <c r="D14" s="13">
        <v>203.49</v>
      </c>
      <c r="E14" s="13">
        <v>202.21</v>
      </c>
      <c r="F14" s="13">
        <v>204.7</v>
      </c>
      <c r="G14" s="46">
        <f t="shared" si="2"/>
        <v>405.70000000000005</v>
      </c>
      <c r="H14" s="47"/>
      <c r="I14" s="57">
        <v>1.0109999999999999</v>
      </c>
      <c r="J14" s="57"/>
      <c r="K14" s="49">
        <f t="shared" si="3"/>
        <v>410.16269999999997</v>
      </c>
      <c r="L14" s="50">
        <f t="shared" si="4"/>
        <v>1589227</v>
      </c>
      <c r="N14" s="51">
        <v>5103</v>
      </c>
      <c r="O14" s="52">
        <v>103</v>
      </c>
      <c r="P14" s="53"/>
      <c r="Q14" s="54"/>
      <c r="V14" s="623" t="s">
        <v>38</v>
      </c>
      <c r="W14" s="623"/>
      <c r="X14" s="618">
        <f>IF('3971'!K$84=1,'3971'!G14,0)</f>
        <v>0</v>
      </c>
      <c r="Y14" s="618"/>
      <c r="Z14" s="624">
        <v>1</v>
      </c>
      <c r="AA14" s="624"/>
      <c r="AB14" s="55">
        <f t="shared" si="0"/>
        <v>0</v>
      </c>
      <c r="AC14" s="56">
        <f t="shared" si="1"/>
        <v>0</v>
      </c>
      <c r="AD14" s="9"/>
    </row>
    <row r="15" spans="1:30" x14ac:dyDescent="0.25">
      <c r="A15" s="1" t="s">
        <v>39</v>
      </c>
      <c r="B15" s="13" t="s">
        <v>40</v>
      </c>
      <c r="C15" s="13"/>
      <c r="D15" s="13">
        <v>44.68</v>
      </c>
      <c r="E15" s="13">
        <v>48.8</v>
      </c>
      <c r="F15" s="13">
        <v>46.89</v>
      </c>
      <c r="G15" s="46">
        <f t="shared" si="2"/>
        <v>93.47999999999999</v>
      </c>
      <c r="H15" s="47"/>
      <c r="I15" s="57">
        <f>I14</f>
        <v>1.0109999999999999</v>
      </c>
      <c r="J15" s="57"/>
      <c r="K15" s="49">
        <f t="shared" si="3"/>
        <v>94.508300000000006</v>
      </c>
      <c r="L15" s="59">
        <f t="shared" si="4"/>
        <v>366184</v>
      </c>
      <c r="M15" s="1" t="str">
        <f>IF(ROUND(G15,2)=ROUND(SUM(G34:G36),2)," ","CHECK 2. PK-3 Lines Below")</f>
        <v xml:space="preserve"> </v>
      </c>
      <c r="N15" s="51">
        <v>5103</v>
      </c>
      <c r="O15" s="58" t="s">
        <v>41</v>
      </c>
      <c r="P15" s="53"/>
      <c r="Q15" s="54"/>
      <c r="V15" s="623" t="s">
        <v>40</v>
      </c>
      <c r="W15" s="623"/>
      <c r="X15" s="618">
        <f>IF('3971'!K$84=1,'3971'!G15,0)</f>
        <v>0</v>
      </c>
      <c r="Y15" s="618"/>
      <c r="Z15" s="624">
        <v>1</v>
      </c>
      <c r="AA15" s="624"/>
      <c r="AB15" s="55">
        <f t="shared" si="0"/>
        <v>0</v>
      </c>
      <c r="AC15" s="60">
        <f t="shared" si="1"/>
        <v>0</v>
      </c>
      <c r="AD15" s="9"/>
    </row>
    <row r="16" spans="1:30" x14ac:dyDescent="0.25">
      <c r="A16" s="1" t="s">
        <v>42</v>
      </c>
      <c r="B16" s="13" t="s">
        <v>43</v>
      </c>
      <c r="C16" s="13"/>
      <c r="D16" s="13">
        <v>0</v>
      </c>
      <c r="E16" s="13">
        <v>0</v>
      </c>
      <c r="F16" s="13">
        <v>0</v>
      </c>
      <c r="G16" s="46">
        <f t="shared" si="2"/>
        <v>0</v>
      </c>
      <c r="H16" s="47"/>
      <c r="I16" s="57">
        <v>3.5579999999999998</v>
      </c>
      <c r="J16" s="57"/>
      <c r="K16" s="49">
        <f t="shared" si="3"/>
        <v>0</v>
      </c>
      <c r="L16" s="50">
        <f t="shared" si="4"/>
        <v>0</v>
      </c>
      <c r="N16" s="51">
        <v>5101</v>
      </c>
      <c r="O16" s="53">
        <v>254</v>
      </c>
      <c r="P16" s="53"/>
      <c r="Q16" s="54"/>
      <c r="V16" s="623" t="s">
        <v>43</v>
      </c>
      <c r="W16" s="623"/>
      <c r="X16" s="618">
        <f>IF('3971'!K$84=1,'3971'!G16,0)</f>
        <v>0</v>
      </c>
      <c r="Y16" s="618"/>
      <c r="Z16" s="624">
        <v>1</v>
      </c>
      <c r="AA16" s="624"/>
      <c r="AB16" s="55">
        <f t="shared" si="0"/>
        <v>0</v>
      </c>
      <c r="AC16" s="56">
        <f t="shared" si="1"/>
        <v>0</v>
      </c>
      <c r="AD16" s="9"/>
    </row>
    <row r="17" spans="1:30" x14ac:dyDescent="0.25">
      <c r="A17" s="1" t="s">
        <v>44</v>
      </c>
      <c r="B17" s="13" t="s">
        <v>45</v>
      </c>
      <c r="C17" s="13"/>
      <c r="D17" s="13">
        <v>0</v>
      </c>
      <c r="E17" s="13">
        <v>0</v>
      </c>
      <c r="F17" s="13">
        <v>0</v>
      </c>
      <c r="G17" s="46">
        <f t="shared" si="2"/>
        <v>0</v>
      </c>
      <c r="H17" s="47"/>
      <c r="I17" s="57">
        <f>I16</f>
        <v>3.5579999999999998</v>
      </c>
      <c r="J17" s="57"/>
      <c r="K17" s="49">
        <f t="shared" si="3"/>
        <v>0</v>
      </c>
      <c r="L17" s="50">
        <f t="shared" si="4"/>
        <v>0</v>
      </c>
      <c r="N17" s="51">
        <v>5102</v>
      </c>
      <c r="O17" s="54">
        <v>254</v>
      </c>
      <c r="P17" s="53"/>
      <c r="Q17" s="54"/>
      <c r="V17" s="623" t="s">
        <v>45</v>
      </c>
      <c r="W17" s="623"/>
      <c r="X17" s="618">
        <f>IF('3971'!K$84=1,'3971'!G17,0)</f>
        <v>0</v>
      </c>
      <c r="Y17" s="618"/>
      <c r="Z17" s="624">
        <v>1</v>
      </c>
      <c r="AA17" s="624"/>
      <c r="AB17" s="55">
        <f t="shared" si="0"/>
        <v>0</v>
      </c>
      <c r="AC17" s="56">
        <f t="shared" si="1"/>
        <v>0</v>
      </c>
      <c r="AD17" s="9"/>
    </row>
    <row r="18" spans="1:30" x14ac:dyDescent="0.25">
      <c r="A18" s="1" t="s">
        <v>46</v>
      </c>
      <c r="B18" s="13" t="s">
        <v>47</v>
      </c>
      <c r="C18" s="13"/>
      <c r="D18" s="13">
        <v>0</v>
      </c>
      <c r="E18" s="13">
        <v>0</v>
      </c>
      <c r="F18" s="13">
        <v>0</v>
      </c>
      <c r="G18" s="46">
        <f t="shared" si="2"/>
        <v>0</v>
      </c>
      <c r="H18" s="47"/>
      <c r="I18" s="57">
        <f>I17</f>
        <v>3.5579999999999998</v>
      </c>
      <c r="J18" s="57"/>
      <c r="K18" s="49">
        <f t="shared" si="3"/>
        <v>0</v>
      </c>
      <c r="L18" s="50">
        <f t="shared" si="4"/>
        <v>0</v>
      </c>
      <c r="N18" s="51">
        <v>5103</v>
      </c>
      <c r="O18" s="54">
        <v>254</v>
      </c>
      <c r="P18" s="53"/>
      <c r="Q18" s="54"/>
      <c r="V18" s="623" t="s">
        <v>47</v>
      </c>
      <c r="W18" s="623"/>
      <c r="X18" s="618">
        <f>IF('3971'!K$84=1,'3971'!G18,0)</f>
        <v>0</v>
      </c>
      <c r="Y18" s="618"/>
      <c r="Z18" s="624">
        <v>1</v>
      </c>
      <c r="AA18" s="624"/>
      <c r="AB18" s="55">
        <f t="shared" si="0"/>
        <v>0</v>
      </c>
      <c r="AC18" s="56">
        <f t="shared" si="1"/>
        <v>0</v>
      </c>
      <c r="AD18" s="9"/>
    </row>
    <row r="19" spans="1:30" ht="15" customHeight="1" x14ac:dyDescent="0.25">
      <c r="A19" s="1" t="s">
        <v>48</v>
      </c>
      <c r="B19" s="13" t="s">
        <v>49</v>
      </c>
      <c r="C19" s="13"/>
      <c r="D19" s="13">
        <v>0</v>
      </c>
      <c r="E19" s="13">
        <v>0</v>
      </c>
      <c r="F19" s="13">
        <v>0</v>
      </c>
      <c r="G19" s="46">
        <f t="shared" si="2"/>
        <v>0</v>
      </c>
      <c r="H19" s="47"/>
      <c r="I19" s="57">
        <v>5.0890000000000004</v>
      </c>
      <c r="J19" s="57"/>
      <c r="K19" s="49">
        <f t="shared" si="3"/>
        <v>0</v>
      </c>
      <c r="L19" s="50">
        <f t="shared" si="4"/>
        <v>0</v>
      </c>
      <c r="N19" s="51">
        <v>5101</v>
      </c>
      <c r="O19" s="53">
        <v>255</v>
      </c>
      <c r="P19" s="53"/>
      <c r="Q19" s="54"/>
      <c r="V19" s="623" t="s">
        <v>49</v>
      </c>
      <c r="W19" s="623"/>
      <c r="X19" s="618">
        <f>IF('3971'!K$84=1,'3971'!G19,0)</f>
        <v>0</v>
      </c>
      <c r="Y19" s="618"/>
      <c r="Z19" s="624">
        <v>1</v>
      </c>
      <c r="AA19" s="624"/>
      <c r="AB19" s="55">
        <f t="shared" si="0"/>
        <v>0</v>
      </c>
      <c r="AC19" s="56">
        <f t="shared" si="1"/>
        <v>0</v>
      </c>
      <c r="AD19" s="9"/>
    </row>
    <row r="20" spans="1:30" ht="15" customHeight="1" x14ac:dyDescent="0.25">
      <c r="A20" s="1" t="s">
        <v>50</v>
      </c>
      <c r="B20" s="13" t="s">
        <v>51</v>
      </c>
      <c r="C20" s="13"/>
      <c r="D20" s="13">
        <v>0</v>
      </c>
      <c r="E20" s="13">
        <v>0</v>
      </c>
      <c r="F20" s="13">
        <v>0</v>
      </c>
      <c r="G20" s="46">
        <f t="shared" si="2"/>
        <v>0</v>
      </c>
      <c r="H20" s="47"/>
      <c r="I20" s="57">
        <f>I19</f>
        <v>5.0890000000000004</v>
      </c>
      <c r="J20" s="57"/>
      <c r="K20" s="49">
        <f t="shared" si="3"/>
        <v>0</v>
      </c>
      <c r="L20" s="50">
        <f t="shared" si="4"/>
        <v>0</v>
      </c>
      <c r="N20" s="51">
        <v>5102</v>
      </c>
      <c r="O20" s="54">
        <v>255</v>
      </c>
      <c r="P20" s="53"/>
      <c r="Q20" s="54"/>
      <c r="V20" s="623" t="s">
        <v>51</v>
      </c>
      <c r="W20" s="623"/>
      <c r="X20" s="618">
        <f>IF('3971'!K$84=1,'3971'!G20,0)</f>
        <v>0</v>
      </c>
      <c r="Y20" s="618"/>
      <c r="Z20" s="624">
        <v>1</v>
      </c>
      <c r="AA20" s="624"/>
      <c r="AB20" s="55">
        <f t="shared" si="0"/>
        <v>0</v>
      </c>
      <c r="AC20" s="56">
        <f t="shared" si="1"/>
        <v>0</v>
      </c>
      <c r="AD20" s="9"/>
    </row>
    <row r="21" spans="1:30" ht="15" customHeight="1" x14ac:dyDescent="0.25">
      <c r="A21" s="1" t="s">
        <v>52</v>
      </c>
      <c r="B21" s="13" t="s">
        <v>53</v>
      </c>
      <c r="C21" s="13"/>
      <c r="D21" s="13">
        <v>0</v>
      </c>
      <c r="E21" s="13">
        <v>0</v>
      </c>
      <c r="F21" s="13">
        <v>0</v>
      </c>
      <c r="G21" s="46">
        <f t="shared" si="2"/>
        <v>0</v>
      </c>
      <c r="H21" s="47"/>
      <c r="I21" s="57">
        <f>I20</f>
        <v>5.0890000000000004</v>
      </c>
      <c r="J21" s="57"/>
      <c r="K21" s="49">
        <f t="shared" si="3"/>
        <v>0</v>
      </c>
      <c r="L21" s="50">
        <f t="shared" si="4"/>
        <v>0</v>
      </c>
      <c r="N21" s="51">
        <v>5103</v>
      </c>
      <c r="O21" s="54">
        <v>255</v>
      </c>
      <c r="P21" s="53"/>
      <c r="Q21" s="54"/>
      <c r="V21" s="623" t="s">
        <v>53</v>
      </c>
      <c r="W21" s="623"/>
      <c r="X21" s="618">
        <f>IF('3971'!K$84=1,'3971'!G21,0)</f>
        <v>0</v>
      </c>
      <c r="Y21" s="618"/>
      <c r="Z21" s="624">
        <v>1</v>
      </c>
      <c r="AA21" s="624"/>
      <c r="AB21" s="55">
        <f t="shared" si="0"/>
        <v>0</v>
      </c>
      <c r="AC21" s="56">
        <f t="shared" si="1"/>
        <v>0</v>
      </c>
      <c r="AD21" s="9"/>
    </row>
    <row r="22" spans="1:30" x14ac:dyDescent="0.25">
      <c r="A22" s="1" t="s">
        <v>54</v>
      </c>
      <c r="B22" s="13" t="s">
        <v>55</v>
      </c>
      <c r="C22" s="13"/>
      <c r="D22" s="13">
        <v>0</v>
      </c>
      <c r="E22" s="13">
        <v>0</v>
      </c>
      <c r="F22" s="13">
        <v>0</v>
      </c>
      <c r="G22" s="46">
        <f t="shared" si="2"/>
        <v>0</v>
      </c>
      <c r="H22" s="47"/>
      <c r="I22" s="57">
        <v>1.145</v>
      </c>
      <c r="J22" s="57"/>
      <c r="K22" s="49">
        <f t="shared" si="3"/>
        <v>0</v>
      </c>
      <c r="L22" s="50">
        <f t="shared" si="4"/>
        <v>0</v>
      </c>
      <c r="N22" s="51">
        <v>5101</v>
      </c>
      <c r="O22" s="52">
        <v>130</v>
      </c>
      <c r="P22" s="53"/>
      <c r="Q22" s="54"/>
      <c r="V22" s="623" t="s">
        <v>55</v>
      </c>
      <c r="W22" s="623"/>
      <c r="X22" s="618">
        <f>IF('3971'!K$84=1,'3971'!G22,0)</f>
        <v>0</v>
      </c>
      <c r="Y22" s="618"/>
      <c r="Z22" s="624">
        <v>1</v>
      </c>
      <c r="AA22" s="624"/>
      <c r="AB22" s="55">
        <f t="shared" si="0"/>
        <v>0</v>
      </c>
      <c r="AC22" s="56">
        <f t="shared" si="1"/>
        <v>0</v>
      </c>
      <c r="AD22" s="9"/>
    </row>
    <row r="23" spans="1:30" x14ac:dyDescent="0.25">
      <c r="A23" s="1" t="s">
        <v>56</v>
      </c>
      <c r="B23" s="13" t="s">
        <v>57</v>
      </c>
      <c r="C23" s="13"/>
      <c r="D23" s="13">
        <v>0</v>
      </c>
      <c r="E23" s="13">
        <v>0</v>
      </c>
      <c r="F23" s="13">
        <v>0</v>
      </c>
      <c r="G23" s="46">
        <f t="shared" si="2"/>
        <v>0</v>
      </c>
      <c r="H23" s="47"/>
      <c r="I23" s="57">
        <f>I22</f>
        <v>1.145</v>
      </c>
      <c r="J23" s="57"/>
      <c r="K23" s="49">
        <f t="shared" si="3"/>
        <v>0</v>
      </c>
      <c r="L23" s="50">
        <f t="shared" si="4"/>
        <v>0</v>
      </c>
      <c r="N23" s="51">
        <v>5102</v>
      </c>
      <c r="O23" s="52">
        <v>130</v>
      </c>
      <c r="P23" s="53"/>
      <c r="Q23" s="54"/>
      <c r="V23" s="623" t="s">
        <v>57</v>
      </c>
      <c r="W23" s="623"/>
      <c r="X23" s="618">
        <f>IF('3971'!K$84=1,'3971'!G23,0)</f>
        <v>0</v>
      </c>
      <c r="Y23" s="618"/>
      <c r="Z23" s="624">
        <v>1</v>
      </c>
      <c r="AA23" s="624"/>
      <c r="AB23" s="55">
        <f t="shared" si="0"/>
        <v>0</v>
      </c>
      <c r="AC23" s="56">
        <f t="shared" si="1"/>
        <v>0</v>
      </c>
      <c r="AD23" s="9"/>
    </row>
    <row r="24" spans="1:30" x14ac:dyDescent="0.25">
      <c r="A24" s="1" t="s">
        <v>58</v>
      </c>
      <c r="B24" s="13" t="s">
        <v>59</v>
      </c>
      <c r="C24" s="13"/>
      <c r="D24" s="13">
        <v>3.7</v>
      </c>
      <c r="E24" s="13">
        <v>4.3899999999999997</v>
      </c>
      <c r="F24" s="13">
        <v>3.7</v>
      </c>
      <c r="G24" s="46">
        <f t="shared" si="2"/>
        <v>8.09</v>
      </c>
      <c r="H24" s="47"/>
      <c r="I24" s="57">
        <f>I23</f>
        <v>1.145</v>
      </c>
      <c r="J24" s="57"/>
      <c r="K24" s="49">
        <f t="shared" si="3"/>
        <v>9.2630999999999997</v>
      </c>
      <c r="L24" s="50">
        <f t="shared" si="4"/>
        <v>35891</v>
      </c>
      <c r="N24" s="51">
        <v>5103</v>
      </c>
      <c r="O24" s="52">
        <v>130</v>
      </c>
      <c r="P24" s="53"/>
      <c r="Q24" s="54"/>
      <c r="V24" s="623" t="s">
        <v>59</v>
      </c>
      <c r="W24" s="623"/>
      <c r="X24" s="618">
        <f>IF('3971'!K$84=1,'3971'!G24,0)</f>
        <v>0</v>
      </c>
      <c r="Y24" s="618"/>
      <c r="Z24" s="624">
        <v>1</v>
      </c>
      <c r="AA24" s="624"/>
      <c r="AB24" s="55">
        <f t="shared" si="0"/>
        <v>0</v>
      </c>
      <c r="AC24" s="56">
        <f t="shared" si="1"/>
        <v>0</v>
      </c>
      <c r="AD24" s="9"/>
    </row>
    <row r="25" spans="1:30" ht="16.5" thickBot="1" x14ac:dyDescent="0.3">
      <c r="A25" s="1" t="s">
        <v>60</v>
      </c>
      <c r="B25" s="13" t="s">
        <v>61</v>
      </c>
      <c r="C25" s="13"/>
      <c r="D25" s="13">
        <v>0</v>
      </c>
      <c r="E25" s="13">
        <v>0</v>
      </c>
      <c r="F25" s="13">
        <v>0</v>
      </c>
      <c r="G25" s="46">
        <f t="shared" si="2"/>
        <v>0</v>
      </c>
      <c r="H25" s="47"/>
      <c r="I25" s="57">
        <v>1.0109999999999999</v>
      </c>
      <c r="J25" s="57"/>
      <c r="K25" s="49">
        <f t="shared" si="3"/>
        <v>0</v>
      </c>
      <c r="L25" s="50">
        <f t="shared" si="4"/>
        <v>0</v>
      </c>
      <c r="N25" s="51">
        <v>5310</v>
      </c>
      <c r="O25" s="52">
        <v>300</v>
      </c>
      <c r="P25" s="53"/>
      <c r="Q25" s="54"/>
      <c r="V25" s="623" t="s">
        <v>61</v>
      </c>
      <c r="W25" s="623"/>
      <c r="X25" s="618">
        <f>IF('3971'!K$84=1,'3971'!G25,0)</f>
        <v>0</v>
      </c>
      <c r="Y25" s="618"/>
      <c r="Z25" s="624">
        <v>1</v>
      </c>
      <c r="AA25" s="624"/>
      <c r="AB25" s="55">
        <f t="shared" si="0"/>
        <v>0</v>
      </c>
      <c r="AC25" s="56">
        <f t="shared" si="1"/>
        <v>0</v>
      </c>
      <c r="AD25" s="9"/>
    </row>
    <row r="26" spans="1:30" ht="20.25" customHeight="1" thickBot="1" x14ac:dyDescent="0.3">
      <c r="B26" s="62" t="s">
        <v>62</v>
      </c>
      <c r="C26" s="62"/>
      <c r="D26" s="63">
        <f t="shared" ref="D26:E26" si="5">SUM(D10:D25)</f>
        <v>251.87</v>
      </c>
      <c r="E26" s="63">
        <f t="shared" si="5"/>
        <v>255.39999999999998</v>
      </c>
      <c r="F26" s="63"/>
      <c r="G26" s="63">
        <f>SUM(G10:G25)</f>
        <v>507.27000000000004</v>
      </c>
      <c r="H26" s="64"/>
      <c r="I26" s="64"/>
      <c r="J26" s="65"/>
      <c r="K26" s="66">
        <f>SUM(K10:K25)</f>
        <v>513.93409999999994</v>
      </c>
      <c r="L26" s="67">
        <f>SUM(L10:L25)</f>
        <v>1991302</v>
      </c>
      <c r="N26" s="54"/>
      <c r="O26" s="68"/>
      <c r="P26" s="54"/>
      <c r="Q26" s="54"/>
      <c r="V26" s="625" t="s">
        <v>62</v>
      </c>
      <c r="W26" s="625"/>
      <c r="X26" s="626">
        <f>SUM(X10:X25)</f>
        <v>0</v>
      </c>
      <c r="Y26" s="626"/>
      <c r="Z26" s="627"/>
      <c r="AA26" s="628"/>
      <c r="AB26" s="69">
        <f>SUM(AB10:AB25)</f>
        <v>0</v>
      </c>
      <c r="AC26" s="70">
        <f>SUM(AC10:AC25)</f>
        <v>0</v>
      </c>
      <c r="AD26" s="9"/>
    </row>
    <row r="27" spans="1:30" ht="51.75" customHeight="1" x14ac:dyDescent="0.25">
      <c r="B27" s="62" t="s">
        <v>63</v>
      </c>
      <c r="C27" s="62"/>
      <c r="D27" s="71" t="s">
        <v>13</v>
      </c>
      <c r="E27" s="71" t="s">
        <v>14</v>
      </c>
      <c r="F27" s="27"/>
      <c r="G27" s="72" t="s">
        <v>64</v>
      </c>
      <c r="H27" s="73"/>
      <c r="I27" s="74" t="s">
        <v>65</v>
      </c>
      <c r="J27" s="74" t="s">
        <v>66</v>
      </c>
      <c r="K27" s="75" t="s">
        <v>67</v>
      </c>
      <c r="N27" s="54"/>
      <c r="O27" s="68"/>
      <c r="P27" s="54"/>
      <c r="Q27" s="54"/>
      <c r="V27" s="629" t="s">
        <v>63</v>
      </c>
      <c r="W27" s="629"/>
      <c r="X27" s="630" t="s">
        <v>64</v>
      </c>
      <c r="Y27" s="630"/>
      <c r="Z27" s="76" t="s">
        <v>65</v>
      </c>
      <c r="AA27" s="77" t="s">
        <v>66</v>
      </c>
      <c r="AB27" s="78" t="s">
        <v>67</v>
      </c>
      <c r="AC27" s="9"/>
      <c r="AD27" s="9"/>
    </row>
    <row r="28" spans="1:30" ht="15.75" customHeight="1" x14ac:dyDescent="0.25">
      <c r="A28" s="1" t="s">
        <v>68</v>
      </c>
      <c r="B28" s="631" t="s">
        <v>69</v>
      </c>
      <c r="C28" s="632"/>
      <c r="D28" s="13">
        <v>0</v>
      </c>
      <c r="E28" s="13">
        <v>0</v>
      </c>
      <c r="F28" s="79">
        <v>0</v>
      </c>
      <c r="G28" s="46">
        <f t="shared" ref="G28:G36" si="6">D28+E28</f>
        <v>0</v>
      </c>
      <c r="H28" s="80"/>
      <c r="I28" s="81" t="s">
        <v>70</v>
      </c>
      <c r="J28" s="82">
        <v>251</v>
      </c>
      <c r="K28" s="83">
        <v>1047</v>
      </c>
      <c r="L28" s="84">
        <f>ROUND(G28*K28,0)</f>
        <v>0</v>
      </c>
      <c r="N28" s="85">
        <v>5101</v>
      </c>
      <c r="O28" s="54">
        <v>251</v>
      </c>
      <c r="P28" s="86"/>
      <c r="Q28" s="87"/>
      <c r="V28" s="637" t="s">
        <v>69</v>
      </c>
      <c r="W28" s="637"/>
      <c r="X28" s="638"/>
      <c r="Y28" s="638"/>
      <c r="Z28" s="88" t="s">
        <v>70</v>
      </c>
      <c r="AA28" s="89">
        <v>251</v>
      </c>
      <c r="AB28" s="90">
        <f>+K28</f>
        <v>1047</v>
      </c>
      <c r="AC28" s="91">
        <f t="shared" ref="AC28:AC36" si="7">ROUND(X28*AB28,0)</f>
        <v>0</v>
      </c>
      <c r="AD28" s="9"/>
    </row>
    <row r="29" spans="1:30" x14ac:dyDescent="0.25">
      <c r="A29" s="1" t="s">
        <v>71</v>
      </c>
      <c r="B29" s="633"/>
      <c r="C29" s="634"/>
      <c r="D29" s="13">
        <v>0</v>
      </c>
      <c r="E29" s="13">
        <v>0</v>
      </c>
      <c r="F29" s="92">
        <v>0</v>
      </c>
      <c r="G29" s="46">
        <f t="shared" si="6"/>
        <v>0</v>
      </c>
      <c r="H29" s="80"/>
      <c r="I29" s="82" t="s">
        <v>70</v>
      </c>
      <c r="J29" s="82">
        <v>252</v>
      </c>
      <c r="K29" s="83">
        <v>3380</v>
      </c>
      <c r="L29" s="84">
        <f t="shared" ref="L29:L36" si="8">ROUND(G29*K29,0)</f>
        <v>0</v>
      </c>
      <c r="N29" s="85">
        <v>5101</v>
      </c>
      <c r="O29" s="54">
        <v>252</v>
      </c>
      <c r="P29" s="86"/>
      <c r="Q29" s="87"/>
      <c r="V29" s="637"/>
      <c r="W29" s="637"/>
      <c r="X29" s="638"/>
      <c r="Y29" s="638"/>
      <c r="Z29" s="89" t="s">
        <v>70</v>
      </c>
      <c r="AA29" s="89">
        <v>252</v>
      </c>
      <c r="AB29" s="90">
        <f t="shared" ref="AB29:AB36" si="9">+K29</f>
        <v>3380</v>
      </c>
      <c r="AC29" s="91">
        <f t="shared" si="7"/>
        <v>0</v>
      </c>
      <c r="AD29" s="9"/>
    </row>
    <row r="30" spans="1:30" x14ac:dyDescent="0.25">
      <c r="A30" s="1" t="s">
        <v>72</v>
      </c>
      <c r="B30" s="633"/>
      <c r="C30" s="634"/>
      <c r="D30" s="13">
        <v>0</v>
      </c>
      <c r="E30" s="13">
        <v>0</v>
      </c>
      <c r="F30" s="92">
        <v>0</v>
      </c>
      <c r="G30" s="46">
        <f t="shared" si="6"/>
        <v>0</v>
      </c>
      <c r="H30" s="80"/>
      <c r="I30" s="82" t="s">
        <v>70</v>
      </c>
      <c r="J30" s="82">
        <v>253</v>
      </c>
      <c r="K30" s="83">
        <v>6896</v>
      </c>
      <c r="L30" s="84">
        <f t="shared" si="8"/>
        <v>0</v>
      </c>
      <c r="N30" s="85">
        <v>5101</v>
      </c>
      <c r="O30" s="54">
        <v>253</v>
      </c>
      <c r="P30" s="86"/>
      <c r="Q30" s="68"/>
      <c r="V30" s="637"/>
      <c r="W30" s="637"/>
      <c r="X30" s="638"/>
      <c r="Y30" s="638"/>
      <c r="Z30" s="89" t="s">
        <v>70</v>
      </c>
      <c r="AA30" s="89">
        <v>253</v>
      </c>
      <c r="AB30" s="90">
        <f t="shared" si="9"/>
        <v>6896</v>
      </c>
      <c r="AC30" s="91">
        <f t="shared" si="7"/>
        <v>0</v>
      </c>
      <c r="AD30" s="9"/>
    </row>
    <row r="31" spans="1:30" x14ac:dyDescent="0.25">
      <c r="A31" s="1" t="s">
        <v>73</v>
      </c>
      <c r="B31" s="633"/>
      <c r="C31" s="634"/>
      <c r="D31" s="13">
        <v>0</v>
      </c>
      <c r="E31" s="13">
        <v>0</v>
      </c>
      <c r="F31" s="92">
        <v>0</v>
      </c>
      <c r="G31" s="46">
        <f t="shared" si="6"/>
        <v>0</v>
      </c>
      <c r="H31" s="80"/>
      <c r="I31" s="93" t="s">
        <v>74</v>
      </c>
      <c r="J31" s="82">
        <v>251</v>
      </c>
      <c r="K31" s="83">
        <v>1173</v>
      </c>
      <c r="L31" s="84">
        <f t="shared" si="8"/>
        <v>0</v>
      </c>
      <c r="N31" s="85">
        <v>5102</v>
      </c>
      <c r="O31" s="54">
        <v>251</v>
      </c>
      <c r="P31" s="86"/>
      <c r="Q31" s="68"/>
      <c r="V31" s="637"/>
      <c r="W31" s="637"/>
      <c r="X31" s="638"/>
      <c r="Y31" s="638"/>
      <c r="Z31" s="94" t="s">
        <v>74</v>
      </c>
      <c r="AA31" s="89">
        <v>251</v>
      </c>
      <c r="AB31" s="90">
        <f t="shared" si="9"/>
        <v>1173</v>
      </c>
      <c r="AC31" s="91">
        <f t="shared" si="7"/>
        <v>0</v>
      </c>
      <c r="AD31" s="9"/>
    </row>
    <row r="32" spans="1:30" x14ac:dyDescent="0.25">
      <c r="A32" s="1" t="s">
        <v>75</v>
      </c>
      <c r="B32" s="633"/>
      <c r="C32" s="634"/>
      <c r="D32" s="13">
        <v>0</v>
      </c>
      <c r="E32" s="13">
        <v>0</v>
      </c>
      <c r="F32" s="92">
        <v>0</v>
      </c>
      <c r="G32" s="46">
        <f t="shared" si="6"/>
        <v>0</v>
      </c>
      <c r="H32" s="80"/>
      <c r="I32" s="93" t="s">
        <v>74</v>
      </c>
      <c r="J32" s="82">
        <v>252</v>
      </c>
      <c r="K32" s="83">
        <v>3506</v>
      </c>
      <c r="L32" s="84">
        <f t="shared" si="8"/>
        <v>0</v>
      </c>
      <c r="N32" s="85">
        <v>5102</v>
      </c>
      <c r="O32" s="54">
        <v>252</v>
      </c>
      <c r="P32" s="86"/>
      <c r="Q32" s="54"/>
      <c r="V32" s="637"/>
      <c r="W32" s="637"/>
      <c r="X32" s="638"/>
      <c r="Y32" s="638"/>
      <c r="Z32" s="94" t="s">
        <v>74</v>
      </c>
      <c r="AA32" s="89">
        <v>252</v>
      </c>
      <c r="AB32" s="90">
        <f t="shared" si="9"/>
        <v>3506</v>
      </c>
      <c r="AC32" s="91">
        <f t="shared" si="7"/>
        <v>0</v>
      </c>
      <c r="AD32" s="9"/>
    </row>
    <row r="33" spans="1:30" x14ac:dyDescent="0.25">
      <c r="A33" s="1" t="s">
        <v>76</v>
      </c>
      <c r="B33" s="633"/>
      <c r="C33" s="634"/>
      <c r="D33" s="13">
        <v>0</v>
      </c>
      <c r="E33" s="13">
        <v>0</v>
      </c>
      <c r="F33" s="92">
        <v>0</v>
      </c>
      <c r="G33" s="46">
        <f t="shared" si="6"/>
        <v>0</v>
      </c>
      <c r="H33" s="80"/>
      <c r="I33" s="93" t="s">
        <v>74</v>
      </c>
      <c r="J33" s="82">
        <v>253</v>
      </c>
      <c r="K33" s="83">
        <v>7023</v>
      </c>
      <c r="L33" s="84">
        <f t="shared" si="8"/>
        <v>0</v>
      </c>
      <c r="N33" s="85">
        <v>5102</v>
      </c>
      <c r="O33" s="54">
        <v>253</v>
      </c>
      <c r="P33" s="86"/>
      <c r="Q33" s="87"/>
      <c r="V33" s="637"/>
      <c r="W33" s="637"/>
      <c r="X33" s="638"/>
      <c r="Y33" s="638"/>
      <c r="Z33" s="94" t="s">
        <v>74</v>
      </c>
      <c r="AA33" s="89">
        <v>253</v>
      </c>
      <c r="AB33" s="90">
        <f t="shared" si="9"/>
        <v>7023</v>
      </c>
      <c r="AC33" s="91">
        <f t="shared" si="7"/>
        <v>0</v>
      </c>
      <c r="AD33" s="9"/>
    </row>
    <row r="34" spans="1:30" x14ac:dyDescent="0.25">
      <c r="A34" s="1" t="s">
        <v>77</v>
      </c>
      <c r="B34" s="633"/>
      <c r="C34" s="634"/>
      <c r="D34" s="13">
        <v>44.68</v>
      </c>
      <c r="E34" s="13">
        <v>45.45</v>
      </c>
      <c r="F34" s="92">
        <v>37</v>
      </c>
      <c r="G34" s="46">
        <f t="shared" si="6"/>
        <v>90.13</v>
      </c>
      <c r="H34" s="80"/>
      <c r="I34" s="93" t="s">
        <v>78</v>
      </c>
      <c r="J34" s="82">
        <v>251</v>
      </c>
      <c r="K34" s="83">
        <v>835</v>
      </c>
      <c r="L34" s="84">
        <f t="shared" si="8"/>
        <v>75259</v>
      </c>
      <c r="N34" s="85">
        <v>5103</v>
      </c>
      <c r="O34" s="54">
        <v>251</v>
      </c>
      <c r="P34" s="86"/>
      <c r="Q34" s="87"/>
      <c r="V34" s="637"/>
      <c r="W34" s="637"/>
      <c r="X34" s="638"/>
      <c r="Y34" s="638"/>
      <c r="Z34" s="94" t="s">
        <v>78</v>
      </c>
      <c r="AA34" s="89">
        <v>251</v>
      </c>
      <c r="AB34" s="90">
        <f t="shared" si="9"/>
        <v>835</v>
      </c>
      <c r="AC34" s="91">
        <f t="shared" si="7"/>
        <v>0</v>
      </c>
      <c r="AD34" s="9"/>
    </row>
    <row r="35" spans="1:30" x14ac:dyDescent="0.25">
      <c r="A35" s="1" t="s">
        <v>79</v>
      </c>
      <c r="B35" s="633"/>
      <c r="C35" s="634"/>
      <c r="D35" s="13">
        <v>0</v>
      </c>
      <c r="E35" s="13">
        <v>3.35</v>
      </c>
      <c r="F35" s="92">
        <v>1.5</v>
      </c>
      <c r="G35" s="46">
        <f t="shared" si="6"/>
        <v>3.35</v>
      </c>
      <c r="H35" s="80"/>
      <c r="I35" s="93" t="s">
        <v>78</v>
      </c>
      <c r="J35" s="82">
        <v>252</v>
      </c>
      <c r="K35" s="83">
        <v>3168</v>
      </c>
      <c r="L35" s="84">
        <f t="shared" si="8"/>
        <v>10613</v>
      </c>
      <c r="N35" s="85">
        <v>5103</v>
      </c>
      <c r="O35" s="54">
        <v>252</v>
      </c>
      <c r="P35" s="86"/>
      <c r="Q35" s="95"/>
      <c r="V35" s="637"/>
      <c r="W35" s="637"/>
      <c r="X35" s="638"/>
      <c r="Y35" s="638"/>
      <c r="Z35" s="94" t="s">
        <v>78</v>
      </c>
      <c r="AA35" s="89">
        <v>252</v>
      </c>
      <c r="AB35" s="90">
        <f t="shared" si="9"/>
        <v>3168</v>
      </c>
      <c r="AC35" s="91">
        <f t="shared" si="7"/>
        <v>0</v>
      </c>
      <c r="AD35" s="9"/>
    </row>
    <row r="36" spans="1:30" ht="16.5" thickBot="1" x14ac:dyDescent="0.3">
      <c r="A36" s="1" t="s">
        <v>80</v>
      </c>
      <c r="B36" s="635"/>
      <c r="C36" s="636"/>
      <c r="D36" s="13">
        <v>0</v>
      </c>
      <c r="E36" s="13">
        <v>0</v>
      </c>
      <c r="F36" s="92">
        <v>0</v>
      </c>
      <c r="G36" s="46">
        <f t="shared" si="6"/>
        <v>0</v>
      </c>
      <c r="H36" s="80"/>
      <c r="I36" s="93" t="s">
        <v>78</v>
      </c>
      <c r="J36" s="82">
        <v>253</v>
      </c>
      <c r="K36" s="83">
        <v>6685</v>
      </c>
      <c r="L36" s="96">
        <f t="shared" si="8"/>
        <v>0</v>
      </c>
      <c r="N36" s="85">
        <v>5103</v>
      </c>
      <c r="O36" s="54">
        <v>253</v>
      </c>
      <c r="P36" s="86"/>
      <c r="Q36" s="97"/>
      <c r="V36" s="637"/>
      <c r="W36" s="637"/>
      <c r="X36" s="645"/>
      <c r="Y36" s="645"/>
      <c r="Z36" s="94" t="s">
        <v>78</v>
      </c>
      <c r="AA36" s="89">
        <v>253</v>
      </c>
      <c r="AB36" s="90">
        <f t="shared" si="9"/>
        <v>6685</v>
      </c>
      <c r="AC36" s="98">
        <f t="shared" si="7"/>
        <v>0</v>
      </c>
      <c r="AD36" s="9"/>
    </row>
    <row r="37" spans="1:30" ht="18.75" customHeight="1" x14ac:dyDescent="0.25">
      <c r="B37" s="13" t="s">
        <v>81</v>
      </c>
      <c r="C37" s="13"/>
      <c r="D37" s="63">
        <f t="shared" ref="D37:E37" si="10">SUM(D28:D36)</f>
        <v>44.68</v>
      </c>
      <c r="E37" s="63">
        <f t="shared" si="10"/>
        <v>48.800000000000004</v>
      </c>
      <c r="F37" s="63"/>
      <c r="G37" s="63">
        <f>SUM(G28:G36)</f>
        <v>93.47999999999999</v>
      </c>
      <c r="H37" s="64"/>
      <c r="I37" s="13" t="s">
        <v>82</v>
      </c>
      <c r="J37" s="13"/>
      <c r="K37" s="13"/>
      <c r="L37" s="50">
        <f>SUM(L28:L36)</f>
        <v>85872</v>
      </c>
      <c r="N37" s="54"/>
      <c r="O37" s="68"/>
      <c r="P37" s="54"/>
      <c r="Q37" s="54"/>
      <c r="V37" s="646" t="s">
        <v>81</v>
      </c>
      <c r="W37" s="646"/>
      <c r="X37" s="626">
        <f>SUM(X28:X36)</f>
        <v>0</v>
      </c>
      <c r="Y37" s="626"/>
      <c r="Z37" s="646" t="s">
        <v>82</v>
      </c>
      <c r="AA37" s="646"/>
      <c r="AB37" s="646"/>
      <c r="AC37" s="56">
        <f>SUM(AC28:AC36)</f>
        <v>0</v>
      </c>
      <c r="AD37" s="9"/>
    </row>
    <row r="38" spans="1:30" ht="30.75" customHeight="1" x14ac:dyDescent="0.25">
      <c r="B38" s="99" t="s">
        <v>83</v>
      </c>
      <c r="C38" s="99"/>
      <c r="D38" s="99"/>
      <c r="E38" s="99"/>
      <c r="F38" s="99"/>
      <c r="G38" s="99"/>
      <c r="H38" s="100"/>
      <c r="I38" s="99"/>
      <c r="J38" s="99"/>
      <c r="K38" s="99"/>
      <c r="L38" s="99"/>
      <c r="M38" s="101"/>
      <c r="N38" s="54"/>
      <c r="O38" s="68"/>
      <c r="P38" s="54"/>
      <c r="Q38" s="54"/>
      <c r="V38" s="639" t="s">
        <v>83</v>
      </c>
      <c r="W38" s="639"/>
      <c r="X38" s="639"/>
      <c r="Y38" s="639"/>
      <c r="Z38" s="639"/>
      <c r="AA38" s="639"/>
      <c r="AB38" s="639"/>
      <c r="AC38" s="639"/>
      <c r="AD38" s="102"/>
    </row>
    <row r="39" spans="1:30" ht="15.75" customHeight="1" x14ac:dyDescent="0.25">
      <c r="B39" s="103" t="s">
        <v>84</v>
      </c>
      <c r="C39" s="103"/>
      <c r="D39" s="103"/>
      <c r="E39" s="103"/>
      <c r="F39" s="103"/>
      <c r="G39" s="104">
        <v>34389540</v>
      </c>
      <c r="H39" s="104"/>
      <c r="I39" s="13" t="s">
        <v>85</v>
      </c>
      <c r="J39" s="13"/>
      <c r="K39" s="13"/>
      <c r="L39" s="13"/>
      <c r="O39" s="1"/>
      <c r="V39" s="640" t="s">
        <v>84</v>
      </c>
      <c r="W39" s="640"/>
      <c r="X39" s="641">
        <f>+G39</f>
        <v>34389540</v>
      </c>
      <c r="Y39" s="641"/>
      <c r="Z39" s="642" t="s">
        <v>85</v>
      </c>
      <c r="AA39" s="642"/>
      <c r="AB39" s="642"/>
      <c r="AC39" s="642"/>
      <c r="AD39" s="9"/>
    </row>
    <row r="40" spans="1:30" ht="15.75" customHeight="1" x14ac:dyDescent="0.25">
      <c r="B40" s="105" t="s">
        <v>86</v>
      </c>
      <c r="C40" s="105"/>
      <c r="D40" s="105"/>
      <c r="E40" s="105"/>
      <c r="F40" s="105"/>
      <c r="G40" s="106">
        <v>180284.81</v>
      </c>
      <c r="H40" s="106"/>
      <c r="I40" s="106"/>
      <c r="J40" s="106"/>
      <c r="K40" s="50">
        <f>ROUND(G39/G40,0)</f>
        <v>191</v>
      </c>
      <c r="L40" s="50">
        <f>ROUND(K40*$G$26,0)</f>
        <v>96889</v>
      </c>
      <c r="N40" s="107"/>
      <c r="O40" s="107"/>
      <c r="P40" s="107"/>
      <c r="Q40" s="107"/>
      <c r="V40" s="643" t="s">
        <v>86</v>
      </c>
      <c r="W40" s="643"/>
      <c r="X40" s="644">
        <f>+G40</f>
        <v>180284.81</v>
      </c>
      <c r="Y40" s="644"/>
      <c r="Z40" s="644"/>
      <c r="AA40" s="644"/>
      <c r="AB40" s="56">
        <f>ROUND(X39/X40,0)</f>
        <v>191</v>
      </c>
      <c r="AC40" s="56">
        <f>ROUND(AB40*$X$26,0)</f>
        <v>0</v>
      </c>
      <c r="AD40" s="9"/>
    </row>
    <row r="41" spans="1:30" ht="15.75" customHeight="1" x14ac:dyDescent="0.25">
      <c r="B41" s="108" t="s">
        <v>87</v>
      </c>
      <c r="C41" s="108"/>
      <c r="D41" s="108"/>
      <c r="E41" s="108"/>
      <c r="F41" s="108"/>
      <c r="G41" s="108"/>
      <c r="H41" s="108"/>
      <c r="I41" s="108"/>
      <c r="J41" s="108"/>
      <c r="K41" s="108"/>
      <c r="L41" s="108"/>
      <c r="N41" s="101"/>
      <c r="O41" s="109"/>
      <c r="P41" s="101"/>
      <c r="Q41" s="101"/>
      <c r="V41" s="652" t="s">
        <v>87</v>
      </c>
      <c r="W41" s="652"/>
      <c r="X41" s="652"/>
      <c r="Y41" s="652"/>
      <c r="Z41" s="652"/>
      <c r="AA41" s="652"/>
      <c r="AB41" s="652"/>
      <c r="AC41" s="652"/>
      <c r="AD41" s="9"/>
    </row>
    <row r="42" spans="1:30" ht="28.5" customHeight="1" x14ac:dyDescent="0.25">
      <c r="B42" s="99" t="s">
        <v>88</v>
      </c>
      <c r="C42" s="99"/>
      <c r="D42" s="99"/>
      <c r="E42" s="99"/>
      <c r="F42" s="99"/>
      <c r="G42" s="99"/>
      <c r="H42" s="99"/>
      <c r="I42" s="99"/>
      <c r="J42" s="99"/>
      <c r="K42" s="99"/>
      <c r="L42" s="99"/>
      <c r="M42" s="107"/>
      <c r="O42" s="1"/>
      <c r="V42" s="639" t="s">
        <v>88</v>
      </c>
      <c r="W42" s="639"/>
      <c r="X42" s="639"/>
      <c r="Y42" s="639"/>
      <c r="Z42" s="639"/>
      <c r="AA42" s="639"/>
      <c r="AB42" s="639"/>
      <c r="AC42" s="639"/>
      <c r="AD42" s="110"/>
    </row>
    <row r="43" spans="1:30" x14ac:dyDescent="0.25">
      <c r="B43" s="111" t="s">
        <v>89</v>
      </c>
      <c r="C43" s="111"/>
      <c r="D43" s="111"/>
      <c r="E43" s="111"/>
      <c r="F43" s="111"/>
      <c r="G43" s="111"/>
      <c r="H43" s="111"/>
      <c r="I43" s="111"/>
      <c r="J43" s="111"/>
      <c r="K43" s="111"/>
      <c r="L43" s="111"/>
      <c r="M43" s="112"/>
      <c r="N43" s="101"/>
      <c r="O43" s="101"/>
      <c r="P43" s="101"/>
      <c r="Q43" s="101"/>
      <c r="V43" s="653" t="s">
        <v>89</v>
      </c>
      <c r="W43" s="653"/>
      <c r="X43" s="653"/>
      <c r="Y43" s="653"/>
      <c r="Z43" s="653"/>
      <c r="AA43" s="653"/>
      <c r="AB43" s="653"/>
      <c r="AC43" s="653"/>
      <c r="AD43" s="113"/>
    </row>
    <row r="44" spans="1:30" ht="24" customHeight="1" x14ac:dyDescent="0.25">
      <c r="B44" s="62" t="s">
        <v>90</v>
      </c>
      <c r="C44" s="62"/>
      <c r="D44" s="62"/>
      <c r="E44" s="62"/>
      <c r="F44" s="62"/>
      <c r="G44" s="62"/>
      <c r="H44" s="62"/>
      <c r="I44" s="62"/>
      <c r="J44" s="62"/>
      <c r="K44" s="62"/>
      <c r="L44" s="114">
        <f>SUM(L26,L37,L40)</f>
        <v>2174063</v>
      </c>
      <c r="O44" s="1"/>
      <c r="V44" s="654" t="s">
        <v>90</v>
      </c>
      <c r="W44" s="654"/>
      <c r="X44" s="654"/>
      <c r="Y44" s="654"/>
      <c r="Z44" s="654"/>
      <c r="AA44" s="654"/>
      <c r="AB44" s="654"/>
      <c r="AC44" s="115">
        <f>SUM(AC26,AC37,AC40)</f>
        <v>0</v>
      </c>
      <c r="AD44" s="9"/>
    </row>
    <row r="45" spans="1:30" ht="30.75" customHeight="1" x14ac:dyDescent="0.25">
      <c r="B45" s="99" t="s">
        <v>91</v>
      </c>
      <c r="C45" s="99"/>
      <c r="D45" s="99"/>
      <c r="E45" s="99"/>
      <c r="F45" s="99"/>
      <c r="G45" s="99"/>
      <c r="H45" s="99"/>
      <c r="I45" s="99"/>
      <c r="J45" s="99"/>
      <c r="K45" s="99"/>
      <c r="L45" s="99"/>
      <c r="M45" s="116"/>
      <c r="O45" s="1"/>
      <c r="V45" s="639" t="s">
        <v>91</v>
      </c>
      <c r="W45" s="639"/>
      <c r="X45" s="639"/>
      <c r="Y45" s="639"/>
      <c r="Z45" s="639"/>
      <c r="AA45" s="639"/>
      <c r="AB45" s="639"/>
      <c r="AC45" s="639"/>
      <c r="AD45" s="117"/>
    </row>
    <row r="46" spans="1:30" ht="18.75" customHeight="1" x14ac:dyDescent="0.25">
      <c r="B46" s="1"/>
      <c r="C46" s="118" t="s">
        <v>92</v>
      </c>
      <c r="D46" s="118"/>
      <c r="E46" s="118"/>
      <c r="F46" s="118"/>
      <c r="G46" s="118" t="s">
        <v>93</v>
      </c>
      <c r="H46" s="119"/>
      <c r="I46" s="120" t="s">
        <v>94</v>
      </c>
      <c r="J46" s="121"/>
      <c r="K46" s="121"/>
      <c r="L46" s="121"/>
      <c r="M46" s="122"/>
      <c r="O46" s="1"/>
      <c r="V46" s="9"/>
      <c r="W46" s="123" t="s">
        <v>92</v>
      </c>
      <c r="X46" s="655" t="s">
        <v>95</v>
      </c>
      <c r="Y46" s="655"/>
      <c r="Z46" s="656" t="s">
        <v>94</v>
      </c>
      <c r="AA46" s="656"/>
      <c r="AB46" s="656"/>
      <c r="AC46" s="656"/>
      <c r="AD46" s="124"/>
    </row>
    <row r="47" spans="1:30" ht="18.75" customHeight="1" x14ac:dyDescent="0.25">
      <c r="B47" s="107" t="s">
        <v>96</v>
      </c>
      <c r="C47" s="125">
        <f>K10+K11+K16+K19+K22</f>
        <v>0</v>
      </c>
      <c r="D47" s="125"/>
      <c r="E47" s="125"/>
      <c r="F47" s="125"/>
      <c r="G47" s="126">
        <f>K7</f>
        <v>1.0326</v>
      </c>
      <c r="H47" s="126"/>
      <c r="I47" s="127">
        <v>1316.85</v>
      </c>
      <c r="J47" s="128" t="s">
        <v>97</v>
      </c>
      <c r="K47" s="129">
        <f>ROUND(C47*G47*I47,0)</f>
        <v>0</v>
      </c>
      <c r="L47" s="130"/>
      <c r="O47" s="1"/>
      <c r="V47" s="110" t="s">
        <v>96</v>
      </c>
      <c r="W47" s="131">
        <f>AB10+AB11+AB16+AB19+AB22</f>
        <v>0</v>
      </c>
      <c r="X47" s="647">
        <f>AB7</f>
        <v>1.0326</v>
      </c>
      <c r="Y47" s="647"/>
      <c r="Z47" s="132">
        <f>+I47</f>
        <v>1316.85</v>
      </c>
      <c r="AA47" s="133" t="s">
        <v>97</v>
      </c>
      <c r="AB47" s="134">
        <f>ROUND(W47*X47*Z47,0)</f>
        <v>0</v>
      </c>
      <c r="AC47" s="135"/>
      <c r="AD47" s="9"/>
    </row>
    <row r="48" spans="1:30" ht="18" customHeight="1" x14ac:dyDescent="0.25">
      <c r="B48" s="136" t="s">
        <v>74</v>
      </c>
      <c r="C48" s="125">
        <f>K12+K13+K17+K20+K23</f>
        <v>0</v>
      </c>
      <c r="D48" s="125"/>
      <c r="E48" s="125"/>
      <c r="F48" s="125"/>
      <c r="G48" s="126">
        <f>K7</f>
        <v>1.0326</v>
      </c>
      <c r="H48" s="126"/>
      <c r="I48" s="127">
        <v>898.23</v>
      </c>
      <c r="J48" s="128" t="s">
        <v>97</v>
      </c>
      <c r="K48" s="129">
        <f>ROUND(C48*G48*I48,0)</f>
        <v>0</v>
      </c>
      <c r="L48" s="62"/>
      <c r="O48" s="1"/>
      <c r="V48" s="137" t="s">
        <v>74</v>
      </c>
      <c r="W48" s="131">
        <f>AB12+AB13+AB17+AB20+AB23</f>
        <v>0</v>
      </c>
      <c r="X48" s="647">
        <f>AB7</f>
        <v>1.0326</v>
      </c>
      <c r="Y48" s="647"/>
      <c r="Z48" s="132">
        <f>+I48</f>
        <v>898.23</v>
      </c>
      <c r="AA48" s="133" t="s">
        <v>97</v>
      </c>
      <c r="AB48" s="134">
        <f>ROUND(W48*X48*Z48,0)</f>
        <v>0</v>
      </c>
      <c r="AC48" s="138"/>
      <c r="AD48" s="9"/>
    </row>
    <row r="49" spans="2:30" ht="19.5" customHeight="1" thickBot="1" x14ac:dyDescent="0.3">
      <c r="B49" s="139" t="s">
        <v>78</v>
      </c>
      <c r="C49" s="140">
        <f>K14+K15+K18+K21+K24+K25</f>
        <v>513.93409999999994</v>
      </c>
      <c r="D49" s="125"/>
      <c r="E49" s="125"/>
      <c r="F49" s="125"/>
      <c r="G49" s="126">
        <f>K7</f>
        <v>1.0326</v>
      </c>
      <c r="H49" s="126"/>
      <c r="I49" s="127">
        <v>900.39</v>
      </c>
      <c r="J49" s="128" t="s">
        <v>97</v>
      </c>
      <c r="K49" s="129">
        <f>ROUND(C49*G49*I49,0)</f>
        <v>477826</v>
      </c>
      <c r="L49" s="62"/>
      <c r="M49" s="112"/>
      <c r="N49" s="141"/>
      <c r="O49" s="142"/>
      <c r="P49" s="101"/>
      <c r="Q49" s="143"/>
      <c r="V49" s="144" t="s">
        <v>78</v>
      </c>
      <c r="W49" s="145">
        <f>AB14+AB15+AB18+AB21+AB24+AB25</f>
        <v>0</v>
      </c>
      <c r="X49" s="647">
        <f>AB7</f>
        <v>1.0326</v>
      </c>
      <c r="Y49" s="647"/>
      <c r="Z49" s="132">
        <f>+I49</f>
        <v>900.39</v>
      </c>
      <c r="AA49" s="133" t="s">
        <v>97</v>
      </c>
      <c r="AB49" s="134">
        <f>ROUND(W49*X49*Z49,0)</f>
        <v>0</v>
      </c>
      <c r="AC49" s="138"/>
      <c r="AD49" s="113"/>
    </row>
    <row r="50" spans="2:30" ht="24" customHeight="1" thickBot="1" x14ac:dyDescent="0.3">
      <c r="B50" s="146" t="s">
        <v>98</v>
      </c>
      <c r="C50" s="147">
        <f>SUM(C47:C49)</f>
        <v>513.93409999999994</v>
      </c>
      <c r="D50" s="148"/>
      <c r="E50" s="149"/>
      <c r="F50" s="149"/>
      <c r="G50" s="150" t="s">
        <v>99</v>
      </c>
      <c r="H50" s="150"/>
      <c r="I50" s="150"/>
      <c r="J50" s="150"/>
      <c r="K50" s="150"/>
      <c r="L50" s="50">
        <f>IF(B2=75,0,K49+K48+K47)</f>
        <v>477826</v>
      </c>
      <c r="N50" s="3"/>
      <c r="O50" s="1"/>
      <c r="V50" s="151" t="s">
        <v>98</v>
      </c>
      <c r="W50" s="152">
        <f>SUM(W47:W49)</f>
        <v>0</v>
      </c>
      <c r="X50" s="648" t="s">
        <v>99</v>
      </c>
      <c r="Y50" s="649"/>
      <c r="Z50" s="649"/>
      <c r="AA50" s="649"/>
      <c r="AB50" s="649"/>
      <c r="AC50" s="56">
        <f>IF(V2=75,0,AB49+AB48+AB47)</f>
        <v>0</v>
      </c>
      <c r="AD50" s="9"/>
    </row>
    <row r="51" spans="2:30" ht="19.5" customHeight="1" x14ac:dyDescent="0.25">
      <c r="B51" s="153" t="s">
        <v>100</v>
      </c>
      <c r="C51" s="153"/>
      <c r="D51" s="153"/>
      <c r="E51" s="153"/>
      <c r="F51" s="153"/>
      <c r="G51" s="153"/>
      <c r="H51" s="153"/>
      <c r="I51" s="153"/>
      <c r="J51" s="153"/>
      <c r="K51" s="153"/>
      <c r="L51" s="153"/>
      <c r="M51" s="141"/>
      <c r="N51" s="101"/>
      <c r="O51" s="1"/>
      <c r="V51" s="650" t="s">
        <v>100</v>
      </c>
      <c r="W51" s="650"/>
      <c r="X51" s="650"/>
      <c r="Y51" s="650"/>
      <c r="Z51" s="650"/>
      <c r="AA51" s="650"/>
      <c r="AB51" s="650"/>
      <c r="AC51" s="650"/>
      <c r="AD51" s="154"/>
    </row>
    <row r="52" spans="2:30" ht="27.75" customHeight="1" x14ac:dyDescent="0.25">
      <c r="B52" s="13" t="s">
        <v>101</v>
      </c>
      <c r="C52" s="13"/>
      <c r="D52" s="13"/>
      <c r="E52" s="13"/>
      <c r="F52" s="13"/>
      <c r="G52" s="13"/>
      <c r="H52" s="13"/>
      <c r="I52" s="13"/>
      <c r="J52" s="13"/>
      <c r="K52" s="13"/>
      <c r="L52" s="13"/>
      <c r="O52" s="1"/>
      <c r="V52" s="651" t="s">
        <v>101</v>
      </c>
      <c r="W52" s="651"/>
      <c r="X52" s="651"/>
      <c r="Y52" s="651"/>
      <c r="Z52" s="651"/>
      <c r="AA52" s="651"/>
      <c r="AB52" s="651"/>
      <c r="AC52" s="651"/>
      <c r="AD52" s="9"/>
    </row>
    <row r="53" spans="2:30" x14ac:dyDescent="0.25">
      <c r="B53" s="13" t="s">
        <v>102</v>
      </c>
      <c r="C53" s="13"/>
      <c r="D53" s="13"/>
      <c r="E53" s="13"/>
      <c r="F53" s="13"/>
      <c r="G53" s="155">
        <f>K26</f>
        <v>513.93409999999994</v>
      </c>
      <c r="H53" s="57" t="s">
        <v>103</v>
      </c>
      <c r="I53" s="57"/>
      <c r="J53" s="156">
        <v>197823.77</v>
      </c>
      <c r="K53" s="156"/>
      <c r="L53" s="156"/>
      <c r="N53" s="3"/>
      <c r="O53" s="1"/>
      <c r="V53" s="657" t="s">
        <v>102</v>
      </c>
      <c r="W53" s="657"/>
      <c r="X53" s="157">
        <f>AB26</f>
        <v>0</v>
      </c>
      <c r="Y53" s="658" t="s">
        <v>103</v>
      </c>
      <c r="Z53" s="658"/>
      <c r="AA53" s="659">
        <f>+J53</f>
        <v>197823.77</v>
      </c>
      <c r="AB53" s="659"/>
      <c r="AC53" s="659"/>
      <c r="AD53" s="9"/>
    </row>
    <row r="54" spans="2:30" x14ac:dyDescent="0.25">
      <c r="B54" s="13" t="s">
        <v>104</v>
      </c>
      <c r="C54" s="13"/>
      <c r="D54" s="13"/>
      <c r="E54" s="13"/>
      <c r="F54" s="13"/>
      <c r="G54" s="13"/>
      <c r="H54" s="13"/>
      <c r="I54" s="13"/>
      <c r="J54" s="13"/>
      <c r="K54" s="158">
        <f>ROUND(G53/J53,6)</f>
        <v>2.598E-3</v>
      </c>
      <c r="L54" s="158"/>
      <c r="N54" s="101"/>
      <c r="O54" s="1"/>
      <c r="V54" s="657" t="s">
        <v>104</v>
      </c>
      <c r="W54" s="657"/>
      <c r="X54" s="657"/>
      <c r="Y54" s="657"/>
      <c r="Z54" s="657"/>
      <c r="AA54" s="657"/>
      <c r="AB54" s="660">
        <f>ROUND(X53/AA53,6)</f>
        <v>0</v>
      </c>
      <c r="AC54" s="660"/>
      <c r="AD54" s="9"/>
    </row>
    <row r="55" spans="2:30" ht="24" customHeight="1" x14ac:dyDescent="0.25">
      <c r="B55" s="13" t="s">
        <v>105</v>
      </c>
      <c r="C55" s="13"/>
      <c r="D55" s="13"/>
      <c r="E55" s="13"/>
      <c r="F55" s="13"/>
      <c r="G55" s="13"/>
      <c r="H55" s="13"/>
      <c r="I55" s="13"/>
      <c r="J55" s="13"/>
      <c r="K55" s="13"/>
      <c r="L55" s="13"/>
      <c r="O55" s="1"/>
      <c r="V55" s="651" t="s">
        <v>105</v>
      </c>
      <c r="W55" s="651"/>
      <c r="X55" s="651"/>
      <c r="Y55" s="651"/>
      <c r="Z55" s="651"/>
      <c r="AA55" s="651"/>
      <c r="AB55" s="651"/>
      <c r="AC55" s="651"/>
      <c r="AD55" s="9"/>
    </row>
    <row r="56" spans="2:30" x14ac:dyDescent="0.25">
      <c r="B56" s="13" t="s">
        <v>106</v>
      </c>
      <c r="C56" s="13"/>
      <c r="D56" s="13"/>
      <c r="E56" s="13"/>
      <c r="F56" s="13"/>
      <c r="G56" s="159">
        <f>G26</f>
        <v>507.27000000000004</v>
      </c>
      <c r="H56" s="57" t="s">
        <v>107</v>
      </c>
      <c r="I56" s="57"/>
      <c r="J56" s="156">
        <f>+G40</f>
        <v>180284.81</v>
      </c>
      <c r="K56" s="156"/>
      <c r="L56" s="156"/>
      <c r="O56" s="1"/>
      <c r="V56" s="657" t="s">
        <v>106</v>
      </c>
      <c r="W56" s="657"/>
      <c r="X56" s="160">
        <f>X26</f>
        <v>0</v>
      </c>
      <c r="Y56" s="658" t="s">
        <v>107</v>
      </c>
      <c r="Z56" s="658"/>
      <c r="AA56" s="659">
        <f>+J56</f>
        <v>180284.81</v>
      </c>
      <c r="AB56" s="659"/>
      <c r="AC56" s="659"/>
      <c r="AD56" s="9"/>
    </row>
    <row r="57" spans="2:30" x14ac:dyDescent="0.25">
      <c r="B57" s="13" t="s">
        <v>108</v>
      </c>
      <c r="C57" s="13"/>
      <c r="D57" s="13"/>
      <c r="E57" s="13"/>
      <c r="F57" s="13"/>
      <c r="G57" s="13"/>
      <c r="H57" s="13"/>
      <c r="I57" s="13"/>
      <c r="J57" s="13"/>
      <c r="K57" s="158">
        <f>ROUND(G56/J56,6)</f>
        <v>2.8140000000000001E-3</v>
      </c>
      <c r="L57" s="158"/>
      <c r="O57" s="1"/>
      <c r="V57" s="657" t="s">
        <v>108</v>
      </c>
      <c r="W57" s="657"/>
      <c r="X57" s="657"/>
      <c r="Y57" s="657"/>
      <c r="Z57" s="657"/>
      <c r="AA57" s="657"/>
      <c r="AB57" s="660">
        <f>ROUND(X56/AA56,6)</f>
        <v>0</v>
      </c>
      <c r="AC57" s="660"/>
      <c r="AD57" s="9"/>
    </row>
    <row r="58" spans="2:30" ht="20.25" customHeight="1" x14ac:dyDescent="0.25">
      <c r="B58" s="161" t="s">
        <v>109</v>
      </c>
      <c r="C58" s="161"/>
      <c r="D58" s="161"/>
      <c r="E58" s="161"/>
      <c r="F58" s="161"/>
      <c r="G58" s="161"/>
      <c r="H58" s="161"/>
      <c r="I58" s="161"/>
      <c r="J58" s="161"/>
      <c r="K58" s="161"/>
      <c r="L58" s="161"/>
      <c r="N58" s="18"/>
      <c r="O58" s="18"/>
      <c r="V58" s="629" t="s">
        <v>110</v>
      </c>
      <c r="W58" s="629"/>
      <c r="X58" s="629"/>
      <c r="Y58" s="661">
        <f>X65+X64+X62+X61+X60</f>
        <v>4123852</v>
      </c>
      <c r="Z58" s="661"/>
      <c r="AA58" s="162" t="s">
        <v>111</v>
      </c>
      <c r="AB58" s="163">
        <f>AB54</f>
        <v>0</v>
      </c>
      <c r="AC58" s="56">
        <f>ROUND(Y58*AB58,0)</f>
        <v>0</v>
      </c>
      <c r="AD58" s="9"/>
    </row>
    <row r="59" spans="2:30" x14ac:dyDescent="0.25">
      <c r="B59" s="62" t="s">
        <v>110</v>
      </c>
      <c r="C59" s="62"/>
      <c r="D59" s="62"/>
      <c r="E59" s="62"/>
      <c r="F59" s="62"/>
      <c r="G59" s="62"/>
      <c r="H59" s="164" t="s">
        <v>22</v>
      </c>
      <c r="I59" s="129">
        <v>4123852</v>
      </c>
      <c r="J59" s="165" t="s">
        <v>111</v>
      </c>
      <c r="K59" s="166">
        <f>K54</f>
        <v>2.598E-3</v>
      </c>
      <c r="L59" s="50">
        <f>ROUND(I59*K59,0)</f>
        <v>10714</v>
      </c>
      <c r="O59" s="1"/>
      <c r="P59" s="165"/>
      <c r="Q59" s="165"/>
      <c r="V59" s="662" t="s">
        <v>112</v>
      </c>
      <c r="W59" s="662"/>
      <c r="X59" s="662"/>
      <c r="Y59" s="662"/>
      <c r="Z59" s="662"/>
      <c r="AA59" s="662"/>
      <c r="AB59" s="662"/>
      <c r="AC59" s="662"/>
      <c r="AD59" s="9"/>
    </row>
    <row r="60" spans="2:30" x14ac:dyDescent="0.25">
      <c r="B60" s="62" t="s">
        <v>112</v>
      </c>
      <c r="C60" s="62"/>
      <c r="D60" s="62"/>
      <c r="E60" s="62"/>
      <c r="F60" s="62"/>
      <c r="G60" s="62"/>
      <c r="H60" s="62"/>
      <c r="I60" s="62"/>
      <c r="J60" s="62"/>
      <c r="K60" s="62"/>
      <c r="L60" s="62"/>
      <c r="O60" s="1"/>
      <c r="P60" s="165"/>
      <c r="Q60" s="165"/>
      <c r="V60" s="663" t="s">
        <v>113</v>
      </c>
      <c r="W60" s="663"/>
      <c r="X60" s="664">
        <f>+G61</f>
        <v>0</v>
      </c>
      <c r="Y60" s="664"/>
      <c r="Z60" s="664"/>
      <c r="AA60" s="664"/>
      <c r="AB60" s="664"/>
      <c r="AC60" s="664"/>
      <c r="AD60" s="9"/>
    </row>
    <row r="61" spans="2:30" ht="15" customHeight="1" x14ac:dyDescent="0.25">
      <c r="B61" s="167" t="s">
        <v>113</v>
      </c>
      <c r="C61" s="62"/>
      <c r="D61" s="62"/>
      <c r="E61" s="62"/>
      <c r="F61" s="62"/>
      <c r="G61" s="168">
        <v>0</v>
      </c>
      <c r="H61" s="168"/>
      <c r="I61" s="168"/>
      <c r="J61" s="168"/>
      <c r="K61" s="168"/>
      <c r="L61" s="168"/>
      <c r="O61" s="1"/>
      <c r="P61" s="165"/>
      <c r="Q61" s="165"/>
      <c r="V61" s="663" t="s">
        <v>114</v>
      </c>
      <c r="W61" s="663"/>
      <c r="X61" s="664">
        <f>+G62</f>
        <v>0</v>
      </c>
      <c r="Y61" s="664"/>
      <c r="Z61" s="664"/>
      <c r="AA61" s="664"/>
      <c r="AB61" s="664"/>
      <c r="AC61" s="664"/>
      <c r="AD61" s="9"/>
    </row>
    <row r="62" spans="2:30" ht="13.5" customHeight="1" x14ac:dyDescent="0.25">
      <c r="B62" s="167" t="s">
        <v>114</v>
      </c>
      <c r="C62" s="62"/>
      <c r="D62" s="62"/>
      <c r="E62" s="62"/>
      <c r="F62" s="62"/>
      <c r="G62" s="168">
        <v>0</v>
      </c>
      <c r="H62" s="168"/>
      <c r="I62" s="168"/>
      <c r="J62" s="168"/>
      <c r="K62" s="168"/>
      <c r="L62" s="168"/>
      <c r="N62" s="165"/>
      <c r="O62" s="165"/>
      <c r="P62" s="165"/>
      <c r="Q62" s="165"/>
      <c r="V62" s="663" t="s">
        <v>115</v>
      </c>
      <c r="W62" s="663"/>
      <c r="X62" s="664">
        <v>0</v>
      </c>
      <c r="Y62" s="664"/>
      <c r="Z62" s="664"/>
      <c r="AA62" s="664"/>
      <c r="AB62" s="664"/>
      <c r="AC62" s="664"/>
      <c r="AD62" s="9"/>
    </row>
    <row r="63" spans="2:30" ht="13.5" hidden="1" customHeight="1" x14ac:dyDescent="0.25">
      <c r="B63" s="62" t="s">
        <v>115</v>
      </c>
      <c r="C63" s="62"/>
      <c r="D63" s="62"/>
      <c r="E63" s="62"/>
      <c r="F63" s="62"/>
      <c r="G63" s="168">
        <v>0</v>
      </c>
      <c r="H63" s="168"/>
      <c r="I63" s="168"/>
      <c r="J63" s="168"/>
      <c r="K63" s="168"/>
      <c r="L63" s="168"/>
      <c r="O63" s="1"/>
      <c r="P63" s="165"/>
      <c r="Q63" s="165"/>
      <c r="V63" s="662" t="s">
        <v>116</v>
      </c>
      <c r="W63" s="662"/>
      <c r="X63" s="662"/>
      <c r="Y63" s="662"/>
      <c r="Z63" s="662"/>
      <c r="AA63" s="662"/>
      <c r="AB63" s="662"/>
      <c r="AC63" s="662"/>
      <c r="AD63" s="117"/>
    </row>
    <row r="64" spans="2:30" ht="13.5" customHeight="1" x14ac:dyDescent="0.25">
      <c r="B64" s="62" t="s">
        <v>116</v>
      </c>
      <c r="C64" s="62"/>
      <c r="D64" s="62"/>
      <c r="E64" s="62"/>
      <c r="F64" s="62"/>
      <c r="G64" s="62"/>
      <c r="H64" s="62"/>
      <c r="I64" s="62"/>
      <c r="J64" s="62"/>
      <c r="K64" s="62"/>
      <c r="L64" s="62"/>
      <c r="M64" s="116"/>
      <c r="N64" s="18"/>
      <c r="O64" s="1"/>
      <c r="V64" s="663" t="s">
        <v>117</v>
      </c>
      <c r="W64" s="663"/>
      <c r="X64" s="664">
        <f>+G65</f>
        <v>4123852</v>
      </c>
      <c r="Y64" s="664"/>
      <c r="Z64" s="664"/>
      <c r="AA64" s="664"/>
      <c r="AB64" s="664"/>
      <c r="AC64" s="664"/>
      <c r="AD64" s="9"/>
    </row>
    <row r="65" spans="1:30" ht="12.75" customHeight="1" x14ac:dyDescent="0.25">
      <c r="B65" s="167" t="s">
        <v>117</v>
      </c>
      <c r="C65" s="62"/>
      <c r="D65" s="62"/>
      <c r="E65" s="62"/>
      <c r="F65" s="62"/>
      <c r="G65" s="168">
        <f>+I59</f>
        <v>4123852</v>
      </c>
      <c r="H65" s="168"/>
      <c r="I65" s="168"/>
      <c r="J65" s="168"/>
      <c r="K65" s="168"/>
      <c r="L65" s="168"/>
      <c r="O65" s="1"/>
      <c r="V65" s="663" t="s">
        <v>118</v>
      </c>
      <c r="W65" s="663"/>
      <c r="X65" s="664">
        <f>+G66</f>
        <v>0</v>
      </c>
      <c r="Y65" s="664"/>
      <c r="Z65" s="664"/>
      <c r="AA65" s="664"/>
      <c r="AB65" s="664"/>
      <c r="AC65" s="664"/>
      <c r="AD65" s="20"/>
    </row>
    <row r="66" spans="1:30" ht="15" customHeight="1" x14ac:dyDescent="0.25">
      <c r="B66" s="167" t="s">
        <v>118</v>
      </c>
      <c r="C66" s="62"/>
      <c r="D66" s="62"/>
      <c r="E66" s="62"/>
      <c r="F66" s="62"/>
      <c r="G66" s="168">
        <v>0</v>
      </c>
      <c r="H66" s="168"/>
      <c r="I66" s="168"/>
      <c r="J66" s="168"/>
      <c r="K66" s="168"/>
      <c r="L66" s="168"/>
      <c r="M66" s="18"/>
      <c r="N66" s="3"/>
      <c r="O66" s="169"/>
      <c r="P66" s="169"/>
      <c r="Q66" s="169"/>
      <c r="V66" s="651" t="s">
        <v>119</v>
      </c>
      <c r="W66" s="651"/>
      <c r="X66" s="651"/>
      <c r="Y66" s="661">
        <f>+I67</f>
        <v>96774526</v>
      </c>
      <c r="Z66" s="661"/>
      <c r="AA66" s="162" t="s">
        <v>111</v>
      </c>
      <c r="AB66" s="163">
        <f>AB54</f>
        <v>0</v>
      </c>
      <c r="AC66" s="56">
        <f>ROUND(Y66*AB66,0)</f>
        <v>0</v>
      </c>
      <c r="AD66" s="9"/>
    </row>
    <row r="67" spans="1:30" ht="20.25" customHeight="1" x14ac:dyDescent="0.25">
      <c r="B67" s="13" t="s">
        <v>119</v>
      </c>
      <c r="C67" s="13"/>
      <c r="D67" s="13"/>
      <c r="E67" s="13"/>
      <c r="F67" s="13"/>
      <c r="H67" s="164" t="s">
        <v>25</v>
      </c>
      <c r="I67" s="129">
        <v>96774526</v>
      </c>
      <c r="J67" s="165" t="s">
        <v>111</v>
      </c>
      <c r="K67" s="166">
        <f>K54</f>
        <v>2.598E-3</v>
      </c>
      <c r="L67" s="50">
        <f>ROUND(I67*K67,0)</f>
        <v>251420</v>
      </c>
      <c r="O67" s="1"/>
      <c r="V67" s="651" t="s">
        <v>120</v>
      </c>
      <c r="W67" s="651"/>
      <c r="X67" s="651"/>
      <c r="Y67" s="651"/>
      <c r="Z67" s="651"/>
      <c r="AA67" s="651"/>
      <c r="AB67" s="651"/>
      <c r="AC67" s="651"/>
      <c r="AD67" s="9"/>
    </row>
    <row r="68" spans="1:30" ht="20.25" customHeight="1" x14ac:dyDescent="0.25">
      <c r="B68" s="13" t="s">
        <v>120</v>
      </c>
      <c r="C68" s="13"/>
      <c r="D68" s="13"/>
      <c r="E68" s="13"/>
      <c r="F68" s="13"/>
      <c r="H68" s="13"/>
      <c r="I68" s="13"/>
      <c r="J68" s="82"/>
      <c r="K68" s="13"/>
      <c r="L68" s="13"/>
      <c r="O68" s="1"/>
      <c r="V68" s="667" t="s">
        <v>121</v>
      </c>
      <c r="W68" s="667"/>
      <c r="X68" s="667"/>
      <c r="Y68" s="661">
        <f>+I69</f>
        <v>0</v>
      </c>
      <c r="Z68" s="661"/>
      <c r="AA68" s="162" t="s">
        <v>111</v>
      </c>
      <c r="AB68" s="163">
        <f>AB57</f>
        <v>0</v>
      </c>
      <c r="AC68" s="56">
        <f>ROUND(Y68*AB68,0)</f>
        <v>0</v>
      </c>
      <c r="AD68" s="9"/>
    </row>
    <row r="69" spans="1:30" ht="15" customHeight="1" x14ac:dyDescent="0.25">
      <c r="B69" s="170" t="s">
        <v>121</v>
      </c>
      <c r="C69" s="13"/>
      <c r="D69" s="13"/>
      <c r="E69" s="13"/>
      <c r="F69" s="13"/>
      <c r="H69" s="164" t="s">
        <v>23</v>
      </c>
      <c r="I69" s="129">
        <v>0</v>
      </c>
      <c r="J69" s="165" t="s">
        <v>111</v>
      </c>
      <c r="K69" s="166">
        <f>K57</f>
        <v>2.8140000000000001E-3</v>
      </c>
      <c r="L69" s="50">
        <f>ROUND(I69*K69,0)</f>
        <v>0</v>
      </c>
      <c r="O69" s="1"/>
      <c r="V69" s="651" t="s">
        <v>122</v>
      </c>
      <c r="W69" s="651"/>
      <c r="X69" s="651"/>
      <c r="Y69" s="668">
        <f>+I70</f>
        <v>-3460775</v>
      </c>
      <c r="Z69" s="668"/>
      <c r="AA69" s="162" t="s">
        <v>111</v>
      </c>
      <c r="AB69" s="163">
        <f>AB54</f>
        <v>0</v>
      </c>
      <c r="AC69" s="56">
        <f>ROUND(Y69*AB69,0)</f>
        <v>0</v>
      </c>
      <c r="AD69" s="9"/>
    </row>
    <row r="70" spans="1:30" ht="20.25" customHeight="1" x14ac:dyDescent="0.25">
      <c r="B70" s="13" t="s">
        <v>122</v>
      </c>
      <c r="C70" s="13"/>
      <c r="D70" s="13"/>
      <c r="E70" s="13"/>
      <c r="F70" s="13"/>
      <c r="H70" s="164" t="s">
        <v>22</v>
      </c>
      <c r="I70" s="129">
        <v>-3460775</v>
      </c>
      <c r="J70" s="165" t="s">
        <v>111</v>
      </c>
      <c r="K70" s="166">
        <f>K54</f>
        <v>2.598E-3</v>
      </c>
      <c r="L70" s="50">
        <f>ROUND(I70*K70,0)</f>
        <v>-8991</v>
      </c>
      <c r="O70" s="1"/>
      <c r="V70" s="651" t="s">
        <v>123</v>
      </c>
      <c r="W70" s="651"/>
      <c r="X70" s="651"/>
      <c r="Y70" s="665">
        <f>+I71</f>
        <v>1874788</v>
      </c>
      <c r="Z70" s="665"/>
      <c r="AA70" s="162" t="s">
        <v>111</v>
      </c>
      <c r="AB70" s="163">
        <f>AB54</f>
        <v>0</v>
      </c>
      <c r="AC70" s="56">
        <f>ROUND(Y70*AB70,0)</f>
        <v>0</v>
      </c>
      <c r="AD70" s="9"/>
    </row>
    <row r="71" spans="1:30" ht="20.25" customHeight="1" x14ac:dyDescent="0.25">
      <c r="B71" s="13" t="s">
        <v>123</v>
      </c>
      <c r="C71" s="13"/>
      <c r="D71" s="13"/>
      <c r="E71" s="13"/>
      <c r="F71" s="13"/>
      <c r="H71" s="164" t="s">
        <v>22</v>
      </c>
      <c r="I71" s="129">
        <v>1874788</v>
      </c>
      <c r="J71" s="165" t="s">
        <v>111</v>
      </c>
      <c r="K71" s="166">
        <f>K54</f>
        <v>2.598E-3</v>
      </c>
      <c r="L71" s="50">
        <f>ROUND(I71*K71,0)</f>
        <v>4871</v>
      </c>
      <c r="O71" s="1"/>
      <c r="V71" s="651" t="s">
        <v>124</v>
      </c>
      <c r="W71" s="651"/>
      <c r="X71" s="651"/>
      <c r="Y71" s="665">
        <f>+I72</f>
        <v>14223298</v>
      </c>
      <c r="Z71" s="665"/>
      <c r="AA71" s="162" t="s">
        <v>111</v>
      </c>
      <c r="AB71" s="163">
        <f>AB57</f>
        <v>0</v>
      </c>
      <c r="AC71" s="56">
        <f>ROUND(Y71*AB71,0)</f>
        <v>0</v>
      </c>
      <c r="AD71" s="9"/>
    </row>
    <row r="72" spans="1:30" ht="21" customHeight="1" x14ac:dyDescent="0.25">
      <c r="B72" s="13" t="s">
        <v>124</v>
      </c>
      <c r="C72" s="13"/>
      <c r="D72" s="13"/>
      <c r="E72" s="13"/>
      <c r="F72" s="13"/>
      <c r="H72" s="164" t="s">
        <v>23</v>
      </c>
      <c r="I72" s="171">
        <v>14223298</v>
      </c>
      <c r="J72" s="165" t="s">
        <v>111</v>
      </c>
      <c r="K72" s="166">
        <f>K57</f>
        <v>2.8140000000000001E-3</v>
      </c>
      <c r="L72" s="50">
        <f>ROUND(I72*K72,0)</f>
        <v>40024</v>
      </c>
      <c r="O72" s="1"/>
      <c r="V72" s="623" t="s">
        <v>125</v>
      </c>
      <c r="W72" s="623"/>
      <c r="X72" s="623"/>
      <c r="Y72" s="623"/>
      <c r="Z72" s="623"/>
      <c r="AA72" s="623"/>
      <c r="AB72" s="623"/>
      <c r="AC72" s="60"/>
      <c r="AD72" s="9"/>
    </row>
    <row r="73" spans="1:30" ht="17.25" customHeight="1" x14ac:dyDescent="0.25">
      <c r="B73" s="13" t="s">
        <v>125</v>
      </c>
      <c r="C73" s="13"/>
      <c r="D73" s="13"/>
      <c r="E73" s="13"/>
      <c r="F73" s="13"/>
      <c r="H73" s="13"/>
      <c r="I73" s="13"/>
      <c r="J73" s="82"/>
      <c r="K73" s="13"/>
      <c r="L73" s="59"/>
      <c r="O73" s="1"/>
      <c r="V73" s="651" t="s">
        <v>126</v>
      </c>
      <c r="W73" s="651"/>
      <c r="X73" s="651"/>
      <c r="Y73" s="651"/>
      <c r="Z73" s="651"/>
      <c r="AA73" s="651"/>
      <c r="AB73" s="651"/>
      <c r="AC73" s="651"/>
      <c r="AD73" s="9"/>
    </row>
    <row r="74" spans="1:30" ht="31.5" x14ac:dyDescent="0.25">
      <c r="B74" s="13" t="s">
        <v>126</v>
      </c>
      <c r="C74" s="13"/>
      <c r="D74" s="27" t="s">
        <v>13</v>
      </c>
      <c r="E74" s="27" t="s">
        <v>14</v>
      </c>
      <c r="F74" s="27"/>
      <c r="H74" s="164" t="s">
        <v>26</v>
      </c>
      <c r="I74" s="172"/>
      <c r="J74" s="164"/>
      <c r="K74" s="172"/>
      <c r="L74" s="112"/>
      <c r="O74" s="1"/>
      <c r="V74" s="666" t="s">
        <v>127</v>
      </c>
      <c r="W74" s="666"/>
      <c r="X74" s="173" t="s">
        <v>128</v>
      </c>
      <c r="Y74" s="174"/>
      <c r="Z74" s="175">
        <f>+I75</f>
        <v>301.5</v>
      </c>
      <c r="AA74" s="176" t="s">
        <v>129</v>
      </c>
      <c r="AB74" s="177">
        <f>+K75</f>
        <v>361</v>
      </c>
      <c r="AC74" s="56">
        <f>ROUND(AB74*Z74,0)</f>
        <v>108842</v>
      </c>
      <c r="AD74" s="9"/>
    </row>
    <row r="75" spans="1:30" ht="19.5" customHeight="1" x14ac:dyDescent="0.25">
      <c r="A75" s="1" t="s">
        <v>130</v>
      </c>
      <c r="B75" s="178" t="s">
        <v>127</v>
      </c>
      <c r="C75" s="179" t="s">
        <v>128</v>
      </c>
      <c r="D75" s="178">
        <v>351</v>
      </c>
      <c r="E75" s="178">
        <v>252</v>
      </c>
      <c r="F75" s="178">
        <v>0</v>
      </c>
      <c r="G75" s="180">
        <f>IF(E75=0,D75,E75)</f>
        <v>252</v>
      </c>
      <c r="H75" s="181"/>
      <c r="I75" s="182">
        <f>AVERAGE(G75,D75)</f>
        <v>301.5</v>
      </c>
      <c r="J75" s="183" t="s">
        <v>129</v>
      </c>
      <c r="K75" s="184">
        <v>361</v>
      </c>
      <c r="L75" s="50">
        <f>ROUND(K75*I75,0)</f>
        <v>108842</v>
      </c>
      <c r="N75" s="1">
        <v>7802</v>
      </c>
      <c r="O75" s="1">
        <v>0</v>
      </c>
      <c r="V75" s="666" t="s">
        <v>127</v>
      </c>
      <c r="W75" s="666"/>
      <c r="X75" s="173" t="s">
        <v>131</v>
      </c>
      <c r="Y75" s="185"/>
      <c r="Z75" s="186">
        <f>+I76</f>
        <v>0</v>
      </c>
      <c r="AA75" s="176" t="s">
        <v>129</v>
      </c>
      <c r="AB75" s="187">
        <f>+K76</f>
        <v>1358</v>
      </c>
      <c r="AC75" s="56">
        <f>ROUND(AB75*Z75,0)</f>
        <v>0</v>
      </c>
      <c r="AD75" s="9"/>
    </row>
    <row r="76" spans="1:30" ht="19.5" customHeight="1" x14ac:dyDescent="0.25">
      <c r="A76" s="1" t="s">
        <v>132</v>
      </c>
      <c r="B76" s="178" t="s">
        <v>127</v>
      </c>
      <c r="C76" s="179" t="s">
        <v>131</v>
      </c>
      <c r="D76" s="178">
        <v>0</v>
      </c>
      <c r="E76" s="178">
        <v>0</v>
      </c>
      <c r="F76" s="178">
        <v>0</v>
      </c>
      <c r="G76" s="180">
        <f>IF(E76=0,D76,E76)</f>
        <v>0</v>
      </c>
      <c r="H76" s="181"/>
      <c r="I76" s="182">
        <f>AVERAGE(G76,D76)</f>
        <v>0</v>
      </c>
      <c r="J76" s="183" t="s">
        <v>129</v>
      </c>
      <c r="K76" s="188">
        <v>1358</v>
      </c>
      <c r="L76" s="50">
        <f>ROUND(K76*I76,0)</f>
        <v>0</v>
      </c>
      <c r="N76" s="1">
        <v>7802</v>
      </c>
      <c r="O76" s="1">
        <v>110</v>
      </c>
      <c r="V76" s="651" t="s">
        <v>133</v>
      </c>
      <c r="W76" s="651"/>
      <c r="X76" s="651"/>
      <c r="Y76" s="661">
        <f>+I77</f>
        <v>33305823</v>
      </c>
      <c r="Z76" s="661"/>
      <c r="AA76" s="176" t="s">
        <v>129</v>
      </c>
      <c r="AB76" s="163">
        <f>AB54</f>
        <v>0</v>
      </c>
      <c r="AC76" s="56">
        <f>ROUND(Y76*AB76,0)</f>
        <v>0</v>
      </c>
      <c r="AD76" s="9"/>
    </row>
    <row r="77" spans="1:30" ht="26.25" customHeight="1" x14ac:dyDescent="0.25">
      <c r="B77" s="13" t="s">
        <v>133</v>
      </c>
      <c r="C77" s="13"/>
      <c r="D77" s="13"/>
      <c r="E77" s="13"/>
      <c r="F77" s="13"/>
      <c r="H77" s="164" t="s">
        <v>134</v>
      </c>
      <c r="I77" s="189">
        <v>33305823</v>
      </c>
      <c r="J77" s="165" t="s">
        <v>111</v>
      </c>
      <c r="K77" s="166">
        <f>K54</f>
        <v>2.598E-3</v>
      </c>
      <c r="L77" s="50">
        <f>ROUND(I77*K77,0)</f>
        <v>86529</v>
      </c>
      <c r="O77" s="1"/>
      <c r="V77" s="651" t="str">
        <f>+B78</f>
        <v>15.  Additional Allocation (WFTE share)</v>
      </c>
      <c r="W77" s="651"/>
      <c r="X77" s="651"/>
      <c r="Y77" s="661">
        <f>+I78</f>
        <v>680688</v>
      </c>
      <c r="Z77" s="661"/>
      <c r="AA77" s="176" t="s">
        <v>129</v>
      </c>
      <c r="AB77" s="163">
        <f>AB54</f>
        <v>0</v>
      </c>
      <c r="AC77" s="56">
        <f>ROUND(Y77*AB77,0)</f>
        <v>0</v>
      </c>
      <c r="AD77" s="9"/>
    </row>
    <row r="78" spans="1:30" ht="26.25" customHeight="1" x14ac:dyDescent="0.25">
      <c r="B78" s="669" t="s">
        <v>135</v>
      </c>
      <c r="C78" s="669"/>
      <c r="D78" s="669"/>
      <c r="E78" s="13"/>
      <c r="F78" s="13"/>
      <c r="H78" s="164" t="s">
        <v>136</v>
      </c>
      <c r="I78" s="190">
        <v>680688</v>
      </c>
      <c r="J78" s="165" t="s">
        <v>111</v>
      </c>
      <c r="K78" s="166">
        <f>K54</f>
        <v>2.598E-3</v>
      </c>
      <c r="L78" s="50">
        <f>ROUND(I78*K78,0)</f>
        <v>1768</v>
      </c>
      <c r="O78" s="1"/>
      <c r="V78" s="651" t="str">
        <f t="shared" ref="V78:V79" si="11">+B79</f>
        <v>16.  Florida Teachers Lead Program Stipend</v>
      </c>
      <c r="W78" s="651"/>
      <c r="X78" s="651"/>
      <c r="Y78" s="191"/>
      <c r="Z78" s="191"/>
      <c r="AA78" s="191"/>
      <c r="AB78" s="191"/>
      <c r="AC78" s="134"/>
      <c r="AD78" s="9"/>
    </row>
    <row r="79" spans="1:30" ht="21" customHeight="1" x14ac:dyDescent="0.25">
      <c r="B79" s="669" t="s">
        <v>137</v>
      </c>
      <c r="C79" s="669"/>
      <c r="D79" s="669"/>
      <c r="E79" s="13"/>
      <c r="F79" s="13"/>
      <c r="H79" s="164"/>
      <c r="I79" s="172"/>
      <c r="J79" s="172"/>
      <c r="K79" s="172"/>
      <c r="L79" s="129"/>
      <c r="N79" s="192"/>
      <c r="O79" s="1"/>
      <c r="Q79" s="164"/>
      <c r="V79" s="651" t="str">
        <f t="shared" si="11"/>
        <v>17.  Food Service Allocation</v>
      </c>
      <c r="W79" s="651"/>
      <c r="X79" s="651"/>
      <c r="Y79" s="191"/>
      <c r="Z79" s="191"/>
      <c r="AA79" s="191"/>
      <c r="AB79" s="191"/>
      <c r="AC79" s="193"/>
      <c r="AD79" s="9"/>
    </row>
    <row r="80" spans="1:30" ht="21" customHeight="1" x14ac:dyDescent="0.25">
      <c r="B80" s="669" t="s">
        <v>138</v>
      </c>
      <c r="C80" s="669"/>
      <c r="D80" s="669"/>
      <c r="E80" s="13"/>
      <c r="F80" s="13"/>
      <c r="H80" s="194" t="s">
        <v>139</v>
      </c>
      <c r="I80" s="195"/>
      <c r="J80" s="195"/>
      <c r="K80" s="195"/>
      <c r="L80" s="196"/>
      <c r="N80" s="197"/>
      <c r="O80" s="1"/>
      <c r="Q80" s="164"/>
      <c r="V80" s="191"/>
      <c r="W80" s="191"/>
      <c r="X80" s="191"/>
      <c r="Y80" s="191"/>
      <c r="Z80" s="191"/>
      <c r="AA80" s="191"/>
      <c r="AB80" s="191"/>
      <c r="AC80" s="193"/>
      <c r="AD80" s="9"/>
    </row>
    <row r="81" spans="1:30" ht="21" customHeight="1" thickBot="1" x14ac:dyDescent="0.3">
      <c r="B81" s="13"/>
      <c r="C81" s="13"/>
      <c r="D81" s="13"/>
      <c r="E81" s="13"/>
      <c r="F81" s="13"/>
      <c r="G81" s="13"/>
      <c r="H81" s="13"/>
      <c r="I81" s="13"/>
      <c r="J81" s="13"/>
      <c r="K81" s="13"/>
      <c r="L81" s="196"/>
      <c r="M81" s="198"/>
      <c r="N81" s="197"/>
      <c r="O81" s="1"/>
      <c r="Q81" s="164"/>
      <c r="V81" s="191" t="s">
        <v>140</v>
      </c>
      <c r="W81" s="191"/>
      <c r="X81" s="191"/>
      <c r="Y81" s="191"/>
      <c r="Z81" s="191"/>
      <c r="AA81" s="191"/>
      <c r="AB81" s="191"/>
      <c r="AC81" s="199">
        <f>SUM(AC44:AC80)</f>
        <v>108842</v>
      </c>
      <c r="AD81" s="200"/>
    </row>
    <row r="82" spans="1:30" ht="22.5" customHeight="1" thickTop="1" thickBot="1" x14ac:dyDescent="0.3">
      <c r="B82" s="13" t="s">
        <v>141</v>
      </c>
      <c r="C82" s="13"/>
      <c r="D82" s="13"/>
      <c r="E82" s="13"/>
      <c r="F82" s="13"/>
      <c r="G82" s="13"/>
      <c r="H82" s="13"/>
      <c r="I82" s="13"/>
      <c r="J82" s="13"/>
      <c r="K82" s="13"/>
      <c r="L82" s="201">
        <f>SUM(L44:L81)</f>
        <v>3147066</v>
      </c>
      <c r="M82" s="202"/>
      <c r="N82" s="203"/>
      <c r="O82" s="1"/>
      <c r="Q82" s="164"/>
      <c r="V82" s="191"/>
      <c r="W82" s="191"/>
      <c r="X82" s="191"/>
      <c r="Y82" s="191"/>
      <c r="Z82" s="191"/>
      <c r="AA82" s="191"/>
      <c r="AB82" s="191"/>
      <c r="AC82" s="204"/>
      <c r="AD82" s="200"/>
    </row>
    <row r="83" spans="1:30" ht="27.75" customHeight="1" thickTop="1" x14ac:dyDescent="0.25">
      <c r="B83" s="13" t="s">
        <v>142</v>
      </c>
      <c r="C83" s="13"/>
      <c r="D83" s="13"/>
      <c r="E83" s="13"/>
      <c r="F83" s="13"/>
      <c r="G83" s="13"/>
      <c r="H83" s="13"/>
      <c r="I83" s="13"/>
      <c r="J83" s="13"/>
      <c r="K83" s="82" t="s">
        <v>143</v>
      </c>
      <c r="L83" s="205" t="s">
        <v>144</v>
      </c>
      <c r="M83" s="202"/>
      <c r="N83" s="203"/>
      <c r="O83" s="1"/>
      <c r="Q83" s="164"/>
      <c r="V83" s="9" t="s">
        <v>145</v>
      </c>
      <c r="W83" s="9"/>
      <c r="X83" s="9"/>
      <c r="Y83" s="9"/>
      <c r="Z83" s="9"/>
      <c r="AA83" s="9"/>
      <c r="AB83" s="9"/>
      <c r="AC83" s="9"/>
      <c r="AD83" s="206"/>
    </row>
    <row r="84" spans="1:30" ht="18.75" customHeight="1" thickBot="1" x14ac:dyDescent="0.3">
      <c r="B84" s="13" t="s">
        <v>146</v>
      </c>
      <c r="C84" s="13"/>
      <c r="D84" s="13"/>
      <c r="E84" s="13"/>
      <c r="F84" s="13"/>
      <c r="G84" s="13"/>
      <c r="H84" s="13"/>
      <c r="I84" s="13"/>
      <c r="J84" s="13"/>
      <c r="K84" s="207" t="str">
        <f>IF(G26=0,"",IF((G11+G13+SUM(G15:G21))/G26&gt;0.75,1,""))</f>
        <v/>
      </c>
      <c r="L84" s="201">
        <f>'3971'!AC81</f>
        <v>108842</v>
      </c>
      <c r="M84" s="202"/>
      <c r="N84" s="203"/>
      <c r="O84" s="1"/>
      <c r="Q84" s="164"/>
      <c r="V84" s="208" t="s">
        <v>147</v>
      </c>
      <c r="W84" s="208"/>
      <c r="X84" s="208"/>
      <c r="Y84" s="208"/>
      <c r="Z84" s="208"/>
      <c r="AA84" s="208"/>
      <c r="AB84" s="208"/>
      <c r="AC84" s="208"/>
      <c r="AD84" s="9"/>
    </row>
    <row r="85" spans="1:30" ht="18.75" customHeight="1" thickTop="1" x14ac:dyDescent="0.25">
      <c r="B85" s="13"/>
      <c r="C85" s="13"/>
      <c r="D85" s="13"/>
      <c r="E85" s="13"/>
      <c r="F85" s="13"/>
      <c r="G85" s="13"/>
      <c r="H85" s="13"/>
      <c r="I85" s="13"/>
      <c r="J85" s="13"/>
      <c r="M85" s="202"/>
      <c r="N85" s="203"/>
      <c r="O85" s="1"/>
      <c r="Q85" s="164"/>
      <c r="V85" s="208" t="s">
        <v>148</v>
      </c>
      <c r="W85" s="208"/>
      <c r="X85" s="208"/>
      <c r="Y85" s="208"/>
      <c r="Z85" s="208"/>
      <c r="AA85" s="208"/>
      <c r="AB85" s="208"/>
      <c r="AC85" s="208"/>
      <c r="AD85" s="206"/>
    </row>
    <row r="86" spans="1:30" ht="18.75" customHeight="1" x14ac:dyDescent="0.25">
      <c r="B86" s="2" t="s">
        <v>149</v>
      </c>
      <c r="C86" s="13"/>
      <c r="D86" s="13"/>
      <c r="E86" s="13"/>
      <c r="F86" s="13"/>
      <c r="G86" s="13"/>
      <c r="H86" s="13"/>
      <c r="I86" s="13"/>
      <c r="J86" s="209" t="s">
        <v>150</v>
      </c>
      <c r="K86" s="210">
        <f>IF(K84=1,L84,L82)</f>
        <v>3147066</v>
      </c>
      <c r="L86" s="211">
        <f>IF(G26=0,0,IF(G26&gt;250,-(((250/G26)*K86)*IF(M86="H",0.02,0.05)),IF(M86="H",-0.02*K86,-0.05*K86)))</f>
        <v>-77549.086285410129</v>
      </c>
      <c r="M86" s="212" t="str">
        <f>IF(B123="2801","H",IF(B123="2911","H",IF(B123="3382","H"," ")))</f>
        <v xml:space="preserve"> </v>
      </c>
      <c r="N86" s="203"/>
      <c r="O86" s="1"/>
      <c r="Q86" s="164"/>
      <c r="V86" s="208" t="s">
        <v>151</v>
      </c>
      <c r="W86" s="208"/>
      <c r="X86" s="208"/>
      <c r="Y86" s="208"/>
      <c r="Z86" s="208"/>
      <c r="AA86" s="208"/>
      <c r="AB86" s="208"/>
      <c r="AC86" s="208"/>
      <c r="AD86" s="206"/>
    </row>
    <row r="87" spans="1:30" ht="18.75" customHeight="1" x14ac:dyDescent="0.25">
      <c r="B87" s="2" t="s">
        <v>152</v>
      </c>
      <c r="C87" s="13"/>
      <c r="D87" s="13"/>
      <c r="E87" s="13"/>
      <c r="F87" s="13"/>
      <c r="G87" s="13"/>
      <c r="H87" s="13"/>
      <c r="I87" s="13"/>
      <c r="J87" s="13"/>
      <c r="K87" s="213"/>
      <c r="L87" s="205">
        <f>L82+L86</f>
        <v>3069516.91371459</v>
      </c>
      <c r="M87" s="202"/>
      <c r="N87" s="203"/>
      <c r="O87" s="1"/>
      <c r="Q87" s="164"/>
      <c r="V87" s="198"/>
      <c r="W87" s="198"/>
      <c r="X87" s="198"/>
      <c r="Y87" s="198"/>
      <c r="Z87" s="198"/>
      <c r="AA87" s="198"/>
      <c r="AB87" s="198"/>
      <c r="AC87" s="198"/>
      <c r="AD87" s="214"/>
    </row>
    <row r="88" spans="1:30" x14ac:dyDescent="0.25">
      <c r="V88" s="198"/>
      <c r="W88" s="198"/>
      <c r="X88" s="198"/>
      <c r="Y88" s="198"/>
      <c r="Z88" s="198"/>
      <c r="AA88" s="198"/>
      <c r="AB88" s="198"/>
      <c r="AC88" s="198"/>
      <c r="AD88" s="215"/>
    </row>
    <row r="89" spans="1:30" ht="18.75" customHeight="1" x14ac:dyDescent="0.25">
      <c r="A89" s="1" t="s">
        <v>153</v>
      </c>
      <c r="B89" s="13" t="s">
        <v>154</v>
      </c>
      <c r="C89" s="13"/>
      <c r="D89" s="13">
        <v>1330538</v>
      </c>
      <c r="E89" s="13">
        <v>290530</v>
      </c>
      <c r="F89" s="13">
        <v>2492588</v>
      </c>
      <c r="G89" s="13"/>
      <c r="H89" s="13"/>
      <c r="I89" s="13"/>
      <c r="J89" s="13"/>
      <c r="K89" s="213"/>
      <c r="L89" s="84">
        <f>-F89-293264</f>
        <v>-2785852</v>
      </c>
      <c r="M89" s="202"/>
      <c r="N89" s="203"/>
      <c r="O89" s="1"/>
      <c r="Q89" s="164"/>
      <c r="V89" s="198">
        <v>2801</v>
      </c>
      <c r="W89" s="198"/>
      <c r="X89" s="198"/>
      <c r="Y89" s="198"/>
      <c r="Z89" s="198"/>
      <c r="AA89" s="198"/>
      <c r="AB89" s="198"/>
      <c r="AC89" s="198"/>
      <c r="AD89" s="214"/>
    </row>
    <row r="90" spans="1:30" ht="18.75" customHeight="1" x14ac:dyDescent="0.25">
      <c r="B90" s="13" t="s">
        <v>155</v>
      </c>
      <c r="C90" s="13"/>
      <c r="D90" s="13"/>
      <c r="E90" s="13"/>
      <c r="F90" s="13"/>
      <c r="G90" s="13"/>
      <c r="H90" s="13"/>
      <c r="I90" s="13"/>
      <c r="J90" s="13"/>
      <c r="K90" s="213"/>
      <c r="L90" s="205">
        <f>L87+L89</f>
        <v>283664.91371459002</v>
      </c>
      <c r="M90" s="202"/>
      <c r="N90" s="203"/>
      <c r="O90" s="1"/>
      <c r="Q90" s="164"/>
      <c r="V90" s="198">
        <v>2911</v>
      </c>
      <c r="W90" s="216"/>
      <c r="X90" s="216"/>
      <c r="Y90" s="216"/>
      <c r="Z90" s="216"/>
      <c r="AA90" s="216"/>
      <c r="AB90" s="216"/>
      <c r="AC90" s="216"/>
      <c r="AD90" s="214"/>
    </row>
    <row r="91" spans="1:30" ht="18.75" customHeight="1" x14ac:dyDescent="0.25">
      <c r="B91" s="13" t="s">
        <v>156</v>
      </c>
      <c r="C91" s="13"/>
      <c r="D91" s="13"/>
      <c r="E91" s="13"/>
      <c r="F91" s="13"/>
      <c r="G91" s="13"/>
      <c r="H91" s="13"/>
      <c r="I91" s="13"/>
      <c r="J91" s="13"/>
      <c r="K91" s="213"/>
      <c r="L91" s="205">
        <v>1</v>
      </c>
      <c r="M91" s="202"/>
      <c r="N91" s="203"/>
      <c r="O91" s="1"/>
      <c r="Q91" s="164"/>
      <c r="V91" s="198">
        <v>3382</v>
      </c>
      <c r="W91" s="216"/>
      <c r="X91" s="216"/>
      <c r="Y91" s="216"/>
      <c r="Z91" s="216"/>
      <c r="AA91" s="216"/>
      <c r="AB91" s="216"/>
      <c r="AC91" s="216"/>
      <c r="AD91" s="214"/>
    </row>
    <row r="92" spans="1:30" ht="18.75" customHeight="1" thickBot="1" x14ac:dyDescent="0.3">
      <c r="B92" s="13" t="s">
        <v>157</v>
      </c>
      <c r="C92" s="13"/>
      <c r="D92" s="13"/>
      <c r="E92" s="13"/>
      <c r="F92" s="13"/>
      <c r="G92" s="13"/>
      <c r="H92" s="13"/>
      <c r="I92" s="13"/>
      <c r="J92" s="13"/>
      <c r="K92" s="213"/>
      <c r="L92" s="217">
        <f>L90/L91</f>
        <v>283664.91371459002</v>
      </c>
      <c r="M92" s="202"/>
      <c r="N92" s="203"/>
      <c r="O92" s="1"/>
      <c r="Q92" s="164"/>
      <c r="V92" s="218"/>
      <c r="W92" s="218"/>
      <c r="X92" s="218"/>
      <c r="Y92" s="218"/>
      <c r="Z92" s="218"/>
      <c r="AA92" s="218"/>
      <c r="AB92" s="218"/>
      <c r="AC92" s="218"/>
      <c r="AD92" s="219"/>
    </row>
    <row r="93" spans="1:30" ht="18.75" customHeight="1" thickTop="1" x14ac:dyDescent="0.25">
      <c r="N93" s="219"/>
      <c r="O93" s="220"/>
      <c r="P93" s="219"/>
      <c r="Q93" s="219"/>
      <c r="V93" s="218"/>
      <c r="W93" s="218"/>
      <c r="X93" s="218"/>
      <c r="Y93" s="218"/>
      <c r="Z93" s="218"/>
      <c r="AA93" s="218"/>
      <c r="AB93" s="218"/>
      <c r="AC93" s="218"/>
      <c r="AD93" s="214"/>
    </row>
    <row r="94" spans="1:30" ht="18.75" customHeight="1" thickBot="1" x14ac:dyDescent="0.3">
      <c r="B94" s="221" t="s">
        <v>158</v>
      </c>
      <c r="C94" s="13"/>
      <c r="D94" s="13"/>
      <c r="E94" s="13"/>
      <c r="G94" s="13"/>
      <c r="H94" s="13"/>
      <c r="I94" s="13"/>
      <c r="J94" s="13"/>
      <c r="L94" s="222">
        <f>IF(M86="H",(K86*0.02)+L86,(K86*0.05)+L86)</f>
        <v>79804.213714589889</v>
      </c>
      <c r="M94" s="202"/>
      <c r="V94" s="223"/>
      <c r="W94" s="223"/>
      <c r="X94" s="223"/>
      <c r="Y94" s="223"/>
      <c r="Z94" s="223"/>
      <c r="AA94" s="223"/>
      <c r="AB94" s="223"/>
      <c r="AC94" s="223"/>
      <c r="AD94" s="214"/>
    </row>
    <row r="95" spans="1:30" ht="21.75" customHeight="1" thickTop="1" x14ac:dyDescent="0.25">
      <c r="B95" s="224" t="s">
        <v>159</v>
      </c>
      <c r="C95" s="224"/>
      <c r="D95" s="224"/>
      <c r="E95" s="224"/>
      <c r="F95" s="224"/>
      <c r="G95" s="224"/>
      <c r="H95" s="224"/>
      <c r="I95" s="224"/>
      <c r="J95" s="224"/>
      <c r="K95" s="224"/>
      <c r="L95" s="224"/>
      <c r="M95" s="219"/>
      <c r="V95" s="223"/>
      <c r="W95" s="223"/>
      <c r="X95" s="223"/>
      <c r="Y95" s="223"/>
      <c r="Z95" s="223"/>
      <c r="AA95" s="223"/>
      <c r="AB95" s="223"/>
      <c r="AC95" s="223"/>
      <c r="AD95" s="214"/>
    </row>
    <row r="96" spans="1:30" x14ac:dyDescent="0.25">
      <c r="B96" s="225"/>
      <c r="V96" s="223"/>
      <c r="W96" s="223"/>
      <c r="X96" s="223"/>
      <c r="Y96" s="223"/>
      <c r="Z96" s="223"/>
      <c r="AA96" s="223"/>
      <c r="AB96" s="223"/>
      <c r="AC96" s="223"/>
      <c r="AD96" s="219"/>
    </row>
    <row r="97" spans="2:30" x14ac:dyDescent="0.25">
      <c r="B97" s="225"/>
      <c r="V97" s="223"/>
      <c r="W97" s="223"/>
      <c r="X97" s="223"/>
      <c r="Y97" s="223"/>
      <c r="Z97" s="223"/>
      <c r="AA97" s="223"/>
      <c r="AB97" s="223"/>
      <c r="AC97" s="223"/>
      <c r="AD97" s="219"/>
    </row>
    <row r="98" spans="2:30" hidden="1" x14ac:dyDescent="0.25">
      <c r="B98" s="226" t="s">
        <v>160</v>
      </c>
      <c r="C98" s="227"/>
      <c r="V98" s="228"/>
      <c r="W98" s="228"/>
      <c r="X98" s="228"/>
      <c r="Y98" s="228"/>
      <c r="Z98" s="228"/>
      <c r="AA98" s="228"/>
      <c r="AB98" s="228"/>
      <c r="AC98" s="228"/>
    </row>
    <row r="99" spans="2:30" hidden="1" x14ac:dyDescent="0.25">
      <c r="B99" s="229"/>
      <c r="C99" s="227"/>
      <c r="V99" s="225"/>
      <c r="W99" s="13"/>
      <c r="X99" s="13"/>
      <c r="Y99" s="13"/>
      <c r="Z99" s="13"/>
      <c r="AA99" s="13"/>
      <c r="AB99" s="13"/>
      <c r="AC99" s="13"/>
    </row>
    <row r="100" spans="2:30" hidden="1" x14ac:dyDescent="0.25">
      <c r="B100" s="230" t="s">
        <v>161</v>
      </c>
      <c r="C100" s="226" t="s">
        <v>162</v>
      </c>
      <c r="V100" s="225"/>
    </row>
    <row r="101" spans="2:30" hidden="1" x14ac:dyDescent="0.25">
      <c r="B101" s="230" t="s">
        <v>163</v>
      </c>
      <c r="C101" s="226" t="s">
        <v>164</v>
      </c>
      <c r="V101" s="225"/>
    </row>
    <row r="102" spans="2:30" hidden="1" x14ac:dyDescent="0.25">
      <c r="B102" s="230" t="s">
        <v>165</v>
      </c>
      <c r="C102" s="226" t="s">
        <v>166</v>
      </c>
      <c r="V102" s="225"/>
      <c r="W102" s="231"/>
      <c r="X102" s="231"/>
      <c r="Y102" s="231"/>
      <c r="Z102" s="231"/>
      <c r="AA102" s="231"/>
      <c r="AB102" s="231"/>
      <c r="AC102" s="231"/>
      <c r="AD102" s="231"/>
    </row>
    <row r="103" spans="2:30" hidden="1" x14ac:dyDescent="0.25">
      <c r="B103" s="230" t="s">
        <v>167</v>
      </c>
      <c r="C103" s="226" t="s">
        <v>168</v>
      </c>
      <c r="V103" s="225"/>
    </row>
    <row r="104" spans="2:30" hidden="1" x14ac:dyDescent="0.25">
      <c r="B104" s="232"/>
      <c r="C104" s="226" t="s">
        <v>169</v>
      </c>
      <c r="V104" s="225"/>
    </row>
    <row r="105" spans="2:30" hidden="1" x14ac:dyDescent="0.25">
      <c r="B105" s="230" t="s">
        <v>170</v>
      </c>
      <c r="C105" s="226" t="s">
        <v>171</v>
      </c>
      <c r="V105" s="225"/>
    </row>
    <row r="106" spans="2:30" hidden="1" x14ac:dyDescent="0.25">
      <c r="B106" s="230" t="s">
        <v>172</v>
      </c>
      <c r="C106" s="226" t="s">
        <v>173</v>
      </c>
      <c r="V106" s="225"/>
    </row>
    <row r="107" spans="2:30" hidden="1" x14ac:dyDescent="0.25">
      <c r="B107" s="230" t="s">
        <v>318</v>
      </c>
      <c r="C107" s="226" t="s">
        <v>175</v>
      </c>
      <c r="V107" s="225"/>
    </row>
    <row r="108" spans="2:30" hidden="1" x14ac:dyDescent="0.25">
      <c r="B108" s="230" t="s">
        <v>176</v>
      </c>
      <c r="C108" s="226" t="s">
        <v>177</v>
      </c>
      <c r="V108" s="225"/>
    </row>
    <row r="109" spans="2:30" hidden="1" x14ac:dyDescent="0.25">
      <c r="B109" s="230" t="s">
        <v>178</v>
      </c>
      <c r="C109" s="226" t="s">
        <v>179</v>
      </c>
      <c r="V109" s="225"/>
    </row>
    <row r="110" spans="2:30" hidden="1" x14ac:dyDescent="0.25">
      <c r="B110" s="232"/>
      <c r="C110" s="226"/>
      <c r="V110" s="225"/>
    </row>
    <row r="111" spans="2:30" hidden="1" x14ac:dyDescent="0.25">
      <c r="B111" s="230" t="s">
        <v>180</v>
      </c>
      <c r="C111" s="226" t="s">
        <v>181</v>
      </c>
      <c r="V111" s="225"/>
    </row>
    <row r="112" spans="2:30" hidden="1" x14ac:dyDescent="0.25">
      <c r="B112" s="230" t="s">
        <v>180</v>
      </c>
      <c r="C112" s="226" t="s">
        <v>182</v>
      </c>
    </row>
    <row r="113" spans="2:3" hidden="1" x14ac:dyDescent="0.25">
      <c r="B113" s="230" t="s">
        <v>183</v>
      </c>
      <c r="C113" s="226" t="s">
        <v>184</v>
      </c>
    </row>
    <row r="114" spans="2:3" hidden="1" x14ac:dyDescent="0.25">
      <c r="B114" s="230" t="s">
        <v>185</v>
      </c>
      <c r="C114" s="226" t="s">
        <v>186</v>
      </c>
    </row>
    <row r="115" spans="2:3" hidden="1" x14ac:dyDescent="0.25">
      <c r="B115" s="230" t="s">
        <v>183</v>
      </c>
      <c r="C115" s="226" t="s">
        <v>187</v>
      </c>
    </row>
    <row r="116" spans="2:3" hidden="1" x14ac:dyDescent="0.25">
      <c r="B116" s="230" t="s">
        <v>188</v>
      </c>
      <c r="C116" s="226" t="s">
        <v>189</v>
      </c>
    </row>
    <row r="117" spans="2:3" hidden="1" x14ac:dyDescent="0.25">
      <c r="B117" s="230" t="s">
        <v>190</v>
      </c>
      <c r="C117" s="226" t="s">
        <v>191</v>
      </c>
    </row>
    <row r="118" spans="2:3" hidden="1" x14ac:dyDescent="0.25">
      <c r="B118" s="232" t="s">
        <v>192</v>
      </c>
      <c r="C118" s="226" t="s">
        <v>193</v>
      </c>
    </row>
    <row r="119" spans="2:3" hidden="1" x14ac:dyDescent="0.25">
      <c r="B119" s="232"/>
      <c r="C119" s="226"/>
    </row>
    <row r="120" spans="2:3" hidden="1" x14ac:dyDescent="0.25">
      <c r="B120" s="230" t="s">
        <v>161</v>
      </c>
      <c r="C120" s="226" t="s">
        <v>194</v>
      </c>
    </row>
    <row r="121" spans="2:3" hidden="1" x14ac:dyDescent="0.25">
      <c r="B121" s="230" t="s">
        <v>195</v>
      </c>
      <c r="C121" s="226" t="s">
        <v>196</v>
      </c>
    </row>
    <row r="122" spans="2:3" hidden="1" x14ac:dyDescent="0.25">
      <c r="B122" s="230" t="s">
        <v>197</v>
      </c>
      <c r="C122" s="226" t="s">
        <v>198</v>
      </c>
    </row>
    <row r="123" spans="2:3" hidden="1" x14ac:dyDescent="0.25">
      <c r="B123" s="230" t="s">
        <v>319</v>
      </c>
      <c r="C123" s="226" t="s">
        <v>200</v>
      </c>
    </row>
    <row r="124" spans="2:3" hidden="1" x14ac:dyDescent="0.25">
      <c r="B124" s="230" t="s">
        <v>320</v>
      </c>
      <c r="C124" s="226" t="s">
        <v>202</v>
      </c>
    </row>
    <row r="125" spans="2:3" hidden="1" x14ac:dyDescent="0.25">
      <c r="B125" s="230" t="s">
        <v>203</v>
      </c>
      <c r="C125" s="226" t="s">
        <v>204</v>
      </c>
    </row>
    <row r="126" spans="2:3" hidden="1" x14ac:dyDescent="0.25">
      <c r="B126" s="230" t="s">
        <v>203</v>
      </c>
      <c r="C126" s="226" t="s">
        <v>205</v>
      </c>
    </row>
    <row r="127" spans="2:3" hidden="1" x14ac:dyDescent="0.25">
      <c r="B127" s="230" t="s">
        <v>203</v>
      </c>
      <c r="C127" s="226" t="s">
        <v>206</v>
      </c>
    </row>
    <row r="128" spans="2:3" hidden="1" x14ac:dyDescent="0.25">
      <c r="B128" s="230" t="s">
        <v>203</v>
      </c>
      <c r="C128" s="226" t="s">
        <v>207</v>
      </c>
    </row>
    <row r="129" spans="2:3" hidden="1" x14ac:dyDescent="0.25">
      <c r="B129" s="230" t="s">
        <v>167</v>
      </c>
      <c r="C129" s="226" t="s">
        <v>208</v>
      </c>
    </row>
    <row r="130" spans="2:3" hidden="1" x14ac:dyDescent="0.25">
      <c r="B130" s="230" t="s">
        <v>209</v>
      </c>
      <c r="C130" s="226" t="s">
        <v>210</v>
      </c>
    </row>
    <row r="131" spans="2:3" hidden="1" x14ac:dyDescent="0.25">
      <c r="B131" s="230" t="s">
        <v>203</v>
      </c>
      <c r="C131" s="226" t="s">
        <v>211</v>
      </c>
    </row>
    <row r="132" spans="2:3" hidden="1" x14ac:dyDescent="0.25">
      <c r="B132" s="226"/>
      <c r="C132" s="226"/>
    </row>
    <row r="133" spans="2:3" hidden="1" x14ac:dyDescent="0.25">
      <c r="B133" s="226"/>
      <c r="C133" s="226"/>
    </row>
    <row r="134" spans="2:3" hidden="1" x14ac:dyDescent="0.25">
      <c r="B134" s="232"/>
      <c r="C134" s="232"/>
    </row>
    <row r="135" spans="2:3" hidden="1" x14ac:dyDescent="0.25">
      <c r="B135" s="232">
        <f>NvsElapsedTime</f>
        <v>1.15740767796524E-5</v>
      </c>
      <c r="C135" s="232"/>
    </row>
    <row r="136" spans="2:3" hidden="1" x14ac:dyDescent="0.25">
      <c r="B136" s="233">
        <f>NvsEndTime</f>
        <v>41754.488113425898</v>
      </c>
      <c r="C136" s="233" t="s">
        <v>212</v>
      </c>
    </row>
    <row r="137" spans="2:3" x14ac:dyDescent="0.25">
      <c r="B137" s="226"/>
      <c r="C137" s="234"/>
    </row>
    <row r="138" spans="2:3" x14ac:dyDescent="0.25">
      <c r="B138" s="226"/>
      <c r="C138" s="226"/>
    </row>
    <row r="139" spans="2:3" x14ac:dyDescent="0.25">
      <c r="B139" s="226"/>
      <c r="C139" s="226"/>
    </row>
    <row r="140" spans="2:3" x14ac:dyDescent="0.25">
      <c r="B140" s="226"/>
      <c r="C140" s="226"/>
    </row>
    <row r="141" spans="2:3" x14ac:dyDescent="0.25">
      <c r="B141" s="226"/>
      <c r="C141" s="226"/>
    </row>
    <row r="142" spans="2:3" x14ac:dyDescent="0.25">
      <c r="B142" s="226"/>
      <c r="C142" s="226"/>
    </row>
    <row r="143" spans="2:3" x14ac:dyDescent="0.25">
      <c r="B143" s="226"/>
      <c r="C143" s="226"/>
    </row>
    <row r="144" spans="2:3" x14ac:dyDescent="0.25">
      <c r="B144" s="226"/>
      <c r="C144" s="226"/>
    </row>
    <row r="145" spans="2:3" x14ac:dyDescent="0.25">
      <c r="B145" s="226"/>
      <c r="C145" s="226"/>
    </row>
    <row r="146" spans="2:3" x14ac:dyDescent="0.25">
      <c r="B146" s="226"/>
      <c r="C146" s="226"/>
    </row>
    <row r="147" spans="2:3" x14ac:dyDescent="0.25">
      <c r="B147" s="226"/>
      <c r="C147" s="226"/>
    </row>
    <row r="148" spans="2:3" x14ac:dyDescent="0.25">
      <c r="B148" s="226"/>
      <c r="C148" s="226"/>
    </row>
    <row r="149" spans="2:3" x14ac:dyDescent="0.25">
      <c r="B149" s="226"/>
      <c r="C149" s="226"/>
    </row>
    <row r="150" spans="2:3" x14ac:dyDescent="0.25">
      <c r="B150" s="226"/>
      <c r="C150" s="226"/>
    </row>
    <row r="151" spans="2:3" x14ac:dyDescent="0.25">
      <c r="B151" s="226"/>
      <c r="C151" s="226"/>
    </row>
  </sheetData>
  <mergeCells count="151">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9:W9"/>
    <mergeCell ref="X9:Y9"/>
    <mergeCell ref="Z9:AA9"/>
    <mergeCell ref="V10:W10"/>
    <mergeCell ref="X10:Y10"/>
    <mergeCell ref="Z10:AA10"/>
    <mergeCell ref="V7:W7"/>
    <mergeCell ref="X7:Y7"/>
    <mergeCell ref="Z7:AA7"/>
    <mergeCell ref="AB7:AC7"/>
    <mergeCell ref="V8:W8"/>
    <mergeCell ref="X8:Y8"/>
    <mergeCell ref="Z8:AA8"/>
    <mergeCell ref="W2:AC2"/>
    <mergeCell ref="V3:AC3"/>
    <mergeCell ref="V4:AC4"/>
    <mergeCell ref="V5:W5"/>
    <mergeCell ref="X5:Y5"/>
    <mergeCell ref="V6:AC6"/>
  </mergeCells>
  <printOptions horizontalCentered="1"/>
  <pageMargins left="0" right="0" top="0.67" bottom="0.2" header="0.25" footer="0.196850393700787"/>
  <pageSetup scale="83" fitToWidth="2" fitToHeight="2" orientation="portrait" r:id="rId1"/>
  <headerFooter alignWithMargins="0">
    <oddHeader>&amp;L&amp;8&amp;F
&amp;D &amp;T</oddHeader>
    <oddFooter>&amp;C&amp;P</oddFooter>
  </headerFooter>
  <rowBreaks count="1" manualBreakCount="1">
    <brk id="51" max="16383" man="1"/>
  </rowBreaks>
  <legacyDrawing r:id="rId2"/>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pageSetUpPr fitToPage="1"/>
  </sheetPr>
  <dimension ref="A1:AD151"/>
  <sheetViews>
    <sheetView topLeftCell="B2" zoomScale="70" zoomScaleNormal="70" workbookViewId="0">
      <selection activeCell="B2" sqref="B2"/>
    </sheetView>
  </sheetViews>
  <sheetFormatPr defaultColWidth="8.85546875" defaultRowHeight="15.75" x14ac:dyDescent="0.25"/>
  <cols>
    <col min="1" max="1" width="11.28515625" style="1" hidden="1" customWidth="1"/>
    <col min="2" max="2" width="10.28515625" style="2" customWidth="1"/>
    <col min="3" max="3" width="29" style="1" customWidth="1"/>
    <col min="4" max="5" width="12.28515625" style="1" customWidth="1"/>
    <col min="6" max="6" width="12.28515625" style="1" hidden="1" customWidth="1"/>
    <col min="7" max="7" width="16.140625" style="1" customWidth="1"/>
    <col min="8" max="8" width="6.7109375" style="1" customWidth="1"/>
    <col min="9" max="9" width="14.28515625" style="1" customWidth="1"/>
    <col min="10" max="10" width="12.85546875" style="1" customWidth="1"/>
    <col min="11" max="11" width="16.140625" style="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28515625" style="1" customWidth="1"/>
    <col min="18" max="18" width="8.85546875" style="1"/>
    <col min="19" max="21" width="0" style="1" hidden="1" customWidth="1"/>
    <col min="22" max="23" width="8.85546875" style="1"/>
    <col min="24" max="24" width="12.7109375" style="1" customWidth="1"/>
    <col min="25" max="27" width="8.85546875" style="1"/>
    <col min="28" max="28" width="13.140625" style="1" bestFit="1" customWidth="1"/>
    <col min="29" max="16384" width="8.85546875" style="1"/>
  </cols>
  <sheetData>
    <row r="1" spans="1:30" ht="15.6"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7"/>
      <c r="N2" s="3"/>
      <c r="O2" s="1"/>
      <c r="V2" s="8">
        <f>'4000'!B2</f>
        <v>50</v>
      </c>
      <c r="W2" s="606" t="s">
        <v>4</v>
      </c>
      <c r="X2" s="607"/>
      <c r="Y2" s="608"/>
      <c r="Z2" s="608"/>
      <c r="AA2" s="608"/>
      <c r="AB2" s="608"/>
      <c r="AC2" s="608"/>
      <c r="AD2" s="9"/>
    </row>
    <row r="3" spans="1:30" ht="20.25" x14ac:dyDescent="0.3">
      <c r="B3" s="10" t="str">
        <f>"Revenue Estimate Worksheet for "&amp;B124</f>
        <v>Revenue Estimate Worksheet for Renaissance Cht SchPalmsWest</v>
      </c>
      <c r="C3" s="11"/>
      <c r="D3" s="11"/>
      <c r="E3" s="11"/>
      <c r="F3" s="11"/>
      <c r="G3" s="11"/>
      <c r="H3" s="11"/>
      <c r="I3" s="11"/>
      <c r="J3" s="11"/>
      <c r="K3" s="11"/>
      <c r="L3" s="11"/>
      <c r="M3" s="10"/>
      <c r="N3" s="10"/>
      <c r="O3" s="10"/>
      <c r="P3" s="10"/>
      <c r="Q3" s="10"/>
      <c r="V3" s="609" t="s">
        <v>5</v>
      </c>
      <c r="W3" s="609"/>
      <c r="X3" s="609"/>
      <c r="Y3" s="609"/>
      <c r="Z3" s="609"/>
      <c r="AA3" s="609"/>
      <c r="AB3" s="609"/>
      <c r="AC3" s="609"/>
      <c r="AD3" s="12"/>
    </row>
    <row r="4" spans="1:30" ht="18.75" x14ac:dyDescent="0.3">
      <c r="B4" s="2" t="s">
        <v>6</v>
      </c>
      <c r="C4" s="13"/>
      <c r="D4" s="13"/>
      <c r="E4" s="13"/>
      <c r="F4" s="13"/>
      <c r="G4" s="13"/>
      <c r="H4" s="13"/>
      <c r="I4" s="13"/>
      <c r="J4" s="13"/>
      <c r="K4" s="13"/>
      <c r="L4" s="13"/>
      <c r="M4" s="14"/>
      <c r="N4" s="14"/>
      <c r="O4" s="14"/>
      <c r="P4" s="14"/>
      <c r="Q4" s="14"/>
      <c r="V4" s="610" t="str">
        <f>+Based_on_the_Second_Calculation_of_the_FEFP_2010_11</f>
        <v>Based on the Fourth Calculation of the FEFP 2013-14</v>
      </c>
      <c r="W4" s="610"/>
      <c r="X4" s="610"/>
      <c r="Y4" s="610"/>
      <c r="Z4" s="610"/>
      <c r="AA4" s="610"/>
      <c r="AB4" s="610"/>
      <c r="AC4" s="610"/>
      <c r="AD4" s="15"/>
    </row>
    <row r="5" spans="1:30" ht="18.75" customHeight="1" x14ac:dyDescent="0.25">
      <c r="B5" s="16" t="s">
        <v>7</v>
      </c>
      <c r="C5" s="16"/>
      <c r="D5" s="16"/>
      <c r="E5" s="16"/>
      <c r="F5" s="16"/>
      <c r="G5" s="17" t="s">
        <v>8</v>
      </c>
      <c r="H5" s="17"/>
      <c r="I5" s="17"/>
      <c r="J5" s="17"/>
      <c r="K5" s="17"/>
      <c r="L5" s="17"/>
      <c r="M5" s="18"/>
      <c r="N5" s="18"/>
      <c r="O5" s="18"/>
      <c r="P5" s="18"/>
      <c r="Q5" s="18"/>
      <c r="V5" s="611" t="s">
        <v>7</v>
      </c>
      <c r="W5" s="611"/>
      <c r="X5" s="612" t="s">
        <v>8</v>
      </c>
      <c r="Y5" s="612"/>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613" t="s">
        <v>9</v>
      </c>
      <c r="W6" s="613"/>
      <c r="X6" s="613"/>
      <c r="Y6" s="613"/>
      <c r="Z6" s="613"/>
      <c r="AA6" s="613"/>
      <c r="AB6" s="613"/>
      <c r="AC6" s="613"/>
      <c r="AD6" s="22"/>
    </row>
    <row r="7" spans="1:30" ht="18" customHeight="1" x14ac:dyDescent="0.25">
      <c r="B7" s="23" t="s">
        <v>10</v>
      </c>
      <c r="C7" s="23"/>
      <c r="D7" s="23"/>
      <c r="E7" s="23"/>
      <c r="F7" s="23"/>
      <c r="G7" s="24">
        <v>3752.3</v>
      </c>
      <c r="H7" s="24"/>
      <c r="I7" s="23" t="s">
        <v>11</v>
      </c>
      <c r="J7" s="23"/>
      <c r="K7" s="25">
        <v>1.0326</v>
      </c>
      <c r="L7" s="25"/>
      <c r="O7" s="1"/>
      <c r="V7" s="620" t="s">
        <v>10</v>
      </c>
      <c r="W7" s="620"/>
      <c r="X7" s="621">
        <f>'4000'!G7</f>
        <v>3752.3</v>
      </c>
      <c r="Y7" s="621"/>
      <c r="Z7" s="622" t="s">
        <v>11</v>
      </c>
      <c r="AA7" s="622"/>
      <c r="AB7" s="602">
        <f>+K7</f>
        <v>1.0326</v>
      </c>
      <c r="AC7" s="602"/>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603" t="s">
        <v>12</v>
      </c>
      <c r="W8" s="603"/>
      <c r="X8" s="604" t="s">
        <v>15</v>
      </c>
      <c r="Y8" s="604"/>
      <c r="Z8" s="605" t="s">
        <v>16</v>
      </c>
      <c r="AA8" s="605"/>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614" t="s">
        <v>22</v>
      </c>
      <c r="W9" s="614"/>
      <c r="X9" s="615" t="s">
        <v>23</v>
      </c>
      <c r="Y9" s="615"/>
      <c r="Z9" s="616" t="s">
        <v>24</v>
      </c>
      <c r="AA9" s="616"/>
      <c r="AB9" s="43" t="s">
        <v>25</v>
      </c>
      <c r="AC9" s="44" t="s">
        <v>26</v>
      </c>
      <c r="AD9" s="9"/>
    </row>
    <row r="10" spans="1:30" x14ac:dyDescent="0.25">
      <c r="A10" s="1" t="s">
        <v>27</v>
      </c>
      <c r="B10" s="45" t="s">
        <v>28</v>
      </c>
      <c r="C10" s="45"/>
      <c r="D10" s="45">
        <v>176.44</v>
      </c>
      <c r="E10" s="45">
        <v>165.69</v>
      </c>
      <c r="F10" s="45">
        <v>228.55</v>
      </c>
      <c r="G10" s="46">
        <f>D10+E10</f>
        <v>342.13</v>
      </c>
      <c r="H10" s="47"/>
      <c r="I10" s="48">
        <v>1.125</v>
      </c>
      <c r="J10" s="48"/>
      <c r="K10" s="49">
        <f>ROUND(G10*I10,4)</f>
        <v>384.8963</v>
      </c>
      <c r="L10" s="50">
        <f>ROUND(ROUND(K10*$G$7,4)*($K$7),0)</f>
        <v>1491329</v>
      </c>
      <c r="N10" s="51">
        <v>5101</v>
      </c>
      <c r="O10" s="52">
        <v>101</v>
      </c>
      <c r="P10" s="53"/>
      <c r="Q10" s="54"/>
      <c r="V10" s="617" t="s">
        <v>28</v>
      </c>
      <c r="W10" s="617"/>
      <c r="X10" s="618">
        <f>IF('4000'!K$84=1,'4000'!G10,0)</f>
        <v>0</v>
      </c>
      <c r="Y10" s="618"/>
      <c r="Z10" s="619">
        <v>1</v>
      </c>
      <c r="AA10" s="619"/>
      <c r="AB10" s="55">
        <f t="shared" ref="AB10:AB25" si="0">ROUND(X10*Z10,4)</f>
        <v>0</v>
      </c>
      <c r="AC10" s="56">
        <f t="shared" ref="AC10:AC25" si="1">ROUND(ROUND(AB10*$X$7,4)*($AB$7),0)</f>
        <v>0</v>
      </c>
      <c r="AD10" s="9">
        <v>1</v>
      </c>
    </row>
    <row r="11" spans="1:30" x14ac:dyDescent="0.25">
      <c r="A11" s="1" t="s">
        <v>29</v>
      </c>
      <c r="B11" s="13" t="s">
        <v>30</v>
      </c>
      <c r="C11" s="13"/>
      <c r="D11" s="13">
        <v>25.62</v>
      </c>
      <c r="E11" s="13">
        <v>23.65</v>
      </c>
      <c r="F11" s="13">
        <v>34.76</v>
      </c>
      <c r="G11" s="46">
        <f t="shared" ref="G11:G25" si="2">D11+E11</f>
        <v>49.269999999999996</v>
      </c>
      <c r="H11" s="47"/>
      <c r="I11" s="57">
        <f>I10</f>
        <v>1.125</v>
      </c>
      <c r="J11" s="57"/>
      <c r="K11" s="49">
        <f t="shared" ref="K11:K25" si="3">ROUND(G11*I11,4)</f>
        <v>55.428800000000003</v>
      </c>
      <c r="L11" s="50">
        <f t="shared" ref="L11:L25" si="4">ROUND(ROUND(K11*$G$7,4)*($K$7),0)</f>
        <v>214766</v>
      </c>
      <c r="M11" s="1" t="str">
        <f>IF(ROUND(G11,2)=ROUND(SUM(G28:G30),2)," ","CHECK 2. PK-3 Lines Below")</f>
        <v xml:space="preserve"> </v>
      </c>
      <c r="N11" s="51">
        <v>5101</v>
      </c>
      <c r="O11" s="58" t="s">
        <v>31</v>
      </c>
      <c r="P11" s="53"/>
      <c r="Q11" s="54"/>
      <c r="V11" s="623" t="s">
        <v>30</v>
      </c>
      <c r="W11" s="623"/>
      <c r="X11" s="618">
        <f>IF('4000'!K$84=1,'4000'!G11,0)</f>
        <v>0</v>
      </c>
      <c r="Y11" s="618"/>
      <c r="Z11" s="624">
        <v>1</v>
      </c>
      <c r="AA11" s="624"/>
      <c r="AB11" s="55">
        <f t="shared" si="0"/>
        <v>0</v>
      </c>
      <c r="AC11" s="56">
        <f t="shared" si="1"/>
        <v>0</v>
      </c>
      <c r="AD11" s="9"/>
    </row>
    <row r="12" spans="1:30" x14ac:dyDescent="0.25">
      <c r="A12" s="1" t="s">
        <v>32</v>
      </c>
      <c r="B12" s="13" t="s">
        <v>33</v>
      </c>
      <c r="C12" s="13"/>
      <c r="D12" s="13">
        <v>110.44</v>
      </c>
      <c r="E12" s="13">
        <v>98.8</v>
      </c>
      <c r="F12" s="13">
        <v>142.32</v>
      </c>
      <c r="G12" s="46">
        <f t="shared" si="2"/>
        <v>209.24</v>
      </c>
      <c r="H12" s="47"/>
      <c r="I12" s="57">
        <v>1</v>
      </c>
      <c r="J12" s="57"/>
      <c r="K12" s="49">
        <f t="shared" si="3"/>
        <v>209.24</v>
      </c>
      <c r="L12" s="50">
        <f t="shared" si="4"/>
        <v>810727</v>
      </c>
      <c r="N12" s="51">
        <v>5102</v>
      </c>
      <c r="O12" s="52">
        <v>102</v>
      </c>
      <c r="P12" s="53"/>
      <c r="Q12" s="54"/>
      <c r="V12" s="623" t="s">
        <v>33</v>
      </c>
      <c r="W12" s="623"/>
      <c r="X12" s="618">
        <f>IF('4000'!K$84=1,'4000'!G12,0)</f>
        <v>0</v>
      </c>
      <c r="Y12" s="618"/>
      <c r="Z12" s="624">
        <v>1</v>
      </c>
      <c r="AA12" s="624"/>
      <c r="AB12" s="55">
        <f t="shared" si="0"/>
        <v>0</v>
      </c>
      <c r="AC12" s="56">
        <f t="shared" si="1"/>
        <v>0</v>
      </c>
      <c r="AD12" s="9"/>
    </row>
    <row r="13" spans="1:30" x14ac:dyDescent="0.25">
      <c r="A13" s="1" t="s">
        <v>34</v>
      </c>
      <c r="B13" s="13" t="s">
        <v>35</v>
      </c>
      <c r="C13" s="13"/>
      <c r="D13" s="13">
        <v>26.64</v>
      </c>
      <c r="E13" s="13">
        <v>26.39</v>
      </c>
      <c r="F13" s="13">
        <v>36.840000000000003</v>
      </c>
      <c r="G13" s="46">
        <f t="shared" si="2"/>
        <v>53.03</v>
      </c>
      <c r="H13" s="47"/>
      <c r="I13" s="57">
        <f>I12</f>
        <v>1</v>
      </c>
      <c r="J13" s="57"/>
      <c r="K13" s="49">
        <f t="shared" si="3"/>
        <v>53.03</v>
      </c>
      <c r="L13" s="50">
        <f t="shared" si="4"/>
        <v>205471</v>
      </c>
      <c r="M13" s="1" t="str">
        <f>IF(ROUND(G13,2)=ROUND(SUM(G31:G33),2)," ","CHECK 2. PK-3 Lines Below")</f>
        <v xml:space="preserve"> </v>
      </c>
      <c r="N13" s="51">
        <v>5102</v>
      </c>
      <c r="O13" s="58" t="s">
        <v>36</v>
      </c>
      <c r="P13" s="53"/>
      <c r="Q13" s="54"/>
      <c r="V13" s="623" t="s">
        <v>35</v>
      </c>
      <c r="W13" s="623"/>
      <c r="X13" s="618">
        <f>IF('4000'!K$84=1,'4000'!G13,0)</f>
        <v>0</v>
      </c>
      <c r="Y13" s="618"/>
      <c r="Z13" s="624">
        <v>1</v>
      </c>
      <c r="AA13" s="624"/>
      <c r="AB13" s="55">
        <f t="shared" si="0"/>
        <v>0</v>
      </c>
      <c r="AC13" s="56">
        <f t="shared" si="1"/>
        <v>0</v>
      </c>
      <c r="AD13" s="9"/>
    </row>
    <row r="14" spans="1:30" x14ac:dyDescent="0.25">
      <c r="A14" s="1" t="s">
        <v>37</v>
      </c>
      <c r="B14" s="13" t="s">
        <v>38</v>
      </c>
      <c r="C14" s="13"/>
      <c r="D14" s="13">
        <v>0</v>
      </c>
      <c r="E14" s="13">
        <v>0</v>
      </c>
      <c r="F14" s="13">
        <v>0</v>
      </c>
      <c r="G14" s="46">
        <f t="shared" si="2"/>
        <v>0</v>
      </c>
      <c r="H14" s="47"/>
      <c r="I14" s="57">
        <v>1.0109999999999999</v>
      </c>
      <c r="J14" s="57"/>
      <c r="K14" s="49">
        <f t="shared" si="3"/>
        <v>0</v>
      </c>
      <c r="L14" s="50">
        <f t="shared" si="4"/>
        <v>0</v>
      </c>
      <c r="N14" s="51">
        <v>5103</v>
      </c>
      <c r="O14" s="52">
        <v>103</v>
      </c>
      <c r="P14" s="53"/>
      <c r="Q14" s="54"/>
      <c r="V14" s="623" t="s">
        <v>38</v>
      </c>
      <c r="W14" s="623"/>
      <c r="X14" s="618">
        <f>IF('4000'!K$84=1,'4000'!G14,0)</f>
        <v>0</v>
      </c>
      <c r="Y14" s="618"/>
      <c r="Z14" s="624">
        <v>1</v>
      </c>
      <c r="AA14" s="624"/>
      <c r="AB14" s="55">
        <f t="shared" si="0"/>
        <v>0</v>
      </c>
      <c r="AC14" s="56">
        <f t="shared" si="1"/>
        <v>0</v>
      </c>
      <c r="AD14" s="9"/>
    </row>
    <row r="15" spans="1:30" x14ac:dyDescent="0.25">
      <c r="A15" s="1" t="s">
        <v>39</v>
      </c>
      <c r="B15" s="13" t="s">
        <v>40</v>
      </c>
      <c r="C15" s="13"/>
      <c r="D15" s="13">
        <v>0</v>
      </c>
      <c r="E15" s="13">
        <v>0</v>
      </c>
      <c r="F15" s="13">
        <v>0</v>
      </c>
      <c r="G15" s="46">
        <f t="shared" si="2"/>
        <v>0</v>
      </c>
      <c r="H15" s="47"/>
      <c r="I15" s="57">
        <f>I14</f>
        <v>1.0109999999999999</v>
      </c>
      <c r="J15" s="57"/>
      <c r="K15" s="49">
        <f t="shared" si="3"/>
        <v>0</v>
      </c>
      <c r="L15" s="59">
        <f t="shared" si="4"/>
        <v>0</v>
      </c>
      <c r="M15" s="1" t="str">
        <f>IF(ROUND(G15,2)=ROUND(SUM(G34:G36),2)," ","CHECK 2. PK-3 Lines Below")</f>
        <v xml:space="preserve"> </v>
      </c>
      <c r="N15" s="51">
        <v>5103</v>
      </c>
      <c r="O15" s="58" t="s">
        <v>41</v>
      </c>
      <c r="P15" s="53"/>
      <c r="Q15" s="54"/>
      <c r="V15" s="623" t="s">
        <v>40</v>
      </c>
      <c r="W15" s="623"/>
      <c r="X15" s="618">
        <f>IF('4000'!K$84=1,'4000'!G15,0)</f>
        <v>0</v>
      </c>
      <c r="Y15" s="618"/>
      <c r="Z15" s="624">
        <v>1</v>
      </c>
      <c r="AA15" s="624"/>
      <c r="AB15" s="55">
        <f t="shared" si="0"/>
        <v>0</v>
      </c>
      <c r="AC15" s="60">
        <f t="shared" si="1"/>
        <v>0</v>
      </c>
      <c r="AD15" s="9"/>
    </row>
    <row r="16" spans="1:30" x14ac:dyDescent="0.25">
      <c r="A16" s="1" t="s">
        <v>42</v>
      </c>
      <c r="B16" s="13" t="s">
        <v>43</v>
      </c>
      <c r="C16" s="13"/>
      <c r="D16" s="13">
        <v>0</v>
      </c>
      <c r="E16" s="13">
        <v>0</v>
      </c>
      <c r="F16" s="13">
        <v>0</v>
      </c>
      <c r="G16" s="46">
        <f t="shared" si="2"/>
        <v>0</v>
      </c>
      <c r="H16" s="47"/>
      <c r="I16" s="57">
        <v>3.5579999999999998</v>
      </c>
      <c r="J16" s="57"/>
      <c r="K16" s="49">
        <f t="shared" si="3"/>
        <v>0</v>
      </c>
      <c r="L16" s="50">
        <f t="shared" si="4"/>
        <v>0</v>
      </c>
      <c r="N16" s="51">
        <v>5101</v>
      </c>
      <c r="O16" s="53">
        <v>254</v>
      </c>
      <c r="P16" s="53"/>
      <c r="Q16" s="54"/>
      <c r="V16" s="623" t="s">
        <v>43</v>
      </c>
      <c r="W16" s="623"/>
      <c r="X16" s="618">
        <f>IF('4000'!K$84=1,'4000'!G16,0)</f>
        <v>0</v>
      </c>
      <c r="Y16" s="618"/>
      <c r="Z16" s="624">
        <v>1</v>
      </c>
      <c r="AA16" s="624"/>
      <c r="AB16" s="55">
        <f t="shared" si="0"/>
        <v>0</v>
      </c>
      <c r="AC16" s="56">
        <f t="shared" si="1"/>
        <v>0</v>
      </c>
      <c r="AD16" s="9"/>
    </row>
    <row r="17" spans="1:30" x14ac:dyDescent="0.25">
      <c r="A17" s="1" t="s">
        <v>44</v>
      </c>
      <c r="B17" s="13" t="s">
        <v>45</v>
      </c>
      <c r="C17" s="13"/>
      <c r="D17" s="13">
        <v>0</v>
      </c>
      <c r="E17" s="13">
        <v>0</v>
      </c>
      <c r="F17" s="13">
        <v>0</v>
      </c>
      <c r="G17" s="46">
        <f t="shared" si="2"/>
        <v>0</v>
      </c>
      <c r="H17" s="47"/>
      <c r="I17" s="57">
        <f>I16</f>
        <v>3.5579999999999998</v>
      </c>
      <c r="J17" s="57"/>
      <c r="K17" s="49">
        <f t="shared" si="3"/>
        <v>0</v>
      </c>
      <c r="L17" s="50">
        <f t="shared" si="4"/>
        <v>0</v>
      </c>
      <c r="N17" s="51">
        <v>5102</v>
      </c>
      <c r="O17" s="54">
        <v>254</v>
      </c>
      <c r="P17" s="53"/>
      <c r="Q17" s="54"/>
      <c r="V17" s="623" t="s">
        <v>45</v>
      </c>
      <c r="W17" s="623"/>
      <c r="X17" s="618">
        <f>IF('4000'!K$84=1,'4000'!G17,0)</f>
        <v>0</v>
      </c>
      <c r="Y17" s="618"/>
      <c r="Z17" s="624">
        <v>1</v>
      </c>
      <c r="AA17" s="624"/>
      <c r="AB17" s="55">
        <f t="shared" si="0"/>
        <v>0</v>
      </c>
      <c r="AC17" s="56">
        <f t="shared" si="1"/>
        <v>0</v>
      </c>
      <c r="AD17" s="9"/>
    </row>
    <row r="18" spans="1:30" x14ac:dyDescent="0.25">
      <c r="A18" s="1" t="s">
        <v>46</v>
      </c>
      <c r="B18" s="13" t="s">
        <v>47</v>
      </c>
      <c r="C18" s="13"/>
      <c r="D18" s="13">
        <v>0</v>
      </c>
      <c r="E18" s="13">
        <v>0</v>
      </c>
      <c r="F18" s="13">
        <v>0</v>
      </c>
      <c r="G18" s="46">
        <f t="shared" si="2"/>
        <v>0</v>
      </c>
      <c r="H18" s="47"/>
      <c r="I18" s="57">
        <f>I17</f>
        <v>3.5579999999999998</v>
      </c>
      <c r="J18" s="57"/>
      <c r="K18" s="49">
        <f t="shared" si="3"/>
        <v>0</v>
      </c>
      <c r="L18" s="50">
        <f t="shared" si="4"/>
        <v>0</v>
      </c>
      <c r="N18" s="51">
        <v>5103</v>
      </c>
      <c r="O18" s="54">
        <v>254</v>
      </c>
      <c r="P18" s="53"/>
      <c r="Q18" s="54"/>
      <c r="V18" s="623" t="s">
        <v>47</v>
      </c>
      <c r="W18" s="623"/>
      <c r="X18" s="618">
        <f>IF('4000'!K$84=1,'4000'!G18,0)</f>
        <v>0</v>
      </c>
      <c r="Y18" s="618"/>
      <c r="Z18" s="624">
        <v>1</v>
      </c>
      <c r="AA18" s="624"/>
      <c r="AB18" s="55">
        <f t="shared" si="0"/>
        <v>0</v>
      </c>
      <c r="AC18" s="56">
        <f t="shared" si="1"/>
        <v>0</v>
      </c>
      <c r="AD18" s="9"/>
    </row>
    <row r="19" spans="1:30" ht="15" customHeight="1" x14ac:dyDescent="0.25">
      <c r="A19" s="1" t="s">
        <v>48</v>
      </c>
      <c r="B19" s="13" t="s">
        <v>49</v>
      </c>
      <c r="C19" s="13"/>
      <c r="D19" s="13">
        <v>0</v>
      </c>
      <c r="E19" s="13">
        <v>0</v>
      </c>
      <c r="F19" s="13">
        <v>0</v>
      </c>
      <c r="G19" s="46">
        <f t="shared" si="2"/>
        <v>0</v>
      </c>
      <c r="H19" s="47"/>
      <c r="I19" s="57">
        <v>5.0890000000000004</v>
      </c>
      <c r="J19" s="57"/>
      <c r="K19" s="49">
        <f t="shared" si="3"/>
        <v>0</v>
      </c>
      <c r="L19" s="50">
        <f t="shared" si="4"/>
        <v>0</v>
      </c>
      <c r="N19" s="51">
        <v>5101</v>
      </c>
      <c r="O19" s="53">
        <v>255</v>
      </c>
      <c r="P19" s="53"/>
      <c r="Q19" s="54"/>
      <c r="V19" s="623" t="s">
        <v>49</v>
      </c>
      <c r="W19" s="623"/>
      <c r="X19" s="618">
        <f>IF('4000'!K$84=1,'4000'!G19,0)</f>
        <v>0</v>
      </c>
      <c r="Y19" s="618"/>
      <c r="Z19" s="624">
        <v>1</v>
      </c>
      <c r="AA19" s="624"/>
      <c r="AB19" s="55">
        <f t="shared" si="0"/>
        <v>0</v>
      </c>
      <c r="AC19" s="56">
        <f t="shared" si="1"/>
        <v>0</v>
      </c>
      <c r="AD19" s="9"/>
    </row>
    <row r="20" spans="1:30" ht="15" customHeight="1" x14ac:dyDescent="0.25">
      <c r="A20" s="1" t="s">
        <v>50</v>
      </c>
      <c r="B20" s="13" t="s">
        <v>51</v>
      </c>
      <c r="C20" s="13"/>
      <c r="D20" s="13">
        <v>0</v>
      </c>
      <c r="E20" s="13">
        <v>0</v>
      </c>
      <c r="F20" s="13">
        <v>0</v>
      </c>
      <c r="G20" s="46">
        <f t="shared" si="2"/>
        <v>0</v>
      </c>
      <c r="H20" s="47"/>
      <c r="I20" s="57">
        <f>I19</f>
        <v>5.0890000000000004</v>
      </c>
      <c r="J20" s="57"/>
      <c r="K20" s="49">
        <f t="shared" si="3"/>
        <v>0</v>
      </c>
      <c r="L20" s="50">
        <f t="shared" si="4"/>
        <v>0</v>
      </c>
      <c r="N20" s="51">
        <v>5102</v>
      </c>
      <c r="O20" s="54">
        <v>255</v>
      </c>
      <c r="P20" s="53"/>
      <c r="Q20" s="54"/>
      <c r="V20" s="623" t="s">
        <v>51</v>
      </c>
      <c r="W20" s="623"/>
      <c r="X20" s="618">
        <f>IF('4000'!K$84=1,'4000'!G20,0)</f>
        <v>0</v>
      </c>
      <c r="Y20" s="618"/>
      <c r="Z20" s="624">
        <v>1</v>
      </c>
      <c r="AA20" s="624"/>
      <c r="AB20" s="55">
        <f t="shared" si="0"/>
        <v>0</v>
      </c>
      <c r="AC20" s="56">
        <f t="shared" si="1"/>
        <v>0</v>
      </c>
      <c r="AD20" s="9"/>
    </row>
    <row r="21" spans="1:30" ht="15" customHeight="1" x14ac:dyDescent="0.25">
      <c r="A21" s="1" t="s">
        <v>52</v>
      </c>
      <c r="B21" s="13" t="s">
        <v>53</v>
      </c>
      <c r="C21" s="13"/>
      <c r="D21" s="13">
        <v>0</v>
      </c>
      <c r="E21" s="13">
        <v>0</v>
      </c>
      <c r="F21" s="13">
        <v>0</v>
      </c>
      <c r="G21" s="46">
        <f t="shared" si="2"/>
        <v>0</v>
      </c>
      <c r="H21" s="47"/>
      <c r="I21" s="57">
        <f>I20</f>
        <v>5.0890000000000004</v>
      </c>
      <c r="J21" s="57"/>
      <c r="K21" s="49">
        <f t="shared" si="3"/>
        <v>0</v>
      </c>
      <c r="L21" s="50">
        <f t="shared" si="4"/>
        <v>0</v>
      </c>
      <c r="N21" s="51">
        <v>5103</v>
      </c>
      <c r="O21" s="54">
        <v>255</v>
      </c>
      <c r="P21" s="53"/>
      <c r="Q21" s="54"/>
      <c r="V21" s="623" t="s">
        <v>53</v>
      </c>
      <c r="W21" s="623"/>
      <c r="X21" s="618">
        <f>IF('4000'!K$84=1,'4000'!G21,0)</f>
        <v>0</v>
      </c>
      <c r="Y21" s="618"/>
      <c r="Z21" s="624">
        <v>1</v>
      </c>
      <c r="AA21" s="624"/>
      <c r="AB21" s="55">
        <f t="shared" si="0"/>
        <v>0</v>
      </c>
      <c r="AC21" s="56">
        <f t="shared" si="1"/>
        <v>0</v>
      </c>
      <c r="AD21" s="9"/>
    </row>
    <row r="22" spans="1:30" x14ac:dyDescent="0.25">
      <c r="A22" s="1" t="s">
        <v>54</v>
      </c>
      <c r="B22" s="13" t="s">
        <v>55</v>
      </c>
      <c r="C22" s="13"/>
      <c r="D22" s="13">
        <v>10.029999999999999</v>
      </c>
      <c r="E22" s="13">
        <v>9.64</v>
      </c>
      <c r="F22" s="13">
        <v>13.05</v>
      </c>
      <c r="G22" s="46">
        <f t="shared" si="2"/>
        <v>19.670000000000002</v>
      </c>
      <c r="H22" s="47"/>
      <c r="I22" s="57">
        <v>1.145</v>
      </c>
      <c r="J22" s="57"/>
      <c r="K22" s="49">
        <f t="shared" si="3"/>
        <v>22.522200000000002</v>
      </c>
      <c r="L22" s="50">
        <f t="shared" si="4"/>
        <v>87265</v>
      </c>
      <c r="N22" s="51">
        <v>5101</v>
      </c>
      <c r="O22" s="52">
        <v>130</v>
      </c>
      <c r="P22" s="53"/>
      <c r="Q22" s="54"/>
      <c r="V22" s="623" t="s">
        <v>55</v>
      </c>
      <c r="W22" s="623"/>
      <c r="X22" s="618">
        <f>IF('4000'!K$84=1,'4000'!G22,0)</f>
        <v>0</v>
      </c>
      <c r="Y22" s="618"/>
      <c r="Z22" s="624">
        <v>1</v>
      </c>
      <c r="AA22" s="624"/>
      <c r="AB22" s="55">
        <f t="shared" si="0"/>
        <v>0</v>
      </c>
      <c r="AC22" s="56">
        <f t="shared" si="1"/>
        <v>0</v>
      </c>
      <c r="AD22" s="9"/>
    </row>
    <row r="23" spans="1:30" x14ac:dyDescent="0.25">
      <c r="A23" s="1" t="s">
        <v>56</v>
      </c>
      <c r="B23" s="13" t="s">
        <v>57</v>
      </c>
      <c r="C23" s="13"/>
      <c r="D23" s="13">
        <v>0</v>
      </c>
      <c r="E23" s="13">
        <v>0</v>
      </c>
      <c r="F23" s="13">
        <v>0</v>
      </c>
      <c r="G23" s="46">
        <f t="shared" si="2"/>
        <v>0</v>
      </c>
      <c r="H23" s="47"/>
      <c r="I23" s="57">
        <f>I22</f>
        <v>1.145</v>
      </c>
      <c r="J23" s="57"/>
      <c r="K23" s="49">
        <f t="shared" si="3"/>
        <v>0</v>
      </c>
      <c r="L23" s="50">
        <f t="shared" si="4"/>
        <v>0</v>
      </c>
      <c r="N23" s="51">
        <v>5102</v>
      </c>
      <c r="O23" s="52">
        <v>130</v>
      </c>
      <c r="P23" s="53"/>
      <c r="Q23" s="54"/>
      <c r="V23" s="623" t="s">
        <v>57</v>
      </c>
      <c r="W23" s="623"/>
      <c r="X23" s="618">
        <f>IF('4000'!K$84=1,'4000'!G23,0)</f>
        <v>0</v>
      </c>
      <c r="Y23" s="618"/>
      <c r="Z23" s="624">
        <v>1</v>
      </c>
      <c r="AA23" s="624"/>
      <c r="AB23" s="55">
        <f t="shared" si="0"/>
        <v>0</v>
      </c>
      <c r="AC23" s="56">
        <f t="shared" si="1"/>
        <v>0</v>
      </c>
      <c r="AD23" s="9"/>
    </row>
    <row r="24" spans="1:30" x14ac:dyDescent="0.25">
      <c r="A24" s="1" t="s">
        <v>58</v>
      </c>
      <c r="B24" s="13" t="s">
        <v>59</v>
      </c>
      <c r="C24" s="13"/>
      <c r="D24" s="13">
        <v>0</v>
      </c>
      <c r="E24" s="13">
        <v>0</v>
      </c>
      <c r="F24" s="13">
        <v>0</v>
      </c>
      <c r="G24" s="46">
        <f t="shared" si="2"/>
        <v>0</v>
      </c>
      <c r="H24" s="47"/>
      <c r="I24" s="57">
        <f>I23</f>
        <v>1.145</v>
      </c>
      <c r="J24" s="57"/>
      <c r="K24" s="49">
        <f t="shared" si="3"/>
        <v>0</v>
      </c>
      <c r="L24" s="50">
        <f t="shared" si="4"/>
        <v>0</v>
      </c>
      <c r="N24" s="51">
        <v>5103</v>
      </c>
      <c r="O24" s="52">
        <v>130</v>
      </c>
      <c r="P24" s="53"/>
      <c r="Q24" s="54"/>
      <c r="V24" s="623" t="s">
        <v>59</v>
      </c>
      <c r="W24" s="623"/>
      <c r="X24" s="618">
        <f>IF('4000'!K$84=1,'4000'!G24,0)</f>
        <v>0</v>
      </c>
      <c r="Y24" s="618"/>
      <c r="Z24" s="624">
        <v>1</v>
      </c>
      <c r="AA24" s="624"/>
      <c r="AB24" s="55">
        <f t="shared" si="0"/>
        <v>0</v>
      </c>
      <c r="AC24" s="56">
        <f t="shared" si="1"/>
        <v>0</v>
      </c>
      <c r="AD24" s="9"/>
    </row>
    <row r="25" spans="1:30" ht="16.5" thickBot="1" x14ac:dyDescent="0.3">
      <c r="A25" s="1" t="s">
        <v>60</v>
      </c>
      <c r="B25" s="13" t="s">
        <v>61</v>
      </c>
      <c r="C25" s="13"/>
      <c r="D25" s="13">
        <v>0</v>
      </c>
      <c r="E25" s="13">
        <v>0</v>
      </c>
      <c r="F25" s="13">
        <v>0</v>
      </c>
      <c r="G25" s="46">
        <f t="shared" si="2"/>
        <v>0</v>
      </c>
      <c r="H25" s="47"/>
      <c r="I25" s="57">
        <v>1.0109999999999999</v>
      </c>
      <c r="J25" s="57"/>
      <c r="K25" s="49">
        <f t="shared" si="3"/>
        <v>0</v>
      </c>
      <c r="L25" s="50">
        <f t="shared" si="4"/>
        <v>0</v>
      </c>
      <c r="N25" s="51">
        <v>5310</v>
      </c>
      <c r="O25" s="52">
        <v>300</v>
      </c>
      <c r="P25" s="53"/>
      <c r="Q25" s="54"/>
      <c r="V25" s="623" t="s">
        <v>61</v>
      </c>
      <c r="W25" s="623"/>
      <c r="X25" s="618">
        <f>IF('4000'!K$84=1,'4000'!G25,0)</f>
        <v>0</v>
      </c>
      <c r="Y25" s="618"/>
      <c r="Z25" s="624">
        <v>1</v>
      </c>
      <c r="AA25" s="624"/>
      <c r="AB25" s="55">
        <f t="shared" si="0"/>
        <v>0</v>
      </c>
      <c r="AC25" s="56">
        <f t="shared" si="1"/>
        <v>0</v>
      </c>
      <c r="AD25" s="9"/>
    </row>
    <row r="26" spans="1:30" ht="20.25" customHeight="1" thickBot="1" x14ac:dyDescent="0.3">
      <c r="B26" s="62" t="s">
        <v>62</v>
      </c>
      <c r="C26" s="62"/>
      <c r="D26" s="63">
        <f t="shared" ref="D26:E26" si="5">SUM(D10:D25)</f>
        <v>349.16999999999996</v>
      </c>
      <c r="E26" s="63">
        <f t="shared" si="5"/>
        <v>324.16999999999996</v>
      </c>
      <c r="F26" s="63"/>
      <c r="G26" s="63">
        <f>SUM(G10:G25)</f>
        <v>673.33999999999992</v>
      </c>
      <c r="H26" s="64"/>
      <c r="I26" s="64"/>
      <c r="J26" s="65"/>
      <c r="K26" s="66">
        <f>SUM(K10:K25)</f>
        <v>725.1173</v>
      </c>
      <c r="L26" s="67">
        <f>SUM(L10:L25)</f>
        <v>2809558</v>
      </c>
      <c r="N26" s="54"/>
      <c r="O26" s="68"/>
      <c r="P26" s="54"/>
      <c r="Q26" s="54"/>
      <c r="V26" s="625" t="s">
        <v>62</v>
      </c>
      <c r="W26" s="625"/>
      <c r="X26" s="626">
        <f>SUM(X10:X25)</f>
        <v>0</v>
      </c>
      <c r="Y26" s="626"/>
      <c r="Z26" s="627"/>
      <c r="AA26" s="628"/>
      <c r="AB26" s="69">
        <f>SUM(AB10:AB25)</f>
        <v>0</v>
      </c>
      <c r="AC26" s="70">
        <f>SUM(AC10:AC25)</f>
        <v>0</v>
      </c>
      <c r="AD26" s="9"/>
    </row>
    <row r="27" spans="1:30" ht="51.75" customHeight="1" x14ac:dyDescent="0.25">
      <c r="B27" s="62" t="s">
        <v>63</v>
      </c>
      <c r="C27" s="62"/>
      <c r="D27" s="71" t="s">
        <v>13</v>
      </c>
      <c r="E27" s="71" t="s">
        <v>14</v>
      </c>
      <c r="F27" s="27"/>
      <c r="G27" s="72" t="s">
        <v>64</v>
      </c>
      <c r="H27" s="73"/>
      <c r="I27" s="74" t="s">
        <v>65</v>
      </c>
      <c r="J27" s="74" t="s">
        <v>66</v>
      </c>
      <c r="K27" s="75" t="s">
        <v>67</v>
      </c>
      <c r="N27" s="54"/>
      <c r="O27" s="68"/>
      <c r="P27" s="54"/>
      <c r="Q27" s="54"/>
      <c r="V27" s="629" t="s">
        <v>63</v>
      </c>
      <c r="W27" s="629"/>
      <c r="X27" s="630" t="s">
        <v>64</v>
      </c>
      <c r="Y27" s="630"/>
      <c r="Z27" s="76" t="s">
        <v>65</v>
      </c>
      <c r="AA27" s="77" t="s">
        <v>66</v>
      </c>
      <c r="AB27" s="78" t="s">
        <v>67</v>
      </c>
      <c r="AC27" s="9"/>
      <c r="AD27" s="9"/>
    </row>
    <row r="28" spans="1:30" ht="15.75" customHeight="1" x14ac:dyDescent="0.25">
      <c r="A28" s="1" t="s">
        <v>68</v>
      </c>
      <c r="B28" s="631" t="s">
        <v>69</v>
      </c>
      <c r="C28" s="632"/>
      <c r="D28" s="13">
        <v>22.5</v>
      </c>
      <c r="E28" s="13">
        <v>20.65</v>
      </c>
      <c r="F28" s="79">
        <v>0</v>
      </c>
      <c r="G28" s="46">
        <f t="shared" ref="G28:G36" si="6">D28+E28</f>
        <v>43.15</v>
      </c>
      <c r="H28" s="80"/>
      <c r="I28" s="81" t="s">
        <v>70</v>
      </c>
      <c r="J28" s="82">
        <v>251</v>
      </c>
      <c r="K28" s="83">
        <v>1047</v>
      </c>
      <c r="L28" s="84">
        <f>ROUND(G28*K28,0)</f>
        <v>45178</v>
      </c>
      <c r="N28" s="85">
        <v>5101</v>
      </c>
      <c r="O28" s="54">
        <v>251</v>
      </c>
      <c r="P28" s="86"/>
      <c r="Q28" s="87"/>
      <c r="V28" s="637" t="s">
        <v>69</v>
      </c>
      <c r="W28" s="637"/>
      <c r="X28" s="638"/>
      <c r="Y28" s="638"/>
      <c r="Z28" s="88" t="s">
        <v>70</v>
      </c>
      <c r="AA28" s="89">
        <v>251</v>
      </c>
      <c r="AB28" s="90">
        <f>+K28</f>
        <v>1047</v>
      </c>
      <c r="AC28" s="91">
        <f t="shared" ref="AC28:AC36" si="7">ROUND(X28*AB28,0)</f>
        <v>0</v>
      </c>
      <c r="AD28" s="9"/>
    </row>
    <row r="29" spans="1:30" x14ac:dyDescent="0.25">
      <c r="A29" s="1" t="s">
        <v>71</v>
      </c>
      <c r="B29" s="633"/>
      <c r="C29" s="634"/>
      <c r="D29" s="13">
        <v>3.12</v>
      </c>
      <c r="E29" s="13">
        <v>3</v>
      </c>
      <c r="F29" s="92">
        <v>0</v>
      </c>
      <c r="G29" s="46">
        <f t="shared" si="6"/>
        <v>6.12</v>
      </c>
      <c r="H29" s="80"/>
      <c r="I29" s="82" t="s">
        <v>70</v>
      </c>
      <c r="J29" s="82">
        <v>252</v>
      </c>
      <c r="K29" s="83">
        <v>3380</v>
      </c>
      <c r="L29" s="84">
        <f t="shared" ref="L29:L36" si="8">ROUND(G29*K29,0)</f>
        <v>20686</v>
      </c>
      <c r="N29" s="85">
        <v>5101</v>
      </c>
      <c r="O29" s="54">
        <v>252</v>
      </c>
      <c r="P29" s="86"/>
      <c r="Q29" s="87"/>
      <c r="V29" s="637"/>
      <c r="W29" s="637"/>
      <c r="X29" s="638"/>
      <c r="Y29" s="638"/>
      <c r="Z29" s="89" t="s">
        <v>70</v>
      </c>
      <c r="AA29" s="89">
        <v>252</v>
      </c>
      <c r="AB29" s="90">
        <f t="shared" ref="AB29:AB36" si="9">+K29</f>
        <v>3380</v>
      </c>
      <c r="AC29" s="91">
        <f t="shared" si="7"/>
        <v>0</v>
      </c>
      <c r="AD29" s="9"/>
    </row>
    <row r="30" spans="1:30" x14ac:dyDescent="0.25">
      <c r="A30" s="1" t="s">
        <v>72</v>
      </c>
      <c r="B30" s="633"/>
      <c r="C30" s="634"/>
      <c r="D30" s="13">
        <v>0</v>
      </c>
      <c r="E30" s="13">
        <v>0</v>
      </c>
      <c r="F30" s="92">
        <v>0</v>
      </c>
      <c r="G30" s="46">
        <f t="shared" si="6"/>
        <v>0</v>
      </c>
      <c r="H30" s="80"/>
      <c r="I30" s="82" t="s">
        <v>70</v>
      </c>
      <c r="J30" s="82">
        <v>253</v>
      </c>
      <c r="K30" s="83">
        <v>6896</v>
      </c>
      <c r="L30" s="84">
        <f t="shared" si="8"/>
        <v>0</v>
      </c>
      <c r="N30" s="85">
        <v>5101</v>
      </c>
      <c r="O30" s="54">
        <v>253</v>
      </c>
      <c r="P30" s="86"/>
      <c r="Q30" s="68"/>
      <c r="V30" s="637"/>
      <c r="W30" s="637"/>
      <c r="X30" s="638"/>
      <c r="Y30" s="638"/>
      <c r="Z30" s="89" t="s">
        <v>70</v>
      </c>
      <c r="AA30" s="89">
        <v>253</v>
      </c>
      <c r="AB30" s="90">
        <f t="shared" si="9"/>
        <v>6896</v>
      </c>
      <c r="AC30" s="91">
        <f t="shared" si="7"/>
        <v>0</v>
      </c>
      <c r="AD30" s="9"/>
    </row>
    <row r="31" spans="1:30" x14ac:dyDescent="0.25">
      <c r="A31" s="1" t="s">
        <v>73</v>
      </c>
      <c r="B31" s="633"/>
      <c r="C31" s="634"/>
      <c r="D31" s="13">
        <v>25.04</v>
      </c>
      <c r="E31" s="13">
        <v>24.89</v>
      </c>
      <c r="F31" s="92">
        <v>0</v>
      </c>
      <c r="G31" s="46">
        <f t="shared" si="6"/>
        <v>49.93</v>
      </c>
      <c r="H31" s="80"/>
      <c r="I31" s="93" t="s">
        <v>74</v>
      </c>
      <c r="J31" s="82">
        <v>251</v>
      </c>
      <c r="K31" s="83">
        <v>1173</v>
      </c>
      <c r="L31" s="84">
        <f t="shared" si="8"/>
        <v>58568</v>
      </c>
      <c r="N31" s="85">
        <v>5102</v>
      </c>
      <c r="O31" s="54">
        <v>251</v>
      </c>
      <c r="P31" s="86"/>
      <c r="Q31" s="68"/>
      <c r="V31" s="637"/>
      <c r="W31" s="637"/>
      <c r="X31" s="638"/>
      <c r="Y31" s="638"/>
      <c r="Z31" s="94" t="s">
        <v>74</v>
      </c>
      <c r="AA31" s="89">
        <v>251</v>
      </c>
      <c r="AB31" s="90">
        <f t="shared" si="9"/>
        <v>1173</v>
      </c>
      <c r="AC31" s="91">
        <f t="shared" si="7"/>
        <v>0</v>
      </c>
      <c r="AD31" s="9"/>
    </row>
    <row r="32" spans="1:30" x14ac:dyDescent="0.25">
      <c r="A32" s="1" t="s">
        <v>75</v>
      </c>
      <c r="B32" s="633"/>
      <c r="C32" s="634"/>
      <c r="D32" s="13">
        <v>1.6</v>
      </c>
      <c r="E32" s="13">
        <v>1.5</v>
      </c>
      <c r="F32" s="92">
        <v>0</v>
      </c>
      <c r="G32" s="46">
        <f t="shared" si="6"/>
        <v>3.1</v>
      </c>
      <c r="H32" s="80"/>
      <c r="I32" s="93" t="s">
        <v>74</v>
      </c>
      <c r="J32" s="82">
        <v>252</v>
      </c>
      <c r="K32" s="83">
        <v>3506</v>
      </c>
      <c r="L32" s="84">
        <f t="shared" si="8"/>
        <v>10869</v>
      </c>
      <c r="N32" s="85">
        <v>5102</v>
      </c>
      <c r="O32" s="54">
        <v>252</v>
      </c>
      <c r="P32" s="86"/>
      <c r="Q32" s="54"/>
      <c r="V32" s="637"/>
      <c r="W32" s="637"/>
      <c r="X32" s="638"/>
      <c r="Y32" s="638"/>
      <c r="Z32" s="94" t="s">
        <v>74</v>
      </c>
      <c r="AA32" s="89">
        <v>252</v>
      </c>
      <c r="AB32" s="90">
        <f t="shared" si="9"/>
        <v>3506</v>
      </c>
      <c r="AC32" s="91">
        <f t="shared" si="7"/>
        <v>0</v>
      </c>
      <c r="AD32" s="9"/>
    </row>
    <row r="33" spans="1:30" x14ac:dyDescent="0.25">
      <c r="A33" s="1" t="s">
        <v>76</v>
      </c>
      <c r="B33" s="633"/>
      <c r="C33" s="634"/>
      <c r="D33" s="13">
        <v>0</v>
      </c>
      <c r="E33" s="13">
        <v>0</v>
      </c>
      <c r="F33" s="92">
        <v>0</v>
      </c>
      <c r="G33" s="46">
        <f t="shared" si="6"/>
        <v>0</v>
      </c>
      <c r="H33" s="80"/>
      <c r="I33" s="93" t="s">
        <v>74</v>
      </c>
      <c r="J33" s="82">
        <v>253</v>
      </c>
      <c r="K33" s="83">
        <v>7023</v>
      </c>
      <c r="L33" s="84">
        <f t="shared" si="8"/>
        <v>0</v>
      </c>
      <c r="N33" s="85">
        <v>5102</v>
      </c>
      <c r="O33" s="54">
        <v>253</v>
      </c>
      <c r="P33" s="86"/>
      <c r="Q33" s="87"/>
      <c r="V33" s="637"/>
      <c r="W33" s="637"/>
      <c r="X33" s="638"/>
      <c r="Y33" s="638"/>
      <c r="Z33" s="94" t="s">
        <v>74</v>
      </c>
      <c r="AA33" s="89">
        <v>253</v>
      </c>
      <c r="AB33" s="90">
        <f t="shared" si="9"/>
        <v>7023</v>
      </c>
      <c r="AC33" s="91">
        <f t="shared" si="7"/>
        <v>0</v>
      </c>
      <c r="AD33" s="9"/>
    </row>
    <row r="34" spans="1:30" x14ac:dyDescent="0.25">
      <c r="A34" s="1" t="s">
        <v>77</v>
      </c>
      <c r="B34" s="633"/>
      <c r="C34" s="634"/>
      <c r="D34" s="13">
        <v>0</v>
      </c>
      <c r="E34" s="13">
        <v>0</v>
      </c>
      <c r="F34" s="92">
        <v>0</v>
      </c>
      <c r="G34" s="46">
        <f t="shared" si="6"/>
        <v>0</v>
      </c>
      <c r="H34" s="80"/>
      <c r="I34" s="93" t="s">
        <v>78</v>
      </c>
      <c r="J34" s="82">
        <v>251</v>
      </c>
      <c r="K34" s="83">
        <v>835</v>
      </c>
      <c r="L34" s="84">
        <f t="shared" si="8"/>
        <v>0</v>
      </c>
      <c r="N34" s="85">
        <v>5103</v>
      </c>
      <c r="O34" s="54">
        <v>251</v>
      </c>
      <c r="P34" s="86"/>
      <c r="Q34" s="87"/>
      <c r="V34" s="637"/>
      <c r="W34" s="637"/>
      <c r="X34" s="638"/>
      <c r="Y34" s="638"/>
      <c r="Z34" s="94" t="s">
        <v>78</v>
      </c>
      <c r="AA34" s="89">
        <v>251</v>
      </c>
      <c r="AB34" s="90">
        <f t="shared" si="9"/>
        <v>835</v>
      </c>
      <c r="AC34" s="91">
        <f t="shared" si="7"/>
        <v>0</v>
      </c>
      <c r="AD34" s="9"/>
    </row>
    <row r="35" spans="1:30" x14ac:dyDescent="0.25">
      <c r="A35" s="1" t="s">
        <v>79</v>
      </c>
      <c r="B35" s="633"/>
      <c r="C35" s="634"/>
      <c r="D35" s="13">
        <v>0</v>
      </c>
      <c r="E35" s="13">
        <v>0</v>
      </c>
      <c r="F35" s="92">
        <v>0</v>
      </c>
      <c r="G35" s="46">
        <f t="shared" si="6"/>
        <v>0</v>
      </c>
      <c r="H35" s="80"/>
      <c r="I35" s="93" t="s">
        <v>78</v>
      </c>
      <c r="J35" s="82">
        <v>252</v>
      </c>
      <c r="K35" s="83">
        <v>3168</v>
      </c>
      <c r="L35" s="84">
        <f t="shared" si="8"/>
        <v>0</v>
      </c>
      <c r="N35" s="85">
        <v>5103</v>
      </c>
      <c r="O35" s="54">
        <v>252</v>
      </c>
      <c r="P35" s="86"/>
      <c r="Q35" s="95"/>
      <c r="V35" s="637"/>
      <c r="W35" s="637"/>
      <c r="X35" s="638"/>
      <c r="Y35" s="638"/>
      <c r="Z35" s="94" t="s">
        <v>78</v>
      </c>
      <c r="AA35" s="89">
        <v>252</v>
      </c>
      <c r="AB35" s="90">
        <f t="shared" si="9"/>
        <v>3168</v>
      </c>
      <c r="AC35" s="91">
        <f t="shared" si="7"/>
        <v>0</v>
      </c>
      <c r="AD35" s="9"/>
    </row>
    <row r="36" spans="1:30" ht="16.5" thickBot="1" x14ac:dyDescent="0.3">
      <c r="A36" s="1" t="s">
        <v>80</v>
      </c>
      <c r="B36" s="635"/>
      <c r="C36" s="636"/>
      <c r="D36" s="13">
        <v>0</v>
      </c>
      <c r="E36" s="13">
        <v>0</v>
      </c>
      <c r="F36" s="92">
        <v>0</v>
      </c>
      <c r="G36" s="46">
        <f t="shared" si="6"/>
        <v>0</v>
      </c>
      <c r="H36" s="80"/>
      <c r="I36" s="93" t="s">
        <v>78</v>
      </c>
      <c r="J36" s="82">
        <v>253</v>
      </c>
      <c r="K36" s="83">
        <v>6685</v>
      </c>
      <c r="L36" s="96">
        <f t="shared" si="8"/>
        <v>0</v>
      </c>
      <c r="N36" s="85">
        <v>5103</v>
      </c>
      <c r="O36" s="54">
        <v>253</v>
      </c>
      <c r="P36" s="86"/>
      <c r="Q36" s="97"/>
      <c r="V36" s="637"/>
      <c r="W36" s="637"/>
      <c r="X36" s="645"/>
      <c r="Y36" s="645"/>
      <c r="Z36" s="94" t="s">
        <v>78</v>
      </c>
      <c r="AA36" s="89">
        <v>253</v>
      </c>
      <c r="AB36" s="90">
        <f t="shared" si="9"/>
        <v>6685</v>
      </c>
      <c r="AC36" s="98">
        <f t="shared" si="7"/>
        <v>0</v>
      </c>
      <c r="AD36" s="9"/>
    </row>
    <row r="37" spans="1:30" ht="18.75" customHeight="1" x14ac:dyDescent="0.25">
      <c r="B37" s="13" t="s">
        <v>81</v>
      </c>
      <c r="C37" s="13"/>
      <c r="D37" s="63">
        <f t="shared" ref="D37:E37" si="10">SUM(D28:D36)</f>
        <v>52.26</v>
      </c>
      <c r="E37" s="63">
        <f t="shared" si="10"/>
        <v>50.04</v>
      </c>
      <c r="F37" s="63"/>
      <c r="G37" s="63">
        <f>SUM(G28:G36)</f>
        <v>102.29999999999998</v>
      </c>
      <c r="H37" s="64"/>
      <c r="I37" s="13" t="s">
        <v>82</v>
      </c>
      <c r="J37" s="13"/>
      <c r="K37" s="13"/>
      <c r="L37" s="50">
        <f>SUM(L28:L36)</f>
        <v>135301</v>
      </c>
      <c r="N37" s="54"/>
      <c r="O37" s="68"/>
      <c r="P37" s="54"/>
      <c r="Q37" s="54"/>
      <c r="V37" s="646" t="s">
        <v>81</v>
      </c>
      <c r="W37" s="646"/>
      <c r="X37" s="626">
        <f>SUM(X28:X36)</f>
        <v>0</v>
      </c>
      <c r="Y37" s="626"/>
      <c r="Z37" s="646" t="s">
        <v>82</v>
      </c>
      <c r="AA37" s="646"/>
      <c r="AB37" s="646"/>
      <c r="AC37" s="56">
        <f>SUM(AC28:AC36)</f>
        <v>0</v>
      </c>
      <c r="AD37" s="9"/>
    </row>
    <row r="38" spans="1:30" ht="30.75" customHeight="1" x14ac:dyDescent="0.25">
      <c r="B38" s="99" t="s">
        <v>83</v>
      </c>
      <c r="C38" s="99"/>
      <c r="D38" s="99"/>
      <c r="E38" s="99"/>
      <c r="F38" s="99"/>
      <c r="G38" s="99"/>
      <c r="H38" s="100"/>
      <c r="I38" s="99"/>
      <c r="J38" s="99"/>
      <c r="K38" s="99"/>
      <c r="L38" s="99"/>
      <c r="M38" s="101"/>
      <c r="N38" s="54"/>
      <c r="O38" s="68"/>
      <c r="P38" s="54"/>
      <c r="Q38" s="54"/>
      <c r="V38" s="639" t="s">
        <v>83</v>
      </c>
      <c r="W38" s="639"/>
      <c r="X38" s="639"/>
      <c r="Y38" s="639"/>
      <c r="Z38" s="639"/>
      <c r="AA38" s="639"/>
      <c r="AB38" s="639"/>
      <c r="AC38" s="639"/>
      <c r="AD38" s="102"/>
    </row>
    <row r="39" spans="1:30" ht="15.75" customHeight="1" x14ac:dyDescent="0.25">
      <c r="B39" s="103" t="s">
        <v>84</v>
      </c>
      <c r="C39" s="103"/>
      <c r="D39" s="103"/>
      <c r="E39" s="103"/>
      <c r="F39" s="103"/>
      <c r="G39" s="104">
        <v>34389540</v>
      </c>
      <c r="H39" s="104"/>
      <c r="I39" s="13" t="s">
        <v>85</v>
      </c>
      <c r="J39" s="13"/>
      <c r="K39" s="13"/>
      <c r="L39" s="13"/>
      <c r="O39" s="1"/>
      <c r="V39" s="640" t="s">
        <v>84</v>
      </c>
      <c r="W39" s="640"/>
      <c r="X39" s="641">
        <f>+G39</f>
        <v>34389540</v>
      </c>
      <c r="Y39" s="641"/>
      <c r="Z39" s="642" t="s">
        <v>85</v>
      </c>
      <c r="AA39" s="642"/>
      <c r="AB39" s="642"/>
      <c r="AC39" s="642"/>
      <c r="AD39" s="9"/>
    </row>
    <row r="40" spans="1:30" ht="15.75" customHeight="1" x14ac:dyDescent="0.25">
      <c r="B40" s="105" t="s">
        <v>86</v>
      </c>
      <c r="C40" s="105"/>
      <c r="D40" s="105"/>
      <c r="E40" s="105"/>
      <c r="F40" s="105"/>
      <c r="G40" s="106">
        <v>180284.81</v>
      </c>
      <c r="H40" s="106"/>
      <c r="I40" s="106"/>
      <c r="J40" s="106"/>
      <c r="K40" s="50">
        <f>ROUND(G39/G40,0)</f>
        <v>191</v>
      </c>
      <c r="L40" s="50">
        <f>ROUND(K40*$G$26,0)</f>
        <v>128608</v>
      </c>
      <c r="N40" s="107"/>
      <c r="O40" s="107"/>
      <c r="P40" s="107"/>
      <c r="Q40" s="107"/>
      <c r="V40" s="643" t="s">
        <v>86</v>
      </c>
      <c r="W40" s="643"/>
      <c r="X40" s="644">
        <f>+G40</f>
        <v>180284.81</v>
      </c>
      <c r="Y40" s="644"/>
      <c r="Z40" s="644"/>
      <c r="AA40" s="644"/>
      <c r="AB40" s="56">
        <f>ROUND(X39/X40,0)</f>
        <v>191</v>
      </c>
      <c r="AC40" s="56">
        <f>ROUND(AB40*$X$26,0)</f>
        <v>0</v>
      </c>
      <c r="AD40" s="9"/>
    </row>
    <row r="41" spans="1:30" ht="15.75" customHeight="1" x14ac:dyDescent="0.25">
      <c r="B41" s="108" t="s">
        <v>87</v>
      </c>
      <c r="C41" s="108"/>
      <c r="D41" s="108"/>
      <c r="E41" s="108"/>
      <c r="F41" s="108"/>
      <c r="G41" s="108"/>
      <c r="H41" s="108"/>
      <c r="I41" s="108"/>
      <c r="J41" s="108"/>
      <c r="K41" s="108"/>
      <c r="L41" s="108"/>
      <c r="N41" s="101"/>
      <c r="O41" s="109"/>
      <c r="P41" s="101"/>
      <c r="Q41" s="101"/>
      <c r="V41" s="652" t="s">
        <v>87</v>
      </c>
      <c r="W41" s="652"/>
      <c r="X41" s="652"/>
      <c r="Y41" s="652"/>
      <c r="Z41" s="652"/>
      <c r="AA41" s="652"/>
      <c r="AB41" s="652"/>
      <c r="AC41" s="652"/>
      <c r="AD41" s="9"/>
    </row>
    <row r="42" spans="1:30" ht="28.5" customHeight="1" x14ac:dyDescent="0.25">
      <c r="B42" s="99" t="s">
        <v>88</v>
      </c>
      <c r="C42" s="99"/>
      <c r="D42" s="99"/>
      <c r="E42" s="99"/>
      <c r="F42" s="99"/>
      <c r="G42" s="99"/>
      <c r="H42" s="99"/>
      <c r="I42" s="99"/>
      <c r="J42" s="99"/>
      <c r="K42" s="99"/>
      <c r="L42" s="99"/>
      <c r="M42" s="107"/>
      <c r="O42" s="1"/>
      <c r="V42" s="639" t="s">
        <v>88</v>
      </c>
      <c r="W42" s="639"/>
      <c r="X42" s="639"/>
      <c r="Y42" s="639"/>
      <c r="Z42" s="639"/>
      <c r="AA42" s="639"/>
      <c r="AB42" s="639"/>
      <c r="AC42" s="639"/>
      <c r="AD42" s="110"/>
    </row>
    <row r="43" spans="1:30" x14ac:dyDescent="0.25">
      <c r="B43" s="111" t="s">
        <v>89</v>
      </c>
      <c r="C43" s="111"/>
      <c r="D43" s="111"/>
      <c r="E43" s="111"/>
      <c r="F43" s="111"/>
      <c r="G43" s="111"/>
      <c r="H43" s="111"/>
      <c r="I43" s="111"/>
      <c r="J43" s="111"/>
      <c r="K43" s="111"/>
      <c r="L43" s="111"/>
      <c r="M43" s="112"/>
      <c r="N43" s="101"/>
      <c r="O43" s="101"/>
      <c r="P43" s="101"/>
      <c r="Q43" s="101"/>
      <c r="V43" s="653" t="s">
        <v>89</v>
      </c>
      <c r="W43" s="653"/>
      <c r="X43" s="653"/>
      <c r="Y43" s="653"/>
      <c r="Z43" s="653"/>
      <c r="AA43" s="653"/>
      <c r="AB43" s="653"/>
      <c r="AC43" s="653"/>
      <c r="AD43" s="113"/>
    </row>
    <row r="44" spans="1:30" ht="24" customHeight="1" x14ac:dyDescent="0.25">
      <c r="B44" s="62" t="s">
        <v>90</v>
      </c>
      <c r="C44" s="62"/>
      <c r="D44" s="62"/>
      <c r="E44" s="62"/>
      <c r="F44" s="62"/>
      <c r="G44" s="62"/>
      <c r="H44" s="62"/>
      <c r="I44" s="62"/>
      <c r="J44" s="62"/>
      <c r="K44" s="62"/>
      <c r="L44" s="114">
        <f>SUM(L26,L37,L40)</f>
        <v>3073467</v>
      </c>
      <c r="O44" s="1"/>
      <c r="V44" s="654" t="s">
        <v>90</v>
      </c>
      <c r="W44" s="654"/>
      <c r="X44" s="654"/>
      <c r="Y44" s="654"/>
      <c r="Z44" s="654"/>
      <c r="AA44" s="654"/>
      <c r="AB44" s="654"/>
      <c r="AC44" s="115">
        <f>SUM(AC26,AC37,AC40)</f>
        <v>0</v>
      </c>
      <c r="AD44" s="9"/>
    </row>
    <row r="45" spans="1:30" ht="30.75" customHeight="1" x14ac:dyDescent="0.25">
      <c r="B45" s="99" t="s">
        <v>91</v>
      </c>
      <c r="C45" s="99"/>
      <c r="D45" s="99"/>
      <c r="E45" s="99"/>
      <c r="F45" s="99"/>
      <c r="G45" s="99"/>
      <c r="H45" s="99"/>
      <c r="I45" s="99"/>
      <c r="J45" s="99"/>
      <c r="K45" s="99"/>
      <c r="L45" s="99"/>
      <c r="M45" s="116"/>
      <c r="O45" s="1"/>
      <c r="V45" s="639" t="s">
        <v>91</v>
      </c>
      <c r="W45" s="639"/>
      <c r="X45" s="639"/>
      <c r="Y45" s="639"/>
      <c r="Z45" s="639"/>
      <c r="AA45" s="639"/>
      <c r="AB45" s="639"/>
      <c r="AC45" s="639"/>
      <c r="AD45" s="117"/>
    </row>
    <row r="46" spans="1:30" ht="18.75" customHeight="1" x14ac:dyDescent="0.25">
      <c r="B46" s="1"/>
      <c r="C46" s="118" t="s">
        <v>92</v>
      </c>
      <c r="D46" s="118"/>
      <c r="E46" s="118"/>
      <c r="F46" s="118"/>
      <c r="G46" s="118" t="s">
        <v>93</v>
      </c>
      <c r="H46" s="119"/>
      <c r="I46" s="120" t="s">
        <v>94</v>
      </c>
      <c r="J46" s="121"/>
      <c r="K46" s="121"/>
      <c r="L46" s="121"/>
      <c r="M46" s="122"/>
      <c r="O46" s="1"/>
      <c r="V46" s="9"/>
      <c r="W46" s="123" t="s">
        <v>92</v>
      </c>
      <c r="X46" s="655" t="s">
        <v>95</v>
      </c>
      <c r="Y46" s="655"/>
      <c r="Z46" s="656" t="s">
        <v>94</v>
      </c>
      <c r="AA46" s="656"/>
      <c r="AB46" s="656"/>
      <c r="AC46" s="656"/>
      <c r="AD46" s="124"/>
    </row>
    <row r="47" spans="1:30" ht="18.75" customHeight="1" x14ac:dyDescent="0.25">
      <c r="B47" s="107" t="s">
        <v>96</v>
      </c>
      <c r="C47" s="125">
        <f>K10+K11+K16+K19+K22</f>
        <v>462.84730000000002</v>
      </c>
      <c r="D47" s="125"/>
      <c r="E47" s="125"/>
      <c r="F47" s="125"/>
      <c r="G47" s="126">
        <f>K7</f>
        <v>1.0326</v>
      </c>
      <c r="H47" s="126"/>
      <c r="I47" s="127">
        <v>1316.85</v>
      </c>
      <c r="J47" s="128" t="s">
        <v>97</v>
      </c>
      <c r="K47" s="129">
        <f>ROUND(C47*G47*I47,0)</f>
        <v>629370</v>
      </c>
      <c r="L47" s="130"/>
      <c r="O47" s="1"/>
      <c r="V47" s="110" t="s">
        <v>96</v>
      </c>
      <c r="W47" s="131">
        <f>AB10+AB11+AB16+AB19+AB22</f>
        <v>0</v>
      </c>
      <c r="X47" s="647">
        <f>AB7</f>
        <v>1.0326</v>
      </c>
      <c r="Y47" s="647"/>
      <c r="Z47" s="132">
        <f>+I47</f>
        <v>1316.85</v>
      </c>
      <c r="AA47" s="133" t="s">
        <v>97</v>
      </c>
      <c r="AB47" s="134">
        <f>ROUND(W47*X47*Z47,0)</f>
        <v>0</v>
      </c>
      <c r="AC47" s="135"/>
      <c r="AD47" s="9"/>
    </row>
    <row r="48" spans="1:30" ht="18" customHeight="1" x14ac:dyDescent="0.25">
      <c r="B48" s="136" t="s">
        <v>74</v>
      </c>
      <c r="C48" s="125">
        <f>K12+K13+K17+K20+K23</f>
        <v>262.27</v>
      </c>
      <c r="D48" s="125"/>
      <c r="E48" s="125"/>
      <c r="F48" s="125"/>
      <c r="G48" s="126">
        <f>K7</f>
        <v>1.0326</v>
      </c>
      <c r="H48" s="126"/>
      <c r="I48" s="127">
        <v>898.23</v>
      </c>
      <c r="J48" s="128" t="s">
        <v>97</v>
      </c>
      <c r="K48" s="129">
        <f>ROUND(C48*G48*I48,0)</f>
        <v>243259</v>
      </c>
      <c r="L48" s="62"/>
      <c r="O48" s="1"/>
      <c r="V48" s="137" t="s">
        <v>74</v>
      </c>
      <c r="W48" s="131">
        <f>AB12+AB13+AB17+AB20+AB23</f>
        <v>0</v>
      </c>
      <c r="X48" s="647">
        <f>AB7</f>
        <v>1.0326</v>
      </c>
      <c r="Y48" s="647"/>
      <c r="Z48" s="132">
        <f>+I48</f>
        <v>898.23</v>
      </c>
      <c r="AA48" s="133" t="s">
        <v>97</v>
      </c>
      <c r="AB48" s="134">
        <f>ROUND(W48*X48*Z48,0)</f>
        <v>0</v>
      </c>
      <c r="AC48" s="138"/>
      <c r="AD48" s="9"/>
    </row>
    <row r="49" spans="2:30" ht="19.5" customHeight="1" thickBot="1" x14ac:dyDescent="0.3">
      <c r="B49" s="139" t="s">
        <v>78</v>
      </c>
      <c r="C49" s="140">
        <f>K14+K15+K18+K21+K24+K25</f>
        <v>0</v>
      </c>
      <c r="D49" s="125"/>
      <c r="E49" s="125"/>
      <c r="F49" s="125"/>
      <c r="G49" s="126">
        <f>K7</f>
        <v>1.0326</v>
      </c>
      <c r="H49" s="126"/>
      <c r="I49" s="127">
        <v>900.39</v>
      </c>
      <c r="J49" s="128" t="s">
        <v>97</v>
      </c>
      <c r="K49" s="129">
        <f>ROUND(C49*G49*I49,0)</f>
        <v>0</v>
      </c>
      <c r="L49" s="62"/>
      <c r="M49" s="112"/>
      <c r="N49" s="141"/>
      <c r="O49" s="142"/>
      <c r="P49" s="101"/>
      <c r="Q49" s="143"/>
      <c r="V49" s="144" t="s">
        <v>78</v>
      </c>
      <c r="W49" s="145">
        <f>AB14+AB15+AB18+AB21+AB24+AB25</f>
        <v>0</v>
      </c>
      <c r="X49" s="647">
        <f>AB7</f>
        <v>1.0326</v>
      </c>
      <c r="Y49" s="647"/>
      <c r="Z49" s="132">
        <f>+I49</f>
        <v>900.39</v>
      </c>
      <c r="AA49" s="133" t="s">
        <v>97</v>
      </c>
      <c r="AB49" s="134">
        <f>ROUND(W49*X49*Z49,0)</f>
        <v>0</v>
      </c>
      <c r="AC49" s="138"/>
      <c r="AD49" s="113"/>
    </row>
    <row r="50" spans="2:30" ht="24" customHeight="1" thickBot="1" x14ac:dyDescent="0.3">
      <c r="B50" s="146" t="s">
        <v>98</v>
      </c>
      <c r="C50" s="147">
        <f>SUM(C47:C49)</f>
        <v>725.1173</v>
      </c>
      <c r="D50" s="148"/>
      <c r="E50" s="149"/>
      <c r="F50" s="149"/>
      <c r="G50" s="150" t="s">
        <v>99</v>
      </c>
      <c r="H50" s="150"/>
      <c r="I50" s="150"/>
      <c r="J50" s="150"/>
      <c r="K50" s="150"/>
      <c r="L50" s="50">
        <f>IF(B2=75,0,K49+K48+K47)</f>
        <v>872629</v>
      </c>
      <c r="N50" s="3"/>
      <c r="O50" s="1"/>
      <c r="V50" s="151" t="s">
        <v>98</v>
      </c>
      <c r="W50" s="152">
        <f>SUM(W47:W49)</f>
        <v>0</v>
      </c>
      <c r="X50" s="648" t="s">
        <v>99</v>
      </c>
      <c r="Y50" s="649"/>
      <c r="Z50" s="649"/>
      <c r="AA50" s="649"/>
      <c r="AB50" s="649"/>
      <c r="AC50" s="56">
        <f>IF(V2=75,0,AB49+AB48+AB47)</f>
        <v>0</v>
      </c>
      <c r="AD50" s="9"/>
    </row>
    <row r="51" spans="2:30" ht="19.5" customHeight="1" x14ac:dyDescent="0.25">
      <c r="B51" s="153" t="s">
        <v>100</v>
      </c>
      <c r="C51" s="153"/>
      <c r="D51" s="153"/>
      <c r="E51" s="153"/>
      <c r="F51" s="153"/>
      <c r="G51" s="153"/>
      <c r="H51" s="153"/>
      <c r="I51" s="153"/>
      <c r="J51" s="153"/>
      <c r="K51" s="153"/>
      <c r="L51" s="153"/>
      <c r="M51" s="141"/>
      <c r="N51" s="101"/>
      <c r="O51" s="1"/>
      <c r="V51" s="650" t="s">
        <v>100</v>
      </c>
      <c r="W51" s="650"/>
      <c r="X51" s="650"/>
      <c r="Y51" s="650"/>
      <c r="Z51" s="650"/>
      <c r="AA51" s="650"/>
      <c r="AB51" s="650"/>
      <c r="AC51" s="650"/>
      <c r="AD51" s="154"/>
    </row>
    <row r="52" spans="2:30" ht="27.75" customHeight="1" x14ac:dyDescent="0.25">
      <c r="B52" s="13" t="s">
        <v>101</v>
      </c>
      <c r="C52" s="13"/>
      <c r="D52" s="13"/>
      <c r="E52" s="13"/>
      <c r="F52" s="13"/>
      <c r="G52" s="13"/>
      <c r="H52" s="13"/>
      <c r="I52" s="13"/>
      <c r="J52" s="13"/>
      <c r="K52" s="13"/>
      <c r="L52" s="13"/>
      <c r="O52" s="1"/>
      <c r="V52" s="651" t="s">
        <v>101</v>
      </c>
      <c r="W52" s="651"/>
      <c r="X52" s="651"/>
      <c r="Y52" s="651"/>
      <c r="Z52" s="651"/>
      <c r="AA52" s="651"/>
      <c r="AB52" s="651"/>
      <c r="AC52" s="651"/>
      <c r="AD52" s="9"/>
    </row>
    <row r="53" spans="2:30" x14ac:dyDescent="0.25">
      <c r="B53" s="13" t="s">
        <v>102</v>
      </c>
      <c r="C53" s="13"/>
      <c r="D53" s="13"/>
      <c r="E53" s="13"/>
      <c r="F53" s="13"/>
      <c r="G53" s="155">
        <f>K26</f>
        <v>725.1173</v>
      </c>
      <c r="H53" s="57" t="s">
        <v>103</v>
      </c>
      <c r="I53" s="57"/>
      <c r="J53" s="156">
        <v>197823.77</v>
      </c>
      <c r="K53" s="156"/>
      <c r="L53" s="156"/>
      <c r="N53" s="3"/>
      <c r="O53" s="1"/>
      <c r="V53" s="657" t="s">
        <v>102</v>
      </c>
      <c r="W53" s="657"/>
      <c r="X53" s="157">
        <f>AB26</f>
        <v>0</v>
      </c>
      <c r="Y53" s="658" t="s">
        <v>103</v>
      </c>
      <c r="Z53" s="658"/>
      <c r="AA53" s="659">
        <f>+J53</f>
        <v>197823.77</v>
      </c>
      <c r="AB53" s="659"/>
      <c r="AC53" s="659"/>
      <c r="AD53" s="9"/>
    </row>
    <row r="54" spans="2:30" x14ac:dyDescent="0.25">
      <c r="B54" s="13" t="s">
        <v>104</v>
      </c>
      <c r="C54" s="13"/>
      <c r="D54" s="13"/>
      <c r="E54" s="13"/>
      <c r="F54" s="13"/>
      <c r="G54" s="13"/>
      <c r="H54" s="13"/>
      <c r="I54" s="13"/>
      <c r="J54" s="13"/>
      <c r="K54" s="158">
        <f>ROUND(G53/J53,6)</f>
        <v>3.6649999999999999E-3</v>
      </c>
      <c r="L54" s="158"/>
      <c r="N54" s="101"/>
      <c r="O54" s="1"/>
      <c r="V54" s="657" t="s">
        <v>104</v>
      </c>
      <c r="W54" s="657"/>
      <c r="X54" s="657"/>
      <c r="Y54" s="657"/>
      <c r="Z54" s="657"/>
      <c r="AA54" s="657"/>
      <c r="AB54" s="660">
        <f>ROUND(X53/AA53,6)</f>
        <v>0</v>
      </c>
      <c r="AC54" s="660"/>
      <c r="AD54" s="9"/>
    </row>
    <row r="55" spans="2:30" ht="24" customHeight="1" x14ac:dyDescent="0.25">
      <c r="B55" s="13" t="s">
        <v>105</v>
      </c>
      <c r="C55" s="13"/>
      <c r="D55" s="13"/>
      <c r="E55" s="13"/>
      <c r="F55" s="13"/>
      <c r="G55" s="13"/>
      <c r="H55" s="13"/>
      <c r="I55" s="13"/>
      <c r="J55" s="13"/>
      <c r="K55" s="13"/>
      <c r="L55" s="13"/>
      <c r="O55" s="1"/>
      <c r="V55" s="651" t="s">
        <v>105</v>
      </c>
      <c r="W55" s="651"/>
      <c r="X55" s="651"/>
      <c r="Y55" s="651"/>
      <c r="Z55" s="651"/>
      <c r="AA55" s="651"/>
      <c r="AB55" s="651"/>
      <c r="AC55" s="651"/>
      <c r="AD55" s="9"/>
    </row>
    <row r="56" spans="2:30" x14ac:dyDescent="0.25">
      <c r="B56" s="13" t="s">
        <v>106</v>
      </c>
      <c r="C56" s="13"/>
      <c r="D56" s="13"/>
      <c r="E56" s="13"/>
      <c r="F56" s="13"/>
      <c r="G56" s="159">
        <f>G26</f>
        <v>673.33999999999992</v>
      </c>
      <c r="H56" s="57" t="s">
        <v>107</v>
      </c>
      <c r="I56" s="57"/>
      <c r="J56" s="156">
        <f>+G40</f>
        <v>180284.81</v>
      </c>
      <c r="K56" s="156"/>
      <c r="L56" s="156"/>
      <c r="O56" s="1"/>
      <c r="V56" s="657" t="s">
        <v>106</v>
      </c>
      <c r="W56" s="657"/>
      <c r="X56" s="160">
        <f>X26</f>
        <v>0</v>
      </c>
      <c r="Y56" s="658" t="s">
        <v>107</v>
      </c>
      <c r="Z56" s="658"/>
      <c r="AA56" s="659">
        <f>+J56</f>
        <v>180284.81</v>
      </c>
      <c r="AB56" s="659"/>
      <c r="AC56" s="659"/>
      <c r="AD56" s="9"/>
    </row>
    <row r="57" spans="2:30" x14ac:dyDescent="0.25">
      <c r="B57" s="13" t="s">
        <v>108</v>
      </c>
      <c r="C57" s="13"/>
      <c r="D57" s="13"/>
      <c r="E57" s="13"/>
      <c r="F57" s="13"/>
      <c r="G57" s="13"/>
      <c r="H57" s="13"/>
      <c r="I57" s="13"/>
      <c r="J57" s="13"/>
      <c r="K57" s="158">
        <f>ROUND(G56/J56,6)</f>
        <v>3.735E-3</v>
      </c>
      <c r="L57" s="158"/>
      <c r="O57" s="1"/>
      <c r="V57" s="657" t="s">
        <v>108</v>
      </c>
      <c r="W57" s="657"/>
      <c r="X57" s="657"/>
      <c r="Y57" s="657"/>
      <c r="Z57" s="657"/>
      <c r="AA57" s="657"/>
      <c r="AB57" s="660">
        <f>ROUND(X56/AA56,6)</f>
        <v>0</v>
      </c>
      <c r="AC57" s="660"/>
      <c r="AD57" s="9"/>
    </row>
    <row r="58" spans="2:30" ht="20.25" customHeight="1" x14ac:dyDescent="0.25">
      <c r="B58" s="161" t="s">
        <v>109</v>
      </c>
      <c r="C58" s="161"/>
      <c r="D58" s="161"/>
      <c r="E58" s="161"/>
      <c r="F58" s="161"/>
      <c r="G58" s="161"/>
      <c r="H58" s="161"/>
      <c r="I58" s="161"/>
      <c r="J58" s="161"/>
      <c r="K58" s="161"/>
      <c r="L58" s="161"/>
      <c r="N58" s="18"/>
      <c r="O58" s="18"/>
      <c r="V58" s="629" t="s">
        <v>110</v>
      </c>
      <c r="W58" s="629"/>
      <c r="X58" s="629"/>
      <c r="Y58" s="661">
        <f>X65+X64+X62+X61+X60</f>
        <v>4123852</v>
      </c>
      <c r="Z58" s="661"/>
      <c r="AA58" s="162" t="s">
        <v>111</v>
      </c>
      <c r="AB58" s="163">
        <f>AB54</f>
        <v>0</v>
      </c>
      <c r="AC58" s="56">
        <f>ROUND(Y58*AB58,0)</f>
        <v>0</v>
      </c>
      <c r="AD58" s="9"/>
    </row>
    <row r="59" spans="2:30" x14ac:dyDescent="0.25">
      <c r="B59" s="62" t="s">
        <v>110</v>
      </c>
      <c r="C59" s="62"/>
      <c r="D59" s="62"/>
      <c r="E59" s="62"/>
      <c r="F59" s="62"/>
      <c r="G59" s="62"/>
      <c r="H59" s="164" t="s">
        <v>22</v>
      </c>
      <c r="I59" s="129">
        <v>4123852</v>
      </c>
      <c r="J59" s="165" t="s">
        <v>111</v>
      </c>
      <c r="K59" s="166">
        <f>K54</f>
        <v>3.6649999999999999E-3</v>
      </c>
      <c r="L59" s="50">
        <f>ROUND(I59*K59,0)</f>
        <v>15114</v>
      </c>
      <c r="O59" s="1"/>
      <c r="P59" s="165"/>
      <c r="Q59" s="165"/>
      <c r="V59" s="662" t="s">
        <v>112</v>
      </c>
      <c r="W59" s="662"/>
      <c r="X59" s="662"/>
      <c r="Y59" s="662"/>
      <c r="Z59" s="662"/>
      <c r="AA59" s="662"/>
      <c r="AB59" s="662"/>
      <c r="AC59" s="662"/>
      <c r="AD59" s="9"/>
    </row>
    <row r="60" spans="2:30" x14ac:dyDescent="0.25">
      <c r="B60" s="62" t="s">
        <v>112</v>
      </c>
      <c r="C60" s="62"/>
      <c r="D60" s="62"/>
      <c r="E60" s="62"/>
      <c r="F60" s="62"/>
      <c r="G60" s="62"/>
      <c r="H60" s="62"/>
      <c r="I60" s="62"/>
      <c r="J60" s="62"/>
      <c r="K60" s="62"/>
      <c r="L60" s="62"/>
      <c r="O60" s="1"/>
      <c r="P60" s="165"/>
      <c r="Q60" s="165"/>
      <c r="V60" s="663" t="s">
        <v>113</v>
      </c>
      <c r="W60" s="663"/>
      <c r="X60" s="664">
        <f>+G61</f>
        <v>0</v>
      </c>
      <c r="Y60" s="664"/>
      <c r="Z60" s="664"/>
      <c r="AA60" s="664"/>
      <c r="AB60" s="664"/>
      <c r="AC60" s="664"/>
      <c r="AD60" s="9"/>
    </row>
    <row r="61" spans="2:30" ht="15" customHeight="1" x14ac:dyDescent="0.25">
      <c r="B61" s="167" t="s">
        <v>113</v>
      </c>
      <c r="C61" s="62"/>
      <c r="D61" s="62"/>
      <c r="E61" s="62"/>
      <c r="F61" s="62"/>
      <c r="G61" s="168">
        <v>0</v>
      </c>
      <c r="H61" s="168"/>
      <c r="I61" s="168"/>
      <c r="J61" s="168"/>
      <c r="K61" s="168"/>
      <c r="L61" s="168"/>
      <c r="O61" s="1"/>
      <c r="P61" s="165"/>
      <c r="Q61" s="165"/>
      <c r="V61" s="663" t="s">
        <v>114</v>
      </c>
      <c r="W61" s="663"/>
      <c r="X61" s="664">
        <f>+G62</f>
        <v>0</v>
      </c>
      <c r="Y61" s="664"/>
      <c r="Z61" s="664"/>
      <c r="AA61" s="664"/>
      <c r="AB61" s="664"/>
      <c r="AC61" s="664"/>
      <c r="AD61" s="9"/>
    </row>
    <row r="62" spans="2:30" ht="13.5" customHeight="1" x14ac:dyDescent="0.25">
      <c r="B62" s="167" t="s">
        <v>114</v>
      </c>
      <c r="C62" s="62"/>
      <c r="D62" s="62"/>
      <c r="E62" s="62"/>
      <c r="F62" s="62"/>
      <c r="G62" s="168">
        <v>0</v>
      </c>
      <c r="H62" s="168"/>
      <c r="I62" s="168"/>
      <c r="J62" s="168"/>
      <c r="K62" s="168"/>
      <c r="L62" s="168"/>
      <c r="N62" s="165"/>
      <c r="O62" s="165"/>
      <c r="P62" s="165"/>
      <c r="Q62" s="165"/>
      <c r="V62" s="663" t="s">
        <v>115</v>
      </c>
      <c r="W62" s="663"/>
      <c r="X62" s="664">
        <v>0</v>
      </c>
      <c r="Y62" s="664"/>
      <c r="Z62" s="664"/>
      <c r="AA62" s="664"/>
      <c r="AB62" s="664"/>
      <c r="AC62" s="664"/>
      <c r="AD62" s="9"/>
    </row>
    <row r="63" spans="2:30" ht="13.5" hidden="1" customHeight="1" x14ac:dyDescent="0.25">
      <c r="B63" s="62" t="s">
        <v>115</v>
      </c>
      <c r="C63" s="62"/>
      <c r="D63" s="62"/>
      <c r="E63" s="62"/>
      <c r="F63" s="62"/>
      <c r="G63" s="168">
        <v>0</v>
      </c>
      <c r="H63" s="168"/>
      <c r="I63" s="168"/>
      <c r="J63" s="168"/>
      <c r="K63" s="168"/>
      <c r="L63" s="168"/>
      <c r="O63" s="1"/>
      <c r="P63" s="165"/>
      <c r="Q63" s="165"/>
      <c r="V63" s="662" t="s">
        <v>116</v>
      </c>
      <c r="W63" s="662"/>
      <c r="X63" s="662"/>
      <c r="Y63" s="662"/>
      <c r="Z63" s="662"/>
      <c r="AA63" s="662"/>
      <c r="AB63" s="662"/>
      <c r="AC63" s="662"/>
      <c r="AD63" s="117"/>
    </row>
    <row r="64" spans="2:30" ht="13.5" customHeight="1" x14ac:dyDescent="0.25">
      <c r="B64" s="62" t="s">
        <v>116</v>
      </c>
      <c r="C64" s="62"/>
      <c r="D64" s="62"/>
      <c r="E64" s="62"/>
      <c r="F64" s="62"/>
      <c r="G64" s="62"/>
      <c r="H64" s="62"/>
      <c r="I64" s="62"/>
      <c r="J64" s="62"/>
      <c r="K64" s="62"/>
      <c r="L64" s="62"/>
      <c r="M64" s="116"/>
      <c r="N64" s="18"/>
      <c r="O64" s="1"/>
      <c r="V64" s="663" t="s">
        <v>117</v>
      </c>
      <c r="W64" s="663"/>
      <c r="X64" s="664">
        <f>+G65</f>
        <v>4123852</v>
      </c>
      <c r="Y64" s="664"/>
      <c r="Z64" s="664"/>
      <c r="AA64" s="664"/>
      <c r="AB64" s="664"/>
      <c r="AC64" s="664"/>
      <c r="AD64" s="9"/>
    </row>
    <row r="65" spans="1:30" ht="12.75" customHeight="1" x14ac:dyDescent="0.25">
      <c r="B65" s="167" t="s">
        <v>117</v>
      </c>
      <c r="C65" s="62"/>
      <c r="D65" s="62"/>
      <c r="E65" s="62"/>
      <c r="F65" s="62"/>
      <c r="G65" s="168">
        <f>+I59</f>
        <v>4123852</v>
      </c>
      <c r="H65" s="168"/>
      <c r="I65" s="168"/>
      <c r="J65" s="168"/>
      <c r="K65" s="168"/>
      <c r="L65" s="168"/>
      <c r="O65" s="1"/>
      <c r="V65" s="663" t="s">
        <v>118</v>
      </c>
      <c r="W65" s="663"/>
      <c r="X65" s="664">
        <f>+G66</f>
        <v>0</v>
      </c>
      <c r="Y65" s="664"/>
      <c r="Z65" s="664"/>
      <c r="AA65" s="664"/>
      <c r="AB65" s="664"/>
      <c r="AC65" s="664"/>
      <c r="AD65" s="20"/>
    </row>
    <row r="66" spans="1:30" ht="15" customHeight="1" x14ac:dyDescent="0.25">
      <c r="B66" s="167" t="s">
        <v>118</v>
      </c>
      <c r="C66" s="62"/>
      <c r="D66" s="62"/>
      <c r="E66" s="62"/>
      <c r="F66" s="62"/>
      <c r="G66" s="168">
        <v>0</v>
      </c>
      <c r="H66" s="168"/>
      <c r="I66" s="168"/>
      <c r="J66" s="168"/>
      <c r="K66" s="168"/>
      <c r="L66" s="168"/>
      <c r="M66" s="18"/>
      <c r="N66" s="3"/>
      <c r="O66" s="169"/>
      <c r="P66" s="169"/>
      <c r="Q66" s="169"/>
      <c r="V66" s="651" t="s">
        <v>119</v>
      </c>
      <c r="W66" s="651"/>
      <c r="X66" s="651"/>
      <c r="Y66" s="661">
        <f>+I67</f>
        <v>96774526</v>
      </c>
      <c r="Z66" s="661"/>
      <c r="AA66" s="162" t="s">
        <v>111</v>
      </c>
      <c r="AB66" s="163">
        <f>AB54</f>
        <v>0</v>
      </c>
      <c r="AC66" s="56">
        <f>ROUND(Y66*AB66,0)</f>
        <v>0</v>
      </c>
      <c r="AD66" s="9"/>
    </row>
    <row r="67" spans="1:30" ht="20.25" customHeight="1" x14ac:dyDescent="0.25">
      <c r="B67" s="13" t="s">
        <v>119</v>
      </c>
      <c r="C67" s="13"/>
      <c r="D67" s="13"/>
      <c r="E67" s="13"/>
      <c r="F67" s="13"/>
      <c r="H67" s="164" t="s">
        <v>25</v>
      </c>
      <c r="I67" s="129">
        <v>96774526</v>
      </c>
      <c r="J67" s="165" t="s">
        <v>111</v>
      </c>
      <c r="K67" s="166">
        <f>K54</f>
        <v>3.6649999999999999E-3</v>
      </c>
      <c r="L67" s="50">
        <f>ROUND(I67*K67,0)</f>
        <v>354679</v>
      </c>
      <c r="O67" s="1"/>
      <c r="V67" s="651" t="s">
        <v>120</v>
      </c>
      <c r="W67" s="651"/>
      <c r="X67" s="651"/>
      <c r="Y67" s="651"/>
      <c r="Z67" s="651"/>
      <c r="AA67" s="651"/>
      <c r="AB67" s="651"/>
      <c r="AC67" s="651"/>
      <c r="AD67" s="9"/>
    </row>
    <row r="68" spans="1:30" ht="20.25" customHeight="1" x14ac:dyDescent="0.25">
      <c r="B68" s="13" t="s">
        <v>120</v>
      </c>
      <c r="C68" s="13"/>
      <c r="D68" s="13"/>
      <c r="E68" s="13"/>
      <c r="F68" s="13"/>
      <c r="H68" s="13"/>
      <c r="I68" s="13"/>
      <c r="J68" s="82"/>
      <c r="K68" s="13"/>
      <c r="L68" s="13"/>
      <c r="O68" s="1"/>
      <c r="V68" s="667" t="s">
        <v>121</v>
      </c>
      <c r="W68" s="667"/>
      <c r="X68" s="667"/>
      <c r="Y68" s="661">
        <f>+I69</f>
        <v>0</v>
      </c>
      <c r="Z68" s="661"/>
      <c r="AA68" s="162" t="s">
        <v>111</v>
      </c>
      <c r="AB68" s="163">
        <f>AB57</f>
        <v>0</v>
      </c>
      <c r="AC68" s="56">
        <f>ROUND(Y68*AB68,0)</f>
        <v>0</v>
      </c>
      <c r="AD68" s="9"/>
    </row>
    <row r="69" spans="1:30" ht="15" customHeight="1" x14ac:dyDescent="0.25">
      <c r="B69" s="170" t="s">
        <v>121</v>
      </c>
      <c r="C69" s="13"/>
      <c r="D69" s="13"/>
      <c r="E69" s="13"/>
      <c r="F69" s="13"/>
      <c r="H69" s="164" t="s">
        <v>23</v>
      </c>
      <c r="I69" s="129">
        <v>0</v>
      </c>
      <c r="J69" s="165" t="s">
        <v>111</v>
      </c>
      <c r="K69" s="166">
        <f>K57</f>
        <v>3.735E-3</v>
      </c>
      <c r="L69" s="50">
        <f>ROUND(I69*K69,0)</f>
        <v>0</v>
      </c>
      <c r="O69" s="1"/>
      <c r="V69" s="651" t="s">
        <v>122</v>
      </c>
      <c r="W69" s="651"/>
      <c r="X69" s="651"/>
      <c r="Y69" s="668">
        <f>+I70</f>
        <v>-3460775</v>
      </c>
      <c r="Z69" s="668"/>
      <c r="AA69" s="162" t="s">
        <v>111</v>
      </c>
      <c r="AB69" s="163">
        <f>AB54</f>
        <v>0</v>
      </c>
      <c r="AC69" s="56">
        <f>ROUND(Y69*AB69,0)</f>
        <v>0</v>
      </c>
      <c r="AD69" s="9"/>
    </row>
    <row r="70" spans="1:30" ht="20.25" customHeight="1" x14ac:dyDescent="0.25">
      <c r="B70" s="13" t="s">
        <v>122</v>
      </c>
      <c r="C70" s="13"/>
      <c r="D70" s="13"/>
      <c r="E70" s="13"/>
      <c r="F70" s="13"/>
      <c r="H70" s="164" t="s">
        <v>22</v>
      </c>
      <c r="I70" s="129">
        <v>-3460775</v>
      </c>
      <c r="J70" s="165" t="s">
        <v>111</v>
      </c>
      <c r="K70" s="166">
        <f>K54</f>
        <v>3.6649999999999999E-3</v>
      </c>
      <c r="L70" s="50">
        <f>ROUND(I70*K70,0)</f>
        <v>-12684</v>
      </c>
      <c r="O70" s="1"/>
      <c r="V70" s="651" t="s">
        <v>123</v>
      </c>
      <c r="W70" s="651"/>
      <c r="X70" s="651"/>
      <c r="Y70" s="665">
        <f>+I71</f>
        <v>1874788</v>
      </c>
      <c r="Z70" s="665"/>
      <c r="AA70" s="162" t="s">
        <v>111</v>
      </c>
      <c r="AB70" s="163">
        <f>AB54</f>
        <v>0</v>
      </c>
      <c r="AC70" s="56">
        <f>ROUND(Y70*AB70,0)</f>
        <v>0</v>
      </c>
      <c r="AD70" s="9"/>
    </row>
    <row r="71" spans="1:30" ht="20.25" customHeight="1" x14ac:dyDescent="0.25">
      <c r="B71" s="13" t="s">
        <v>123</v>
      </c>
      <c r="C71" s="13"/>
      <c r="D71" s="13"/>
      <c r="E71" s="13"/>
      <c r="F71" s="13"/>
      <c r="H71" s="164" t="s">
        <v>22</v>
      </c>
      <c r="I71" s="129">
        <v>1874788</v>
      </c>
      <c r="J71" s="165" t="s">
        <v>111</v>
      </c>
      <c r="K71" s="166">
        <f>K54</f>
        <v>3.6649999999999999E-3</v>
      </c>
      <c r="L71" s="50">
        <f>ROUND(I71*K71,0)</f>
        <v>6871</v>
      </c>
      <c r="O71" s="1"/>
      <c r="V71" s="651" t="s">
        <v>124</v>
      </c>
      <c r="W71" s="651"/>
      <c r="X71" s="651"/>
      <c r="Y71" s="665">
        <f>+I72</f>
        <v>14223298</v>
      </c>
      <c r="Z71" s="665"/>
      <c r="AA71" s="162" t="s">
        <v>111</v>
      </c>
      <c r="AB71" s="163">
        <f>AB57</f>
        <v>0</v>
      </c>
      <c r="AC71" s="56">
        <f>ROUND(Y71*AB71,0)</f>
        <v>0</v>
      </c>
      <c r="AD71" s="9"/>
    </row>
    <row r="72" spans="1:30" ht="21" customHeight="1" x14ac:dyDescent="0.25">
      <c r="B72" s="13" t="s">
        <v>124</v>
      </c>
      <c r="C72" s="13"/>
      <c r="D72" s="13"/>
      <c r="E72" s="13"/>
      <c r="F72" s="13"/>
      <c r="H72" s="164" t="s">
        <v>23</v>
      </c>
      <c r="I72" s="171">
        <v>14223298</v>
      </c>
      <c r="J72" s="165" t="s">
        <v>111</v>
      </c>
      <c r="K72" s="166">
        <f>K57</f>
        <v>3.735E-3</v>
      </c>
      <c r="L72" s="50">
        <f>ROUND(I72*K72,0)</f>
        <v>53124</v>
      </c>
      <c r="O72" s="1"/>
      <c r="V72" s="623" t="s">
        <v>125</v>
      </c>
      <c r="W72" s="623"/>
      <c r="X72" s="623"/>
      <c r="Y72" s="623"/>
      <c r="Z72" s="623"/>
      <c r="AA72" s="623"/>
      <c r="AB72" s="623"/>
      <c r="AC72" s="60"/>
      <c r="AD72" s="9"/>
    </row>
    <row r="73" spans="1:30" ht="17.25" customHeight="1" x14ac:dyDescent="0.25">
      <c r="B73" s="13" t="s">
        <v>125</v>
      </c>
      <c r="C73" s="13"/>
      <c r="D73" s="13"/>
      <c r="E73" s="13"/>
      <c r="F73" s="13"/>
      <c r="H73" s="13"/>
      <c r="I73" s="13"/>
      <c r="J73" s="82"/>
      <c r="K73" s="13"/>
      <c r="L73" s="59"/>
      <c r="O73" s="1"/>
      <c r="V73" s="651" t="s">
        <v>126</v>
      </c>
      <c r="W73" s="651"/>
      <c r="X73" s="651"/>
      <c r="Y73" s="651"/>
      <c r="Z73" s="651"/>
      <c r="AA73" s="651"/>
      <c r="AB73" s="651"/>
      <c r="AC73" s="651"/>
      <c r="AD73" s="9"/>
    </row>
    <row r="74" spans="1:30" ht="31.5" x14ac:dyDescent="0.25">
      <c r="B74" s="13" t="s">
        <v>126</v>
      </c>
      <c r="C74" s="13"/>
      <c r="D74" s="27" t="s">
        <v>13</v>
      </c>
      <c r="E74" s="27" t="s">
        <v>14</v>
      </c>
      <c r="F74" s="27"/>
      <c r="H74" s="164" t="s">
        <v>26</v>
      </c>
      <c r="I74" s="172"/>
      <c r="J74" s="164"/>
      <c r="K74" s="172"/>
      <c r="L74" s="112"/>
      <c r="O74" s="1"/>
      <c r="V74" s="666" t="s">
        <v>127</v>
      </c>
      <c r="W74" s="666"/>
      <c r="X74" s="173" t="s">
        <v>128</v>
      </c>
      <c r="Y74" s="174"/>
      <c r="Z74" s="175">
        <f>+I75</f>
        <v>23</v>
      </c>
      <c r="AA74" s="176" t="s">
        <v>129</v>
      </c>
      <c r="AB74" s="177">
        <f>+K75</f>
        <v>361</v>
      </c>
      <c r="AC74" s="56">
        <f>ROUND(AB74*Z74,0)</f>
        <v>8303</v>
      </c>
      <c r="AD74" s="9"/>
    </row>
    <row r="75" spans="1:30" ht="19.5" customHeight="1" x14ac:dyDescent="0.25">
      <c r="A75" s="1" t="s">
        <v>130</v>
      </c>
      <c r="B75" s="178" t="s">
        <v>127</v>
      </c>
      <c r="C75" s="179" t="s">
        <v>128</v>
      </c>
      <c r="D75" s="178">
        <v>15</v>
      </c>
      <c r="E75" s="178">
        <v>31</v>
      </c>
      <c r="F75" s="178">
        <v>0</v>
      </c>
      <c r="G75" s="180">
        <f>IF(E75=0,D75,E75)</f>
        <v>31</v>
      </c>
      <c r="H75" s="181"/>
      <c r="I75" s="182">
        <f>AVERAGE(G75,D75)</f>
        <v>23</v>
      </c>
      <c r="J75" s="183" t="s">
        <v>129</v>
      </c>
      <c r="K75" s="184">
        <v>361</v>
      </c>
      <c r="L75" s="50">
        <f>ROUND(K75*I75,0)</f>
        <v>8303</v>
      </c>
      <c r="N75" s="1">
        <v>7802</v>
      </c>
      <c r="O75" s="1">
        <v>0</v>
      </c>
      <c r="V75" s="666" t="s">
        <v>127</v>
      </c>
      <c r="W75" s="666"/>
      <c r="X75" s="173" t="s">
        <v>131</v>
      </c>
      <c r="Y75" s="185"/>
      <c r="Z75" s="186">
        <f>+I76</f>
        <v>0</v>
      </c>
      <c r="AA75" s="176" t="s">
        <v>129</v>
      </c>
      <c r="AB75" s="187">
        <f>+K76</f>
        <v>1358</v>
      </c>
      <c r="AC75" s="56">
        <f>ROUND(AB75*Z75,0)</f>
        <v>0</v>
      </c>
      <c r="AD75" s="9"/>
    </row>
    <row r="76" spans="1:30" ht="19.5" customHeight="1" x14ac:dyDescent="0.25">
      <c r="A76" s="1" t="s">
        <v>132</v>
      </c>
      <c r="B76" s="178" t="s">
        <v>127</v>
      </c>
      <c r="C76" s="179" t="s">
        <v>131</v>
      </c>
      <c r="D76" s="178">
        <v>0</v>
      </c>
      <c r="E76" s="178">
        <v>0</v>
      </c>
      <c r="F76" s="178">
        <v>0</v>
      </c>
      <c r="G76" s="180">
        <f>IF(E76=0,D76,E76)</f>
        <v>0</v>
      </c>
      <c r="H76" s="181"/>
      <c r="I76" s="182">
        <f>AVERAGE(G76,D76)</f>
        <v>0</v>
      </c>
      <c r="J76" s="183" t="s">
        <v>129</v>
      </c>
      <c r="K76" s="188">
        <v>1358</v>
      </c>
      <c r="L76" s="50">
        <f>ROUND(K76*I76,0)</f>
        <v>0</v>
      </c>
      <c r="N76" s="1">
        <v>7802</v>
      </c>
      <c r="O76" s="1">
        <v>110</v>
      </c>
      <c r="V76" s="651" t="s">
        <v>133</v>
      </c>
      <c r="W76" s="651"/>
      <c r="X76" s="651"/>
      <c r="Y76" s="661">
        <f>+I77</f>
        <v>33305823</v>
      </c>
      <c r="Z76" s="661"/>
      <c r="AA76" s="176" t="s">
        <v>129</v>
      </c>
      <c r="AB76" s="163">
        <f>AB54</f>
        <v>0</v>
      </c>
      <c r="AC76" s="56">
        <f>ROUND(Y76*AB76,0)</f>
        <v>0</v>
      </c>
      <c r="AD76" s="9"/>
    </row>
    <row r="77" spans="1:30" ht="26.25" customHeight="1" x14ac:dyDescent="0.25">
      <c r="B77" s="13" t="s">
        <v>133</v>
      </c>
      <c r="C77" s="13"/>
      <c r="D77" s="13"/>
      <c r="E77" s="13"/>
      <c r="F77" s="13"/>
      <c r="H77" s="164" t="s">
        <v>134</v>
      </c>
      <c r="I77" s="189">
        <v>33305823</v>
      </c>
      <c r="J77" s="165" t="s">
        <v>111</v>
      </c>
      <c r="K77" s="166">
        <f>K54</f>
        <v>3.6649999999999999E-3</v>
      </c>
      <c r="L77" s="50">
        <f>ROUND(I77*K77,0)</f>
        <v>122066</v>
      </c>
      <c r="O77" s="1"/>
      <c r="V77" s="651" t="str">
        <f>+B78</f>
        <v>15.  Additional Allocation (WFTE share)</v>
      </c>
      <c r="W77" s="651"/>
      <c r="X77" s="651"/>
      <c r="Y77" s="661">
        <f>+I78</f>
        <v>680688</v>
      </c>
      <c r="Z77" s="661"/>
      <c r="AA77" s="176" t="s">
        <v>129</v>
      </c>
      <c r="AB77" s="163">
        <f>AB54</f>
        <v>0</v>
      </c>
      <c r="AC77" s="56">
        <f>ROUND(Y77*AB77,0)</f>
        <v>0</v>
      </c>
      <c r="AD77" s="9"/>
    </row>
    <row r="78" spans="1:30" ht="26.25" customHeight="1" x14ac:dyDescent="0.25">
      <c r="B78" s="669" t="s">
        <v>135</v>
      </c>
      <c r="C78" s="669"/>
      <c r="D78" s="669"/>
      <c r="E78" s="13"/>
      <c r="F78" s="13"/>
      <c r="H78" s="164" t="s">
        <v>136</v>
      </c>
      <c r="I78" s="190">
        <v>680688</v>
      </c>
      <c r="J78" s="165" t="s">
        <v>111</v>
      </c>
      <c r="K78" s="166">
        <f>K54</f>
        <v>3.6649999999999999E-3</v>
      </c>
      <c r="L78" s="50">
        <f>ROUND(I78*K78,0)</f>
        <v>2495</v>
      </c>
      <c r="O78" s="1"/>
      <c r="V78" s="651" t="str">
        <f t="shared" ref="V78:V79" si="11">+B79</f>
        <v>16.  Florida Teachers Lead Program Stipend</v>
      </c>
      <c r="W78" s="651"/>
      <c r="X78" s="651"/>
      <c r="Y78" s="191"/>
      <c r="Z78" s="191"/>
      <c r="AA78" s="191"/>
      <c r="AB78" s="191"/>
      <c r="AC78" s="134"/>
      <c r="AD78" s="9"/>
    </row>
    <row r="79" spans="1:30" ht="21" customHeight="1" x14ac:dyDescent="0.25">
      <c r="B79" s="669" t="s">
        <v>137</v>
      </c>
      <c r="C79" s="669"/>
      <c r="D79" s="669"/>
      <c r="E79" s="13"/>
      <c r="F79" s="13"/>
      <c r="H79" s="164"/>
      <c r="I79" s="172"/>
      <c r="J79" s="172"/>
      <c r="K79" s="172"/>
      <c r="L79" s="129"/>
      <c r="N79" s="192"/>
      <c r="O79" s="1"/>
      <c r="Q79" s="164"/>
      <c r="V79" s="651" t="str">
        <f t="shared" si="11"/>
        <v>17.  Food Service Allocation</v>
      </c>
      <c r="W79" s="651"/>
      <c r="X79" s="651"/>
      <c r="Y79" s="191"/>
      <c r="Z79" s="191"/>
      <c r="AA79" s="191"/>
      <c r="AB79" s="191"/>
      <c r="AC79" s="193"/>
      <c r="AD79" s="9"/>
    </row>
    <row r="80" spans="1:30" ht="21" customHeight="1" x14ac:dyDescent="0.25">
      <c r="B80" s="669" t="s">
        <v>138</v>
      </c>
      <c r="C80" s="669"/>
      <c r="D80" s="669"/>
      <c r="E80" s="13"/>
      <c r="F80" s="13"/>
      <c r="H80" s="194" t="s">
        <v>139</v>
      </c>
      <c r="I80" s="195"/>
      <c r="J80" s="195"/>
      <c r="K80" s="195"/>
      <c r="L80" s="196"/>
      <c r="N80" s="197"/>
      <c r="O80" s="1"/>
      <c r="Q80" s="164"/>
      <c r="V80" s="191"/>
      <c r="W80" s="191"/>
      <c r="X80" s="191"/>
      <c r="Y80" s="191"/>
      <c r="Z80" s="191"/>
      <c r="AA80" s="191"/>
      <c r="AB80" s="191"/>
      <c r="AC80" s="193"/>
      <c r="AD80" s="9"/>
    </row>
    <row r="81" spans="1:30" ht="21" customHeight="1" thickBot="1" x14ac:dyDescent="0.3">
      <c r="B81" s="13"/>
      <c r="C81" s="13"/>
      <c r="D81" s="13"/>
      <c r="E81" s="13"/>
      <c r="F81" s="13"/>
      <c r="G81" s="13"/>
      <c r="H81" s="13"/>
      <c r="I81" s="13"/>
      <c r="J81" s="13"/>
      <c r="K81" s="13"/>
      <c r="L81" s="196"/>
      <c r="M81" s="198"/>
      <c r="N81" s="197"/>
      <c r="O81" s="1"/>
      <c r="Q81" s="164"/>
      <c r="V81" s="191" t="s">
        <v>140</v>
      </c>
      <c r="W81" s="191"/>
      <c r="X81" s="191"/>
      <c r="Y81" s="191"/>
      <c r="Z81" s="191"/>
      <c r="AA81" s="191"/>
      <c r="AB81" s="191"/>
      <c r="AC81" s="199">
        <f>SUM(AC44:AC80)</f>
        <v>8303</v>
      </c>
      <c r="AD81" s="200"/>
    </row>
    <row r="82" spans="1:30" ht="22.5" customHeight="1" thickTop="1" thickBot="1" x14ac:dyDescent="0.3">
      <c r="B82" s="13" t="s">
        <v>141</v>
      </c>
      <c r="C82" s="13"/>
      <c r="D82" s="13"/>
      <c r="E82" s="13"/>
      <c r="F82" s="13"/>
      <c r="G82" s="13"/>
      <c r="H82" s="13"/>
      <c r="I82" s="13"/>
      <c r="J82" s="13"/>
      <c r="K82" s="13"/>
      <c r="L82" s="201">
        <f>SUM(L44:L81)</f>
        <v>4496064</v>
      </c>
      <c r="M82" s="202"/>
      <c r="N82" s="203"/>
      <c r="O82" s="1"/>
      <c r="Q82" s="164"/>
      <c r="V82" s="191"/>
      <c r="W82" s="191"/>
      <c r="X82" s="191"/>
      <c r="Y82" s="191"/>
      <c r="Z82" s="191"/>
      <c r="AA82" s="191"/>
      <c r="AB82" s="191"/>
      <c r="AC82" s="204"/>
      <c r="AD82" s="200"/>
    </row>
    <row r="83" spans="1:30" ht="27.75" customHeight="1" thickTop="1" x14ac:dyDescent="0.25">
      <c r="B83" s="13" t="s">
        <v>142</v>
      </c>
      <c r="C83" s="13"/>
      <c r="D83" s="13"/>
      <c r="E83" s="13"/>
      <c r="F83" s="13"/>
      <c r="G83" s="13"/>
      <c r="H83" s="13"/>
      <c r="I83" s="13"/>
      <c r="J83" s="13"/>
      <c r="K83" s="82" t="s">
        <v>143</v>
      </c>
      <c r="L83" s="205" t="s">
        <v>144</v>
      </c>
      <c r="M83" s="202"/>
      <c r="N83" s="203"/>
      <c r="O83" s="1"/>
      <c r="Q83" s="164"/>
      <c r="V83" s="9" t="s">
        <v>145</v>
      </c>
      <c r="W83" s="9"/>
      <c r="X83" s="9"/>
      <c r="Y83" s="9"/>
      <c r="Z83" s="9"/>
      <c r="AA83" s="9"/>
      <c r="AB83" s="9"/>
      <c r="AC83" s="9"/>
      <c r="AD83" s="206"/>
    </row>
    <row r="84" spans="1:30" ht="18.75" customHeight="1" thickBot="1" x14ac:dyDescent="0.3">
      <c r="B84" s="13" t="s">
        <v>146</v>
      </c>
      <c r="C84" s="13"/>
      <c r="D84" s="13"/>
      <c r="E84" s="13"/>
      <c r="F84" s="13"/>
      <c r="G84" s="13"/>
      <c r="H84" s="13"/>
      <c r="I84" s="13"/>
      <c r="J84" s="13"/>
      <c r="K84" s="207" t="str">
        <f>IF(G26=0,"",IF((G11+G13+SUM(G15:G21))/G26&gt;0.75,1,""))</f>
        <v/>
      </c>
      <c r="L84" s="201">
        <f>'4000'!AC81</f>
        <v>8303</v>
      </c>
      <c r="M84" s="202"/>
      <c r="N84" s="203"/>
      <c r="O84" s="1"/>
      <c r="Q84" s="164"/>
      <c r="V84" s="208" t="s">
        <v>147</v>
      </c>
      <c r="W84" s="208"/>
      <c r="X84" s="208"/>
      <c r="Y84" s="208"/>
      <c r="Z84" s="208"/>
      <c r="AA84" s="208"/>
      <c r="AB84" s="208"/>
      <c r="AC84" s="208"/>
      <c r="AD84" s="9"/>
    </row>
    <row r="85" spans="1:30" ht="18.75" customHeight="1" thickTop="1" x14ac:dyDescent="0.25">
      <c r="B85" s="13"/>
      <c r="C85" s="13"/>
      <c r="D85" s="13"/>
      <c r="E85" s="13"/>
      <c r="F85" s="13"/>
      <c r="G85" s="13"/>
      <c r="H85" s="13"/>
      <c r="I85" s="13"/>
      <c r="J85" s="13"/>
      <c r="M85" s="202"/>
      <c r="N85" s="203"/>
      <c r="O85" s="1"/>
      <c r="Q85" s="164"/>
      <c r="V85" s="208" t="s">
        <v>148</v>
      </c>
      <c r="W85" s="208"/>
      <c r="X85" s="208"/>
      <c r="Y85" s="208"/>
      <c r="Z85" s="208"/>
      <c r="AA85" s="208"/>
      <c r="AB85" s="208"/>
      <c r="AC85" s="208"/>
      <c r="AD85" s="206"/>
    </row>
    <row r="86" spans="1:30" ht="18.75" customHeight="1" x14ac:dyDescent="0.25">
      <c r="B86" s="2" t="s">
        <v>149</v>
      </c>
      <c r="C86" s="13"/>
      <c r="D86" s="13"/>
      <c r="E86" s="13"/>
      <c r="F86" s="13"/>
      <c r="G86" s="13"/>
      <c r="H86" s="13"/>
      <c r="I86" s="13"/>
      <c r="J86" s="209" t="s">
        <v>150</v>
      </c>
      <c r="K86" s="210">
        <f>IF(K84=1,L84,L82)</f>
        <v>4496064</v>
      </c>
      <c r="L86" s="211">
        <f>IF(G26=0,0,IF(G26&gt;250,-(((250/G26)*K86)*IF(M86="H",0.02,0.05)),IF(M86="H",-0.02*K86,-0.05*K86)))</f>
        <v>-83465.708260314263</v>
      </c>
      <c r="M86" s="212" t="str">
        <f>IF(B123="2801","H",IF(B123="2911","H",IF(B123="3382","H"," ")))</f>
        <v xml:space="preserve"> </v>
      </c>
      <c r="N86" s="203"/>
      <c r="O86" s="1"/>
      <c r="Q86" s="164"/>
      <c r="V86" s="208" t="s">
        <v>151</v>
      </c>
      <c r="W86" s="208"/>
      <c r="X86" s="208"/>
      <c r="Y86" s="208"/>
      <c r="Z86" s="208"/>
      <c r="AA86" s="208"/>
      <c r="AB86" s="208"/>
      <c r="AC86" s="208"/>
      <c r="AD86" s="206"/>
    </row>
    <row r="87" spans="1:30" ht="18.75" customHeight="1" x14ac:dyDescent="0.25">
      <c r="B87" s="2" t="s">
        <v>152</v>
      </c>
      <c r="C87" s="13"/>
      <c r="D87" s="13"/>
      <c r="E87" s="13"/>
      <c r="F87" s="13"/>
      <c r="G87" s="13"/>
      <c r="H87" s="13"/>
      <c r="I87" s="13"/>
      <c r="J87" s="13"/>
      <c r="K87" s="213"/>
      <c r="L87" s="205">
        <f>L82+L86</f>
        <v>4412598.2917396855</v>
      </c>
      <c r="M87" s="202"/>
      <c r="N87" s="203"/>
      <c r="O87" s="1"/>
      <c r="Q87" s="164"/>
      <c r="V87" s="198"/>
      <c r="W87" s="198"/>
      <c r="X87" s="198"/>
      <c r="Y87" s="198"/>
      <c r="Z87" s="198"/>
      <c r="AA87" s="198"/>
      <c r="AB87" s="198"/>
      <c r="AC87" s="198"/>
      <c r="AD87" s="214"/>
    </row>
    <row r="88" spans="1:30" x14ac:dyDescent="0.25">
      <c r="V88" s="198"/>
      <c r="W88" s="198"/>
      <c r="X88" s="198"/>
      <c r="Y88" s="198"/>
      <c r="Z88" s="198"/>
      <c r="AA88" s="198"/>
      <c r="AB88" s="198"/>
      <c r="AC88" s="198"/>
      <c r="AD88" s="215"/>
    </row>
    <row r="89" spans="1:30" ht="18.75" customHeight="1" x14ac:dyDescent="0.25">
      <c r="A89" s="1" t="s">
        <v>153</v>
      </c>
      <c r="B89" s="13" t="s">
        <v>154</v>
      </c>
      <c r="C89" s="13"/>
      <c r="D89" s="13">
        <v>2354153</v>
      </c>
      <c r="E89" s="13">
        <v>360905</v>
      </c>
      <c r="F89" s="13">
        <v>3797702</v>
      </c>
      <c r="G89" s="13"/>
      <c r="H89" s="13"/>
      <c r="I89" s="13"/>
      <c r="J89" s="13"/>
      <c r="K89" s="213"/>
      <c r="L89" s="84">
        <f>-F89-309709</f>
        <v>-4107411</v>
      </c>
      <c r="M89" s="202"/>
      <c r="N89" s="203"/>
      <c r="O89" s="1"/>
      <c r="Q89" s="164"/>
      <c r="V89" s="198">
        <v>2801</v>
      </c>
      <c r="W89" s="198"/>
      <c r="X89" s="198"/>
      <c r="Y89" s="198"/>
      <c r="Z89" s="198"/>
      <c r="AA89" s="198"/>
      <c r="AB89" s="198"/>
      <c r="AC89" s="198"/>
      <c r="AD89" s="214"/>
    </row>
    <row r="90" spans="1:30" ht="18.75" customHeight="1" x14ac:dyDescent="0.25">
      <c r="B90" s="13" t="s">
        <v>155</v>
      </c>
      <c r="C90" s="13"/>
      <c r="D90" s="13"/>
      <c r="E90" s="13"/>
      <c r="F90" s="13"/>
      <c r="G90" s="13"/>
      <c r="H90" s="13"/>
      <c r="I90" s="13"/>
      <c r="J90" s="13"/>
      <c r="K90" s="213"/>
      <c r="L90" s="205">
        <f>L87+L89</f>
        <v>305187.29173968546</v>
      </c>
      <c r="M90" s="202"/>
      <c r="N90" s="203"/>
      <c r="O90" s="1"/>
      <c r="Q90" s="164"/>
      <c r="V90" s="198">
        <v>2911</v>
      </c>
      <c r="W90" s="216"/>
      <c r="X90" s="216"/>
      <c r="Y90" s="216"/>
      <c r="Z90" s="216"/>
      <c r="AA90" s="216"/>
      <c r="AB90" s="216"/>
      <c r="AC90" s="216"/>
      <c r="AD90" s="214"/>
    </row>
    <row r="91" spans="1:30" ht="18.75" customHeight="1" x14ac:dyDescent="0.25">
      <c r="B91" s="13" t="s">
        <v>156</v>
      </c>
      <c r="C91" s="13"/>
      <c r="D91" s="13"/>
      <c r="E91" s="13"/>
      <c r="F91" s="13"/>
      <c r="G91" s="13"/>
      <c r="H91" s="13"/>
      <c r="I91" s="13"/>
      <c r="J91" s="13"/>
      <c r="K91" s="213"/>
      <c r="L91" s="205">
        <v>1</v>
      </c>
      <c r="M91" s="202"/>
      <c r="N91" s="203"/>
      <c r="O91" s="1"/>
      <c r="Q91" s="164"/>
      <c r="V91" s="198">
        <v>3382</v>
      </c>
      <c r="W91" s="216"/>
      <c r="X91" s="216"/>
      <c r="Y91" s="216"/>
      <c r="Z91" s="216"/>
      <c r="AA91" s="216"/>
      <c r="AB91" s="216"/>
      <c r="AC91" s="216"/>
      <c r="AD91" s="214"/>
    </row>
    <row r="92" spans="1:30" ht="18.75" customHeight="1" thickBot="1" x14ac:dyDescent="0.3">
      <c r="B92" s="13" t="s">
        <v>157</v>
      </c>
      <c r="C92" s="13"/>
      <c r="D92" s="13"/>
      <c r="E92" s="13"/>
      <c r="F92" s="13"/>
      <c r="G92" s="13"/>
      <c r="H92" s="13"/>
      <c r="I92" s="13"/>
      <c r="J92" s="13"/>
      <c r="K92" s="213"/>
      <c r="L92" s="217">
        <f>L90/L91</f>
        <v>305187.29173968546</v>
      </c>
      <c r="M92" s="202"/>
      <c r="N92" s="203"/>
      <c r="O92" s="1"/>
      <c r="Q92" s="164"/>
      <c r="V92" s="218"/>
      <c r="W92" s="218"/>
      <c r="X92" s="218"/>
      <c r="Y92" s="218"/>
      <c r="Z92" s="218"/>
      <c r="AA92" s="218"/>
      <c r="AB92" s="218"/>
      <c r="AC92" s="218"/>
      <c r="AD92" s="219"/>
    </row>
    <row r="93" spans="1:30" ht="18.75" customHeight="1" thickTop="1" x14ac:dyDescent="0.25">
      <c r="N93" s="219"/>
      <c r="O93" s="220"/>
      <c r="P93" s="219"/>
      <c r="Q93" s="219"/>
      <c r="V93" s="218"/>
      <c r="W93" s="218"/>
      <c r="X93" s="218"/>
      <c r="Y93" s="218"/>
      <c r="Z93" s="218"/>
      <c r="AA93" s="218"/>
      <c r="AB93" s="218"/>
      <c r="AC93" s="218"/>
      <c r="AD93" s="214"/>
    </row>
    <row r="94" spans="1:30" ht="18.75" customHeight="1" thickBot="1" x14ac:dyDescent="0.3">
      <c r="B94" s="221" t="s">
        <v>158</v>
      </c>
      <c r="C94" s="13"/>
      <c r="D94" s="13"/>
      <c r="E94" s="13"/>
      <c r="G94" s="13"/>
      <c r="H94" s="13"/>
      <c r="I94" s="13"/>
      <c r="J94" s="13"/>
      <c r="L94" s="222">
        <f>IF(M86="H",(K86*0.02)+L86,(K86*0.05)+L86)</f>
        <v>141337.49173968576</v>
      </c>
      <c r="M94" s="202"/>
      <c r="V94" s="223"/>
      <c r="W94" s="223"/>
      <c r="X94" s="223"/>
      <c r="Y94" s="223"/>
      <c r="Z94" s="223"/>
      <c r="AA94" s="223"/>
      <c r="AB94" s="223"/>
      <c r="AC94" s="223"/>
      <c r="AD94" s="214"/>
    </row>
    <row r="95" spans="1:30" ht="21.75" customHeight="1" thickTop="1" x14ac:dyDescent="0.25">
      <c r="B95" s="224" t="s">
        <v>159</v>
      </c>
      <c r="C95" s="224"/>
      <c r="D95" s="224"/>
      <c r="E95" s="224"/>
      <c r="F95" s="224"/>
      <c r="G95" s="224"/>
      <c r="H95" s="224"/>
      <c r="I95" s="224"/>
      <c r="J95" s="224"/>
      <c r="K95" s="224"/>
      <c r="L95" s="224"/>
      <c r="M95" s="219"/>
      <c r="V95" s="223"/>
      <c r="W95" s="223"/>
      <c r="X95" s="223"/>
      <c r="Y95" s="223"/>
      <c r="Z95" s="223"/>
      <c r="AA95" s="223"/>
      <c r="AB95" s="223"/>
      <c r="AC95" s="223"/>
      <c r="AD95" s="214"/>
    </row>
    <row r="96" spans="1:30" x14ac:dyDescent="0.25">
      <c r="B96" s="225"/>
      <c r="V96" s="223"/>
      <c r="W96" s="223"/>
      <c r="X96" s="223"/>
      <c r="Y96" s="223"/>
      <c r="Z96" s="223"/>
      <c r="AA96" s="223"/>
      <c r="AB96" s="223"/>
      <c r="AC96" s="223"/>
      <c r="AD96" s="219"/>
    </row>
    <row r="97" spans="2:30" x14ac:dyDescent="0.25">
      <c r="B97" s="225"/>
      <c r="V97" s="223"/>
      <c r="W97" s="223"/>
      <c r="X97" s="223"/>
      <c r="Y97" s="223"/>
      <c r="Z97" s="223"/>
      <c r="AA97" s="223"/>
      <c r="AB97" s="223"/>
      <c r="AC97" s="223"/>
      <c r="AD97" s="219"/>
    </row>
    <row r="98" spans="2:30" hidden="1" x14ac:dyDescent="0.25">
      <c r="B98" s="226" t="s">
        <v>160</v>
      </c>
      <c r="C98" s="227"/>
      <c r="V98" s="228"/>
      <c r="W98" s="228"/>
      <c r="X98" s="228"/>
      <c r="Y98" s="228"/>
      <c r="Z98" s="228"/>
      <c r="AA98" s="228"/>
      <c r="AB98" s="228"/>
      <c r="AC98" s="228"/>
    </row>
    <row r="99" spans="2:30" hidden="1" x14ac:dyDescent="0.25">
      <c r="B99" s="229"/>
      <c r="C99" s="227"/>
      <c r="V99" s="225"/>
      <c r="W99" s="13"/>
      <c r="X99" s="13"/>
      <c r="Y99" s="13"/>
      <c r="Z99" s="13"/>
      <c r="AA99" s="13"/>
      <c r="AB99" s="13"/>
      <c r="AC99" s="13"/>
    </row>
    <row r="100" spans="2:30" hidden="1" x14ac:dyDescent="0.25">
      <c r="B100" s="230" t="s">
        <v>161</v>
      </c>
      <c r="C100" s="226" t="s">
        <v>162</v>
      </c>
      <c r="V100" s="225"/>
    </row>
    <row r="101" spans="2:30" hidden="1" x14ac:dyDescent="0.25">
      <c r="B101" s="230" t="s">
        <v>163</v>
      </c>
      <c r="C101" s="226" t="s">
        <v>164</v>
      </c>
      <c r="V101" s="225"/>
    </row>
    <row r="102" spans="2:30" hidden="1" x14ac:dyDescent="0.25">
      <c r="B102" s="230" t="s">
        <v>165</v>
      </c>
      <c r="C102" s="226" t="s">
        <v>166</v>
      </c>
      <c r="V102" s="225"/>
      <c r="W102" s="231"/>
      <c r="X102" s="231"/>
      <c r="Y102" s="231"/>
      <c r="Z102" s="231"/>
      <c r="AA102" s="231"/>
      <c r="AB102" s="231"/>
      <c r="AC102" s="231"/>
      <c r="AD102" s="231"/>
    </row>
    <row r="103" spans="2:30" hidden="1" x14ac:dyDescent="0.25">
      <c r="B103" s="230" t="s">
        <v>167</v>
      </c>
      <c r="C103" s="226" t="s">
        <v>168</v>
      </c>
      <c r="V103" s="225"/>
    </row>
    <row r="104" spans="2:30" hidden="1" x14ac:dyDescent="0.25">
      <c r="B104" s="232"/>
      <c r="C104" s="226" t="s">
        <v>169</v>
      </c>
      <c r="V104" s="225"/>
    </row>
    <row r="105" spans="2:30" hidden="1" x14ac:dyDescent="0.25">
      <c r="B105" s="230" t="s">
        <v>170</v>
      </c>
      <c r="C105" s="226" t="s">
        <v>171</v>
      </c>
      <c r="V105" s="225"/>
    </row>
    <row r="106" spans="2:30" hidden="1" x14ac:dyDescent="0.25">
      <c r="B106" s="230" t="s">
        <v>172</v>
      </c>
      <c r="C106" s="226" t="s">
        <v>173</v>
      </c>
      <c r="V106" s="225"/>
    </row>
    <row r="107" spans="2:30" hidden="1" x14ac:dyDescent="0.25">
      <c r="B107" s="230" t="s">
        <v>321</v>
      </c>
      <c r="C107" s="226" t="s">
        <v>175</v>
      </c>
      <c r="V107" s="225"/>
    </row>
    <row r="108" spans="2:30" hidden="1" x14ac:dyDescent="0.25">
      <c r="B108" s="230" t="s">
        <v>176</v>
      </c>
      <c r="C108" s="226" t="s">
        <v>177</v>
      </c>
      <c r="V108" s="225"/>
    </row>
    <row r="109" spans="2:30" hidden="1" x14ac:dyDescent="0.25">
      <c r="B109" s="230" t="s">
        <v>178</v>
      </c>
      <c r="C109" s="226" t="s">
        <v>179</v>
      </c>
      <c r="V109" s="225"/>
    </row>
    <row r="110" spans="2:30" hidden="1" x14ac:dyDescent="0.25">
      <c r="B110" s="232"/>
      <c r="C110" s="226"/>
      <c r="V110" s="225"/>
    </row>
    <row r="111" spans="2:30" hidden="1" x14ac:dyDescent="0.25">
      <c r="B111" s="230" t="s">
        <v>180</v>
      </c>
      <c r="C111" s="226" t="s">
        <v>181</v>
      </c>
      <c r="V111" s="225"/>
    </row>
    <row r="112" spans="2:30" hidden="1" x14ac:dyDescent="0.25">
      <c r="B112" s="230" t="s">
        <v>180</v>
      </c>
      <c r="C112" s="226" t="s">
        <v>182</v>
      </c>
    </row>
    <row r="113" spans="2:3" hidden="1" x14ac:dyDescent="0.25">
      <c r="B113" s="230" t="s">
        <v>183</v>
      </c>
      <c r="C113" s="226" t="s">
        <v>184</v>
      </c>
    </row>
    <row r="114" spans="2:3" hidden="1" x14ac:dyDescent="0.25">
      <c r="B114" s="230" t="s">
        <v>185</v>
      </c>
      <c r="C114" s="226" t="s">
        <v>186</v>
      </c>
    </row>
    <row r="115" spans="2:3" hidden="1" x14ac:dyDescent="0.25">
      <c r="B115" s="230" t="s">
        <v>183</v>
      </c>
      <c r="C115" s="226" t="s">
        <v>187</v>
      </c>
    </row>
    <row r="116" spans="2:3" hidden="1" x14ac:dyDescent="0.25">
      <c r="B116" s="230" t="s">
        <v>188</v>
      </c>
      <c r="C116" s="226" t="s">
        <v>189</v>
      </c>
    </row>
    <row r="117" spans="2:3" hidden="1" x14ac:dyDescent="0.25">
      <c r="B117" s="230" t="s">
        <v>190</v>
      </c>
      <c r="C117" s="226" t="s">
        <v>191</v>
      </c>
    </row>
    <row r="118" spans="2:3" hidden="1" x14ac:dyDescent="0.25">
      <c r="B118" s="232" t="s">
        <v>192</v>
      </c>
      <c r="C118" s="226" t="s">
        <v>193</v>
      </c>
    </row>
    <row r="119" spans="2:3" hidden="1" x14ac:dyDescent="0.25">
      <c r="B119" s="232"/>
      <c r="C119" s="226"/>
    </row>
    <row r="120" spans="2:3" hidden="1" x14ac:dyDescent="0.25">
      <c r="B120" s="230" t="s">
        <v>161</v>
      </c>
      <c r="C120" s="226" t="s">
        <v>194</v>
      </c>
    </row>
    <row r="121" spans="2:3" hidden="1" x14ac:dyDescent="0.25">
      <c r="B121" s="230" t="s">
        <v>195</v>
      </c>
      <c r="C121" s="226" t="s">
        <v>196</v>
      </c>
    </row>
    <row r="122" spans="2:3" hidden="1" x14ac:dyDescent="0.25">
      <c r="B122" s="230" t="s">
        <v>197</v>
      </c>
      <c r="C122" s="226" t="s">
        <v>198</v>
      </c>
    </row>
    <row r="123" spans="2:3" hidden="1" x14ac:dyDescent="0.25">
      <c r="B123" s="230" t="s">
        <v>322</v>
      </c>
      <c r="C123" s="226" t="s">
        <v>200</v>
      </c>
    </row>
    <row r="124" spans="2:3" hidden="1" x14ac:dyDescent="0.25">
      <c r="B124" s="230" t="s">
        <v>323</v>
      </c>
      <c r="C124" s="226" t="s">
        <v>202</v>
      </c>
    </row>
    <row r="125" spans="2:3" hidden="1" x14ac:dyDescent="0.25">
      <c r="B125" s="230" t="s">
        <v>203</v>
      </c>
      <c r="C125" s="226" t="s">
        <v>204</v>
      </c>
    </row>
    <row r="126" spans="2:3" hidden="1" x14ac:dyDescent="0.25">
      <c r="B126" s="230" t="s">
        <v>203</v>
      </c>
      <c r="C126" s="226" t="s">
        <v>205</v>
      </c>
    </row>
    <row r="127" spans="2:3" hidden="1" x14ac:dyDescent="0.25">
      <c r="B127" s="230" t="s">
        <v>203</v>
      </c>
      <c r="C127" s="226" t="s">
        <v>206</v>
      </c>
    </row>
    <row r="128" spans="2:3" hidden="1" x14ac:dyDescent="0.25">
      <c r="B128" s="230" t="s">
        <v>203</v>
      </c>
      <c r="C128" s="226" t="s">
        <v>207</v>
      </c>
    </row>
    <row r="129" spans="2:3" hidden="1" x14ac:dyDescent="0.25">
      <c r="B129" s="230" t="s">
        <v>167</v>
      </c>
      <c r="C129" s="226" t="s">
        <v>208</v>
      </c>
    </row>
    <row r="130" spans="2:3" hidden="1" x14ac:dyDescent="0.25">
      <c r="B130" s="230" t="s">
        <v>209</v>
      </c>
      <c r="C130" s="226" t="s">
        <v>210</v>
      </c>
    </row>
    <row r="131" spans="2:3" hidden="1" x14ac:dyDescent="0.25">
      <c r="B131" s="230" t="s">
        <v>203</v>
      </c>
      <c r="C131" s="226" t="s">
        <v>211</v>
      </c>
    </row>
    <row r="132" spans="2:3" hidden="1" x14ac:dyDescent="0.25">
      <c r="B132" s="226"/>
      <c r="C132" s="226"/>
    </row>
    <row r="133" spans="2:3" hidden="1" x14ac:dyDescent="0.25">
      <c r="B133" s="226"/>
      <c r="C133" s="226"/>
    </row>
    <row r="134" spans="2:3" hidden="1" x14ac:dyDescent="0.25">
      <c r="B134" s="232"/>
      <c r="C134" s="232"/>
    </row>
    <row r="135" spans="2:3" hidden="1" x14ac:dyDescent="0.25">
      <c r="B135" s="232">
        <f>NvsElapsedTime</f>
        <v>1.15740767796524E-5</v>
      </c>
      <c r="C135" s="232"/>
    </row>
    <row r="136" spans="2:3" hidden="1" x14ac:dyDescent="0.25">
      <c r="B136" s="233">
        <f>NvsEndTime</f>
        <v>41754.488125000003</v>
      </c>
      <c r="C136" s="233" t="s">
        <v>212</v>
      </c>
    </row>
    <row r="137" spans="2:3" x14ac:dyDescent="0.25">
      <c r="B137" s="226"/>
      <c r="C137" s="234"/>
    </row>
    <row r="138" spans="2:3" x14ac:dyDescent="0.25">
      <c r="B138" s="226"/>
      <c r="C138" s="226"/>
    </row>
    <row r="139" spans="2:3" x14ac:dyDescent="0.25">
      <c r="B139" s="226"/>
      <c r="C139" s="226"/>
    </row>
    <row r="140" spans="2:3" x14ac:dyDescent="0.25">
      <c r="B140" s="226"/>
      <c r="C140" s="226"/>
    </row>
    <row r="141" spans="2:3" x14ac:dyDescent="0.25">
      <c r="B141" s="226"/>
      <c r="C141" s="226"/>
    </row>
    <row r="142" spans="2:3" x14ac:dyDescent="0.25">
      <c r="B142" s="226"/>
      <c r="C142" s="226"/>
    </row>
    <row r="143" spans="2:3" x14ac:dyDescent="0.25">
      <c r="B143" s="226"/>
      <c r="C143" s="226"/>
    </row>
    <row r="144" spans="2:3" x14ac:dyDescent="0.25">
      <c r="B144" s="226"/>
      <c r="C144" s="226"/>
    </row>
    <row r="145" spans="2:3" x14ac:dyDescent="0.25">
      <c r="B145" s="226"/>
      <c r="C145" s="226"/>
    </row>
    <row r="146" spans="2:3" x14ac:dyDescent="0.25">
      <c r="B146" s="226"/>
      <c r="C146" s="226"/>
    </row>
    <row r="147" spans="2:3" x14ac:dyDescent="0.25">
      <c r="B147" s="226"/>
      <c r="C147" s="226"/>
    </row>
    <row r="148" spans="2:3" x14ac:dyDescent="0.25">
      <c r="B148" s="226"/>
      <c r="C148" s="226"/>
    </row>
    <row r="149" spans="2:3" x14ac:dyDescent="0.25">
      <c r="B149" s="226"/>
      <c r="C149" s="226"/>
    </row>
    <row r="150" spans="2:3" x14ac:dyDescent="0.25">
      <c r="B150" s="226"/>
      <c r="C150" s="226"/>
    </row>
    <row r="151" spans="2:3" x14ac:dyDescent="0.25">
      <c r="B151" s="226"/>
      <c r="C151" s="226"/>
    </row>
  </sheetData>
  <mergeCells count="151">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9:W9"/>
    <mergeCell ref="X9:Y9"/>
    <mergeCell ref="Z9:AA9"/>
    <mergeCell ref="V10:W10"/>
    <mergeCell ref="X10:Y10"/>
    <mergeCell ref="Z10:AA10"/>
    <mergeCell ref="V7:W7"/>
    <mergeCell ref="X7:Y7"/>
    <mergeCell ref="Z7:AA7"/>
    <mergeCell ref="AB7:AC7"/>
    <mergeCell ref="V8:W8"/>
    <mergeCell ref="X8:Y8"/>
    <mergeCell ref="Z8:AA8"/>
    <mergeCell ref="W2:AC2"/>
    <mergeCell ref="V3:AC3"/>
    <mergeCell ref="V4:AC4"/>
    <mergeCell ref="V5:W5"/>
    <mergeCell ref="X5:Y5"/>
    <mergeCell ref="V6:AC6"/>
  </mergeCells>
  <printOptions horizontalCentered="1"/>
  <pageMargins left="0" right="0" top="0.67" bottom="0.2" header="0.25" footer="0.196850393700787"/>
  <pageSetup scale="72" fitToHeight="2" orientation="portrait" r:id="rId1"/>
  <headerFooter alignWithMargins="0">
    <oddHeader>&amp;L&amp;8&amp;F
&amp;D &amp;T</oddHeader>
    <oddFooter>&amp;C&amp;P</oddFooter>
  </headerFooter>
  <rowBreaks count="1" manualBreakCount="1">
    <brk id="51" max="16383" man="1"/>
  </rowBreaks>
  <legacyDrawing r:id="rId2"/>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D151"/>
  <sheetViews>
    <sheetView topLeftCell="B11" zoomScale="70" zoomScaleNormal="70" workbookViewId="0">
      <selection activeCell="L71" sqref="L70:L71"/>
    </sheetView>
  </sheetViews>
  <sheetFormatPr defaultColWidth="8.7109375" defaultRowHeight="15.75" x14ac:dyDescent="0.25"/>
  <cols>
    <col min="1" max="1" width="11.28515625" style="1" hidden="1" customWidth="1"/>
    <col min="2" max="2" width="10.28515625" style="2" customWidth="1"/>
    <col min="3" max="3" width="29" style="1" customWidth="1"/>
    <col min="4" max="5" width="12.28515625" style="1" customWidth="1"/>
    <col min="6" max="6" width="12.28515625" style="1" hidden="1" customWidth="1"/>
    <col min="7" max="7" width="16.140625" style="1" customWidth="1"/>
    <col min="8" max="8" width="6.7109375" style="1" customWidth="1"/>
    <col min="9" max="9" width="14.28515625" style="1" customWidth="1"/>
    <col min="10" max="10" width="12.85546875" style="1" customWidth="1"/>
    <col min="11" max="11" width="16.140625" style="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28515625" style="1" customWidth="1"/>
    <col min="18" max="18" width="8.85546875" style="1"/>
    <col min="19" max="21" width="0" style="1" hidden="1" customWidth="1"/>
    <col min="22" max="23" width="8.85546875" style="1"/>
    <col min="24" max="24" width="12.7109375" style="1" customWidth="1"/>
    <col min="25" max="27" width="8.85546875" style="1"/>
    <col min="28" max="28" width="13.140625" style="1" bestFit="1" customWidth="1"/>
    <col min="29" max="16384" width="8.7109375" style="1"/>
  </cols>
  <sheetData>
    <row r="1" spans="1:30" ht="15.6"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7"/>
      <c r="N2" s="3"/>
      <c r="O2" s="1"/>
      <c r="V2" s="8">
        <f>'4000 June Final'!B2</f>
        <v>50</v>
      </c>
      <c r="W2" s="606" t="s">
        <v>4</v>
      </c>
      <c r="X2" s="607"/>
      <c r="Y2" s="608"/>
      <c r="Z2" s="608"/>
      <c r="AA2" s="608"/>
      <c r="AB2" s="608"/>
      <c r="AC2" s="608"/>
      <c r="AD2" s="9"/>
    </row>
    <row r="3" spans="1:30" ht="20.25" x14ac:dyDescent="0.3">
      <c r="B3" s="10" t="str">
        <f>"Revenue Estimate Worksheet for "&amp;B124</f>
        <v>Revenue Estimate Worksheet for Renaissance Cht SchPalmsWest</v>
      </c>
      <c r="C3" s="11"/>
      <c r="D3" s="11"/>
      <c r="E3" s="11"/>
      <c r="F3" s="11"/>
      <c r="G3" s="11"/>
      <c r="H3" s="11"/>
      <c r="I3" s="11"/>
      <c r="J3" s="11"/>
      <c r="K3" s="11"/>
      <c r="L3" s="11"/>
      <c r="M3" s="10"/>
      <c r="N3" s="10"/>
      <c r="O3" s="10"/>
      <c r="P3" s="10"/>
      <c r="Q3" s="10"/>
      <c r="V3" s="609" t="s">
        <v>5</v>
      </c>
      <c r="W3" s="609"/>
      <c r="X3" s="609"/>
      <c r="Y3" s="609"/>
      <c r="Z3" s="609"/>
      <c r="AA3" s="609"/>
      <c r="AB3" s="609"/>
      <c r="AC3" s="609"/>
      <c r="AD3" s="12"/>
    </row>
    <row r="4" spans="1:30" ht="18.75" x14ac:dyDescent="0.3">
      <c r="B4" s="2" t="s">
        <v>6</v>
      </c>
      <c r="C4" s="13"/>
      <c r="D4" s="13"/>
      <c r="E4" s="13"/>
      <c r="F4" s="13"/>
      <c r="G4" s="13"/>
      <c r="H4" s="13"/>
      <c r="I4" s="13"/>
      <c r="J4" s="13"/>
      <c r="K4" s="13"/>
      <c r="L4" s="13"/>
      <c r="M4" s="14"/>
      <c r="N4" s="14"/>
      <c r="O4" s="14"/>
      <c r="P4" s="14"/>
      <c r="Q4" s="14"/>
      <c r="V4" s="610" t="str">
        <f>+Based_on_the_Second_Calculation_of_the_FEFP_2010_11</f>
        <v>Based on the Fourth Calculation of the FEFP 2013-14</v>
      </c>
      <c r="W4" s="610"/>
      <c r="X4" s="610"/>
      <c r="Y4" s="610"/>
      <c r="Z4" s="610"/>
      <c r="AA4" s="610"/>
      <c r="AB4" s="610"/>
      <c r="AC4" s="610"/>
      <c r="AD4" s="15"/>
    </row>
    <row r="5" spans="1:30" ht="18.75" customHeight="1" x14ac:dyDescent="0.25">
      <c r="B5" s="16" t="s">
        <v>7</v>
      </c>
      <c r="C5" s="16"/>
      <c r="D5" s="16"/>
      <c r="E5" s="16"/>
      <c r="F5" s="16"/>
      <c r="G5" s="17" t="s">
        <v>8</v>
      </c>
      <c r="H5" s="17"/>
      <c r="I5" s="17"/>
      <c r="J5" s="17"/>
      <c r="K5" s="17"/>
      <c r="L5" s="17"/>
      <c r="M5" s="18"/>
      <c r="N5" s="18"/>
      <c r="O5" s="18"/>
      <c r="P5" s="18"/>
      <c r="Q5" s="18"/>
      <c r="V5" s="611" t="s">
        <v>7</v>
      </c>
      <c r="W5" s="611"/>
      <c r="X5" s="612" t="s">
        <v>8</v>
      </c>
      <c r="Y5" s="612"/>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613" t="s">
        <v>9</v>
      </c>
      <c r="W6" s="613"/>
      <c r="X6" s="613"/>
      <c r="Y6" s="613"/>
      <c r="Z6" s="613"/>
      <c r="AA6" s="613"/>
      <c r="AB6" s="613"/>
      <c r="AC6" s="613"/>
      <c r="AD6" s="22"/>
    </row>
    <row r="7" spans="1:30" ht="18" customHeight="1" x14ac:dyDescent="0.25">
      <c r="B7" s="23" t="s">
        <v>10</v>
      </c>
      <c r="C7" s="23"/>
      <c r="D7" s="23"/>
      <c r="E7" s="23"/>
      <c r="F7" s="23"/>
      <c r="G7" s="24">
        <v>3752.3</v>
      </c>
      <c r="H7" s="24"/>
      <c r="I7" s="23" t="s">
        <v>11</v>
      </c>
      <c r="J7" s="23"/>
      <c r="K7" s="25">
        <v>1.0326</v>
      </c>
      <c r="L7" s="25"/>
      <c r="O7" s="1"/>
      <c r="V7" s="620" t="s">
        <v>10</v>
      </c>
      <c r="W7" s="620"/>
      <c r="X7" s="621">
        <f>'4000 June Final'!G7</f>
        <v>3752.3</v>
      </c>
      <c r="Y7" s="621"/>
      <c r="Z7" s="622" t="s">
        <v>11</v>
      </c>
      <c r="AA7" s="622"/>
      <c r="AB7" s="602">
        <f>+K7</f>
        <v>1.0326</v>
      </c>
      <c r="AC7" s="602"/>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603" t="s">
        <v>12</v>
      </c>
      <c r="W8" s="603"/>
      <c r="X8" s="604" t="s">
        <v>15</v>
      </c>
      <c r="Y8" s="604"/>
      <c r="Z8" s="605" t="s">
        <v>16</v>
      </c>
      <c r="AA8" s="605"/>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614" t="s">
        <v>22</v>
      </c>
      <c r="W9" s="614"/>
      <c r="X9" s="615" t="s">
        <v>23</v>
      </c>
      <c r="Y9" s="615"/>
      <c r="Z9" s="616" t="s">
        <v>24</v>
      </c>
      <c r="AA9" s="616"/>
      <c r="AB9" s="43" t="s">
        <v>25</v>
      </c>
      <c r="AC9" s="44" t="s">
        <v>26</v>
      </c>
      <c r="AD9" s="9"/>
    </row>
    <row r="10" spans="1:30" x14ac:dyDescent="0.25">
      <c r="A10" s="1" t="s">
        <v>27</v>
      </c>
      <c r="B10" s="45" t="s">
        <v>28</v>
      </c>
      <c r="C10" s="45"/>
      <c r="D10" s="45">
        <v>176.44</v>
      </c>
      <c r="E10" s="45">
        <v>165.69</v>
      </c>
      <c r="F10" s="45">
        <v>228.55</v>
      </c>
      <c r="G10" s="46">
        <f t="shared" ref="G10:G25" si="0">D10+E10</f>
        <v>342.13</v>
      </c>
      <c r="H10" s="47"/>
      <c r="I10" s="48">
        <v>1.125</v>
      </c>
      <c r="J10" s="48"/>
      <c r="K10" s="49">
        <f t="shared" ref="K10:K25" si="1">ROUND(G10*I10,4)</f>
        <v>384.8963</v>
      </c>
      <c r="L10" s="50">
        <f t="shared" ref="L10:L25" si="2">ROUND(ROUND(K10*$G$7,4)*($K$7),0)</f>
        <v>1491329</v>
      </c>
      <c r="N10" s="51">
        <v>5101</v>
      </c>
      <c r="O10" s="52">
        <v>101</v>
      </c>
      <c r="P10" s="53"/>
      <c r="Q10" s="54"/>
      <c r="V10" s="617" t="s">
        <v>28</v>
      </c>
      <c r="W10" s="617"/>
      <c r="X10" s="618">
        <f>IF('4000 June Final'!K$84=1,'4000 June Final'!G10,0)</f>
        <v>0</v>
      </c>
      <c r="Y10" s="618"/>
      <c r="Z10" s="619">
        <v>1</v>
      </c>
      <c r="AA10" s="619"/>
      <c r="AB10" s="55">
        <f t="shared" ref="AB10:AB25" si="3">ROUND(X10*Z10,4)</f>
        <v>0</v>
      </c>
      <c r="AC10" s="56">
        <f t="shared" ref="AC10:AC25" si="4">ROUND(ROUND(AB10*$X$7,4)*($AB$7),0)</f>
        <v>0</v>
      </c>
      <c r="AD10" s="9">
        <v>1</v>
      </c>
    </row>
    <row r="11" spans="1:30" x14ac:dyDescent="0.25">
      <c r="A11" s="1" t="s">
        <v>29</v>
      </c>
      <c r="B11" s="13" t="s">
        <v>30</v>
      </c>
      <c r="C11" s="13"/>
      <c r="D11" s="13">
        <v>25.63</v>
      </c>
      <c r="E11" s="13">
        <v>23.65</v>
      </c>
      <c r="F11" s="13">
        <v>34.76</v>
      </c>
      <c r="G11" s="46">
        <f t="shared" si="0"/>
        <v>49.28</v>
      </c>
      <c r="H11" s="47"/>
      <c r="I11" s="57">
        <f>I10</f>
        <v>1.125</v>
      </c>
      <c r="J11" s="57"/>
      <c r="K11" s="49">
        <f t="shared" si="1"/>
        <v>55.44</v>
      </c>
      <c r="L11" s="50">
        <f t="shared" si="2"/>
        <v>214809</v>
      </c>
      <c r="M11" s="1" t="str">
        <f>IF(ROUND(G11,2)=ROUND(SUM(G28:G30),2)," ","CHECK 2. PK-3 Lines Below")</f>
        <v xml:space="preserve"> </v>
      </c>
      <c r="N11" s="51">
        <v>5101</v>
      </c>
      <c r="O11" s="58" t="s">
        <v>31</v>
      </c>
      <c r="P11" s="53"/>
      <c r="Q11" s="54"/>
      <c r="V11" s="623" t="s">
        <v>30</v>
      </c>
      <c r="W11" s="623"/>
      <c r="X11" s="618">
        <f>IF('4000 June Final'!K$84=1,'4000 June Final'!G11,0)</f>
        <v>0</v>
      </c>
      <c r="Y11" s="618"/>
      <c r="Z11" s="624">
        <v>1</v>
      </c>
      <c r="AA11" s="624"/>
      <c r="AB11" s="55">
        <f t="shared" si="3"/>
        <v>0</v>
      </c>
      <c r="AC11" s="56">
        <f t="shared" si="4"/>
        <v>0</v>
      </c>
      <c r="AD11" s="9"/>
    </row>
    <row r="12" spans="1:30" x14ac:dyDescent="0.25">
      <c r="A12" s="1" t="s">
        <v>32</v>
      </c>
      <c r="B12" s="13" t="s">
        <v>33</v>
      </c>
      <c r="C12" s="13"/>
      <c r="D12" s="13">
        <v>110.43</v>
      </c>
      <c r="E12" s="13">
        <v>98.8</v>
      </c>
      <c r="F12" s="13">
        <v>142.32</v>
      </c>
      <c r="G12" s="46">
        <f t="shared" si="0"/>
        <v>209.23000000000002</v>
      </c>
      <c r="H12" s="47"/>
      <c r="I12" s="57">
        <v>1</v>
      </c>
      <c r="J12" s="57"/>
      <c r="K12" s="49">
        <f t="shared" si="1"/>
        <v>209.23</v>
      </c>
      <c r="L12" s="50">
        <f t="shared" si="2"/>
        <v>810688</v>
      </c>
      <c r="N12" s="51">
        <v>5102</v>
      </c>
      <c r="O12" s="52">
        <v>102</v>
      </c>
      <c r="P12" s="53"/>
      <c r="Q12" s="54"/>
      <c r="V12" s="623" t="s">
        <v>33</v>
      </c>
      <c r="W12" s="623"/>
      <c r="X12" s="618">
        <f>IF('4000 June Final'!K$84=1,'4000 June Final'!G12,0)</f>
        <v>0</v>
      </c>
      <c r="Y12" s="618"/>
      <c r="Z12" s="624">
        <v>1</v>
      </c>
      <c r="AA12" s="624"/>
      <c r="AB12" s="55">
        <f t="shared" si="3"/>
        <v>0</v>
      </c>
      <c r="AC12" s="56">
        <f t="shared" si="4"/>
        <v>0</v>
      </c>
      <c r="AD12" s="9"/>
    </row>
    <row r="13" spans="1:30" x14ac:dyDescent="0.25">
      <c r="A13" s="1" t="s">
        <v>34</v>
      </c>
      <c r="B13" s="13" t="s">
        <v>35</v>
      </c>
      <c r="C13" s="13"/>
      <c r="D13" s="13">
        <v>26.65</v>
      </c>
      <c r="E13" s="13">
        <v>26.39</v>
      </c>
      <c r="F13" s="13">
        <v>36.840000000000003</v>
      </c>
      <c r="G13" s="46">
        <f t="shared" si="0"/>
        <v>53.04</v>
      </c>
      <c r="H13" s="47"/>
      <c r="I13" s="57">
        <f>I12</f>
        <v>1</v>
      </c>
      <c r="J13" s="57"/>
      <c r="K13" s="49">
        <f t="shared" si="1"/>
        <v>53.04</v>
      </c>
      <c r="L13" s="50">
        <f t="shared" si="2"/>
        <v>205510</v>
      </c>
      <c r="M13" s="1" t="str">
        <f>IF(ROUND(G13,2)=ROUND(SUM(G31:G33),2)," ","CHECK 2. PK-3 Lines Below")</f>
        <v xml:space="preserve"> </v>
      </c>
      <c r="N13" s="51">
        <v>5102</v>
      </c>
      <c r="O13" s="58" t="s">
        <v>36</v>
      </c>
      <c r="P13" s="53"/>
      <c r="Q13" s="54"/>
      <c r="V13" s="623" t="s">
        <v>35</v>
      </c>
      <c r="W13" s="623"/>
      <c r="X13" s="618">
        <f>IF('4000 June Final'!K$84=1,'4000 June Final'!G13,0)</f>
        <v>0</v>
      </c>
      <c r="Y13" s="618"/>
      <c r="Z13" s="624">
        <v>1</v>
      </c>
      <c r="AA13" s="624"/>
      <c r="AB13" s="55">
        <f t="shared" si="3"/>
        <v>0</v>
      </c>
      <c r="AC13" s="56">
        <f t="shared" si="4"/>
        <v>0</v>
      </c>
      <c r="AD13" s="9"/>
    </row>
    <row r="14" spans="1:30" x14ac:dyDescent="0.25">
      <c r="A14" s="1" t="s">
        <v>37</v>
      </c>
      <c r="B14" s="13" t="s">
        <v>38</v>
      </c>
      <c r="C14" s="13"/>
      <c r="D14" s="13">
        <v>0</v>
      </c>
      <c r="E14" s="13">
        <v>0</v>
      </c>
      <c r="F14" s="13">
        <v>0</v>
      </c>
      <c r="G14" s="46">
        <f t="shared" si="0"/>
        <v>0</v>
      </c>
      <c r="H14" s="47"/>
      <c r="I14" s="57">
        <v>1.0109999999999999</v>
      </c>
      <c r="J14" s="57"/>
      <c r="K14" s="49">
        <f t="shared" si="1"/>
        <v>0</v>
      </c>
      <c r="L14" s="50">
        <f t="shared" si="2"/>
        <v>0</v>
      </c>
      <c r="N14" s="51">
        <v>5103</v>
      </c>
      <c r="O14" s="52">
        <v>103</v>
      </c>
      <c r="P14" s="53"/>
      <c r="Q14" s="54"/>
      <c r="V14" s="623" t="s">
        <v>38</v>
      </c>
      <c r="W14" s="623"/>
      <c r="X14" s="618">
        <f>IF('4000 June Final'!K$84=1,'4000 June Final'!G14,0)</f>
        <v>0</v>
      </c>
      <c r="Y14" s="618"/>
      <c r="Z14" s="624">
        <v>1</v>
      </c>
      <c r="AA14" s="624"/>
      <c r="AB14" s="55">
        <f t="shared" si="3"/>
        <v>0</v>
      </c>
      <c r="AC14" s="56">
        <f t="shared" si="4"/>
        <v>0</v>
      </c>
      <c r="AD14" s="9"/>
    </row>
    <row r="15" spans="1:30" x14ac:dyDescent="0.25">
      <c r="A15" s="1" t="s">
        <v>39</v>
      </c>
      <c r="B15" s="13" t="s">
        <v>40</v>
      </c>
      <c r="C15" s="13"/>
      <c r="D15" s="13">
        <v>0</v>
      </c>
      <c r="E15" s="13">
        <v>0</v>
      </c>
      <c r="F15" s="13">
        <v>0</v>
      </c>
      <c r="G15" s="46">
        <f t="shared" si="0"/>
        <v>0</v>
      </c>
      <c r="H15" s="47"/>
      <c r="I15" s="57">
        <f>I14</f>
        <v>1.0109999999999999</v>
      </c>
      <c r="J15" s="57"/>
      <c r="K15" s="49">
        <f t="shared" si="1"/>
        <v>0</v>
      </c>
      <c r="L15" s="59">
        <f t="shared" si="2"/>
        <v>0</v>
      </c>
      <c r="M15" s="1" t="str">
        <f>IF(ROUND(G15,2)=ROUND(SUM(G34:G36),2)," ","CHECK 2. PK-3 Lines Below")</f>
        <v xml:space="preserve"> </v>
      </c>
      <c r="N15" s="51">
        <v>5103</v>
      </c>
      <c r="O15" s="58" t="s">
        <v>41</v>
      </c>
      <c r="P15" s="53"/>
      <c r="Q15" s="54"/>
      <c r="V15" s="623" t="s">
        <v>40</v>
      </c>
      <c r="W15" s="623"/>
      <c r="X15" s="618">
        <f>IF('4000 June Final'!K$84=1,'4000 June Final'!G15,0)</f>
        <v>0</v>
      </c>
      <c r="Y15" s="618"/>
      <c r="Z15" s="624">
        <v>1</v>
      </c>
      <c r="AA15" s="624"/>
      <c r="AB15" s="55">
        <f t="shared" si="3"/>
        <v>0</v>
      </c>
      <c r="AC15" s="60">
        <f t="shared" si="4"/>
        <v>0</v>
      </c>
      <c r="AD15" s="9"/>
    </row>
    <row r="16" spans="1:30" x14ac:dyDescent="0.25">
      <c r="A16" s="1" t="s">
        <v>42</v>
      </c>
      <c r="B16" s="13" t="s">
        <v>43</v>
      </c>
      <c r="C16" s="13"/>
      <c r="D16" s="13">
        <v>0</v>
      </c>
      <c r="E16" s="13">
        <v>0</v>
      </c>
      <c r="F16" s="13">
        <v>0</v>
      </c>
      <c r="G16" s="46">
        <f t="shared" si="0"/>
        <v>0</v>
      </c>
      <c r="H16" s="47"/>
      <c r="I16" s="57">
        <v>3.5579999999999998</v>
      </c>
      <c r="J16" s="57"/>
      <c r="K16" s="49">
        <f t="shared" si="1"/>
        <v>0</v>
      </c>
      <c r="L16" s="50">
        <f t="shared" si="2"/>
        <v>0</v>
      </c>
      <c r="N16" s="51">
        <v>5101</v>
      </c>
      <c r="O16" s="53">
        <v>254</v>
      </c>
      <c r="P16" s="53"/>
      <c r="Q16" s="54"/>
      <c r="V16" s="623" t="s">
        <v>43</v>
      </c>
      <c r="W16" s="623"/>
      <c r="X16" s="618">
        <f>IF('4000 June Final'!K$84=1,'4000 June Final'!G16,0)</f>
        <v>0</v>
      </c>
      <c r="Y16" s="618"/>
      <c r="Z16" s="624">
        <v>1</v>
      </c>
      <c r="AA16" s="624"/>
      <c r="AB16" s="55">
        <f t="shared" si="3"/>
        <v>0</v>
      </c>
      <c r="AC16" s="56">
        <f t="shared" si="4"/>
        <v>0</v>
      </c>
      <c r="AD16" s="9"/>
    </row>
    <row r="17" spans="1:30" x14ac:dyDescent="0.25">
      <c r="A17" s="1" t="s">
        <v>44</v>
      </c>
      <c r="B17" s="13" t="s">
        <v>45</v>
      </c>
      <c r="C17" s="13"/>
      <c r="D17" s="13">
        <v>0</v>
      </c>
      <c r="E17" s="13">
        <v>0</v>
      </c>
      <c r="F17" s="13">
        <v>0</v>
      </c>
      <c r="G17" s="46">
        <f t="shared" si="0"/>
        <v>0</v>
      </c>
      <c r="H17" s="47"/>
      <c r="I17" s="57">
        <f>I16</f>
        <v>3.5579999999999998</v>
      </c>
      <c r="J17" s="57"/>
      <c r="K17" s="49">
        <f t="shared" si="1"/>
        <v>0</v>
      </c>
      <c r="L17" s="50">
        <f t="shared" si="2"/>
        <v>0</v>
      </c>
      <c r="N17" s="51">
        <v>5102</v>
      </c>
      <c r="O17" s="54">
        <v>254</v>
      </c>
      <c r="P17" s="53"/>
      <c r="Q17" s="54"/>
      <c r="V17" s="623" t="s">
        <v>45</v>
      </c>
      <c r="W17" s="623"/>
      <c r="X17" s="618">
        <f>IF('4000 June Final'!K$84=1,'4000 June Final'!G17,0)</f>
        <v>0</v>
      </c>
      <c r="Y17" s="618"/>
      <c r="Z17" s="624">
        <v>1</v>
      </c>
      <c r="AA17" s="624"/>
      <c r="AB17" s="55">
        <f t="shared" si="3"/>
        <v>0</v>
      </c>
      <c r="AC17" s="56">
        <f t="shared" si="4"/>
        <v>0</v>
      </c>
      <c r="AD17" s="9"/>
    </row>
    <row r="18" spans="1:30" x14ac:dyDescent="0.25">
      <c r="A18" s="1" t="s">
        <v>46</v>
      </c>
      <c r="B18" s="13" t="s">
        <v>47</v>
      </c>
      <c r="C18" s="13"/>
      <c r="D18" s="13">
        <v>0</v>
      </c>
      <c r="E18" s="13">
        <v>0</v>
      </c>
      <c r="F18" s="13">
        <v>0</v>
      </c>
      <c r="G18" s="46">
        <f t="shared" si="0"/>
        <v>0</v>
      </c>
      <c r="H18" s="47"/>
      <c r="I18" s="57">
        <f>I17</f>
        <v>3.5579999999999998</v>
      </c>
      <c r="J18" s="57"/>
      <c r="K18" s="49">
        <f t="shared" si="1"/>
        <v>0</v>
      </c>
      <c r="L18" s="50">
        <f t="shared" si="2"/>
        <v>0</v>
      </c>
      <c r="N18" s="51">
        <v>5103</v>
      </c>
      <c r="O18" s="54">
        <v>254</v>
      </c>
      <c r="P18" s="53"/>
      <c r="Q18" s="54"/>
      <c r="V18" s="623" t="s">
        <v>47</v>
      </c>
      <c r="W18" s="623"/>
      <c r="X18" s="618">
        <f>IF('4000 June Final'!K$84=1,'4000 June Final'!G18,0)</f>
        <v>0</v>
      </c>
      <c r="Y18" s="618"/>
      <c r="Z18" s="624">
        <v>1</v>
      </c>
      <c r="AA18" s="624"/>
      <c r="AB18" s="55">
        <f t="shared" si="3"/>
        <v>0</v>
      </c>
      <c r="AC18" s="56">
        <f t="shared" si="4"/>
        <v>0</v>
      </c>
      <c r="AD18" s="9"/>
    </row>
    <row r="19" spans="1:30" ht="15" customHeight="1" x14ac:dyDescent="0.25">
      <c r="A19" s="1" t="s">
        <v>48</v>
      </c>
      <c r="B19" s="13" t="s">
        <v>49</v>
      </c>
      <c r="C19" s="13"/>
      <c r="D19" s="13">
        <v>0</v>
      </c>
      <c r="E19" s="13">
        <v>0</v>
      </c>
      <c r="F19" s="13">
        <v>0</v>
      </c>
      <c r="G19" s="46">
        <f t="shared" si="0"/>
        <v>0</v>
      </c>
      <c r="H19" s="47"/>
      <c r="I19" s="57">
        <v>5.0890000000000004</v>
      </c>
      <c r="J19" s="57"/>
      <c r="K19" s="49">
        <f t="shared" si="1"/>
        <v>0</v>
      </c>
      <c r="L19" s="50">
        <f t="shared" si="2"/>
        <v>0</v>
      </c>
      <c r="N19" s="51">
        <v>5101</v>
      </c>
      <c r="O19" s="53">
        <v>255</v>
      </c>
      <c r="P19" s="53"/>
      <c r="Q19" s="54"/>
      <c r="V19" s="623" t="s">
        <v>49</v>
      </c>
      <c r="W19" s="623"/>
      <c r="X19" s="618">
        <f>IF('4000 June Final'!K$84=1,'4000 June Final'!G19,0)</f>
        <v>0</v>
      </c>
      <c r="Y19" s="618"/>
      <c r="Z19" s="624">
        <v>1</v>
      </c>
      <c r="AA19" s="624"/>
      <c r="AB19" s="55">
        <f t="shared" si="3"/>
        <v>0</v>
      </c>
      <c r="AC19" s="56">
        <f t="shared" si="4"/>
        <v>0</v>
      </c>
      <c r="AD19" s="9"/>
    </row>
    <row r="20" spans="1:30" ht="15" customHeight="1" x14ac:dyDescent="0.25">
      <c r="A20" s="1" t="s">
        <v>50</v>
      </c>
      <c r="B20" s="13" t="s">
        <v>51</v>
      </c>
      <c r="C20" s="13"/>
      <c r="D20" s="13">
        <v>0</v>
      </c>
      <c r="E20" s="13">
        <v>0</v>
      </c>
      <c r="F20" s="13">
        <v>0</v>
      </c>
      <c r="G20" s="46">
        <f t="shared" si="0"/>
        <v>0</v>
      </c>
      <c r="H20" s="47"/>
      <c r="I20" s="57">
        <f>I19</f>
        <v>5.0890000000000004</v>
      </c>
      <c r="J20" s="57"/>
      <c r="K20" s="49">
        <f t="shared" si="1"/>
        <v>0</v>
      </c>
      <c r="L20" s="50">
        <f t="shared" si="2"/>
        <v>0</v>
      </c>
      <c r="N20" s="51">
        <v>5102</v>
      </c>
      <c r="O20" s="54">
        <v>255</v>
      </c>
      <c r="P20" s="53"/>
      <c r="Q20" s="54"/>
      <c r="V20" s="623" t="s">
        <v>51</v>
      </c>
      <c r="W20" s="623"/>
      <c r="X20" s="618">
        <f>IF('4000 June Final'!K$84=1,'4000 June Final'!G20,0)</f>
        <v>0</v>
      </c>
      <c r="Y20" s="618"/>
      <c r="Z20" s="624">
        <v>1</v>
      </c>
      <c r="AA20" s="624"/>
      <c r="AB20" s="55">
        <f t="shared" si="3"/>
        <v>0</v>
      </c>
      <c r="AC20" s="56">
        <f t="shared" si="4"/>
        <v>0</v>
      </c>
      <c r="AD20" s="9"/>
    </row>
    <row r="21" spans="1:30" ht="15" customHeight="1" x14ac:dyDescent="0.25">
      <c r="A21" s="1" t="s">
        <v>52</v>
      </c>
      <c r="B21" s="13" t="s">
        <v>53</v>
      </c>
      <c r="C21" s="13"/>
      <c r="D21" s="13">
        <v>0</v>
      </c>
      <c r="E21" s="13">
        <v>0</v>
      </c>
      <c r="F21" s="13">
        <v>0</v>
      </c>
      <c r="G21" s="46">
        <f t="shared" si="0"/>
        <v>0</v>
      </c>
      <c r="H21" s="47"/>
      <c r="I21" s="57">
        <f>I20</f>
        <v>5.0890000000000004</v>
      </c>
      <c r="J21" s="57"/>
      <c r="K21" s="49">
        <f t="shared" si="1"/>
        <v>0</v>
      </c>
      <c r="L21" s="50">
        <f t="shared" si="2"/>
        <v>0</v>
      </c>
      <c r="N21" s="51">
        <v>5103</v>
      </c>
      <c r="O21" s="54">
        <v>255</v>
      </c>
      <c r="P21" s="53"/>
      <c r="Q21" s="54"/>
      <c r="V21" s="623" t="s">
        <v>53</v>
      </c>
      <c r="W21" s="623"/>
      <c r="X21" s="618">
        <f>IF('4000 June Final'!K$84=1,'4000 June Final'!G21,0)</f>
        <v>0</v>
      </c>
      <c r="Y21" s="618"/>
      <c r="Z21" s="624">
        <v>1</v>
      </c>
      <c r="AA21" s="624"/>
      <c r="AB21" s="55">
        <f t="shared" si="3"/>
        <v>0</v>
      </c>
      <c r="AC21" s="56">
        <f t="shared" si="4"/>
        <v>0</v>
      </c>
      <c r="AD21" s="9"/>
    </row>
    <row r="22" spans="1:30" x14ac:dyDescent="0.25">
      <c r="A22" s="1" t="s">
        <v>54</v>
      </c>
      <c r="B22" s="13" t="s">
        <v>55</v>
      </c>
      <c r="C22" s="13"/>
      <c r="D22" s="13">
        <v>7.61</v>
      </c>
      <c r="E22" s="13">
        <v>7.2</v>
      </c>
      <c r="F22" s="13">
        <v>13.05</v>
      </c>
      <c r="G22" s="46">
        <f t="shared" si="0"/>
        <v>14.81</v>
      </c>
      <c r="H22" s="47"/>
      <c r="I22" s="57">
        <v>1.145</v>
      </c>
      <c r="J22" s="57"/>
      <c r="K22" s="49">
        <f t="shared" si="1"/>
        <v>16.9575</v>
      </c>
      <c r="L22" s="50">
        <f t="shared" si="2"/>
        <v>65704</v>
      </c>
      <c r="N22" s="51">
        <v>5101</v>
      </c>
      <c r="O22" s="52">
        <v>130</v>
      </c>
      <c r="P22" s="53"/>
      <c r="Q22" s="54"/>
      <c r="V22" s="623" t="s">
        <v>55</v>
      </c>
      <c r="W22" s="623"/>
      <c r="X22" s="618">
        <f>IF('4000 June Final'!K$84=1,'4000 June Final'!G22,0)</f>
        <v>0</v>
      </c>
      <c r="Y22" s="618"/>
      <c r="Z22" s="624">
        <v>1</v>
      </c>
      <c r="AA22" s="624"/>
      <c r="AB22" s="55">
        <f t="shared" si="3"/>
        <v>0</v>
      </c>
      <c r="AC22" s="56">
        <f t="shared" si="4"/>
        <v>0</v>
      </c>
      <c r="AD22" s="9"/>
    </row>
    <row r="23" spans="1:30" x14ac:dyDescent="0.25">
      <c r="A23" s="1" t="s">
        <v>56</v>
      </c>
      <c r="B23" s="13" t="s">
        <v>57</v>
      </c>
      <c r="C23" s="13"/>
      <c r="D23" s="13">
        <v>2.4300000000000002</v>
      </c>
      <c r="E23" s="13">
        <v>2.4500000000000002</v>
      </c>
      <c r="F23" s="13">
        <v>0</v>
      </c>
      <c r="G23" s="46">
        <f t="shared" si="0"/>
        <v>4.8800000000000008</v>
      </c>
      <c r="H23" s="47"/>
      <c r="I23" s="57">
        <f>I22</f>
        <v>1.145</v>
      </c>
      <c r="J23" s="57"/>
      <c r="K23" s="49">
        <f t="shared" si="1"/>
        <v>5.5876000000000001</v>
      </c>
      <c r="L23" s="50">
        <f t="shared" si="2"/>
        <v>21650</v>
      </c>
      <c r="N23" s="51">
        <v>5102</v>
      </c>
      <c r="O23" s="52">
        <v>130</v>
      </c>
      <c r="P23" s="53"/>
      <c r="Q23" s="54"/>
      <c r="V23" s="623" t="s">
        <v>57</v>
      </c>
      <c r="W23" s="623"/>
      <c r="X23" s="618">
        <f>IF('4000 June Final'!K$84=1,'4000 June Final'!G23,0)</f>
        <v>0</v>
      </c>
      <c r="Y23" s="618"/>
      <c r="Z23" s="624">
        <v>1</v>
      </c>
      <c r="AA23" s="624"/>
      <c r="AB23" s="55">
        <f t="shared" si="3"/>
        <v>0</v>
      </c>
      <c r="AC23" s="56">
        <f t="shared" si="4"/>
        <v>0</v>
      </c>
      <c r="AD23" s="9"/>
    </row>
    <row r="24" spans="1:30" x14ac:dyDescent="0.25">
      <c r="A24" s="1" t="s">
        <v>58</v>
      </c>
      <c r="B24" s="13" t="s">
        <v>59</v>
      </c>
      <c r="C24" s="13"/>
      <c r="D24" s="13">
        <v>0</v>
      </c>
      <c r="E24" s="13">
        <v>0</v>
      </c>
      <c r="F24" s="13">
        <v>0</v>
      </c>
      <c r="G24" s="46">
        <f t="shared" si="0"/>
        <v>0</v>
      </c>
      <c r="H24" s="47"/>
      <c r="I24" s="57">
        <f>I23</f>
        <v>1.145</v>
      </c>
      <c r="J24" s="57"/>
      <c r="K24" s="49">
        <f t="shared" si="1"/>
        <v>0</v>
      </c>
      <c r="L24" s="50">
        <f t="shared" si="2"/>
        <v>0</v>
      </c>
      <c r="N24" s="51">
        <v>5103</v>
      </c>
      <c r="O24" s="52">
        <v>130</v>
      </c>
      <c r="P24" s="53"/>
      <c r="Q24" s="54"/>
      <c r="V24" s="623" t="s">
        <v>59</v>
      </c>
      <c r="W24" s="623"/>
      <c r="X24" s="618">
        <f>IF('4000 June Final'!K$84=1,'4000 June Final'!G24,0)</f>
        <v>0</v>
      </c>
      <c r="Y24" s="618"/>
      <c r="Z24" s="624">
        <v>1</v>
      </c>
      <c r="AA24" s="624"/>
      <c r="AB24" s="55">
        <f t="shared" si="3"/>
        <v>0</v>
      </c>
      <c r="AC24" s="56">
        <f t="shared" si="4"/>
        <v>0</v>
      </c>
      <c r="AD24" s="9"/>
    </row>
    <row r="25" spans="1:30" ht="16.5" thickBot="1" x14ac:dyDescent="0.3">
      <c r="A25" s="1" t="s">
        <v>60</v>
      </c>
      <c r="B25" s="13" t="s">
        <v>61</v>
      </c>
      <c r="C25" s="13"/>
      <c r="D25" s="13">
        <v>0</v>
      </c>
      <c r="E25" s="13">
        <v>0</v>
      </c>
      <c r="F25" s="13">
        <v>0</v>
      </c>
      <c r="G25" s="46">
        <f t="shared" si="0"/>
        <v>0</v>
      </c>
      <c r="H25" s="47"/>
      <c r="I25" s="57">
        <v>1.0109999999999999</v>
      </c>
      <c r="J25" s="57"/>
      <c r="K25" s="49">
        <f t="shared" si="1"/>
        <v>0</v>
      </c>
      <c r="L25" s="50">
        <f t="shared" si="2"/>
        <v>0</v>
      </c>
      <c r="N25" s="51">
        <v>5310</v>
      </c>
      <c r="O25" s="52">
        <v>300</v>
      </c>
      <c r="P25" s="53"/>
      <c r="Q25" s="54"/>
      <c r="V25" s="623" t="s">
        <v>61</v>
      </c>
      <c r="W25" s="623"/>
      <c r="X25" s="618">
        <f>IF('4000 June Final'!K$84=1,'4000 June Final'!G25,0)</f>
        <v>0</v>
      </c>
      <c r="Y25" s="618"/>
      <c r="Z25" s="624">
        <v>1</v>
      </c>
      <c r="AA25" s="624"/>
      <c r="AB25" s="55">
        <f t="shared" si="3"/>
        <v>0</v>
      </c>
      <c r="AC25" s="56">
        <f t="shared" si="4"/>
        <v>0</v>
      </c>
      <c r="AD25" s="9"/>
    </row>
    <row r="26" spans="1:30" ht="20.25" customHeight="1" thickBot="1" x14ac:dyDescent="0.3">
      <c r="B26" s="62" t="s">
        <v>62</v>
      </c>
      <c r="C26" s="62"/>
      <c r="D26" s="63">
        <f>SUM(D10:D25)</f>
        <v>349.19</v>
      </c>
      <c r="E26" s="63">
        <f>SUM(E10:E25)</f>
        <v>324.17999999999995</v>
      </c>
      <c r="F26" s="63"/>
      <c r="G26" s="63">
        <f>SUM(G10:G25)</f>
        <v>673.36999999999989</v>
      </c>
      <c r="H26" s="64"/>
      <c r="I26" s="64"/>
      <c r="J26" s="65"/>
      <c r="K26" s="66">
        <f>SUM(K10:K25)</f>
        <v>725.15139999999985</v>
      </c>
      <c r="L26" s="67">
        <f>SUM(L10:L25)</f>
        <v>2809690</v>
      </c>
      <c r="N26" s="54"/>
      <c r="O26" s="68"/>
      <c r="P26" s="54"/>
      <c r="Q26" s="54"/>
      <c r="V26" s="625" t="s">
        <v>62</v>
      </c>
      <c r="W26" s="625"/>
      <c r="X26" s="626">
        <f>SUM(X10:X25)</f>
        <v>0</v>
      </c>
      <c r="Y26" s="626"/>
      <c r="Z26" s="627"/>
      <c r="AA26" s="628"/>
      <c r="AB26" s="69">
        <f>SUM(AB10:AB25)</f>
        <v>0</v>
      </c>
      <c r="AC26" s="70">
        <f>SUM(AC10:AC25)</f>
        <v>0</v>
      </c>
      <c r="AD26" s="9"/>
    </row>
    <row r="27" spans="1:30" ht="51.75" customHeight="1" x14ac:dyDescent="0.25">
      <c r="B27" s="62" t="s">
        <v>63</v>
      </c>
      <c r="C27" s="62"/>
      <c r="D27" s="71" t="s">
        <v>13</v>
      </c>
      <c r="E27" s="71" t="s">
        <v>14</v>
      </c>
      <c r="F27" s="27"/>
      <c r="G27" s="72" t="s">
        <v>64</v>
      </c>
      <c r="H27" s="73"/>
      <c r="I27" s="74" t="s">
        <v>65</v>
      </c>
      <c r="J27" s="74" t="s">
        <v>66</v>
      </c>
      <c r="K27" s="75" t="s">
        <v>67</v>
      </c>
      <c r="N27" s="54"/>
      <c r="O27" s="68"/>
      <c r="P27" s="54"/>
      <c r="Q27" s="54"/>
      <c r="V27" s="629" t="s">
        <v>63</v>
      </c>
      <c r="W27" s="629"/>
      <c r="X27" s="630" t="s">
        <v>64</v>
      </c>
      <c r="Y27" s="630"/>
      <c r="Z27" s="76" t="s">
        <v>65</v>
      </c>
      <c r="AA27" s="77" t="s">
        <v>66</v>
      </c>
      <c r="AB27" s="78" t="s">
        <v>67</v>
      </c>
      <c r="AC27" s="9"/>
      <c r="AD27" s="9"/>
    </row>
    <row r="28" spans="1:30" ht="15.75" customHeight="1" x14ac:dyDescent="0.25">
      <c r="A28" s="1" t="s">
        <v>68</v>
      </c>
      <c r="B28" s="631" t="s">
        <v>69</v>
      </c>
      <c r="C28" s="632"/>
      <c r="D28" s="583">
        <v>22.51</v>
      </c>
      <c r="E28" s="583">
        <v>20.65</v>
      </c>
      <c r="F28" s="79">
        <v>0</v>
      </c>
      <c r="G28" s="46">
        <f t="shared" ref="G28:G36" si="5">D28+E28</f>
        <v>43.16</v>
      </c>
      <c r="H28" s="80"/>
      <c r="I28" s="81" t="s">
        <v>70</v>
      </c>
      <c r="J28" s="82">
        <v>251</v>
      </c>
      <c r="K28" s="83">
        <v>1047</v>
      </c>
      <c r="L28" s="84">
        <f t="shared" ref="L28:L36" si="6">ROUND(G28*K28,0)</f>
        <v>45189</v>
      </c>
      <c r="N28" s="337">
        <v>5101</v>
      </c>
      <c r="O28" s="54">
        <v>251</v>
      </c>
      <c r="P28" s="86"/>
      <c r="Q28" s="87"/>
      <c r="V28" s="637" t="s">
        <v>69</v>
      </c>
      <c r="W28" s="637"/>
      <c r="X28" s="638"/>
      <c r="Y28" s="638"/>
      <c r="Z28" s="88" t="s">
        <v>70</v>
      </c>
      <c r="AA28" s="330">
        <v>251</v>
      </c>
      <c r="AB28" s="90">
        <f t="shared" ref="AB28:AB36" si="7">+K28</f>
        <v>1047</v>
      </c>
      <c r="AC28" s="91">
        <f t="shared" ref="AC28:AC36" si="8">ROUND(X28*AB28,0)</f>
        <v>0</v>
      </c>
      <c r="AD28" s="9"/>
    </row>
    <row r="29" spans="1:30" x14ac:dyDescent="0.25">
      <c r="A29" s="1" t="s">
        <v>71</v>
      </c>
      <c r="B29" s="633"/>
      <c r="C29" s="634"/>
      <c r="D29" s="583">
        <v>3.12</v>
      </c>
      <c r="E29" s="583">
        <v>3</v>
      </c>
      <c r="F29" s="92">
        <v>0</v>
      </c>
      <c r="G29" s="46">
        <f t="shared" si="5"/>
        <v>6.12</v>
      </c>
      <c r="H29" s="80"/>
      <c r="I29" s="82" t="s">
        <v>70</v>
      </c>
      <c r="J29" s="82">
        <v>252</v>
      </c>
      <c r="K29" s="83">
        <v>3380</v>
      </c>
      <c r="L29" s="84">
        <f t="shared" si="6"/>
        <v>20686</v>
      </c>
      <c r="N29" s="337">
        <v>5101</v>
      </c>
      <c r="O29" s="54">
        <v>252</v>
      </c>
      <c r="P29" s="86"/>
      <c r="Q29" s="87"/>
      <c r="V29" s="637"/>
      <c r="W29" s="637"/>
      <c r="X29" s="638"/>
      <c r="Y29" s="638"/>
      <c r="Z29" s="330" t="s">
        <v>70</v>
      </c>
      <c r="AA29" s="330">
        <v>252</v>
      </c>
      <c r="AB29" s="90">
        <f t="shared" si="7"/>
        <v>3380</v>
      </c>
      <c r="AC29" s="91">
        <f t="shared" si="8"/>
        <v>0</v>
      </c>
      <c r="AD29" s="9"/>
    </row>
    <row r="30" spans="1:30" x14ac:dyDescent="0.25">
      <c r="A30" s="1" t="s">
        <v>72</v>
      </c>
      <c r="B30" s="633"/>
      <c r="C30" s="634"/>
      <c r="D30" s="583">
        <v>0</v>
      </c>
      <c r="E30" s="583">
        <v>0</v>
      </c>
      <c r="F30" s="92">
        <v>0</v>
      </c>
      <c r="G30" s="46">
        <f t="shared" si="5"/>
        <v>0</v>
      </c>
      <c r="H30" s="80"/>
      <c r="I30" s="82" t="s">
        <v>70</v>
      </c>
      <c r="J30" s="82">
        <v>253</v>
      </c>
      <c r="K30" s="83">
        <v>6896</v>
      </c>
      <c r="L30" s="84">
        <f t="shared" si="6"/>
        <v>0</v>
      </c>
      <c r="N30" s="337">
        <v>5101</v>
      </c>
      <c r="O30" s="54">
        <v>253</v>
      </c>
      <c r="P30" s="86"/>
      <c r="Q30" s="68"/>
      <c r="V30" s="637"/>
      <c r="W30" s="637"/>
      <c r="X30" s="638"/>
      <c r="Y30" s="638"/>
      <c r="Z30" s="330" t="s">
        <v>70</v>
      </c>
      <c r="AA30" s="330">
        <v>253</v>
      </c>
      <c r="AB30" s="90">
        <f t="shared" si="7"/>
        <v>6896</v>
      </c>
      <c r="AC30" s="91">
        <f t="shared" si="8"/>
        <v>0</v>
      </c>
      <c r="AD30" s="9"/>
    </row>
    <row r="31" spans="1:30" x14ac:dyDescent="0.25">
      <c r="A31" s="1" t="s">
        <v>73</v>
      </c>
      <c r="B31" s="633"/>
      <c r="C31" s="634"/>
      <c r="D31" s="583">
        <v>25.05</v>
      </c>
      <c r="E31" s="583">
        <v>24.89</v>
      </c>
      <c r="F31" s="92">
        <v>0</v>
      </c>
      <c r="G31" s="46">
        <f t="shared" si="5"/>
        <v>49.94</v>
      </c>
      <c r="H31" s="80"/>
      <c r="I31" s="93" t="s">
        <v>74</v>
      </c>
      <c r="J31" s="82">
        <v>251</v>
      </c>
      <c r="K31" s="83">
        <v>1173</v>
      </c>
      <c r="L31" s="84">
        <f t="shared" si="6"/>
        <v>58580</v>
      </c>
      <c r="N31" s="337">
        <v>5102</v>
      </c>
      <c r="O31" s="54">
        <v>251</v>
      </c>
      <c r="P31" s="86"/>
      <c r="Q31" s="68"/>
      <c r="V31" s="637"/>
      <c r="W31" s="637"/>
      <c r="X31" s="638"/>
      <c r="Y31" s="638"/>
      <c r="Z31" s="94" t="s">
        <v>74</v>
      </c>
      <c r="AA31" s="330">
        <v>251</v>
      </c>
      <c r="AB31" s="90">
        <f t="shared" si="7"/>
        <v>1173</v>
      </c>
      <c r="AC31" s="91">
        <f t="shared" si="8"/>
        <v>0</v>
      </c>
      <c r="AD31" s="9"/>
    </row>
    <row r="32" spans="1:30" x14ac:dyDescent="0.25">
      <c r="A32" s="1" t="s">
        <v>75</v>
      </c>
      <c r="B32" s="633"/>
      <c r="C32" s="634"/>
      <c r="D32" s="583">
        <v>1.6</v>
      </c>
      <c r="E32" s="583">
        <v>1.5</v>
      </c>
      <c r="F32" s="92">
        <v>0</v>
      </c>
      <c r="G32" s="46">
        <f t="shared" si="5"/>
        <v>3.1</v>
      </c>
      <c r="H32" s="80"/>
      <c r="I32" s="93" t="s">
        <v>74</v>
      </c>
      <c r="J32" s="82">
        <v>252</v>
      </c>
      <c r="K32" s="83">
        <v>3506</v>
      </c>
      <c r="L32" s="84">
        <f t="shared" si="6"/>
        <v>10869</v>
      </c>
      <c r="N32" s="337">
        <v>5102</v>
      </c>
      <c r="O32" s="54">
        <v>252</v>
      </c>
      <c r="P32" s="86"/>
      <c r="Q32" s="54"/>
      <c r="V32" s="637"/>
      <c r="W32" s="637"/>
      <c r="X32" s="638"/>
      <c r="Y32" s="638"/>
      <c r="Z32" s="94" t="s">
        <v>74</v>
      </c>
      <c r="AA32" s="330">
        <v>252</v>
      </c>
      <c r="AB32" s="90">
        <f t="shared" si="7"/>
        <v>3506</v>
      </c>
      <c r="AC32" s="91">
        <f t="shared" si="8"/>
        <v>0</v>
      </c>
      <c r="AD32" s="9"/>
    </row>
    <row r="33" spans="1:30" x14ac:dyDescent="0.25">
      <c r="A33" s="1" t="s">
        <v>76</v>
      </c>
      <c r="B33" s="633"/>
      <c r="C33" s="634"/>
      <c r="D33" s="583">
        <v>0</v>
      </c>
      <c r="E33" s="583">
        <v>0</v>
      </c>
      <c r="F33" s="92">
        <v>0</v>
      </c>
      <c r="G33" s="46">
        <f t="shared" si="5"/>
        <v>0</v>
      </c>
      <c r="H33" s="80"/>
      <c r="I33" s="93" t="s">
        <v>74</v>
      </c>
      <c r="J33" s="82">
        <v>253</v>
      </c>
      <c r="K33" s="83">
        <v>7023</v>
      </c>
      <c r="L33" s="84">
        <f t="shared" si="6"/>
        <v>0</v>
      </c>
      <c r="N33" s="337">
        <v>5102</v>
      </c>
      <c r="O33" s="54">
        <v>253</v>
      </c>
      <c r="P33" s="86"/>
      <c r="Q33" s="87"/>
      <c r="V33" s="637"/>
      <c r="W33" s="637"/>
      <c r="X33" s="638"/>
      <c r="Y33" s="638"/>
      <c r="Z33" s="94" t="s">
        <v>74</v>
      </c>
      <c r="AA33" s="330">
        <v>253</v>
      </c>
      <c r="AB33" s="90">
        <f t="shared" si="7"/>
        <v>7023</v>
      </c>
      <c r="AC33" s="91">
        <f t="shared" si="8"/>
        <v>0</v>
      </c>
      <c r="AD33" s="9"/>
    </row>
    <row r="34" spans="1:30" x14ac:dyDescent="0.25">
      <c r="A34" s="1" t="s">
        <v>77</v>
      </c>
      <c r="B34" s="633"/>
      <c r="C34" s="634"/>
      <c r="D34" s="13">
        <v>0</v>
      </c>
      <c r="E34" s="13">
        <v>0</v>
      </c>
      <c r="F34" s="92">
        <v>0</v>
      </c>
      <c r="G34" s="46">
        <f t="shared" si="5"/>
        <v>0</v>
      </c>
      <c r="H34" s="80"/>
      <c r="I34" s="93" t="s">
        <v>78</v>
      </c>
      <c r="J34" s="82">
        <v>251</v>
      </c>
      <c r="K34" s="83">
        <v>835</v>
      </c>
      <c r="L34" s="84">
        <f t="shared" si="6"/>
        <v>0</v>
      </c>
      <c r="N34" s="337">
        <v>5103</v>
      </c>
      <c r="O34" s="54">
        <v>251</v>
      </c>
      <c r="P34" s="86"/>
      <c r="Q34" s="87"/>
      <c r="V34" s="637"/>
      <c r="W34" s="637"/>
      <c r="X34" s="638"/>
      <c r="Y34" s="638"/>
      <c r="Z34" s="94" t="s">
        <v>78</v>
      </c>
      <c r="AA34" s="330">
        <v>251</v>
      </c>
      <c r="AB34" s="90">
        <f t="shared" si="7"/>
        <v>835</v>
      </c>
      <c r="AC34" s="91">
        <f t="shared" si="8"/>
        <v>0</v>
      </c>
      <c r="AD34" s="9"/>
    </row>
    <row r="35" spans="1:30" x14ac:dyDescent="0.25">
      <c r="A35" s="1" t="s">
        <v>79</v>
      </c>
      <c r="B35" s="633"/>
      <c r="C35" s="634"/>
      <c r="D35" s="13">
        <v>0</v>
      </c>
      <c r="E35" s="13">
        <v>0</v>
      </c>
      <c r="F35" s="92">
        <v>0</v>
      </c>
      <c r="G35" s="46">
        <f t="shared" si="5"/>
        <v>0</v>
      </c>
      <c r="H35" s="80"/>
      <c r="I35" s="93" t="s">
        <v>78</v>
      </c>
      <c r="J35" s="82">
        <v>252</v>
      </c>
      <c r="K35" s="83">
        <v>3168</v>
      </c>
      <c r="L35" s="84">
        <f t="shared" si="6"/>
        <v>0</v>
      </c>
      <c r="N35" s="337">
        <v>5103</v>
      </c>
      <c r="O35" s="54">
        <v>252</v>
      </c>
      <c r="P35" s="86"/>
      <c r="Q35" s="95"/>
      <c r="V35" s="637"/>
      <c r="W35" s="637"/>
      <c r="X35" s="638"/>
      <c r="Y35" s="638"/>
      <c r="Z35" s="94" t="s">
        <v>78</v>
      </c>
      <c r="AA35" s="330">
        <v>252</v>
      </c>
      <c r="AB35" s="90">
        <f t="shared" si="7"/>
        <v>3168</v>
      </c>
      <c r="AC35" s="91">
        <f t="shared" si="8"/>
        <v>0</v>
      </c>
      <c r="AD35" s="9"/>
    </row>
    <row r="36" spans="1:30" ht="16.5" thickBot="1" x14ac:dyDescent="0.3">
      <c r="A36" s="1" t="s">
        <v>80</v>
      </c>
      <c r="B36" s="635"/>
      <c r="C36" s="636"/>
      <c r="D36" s="13">
        <v>0</v>
      </c>
      <c r="E36" s="13">
        <v>0</v>
      </c>
      <c r="F36" s="92">
        <v>0</v>
      </c>
      <c r="G36" s="46">
        <f t="shared" si="5"/>
        <v>0</v>
      </c>
      <c r="H36" s="80"/>
      <c r="I36" s="93" t="s">
        <v>78</v>
      </c>
      <c r="J36" s="82">
        <v>253</v>
      </c>
      <c r="K36" s="83">
        <v>6685</v>
      </c>
      <c r="L36" s="96">
        <f t="shared" si="6"/>
        <v>0</v>
      </c>
      <c r="N36" s="337">
        <v>5103</v>
      </c>
      <c r="O36" s="54">
        <v>253</v>
      </c>
      <c r="P36" s="86"/>
      <c r="Q36" s="97"/>
      <c r="V36" s="637"/>
      <c r="W36" s="637"/>
      <c r="X36" s="645"/>
      <c r="Y36" s="645"/>
      <c r="Z36" s="94" t="s">
        <v>78</v>
      </c>
      <c r="AA36" s="330">
        <v>253</v>
      </c>
      <c r="AB36" s="90">
        <f t="shared" si="7"/>
        <v>6685</v>
      </c>
      <c r="AC36" s="98">
        <f t="shared" si="8"/>
        <v>0</v>
      </c>
      <c r="AD36" s="9"/>
    </row>
    <row r="37" spans="1:30" ht="18.75" customHeight="1" x14ac:dyDescent="0.25">
      <c r="B37" s="13" t="s">
        <v>81</v>
      </c>
      <c r="C37" s="13"/>
      <c r="D37" s="63">
        <f>SUM(D28:D36)</f>
        <v>52.280000000000008</v>
      </c>
      <c r="E37" s="63">
        <f>SUM(E28:E36)</f>
        <v>50.04</v>
      </c>
      <c r="F37" s="63"/>
      <c r="G37" s="63">
        <f>SUM(G28:G36)</f>
        <v>102.32</v>
      </c>
      <c r="H37" s="64"/>
      <c r="I37" s="13" t="s">
        <v>82</v>
      </c>
      <c r="J37" s="13"/>
      <c r="K37" s="13"/>
      <c r="L37" s="50">
        <f>SUM(L28:L36)</f>
        <v>135324</v>
      </c>
      <c r="N37" s="54"/>
      <c r="O37" s="68"/>
      <c r="P37" s="54"/>
      <c r="Q37" s="54"/>
      <c r="V37" s="646" t="s">
        <v>81</v>
      </c>
      <c r="W37" s="646"/>
      <c r="X37" s="626">
        <f>SUM(X28:X36)</f>
        <v>0</v>
      </c>
      <c r="Y37" s="626"/>
      <c r="Z37" s="646" t="s">
        <v>82</v>
      </c>
      <c r="AA37" s="646"/>
      <c r="AB37" s="646"/>
      <c r="AC37" s="56">
        <f>SUM(AC28:AC36)</f>
        <v>0</v>
      </c>
      <c r="AD37" s="9"/>
    </row>
    <row r="38" spans="1:30" ht="30.75" customHeight="1" x14ac:dyDescent="0.25">
      <c r="B38" s="99" t="s">
        <v>83</v>
      </c>
      <c r="C38" s="99"/>
      <c r="D38" s="99"/>
      <c r="E38" s="99"/>
      <c r="F38" s="99"/>
      <c r="G38" s="99"/>
      <c r="H38" s="100"/>
      <c r="I38" s="99"/>
      <c r="J38" s="99"/>
      <c r="K38" s="99"/>
      <c r="L38" s="99"/>
      <c r="M38" s="101"/>
      <c r="N38" s="54"/>
      <c r="O38" s="68"/>
      <c r="P38" s="54"/>
      <c r="Q38" s="54"/>
      <c r="V38" s="639" t="s">
        <v>83</v>
      </c>
      <c r="W38" s="639"/>
      <c r="X38" s="639"/>
      <c r="Y38" s="639"/>
      <c r="Z38" s="639"/>
      <c r="AA38" s="639"/>
      <c r="AB38" s="639"/>
      <c r="AC38" s="639"/>
      <c r="AD38" s="102"/>
    </row>
    <row r="39" spans="1:30" ht="15.75" customHeight="1" x14ac:dyDescent="0.25">
      <c r="B39" s="103" t="s">
        <v>84</v>
      </c>
      <c r="C39" s="103"/>
      <c r="D39" s="103"/>
      <c r="E39" s="103"/>
      <c r="F39" s="103"/>
      <c r="G39" s="104">
        <v>34389540</v>
      </c>
      <c r="H39" s="104"/>
      <c r="I39" s="13" t="s">
        <v>85</v>
      </c>
      <c r="J39" s="13"/>
      <c r="K39" s="13"/>
      <c r="L39" s="13"/>
      <c r="O39" s="1"/>
      <c r="V39" s="640" t="s">
        <v>84</v>
      </c>
      <c r="W39" s="640"/>
      <c r="X39" s="641">
        <f>+G39</f>
        <v>34389540</v>
      </c>
      <c r="Y39" s="641"/>
      <c r="Z39" s="642" t="s">
        <v>85</v>
      </c>
      <c r="AA39" s="642"/>
      <c r="AB39" s="642"/>
      <c r="AC39" s="642"/>
      <c r="AD39" s="9"/>
    </row>
    <row r="40" spans="1:30" ht="15.75" customHeight="1" x14ac:dyDescent="0.25">
      <c r="B40" s="105" t="s">
        <v>86</v>
      </c>
      <c r="C40" s="105"/>
      <c r="D40" s="105"/>
      <c r="E40" s="105"/>
      <c r="F40" s="105"/>
      <c r="G40" s="106">
        <v>180284.81</v>
      </c>
      <c r="H40" s="106"/>
      <c r="I40" s="106"/>
      <c r="J40" s="106"/>
      <c r="K40" s="50">
        <f>ROUND(G39/G40,0)</f>
        <v>191</v>
      </c>
      <c r="L40" s="50">
        <f>ROUND(K40*$G$26,0)</f>
        <v>128614</v>
      </c>
      <c r="N40" s="107"/>
      <c r="O40" s="107"/>
      <c r="P40" s="107"/>
      <c r="Q40" s="107"/>
      <c r="V40" s="643" t="s">
        <v>86</v>
      </c>
      <c r="W40" s="643"/>
      <c r="X40" s="644">
        <f>+G40</f>
        <v>180284.81</v>
      </c>
      <c r="Y40" s="644"/>
      <c r="Z40" s="644"/>
      <c r="AA40" s="644"/>
      <c r="AB40" s="56">
        <f>ROUND(X39/X40,0)</f>
        <v>191</v>
      </c>
      <c r="AC40" s="56">
        <f>ROUND(AB40*$X$26,0)</f>
        <v>0</v>
      </c>
      <c r="AD40" s="9"/>
    </row>
    <row r="41" spans="1:30" ht="15.75" customHeight="1" x14ac:dyDescent="0.25">
      <c r="B41" s="108" t="s">
        <v>87</v>
      </c>
      <c r="C41" s="108"/>
      <c r="D41" s="108"/>
      <c r="E41" s="108"/>
      <c r="F41" s="108"/>
      <c r="G41" s="108"/>
      <c r="H41" s="108"/>
      <c r="I41" s="108"/>
      <c r="J41" s="108"/>
      <c r="K41" s="108"/>
      <c r="L41" s="108"/>
      <c r="N41" s="101"/>
      <c r="O41" s="109"/>
      <c r="P41" s="101"/>
      <c r="Q41" s="101"/>
      <c r="V41" s="652" t="s">
        <v>87</v>
      </c>
      <c r="W41" s="652"/>
      <c r="X41" s="652"/>
      <c r="Y41" s="652"/>
      <c r="Z41" s="652"/>
      <c r="AA41" s="652"/>
      <c r="AB41" s="652"/>
      <c r="AC41" s="652"/>
      <c r="AD41" s="9"/>
    </row>
    <row r="42" spans="1:30" ht="28.5" customHeight="1" x14ac:dyDescent="0.25">
      <c r="B42" s="99" t="s">
        <v>88</v>
      </c>
      <c r="C42" s="99"/>
      <c r="D42" s="99"/>
      <c r="E42" s="99"/>
      <c r="F42" s="99"/>
      <c r="G42" s="99"/>
      <c r="H42" s="99"/>
      <c r="I42" s="99"/>
      <c r="J42" s="99"/>
      <c r="K42" s="99"/>
      <c r="L42" s="99"/>
      <c r="M42" s="107"/>
      <c r="O42" s="1"/>
      <c r="V42" s="639" t="s">
        <v>88</v>
      </c>
      <c r="W42" s="639"/>
      <c r="X42" s="639"/>
      <c r="Y42" s="639"/>
      <c r="Z42" s="639"/>
      <c r="AA42" s="639"/>
      <c r="AB42" s="639"/>
      <c r="AC42" s="639"/>
      <c r="AD42" s="334"/>
    </row>
    <row r="43" spans="1:30" x14ac:dyDescent="0.25">
      <c r="B43" s="111" t="s">
        <v>89</v>
      </c>
      <c r="C43" s="111"/>
      <c r="D43" s="111"/>
      <c r="E43" s="111"/>
      <c r="F43" s="111"/>
      <c r="G43" s="111"/>
      <c r="H43" s="111"/>
      <c r="I43" s="111"/>
      <c r="J43" s="111"/>
      <c r="K43" s="111"/>
      <c r="L43" s="111"/>
      <c r="M43" s="112"/>
      <c r="N43" s="101"/>
      <c r="O43" s="101"/>
      <c r="P43" s="101"/>
      <c r="Q43" s="101"/>
      <c r="V43" s="653" t="s">
        <v>89</v>
      </c>
      <c r="W43" s="653"/>
      <c r="X43" s="653"/>
      <c r="Y43" s="653"/>
      <c r="Z43" s="653"/>
      <c r="AA43" s="653"/>
      <c r="AB43" s="653"/>
      <c r="AC43" s="653"/>
      <c r="AD43" s="113"/>
    </row>
    <row r="44" spans="1:30" ht="24" customHeight="1" x14ac:dyDescent="0.25">
      <c r="B44" s="62" t="s">
        <v>90</v>
      </c>
      <c r="C44" s="62"/>
      <c r="D44" s="62"/>
      <c r="E44" s="62"/>
      <c r="F44" s="62"/>
      <c r="G44" s="62"/>
      <c r="H44" s="62"/>
      <c r="I44" s="62"/>
      <c r="J44" s="62"/>
      <c r="K44" s="62"/>
      <c r="L44" s="114">
        <f>SUM(L26,L37,L40)</f>
        <v>3073628</v>
      </c>
      <c r="O44" s="1"/>
      <c r="V44" s="654" t="s">
        <v>90</v>
      </c>
      <c r="W44" s="654"/>
      <c r="X44" s="654"/>
      <c r="Y44" s="654"/>
      <c r="Z44" s="654"/>
      <c r="AA44" s="654"/>
      <c r="AB44" s="654"/>
      <c r="AC44" s="115">
        <f>SUM(AC26,AC37,AC40)</f>
        <v>0</v>
      </c>
      <c r="AD44" s="9"/>
    </row>
    <row r="45" spans="1:30" ht="30.75" customHeight="1" x14ac:dyDescent="0.25">
      <c r="B45" s="99" t="s">
        <v>91</v>
      </c>
      <c r="C45" s="99"/>
      <c r="D45" s="99"/>
      <c r="E45" s="99"/>
      <c r="F45" s="99"/>
      <c r="G45" s="99"/>
      <c r="H45" s="99"/>
      <c r="I45" s="99"/>
      <c r="J45" s="99"/>
      <c r="K45" s="99"/>
      <c r="L45" s="99"/>
      <c r="M45" s="116"/>
      <c r="O45" s="1"/>
      <c r="V45" s="639" t="s">
        <v>91</v>
      </c>
      <c r="W45" s="639"/>
      <c r="X45" s="639"/>
      <c r="Y45" s="639"/>
      <c r="Z45" s="639"/>
      <c r="AA45" s="639"/>
      <c r="AB45" s="639"/>
      <c r="AC45" s="639"/>
      <c r="AD45" s="333"/>
    </row>
    <row r="46" spans="1:30" ht="18.75" customHeight="1" x14ac:dyDescent="0.25">
      <c r="B46" s="1"/>
      <c r="C46" s="118" t="s">
        <v>92</v>
      </c>
      <c r="D46" s="118"/>
      <c r="E46" s="118"/>
      <c r="F46" s="118"/>
      <c r="G46" s="118" t="s">
        <v>93</v>
      </c>
      <c r="H46" s="119"/>
      <c r="I46" s="120" t="s">
        <v>94</v>
      </c>
      <c r="J46" s="121"/>
      <c r="K46" s="121"/>
      <c r="L46" s="121"/>
      <c r="M46" s="122"/>
      <c r="O46" s="1"/>
      <c r="V46" s="9"/>
      <c r="W46" s="336" t="s">
        <v>92</v>
      </c>
      <c r="X46" s="655" t="s">
        <v>95</v>
      </c>
      <c r="Y46" s="655"/>
      <c r="Z46" s="656" t="s">
        <v>94</v>
      </c>
      <c r="AA46" s="656"/>
      <c r="AB46" s="656"/>
      <c r="AC46" s="656"/>
      <c r="AD46" s="124"/>
    </row>
    <row r="47" spans="1:30" ht="18.75" customHeight="1" x14ac:dyDescent="0.25">
      <c r="B47" s="107" t="s">
        <v>96</v>
      </c>
      <c r="C47" s="125">
        <f>K10+K11+K16+K19+K22</f>
        <v>457.29379999999998</v>
      </c>
      <c r="D47" s="125"/>
      <c r="E47" s="125"/>
      <c r="F47" s="125"/>
      <c r="G47" s="126">
        <f>K7</f>
        <v>1.0326</v>
      </c>
      <c r="H47" s="126"/>
      <c r="I47" s="127">
        <v>1316.85</v>
      </c>
      <c r="J47" s="128" t="s">
        <v>97</v>
      </c>
      <c r="K47" s="129">
        <f>ROUND(C47*G47*I47,0)</f>
        <v>621819</v>
      </c>
      <c r="L47" s="130"/>
      <c r="O47" s="1"/>
      <c r="V47" s="334" t="s">
        <v>96</v>
      </c>
      <c r="W47" s="131">
        <f>AB10+AB11+AB16+AB19+AB22</f>
        <v>0</v>
      </c>
      <c r="X47" s="647">
        <f>AB7</f>
        <v>1.0326</v>
      </c>
      <c r="Y47" s="647"/>
      <c r="Z47" s="132">
        <f>+I47</f>
        <v>1316.85</v>
      </c>
      <c r="AA47" s="133" t="s">
        <v>97</v>
      </c>
      <c r="AB47" s="134">
        <f>ROUND(W47*X47*Z47,0)</f>
        <v>0</v>
      </c>
      <c r="AC47" s="135"/>
      <c r="AD47" s="9"/>
    </row>
    <row r="48" spans="1:30" ht="18" customHeight="1" x14ac:dyDescent="0.25">
      <c r="B48" s="136" t="s">
        <v>74</v>
      </c>
      <c r="C48" s="125">
        <f>K12+K13+K17+K20+K23</f>
        <v>267.85759999999999</v>
      </c>
      <c r="D48" s="125"/>
      <c r="E48" s="125"/>
      <c r="F48" s="125"/>
      <c r="G48" s="126">
        <f>K7</f>
        <v>1.0326</v>
      </c>
      <c r="H48" s="126"/>
      <c r="I48" s="127">
        <v>898.23</v>
      </c>
      <c r="J48" s="128" t="s">
        <v>97</v>
      </c>
      <c r="K48" s="129">
        <f>ROUND(C48*G48*I48,0)</f>
        <v>248441</v>
      </c>
      <c r="L48" s="62"/>
      <c r="O48" s="1"/>
      <c r="V48" s="137" t="s">
        <v>74</v>
      </c>
      <c r="W48" s="131">
        <f>AB12+AB13+AB17+AB20+AB23</f>
        <v>0</v>
      </c>
      <c r="X48" s="647">
        <f>AB7</f>
        <v>1.0326</v>
      </c>
      <c r="Y48" s="647"/>
      <c r="Z48" s="132">
        <f>+I48</f>
        <v>898.23</v>
      </c>
      <c r="AA48" s="133" t="s">
        <v>97</v>
      </c>
      <c r="AB48" s="134">
        <f>ROUND(W48*X48*Z48,0)</f>
        <v>0</v>
      </c>
      <c r="AC48" s="138"/>
      <c r="AD48" s="9"/>
    </row>
    <row r="49" spans="2:30" ht="19.5" customHeight="1" thickBot="1" x14ac:dyDescent="0.3">
      <c r="B49" s="139" t="s">
        <v>78</v>
      </c>
      <c r="C49" s="140">
        <f>K14+K15+K18+K21+K24+K25</f>
        <v>0</v>
      </c>
      <c r="D49" s="125"/>
      <c r="E49" s="125"/>
      <c r="F49" s="125"/>
      <c r="G49" s="126">
        <f>K7</f>
        <v>1.0326</v>
      </c>
      <c r="H49" s="126"/>
      <c r="I49" s="127">
        <v>900.39</v>
      </c>
      <c r="J49" s="128" t="s">
        <v>97</v>
      </c>
      <c r="K49" s="129">
        <f>ROUND(C49*G49*I49,0)</f>
        <v>0</v>
      </c>
      <c r="L49" s="62"/>
      <c r="M49" s="112"/>
      <c r="N49" s="141"/>
      <c r="O49" s="142"/>
      <c r="P49" s="101"/>
      <c r="Q49" s="143"/>
      <c r="V49" s="144" t="s">
        <v>78</v>
      </c>
      <c r="W49" s="145">
        <f>AB14+AB15+AB18+AB21+AB24+AB25</f>
        <v>0</v>
      </c>
      <c r="X49" s="647">
        <f>AB7</f>
        <v>1.0326</v>
      </c>
      <c r="Y49" s="647"/>
      <c r="Z49" s="132">
        <f>+I49</f>
        <v>900.39</v>
      </c>
      <c r="AA49" s="133" t="s">
        <v>97</v>
      </c>
      <c r="AB49" s="134">
        <f>ROUND(W49*X49*Z49,0)</f>
        <v>0</v>
      </c>
      <c r="AC49" s="138"/>
      <c r="AD49" s="113"/>
    </row>
    <row r="50" spans="2:30" ht="24" customHeight="1" thickBot="1" x14ac:dyDescent="0.3">
      <c r="B50" s="146" t="s">
        <v>98</v>
      </c>
      <c r="C50" s="147">
        <f>SUM(C47:C49)</f>
        <v>725.15139999999997</v>
      </c>
      <c r="D50" s="148"/>
      <c r="E50" s="149"/>
      <c r="F50" s="149"/>
      <c r="G50" s="150" t="s">
        <v>99</v>
      </c>
      <c r="H50" s="150"/>
      <c r="I50" s="150"/>
      <c r="J50" s="150"/>
      <c r="K50" s="150"/>
      <c r="L50" s="50">
        <f>IF(B2=75,0,K49+K48+K47)</f>
        <v>870260</v>
      </c>
      <c r="N50" s="3"/>
      <c r="O50" s="1"/>
      <c r="V50" s="335" t="s">
        <v>98</v>
      </c>
      <c r="W50" s="152">
        <f>SUM(W47:W49)</f>
        <v>0</v>
      </c>
      <c r="X50" s="648" t="s">
        <v>99</v>
      </c>
      <c r="Y50" s="649"/>
      <c r="Z50" s="649"/>
      <c r="AA50" s="649"/>
      <c r="AB50" s="649"/>
      <c r="AC50" s="56">
        <f>IF(V2=75,0,AB49+AB48+AB47)</f>
        <v>0</v>
      </c>
      <c r="AD50" s="9"/>
    </row>
    <row r="51" spans="2:30" ht="19.5" customHeight="1" x14ac:dyDescent="0.25">
      <c r="B51" s="153" t="s">
        <v>100</v>
      </c>
      <c r="C51" s="153"/>
      <c r="D51" s="153"/>
      <c r="E51" s="153"/>
      <c r="F51" s="153"/>
      <c r="G51" s="153"/>
      <c r="H51" s="153"/>
      <c r="I51" s="153"/>
      <c r="J51" s="153"/>
      <c r="K51" s="153"/>
      <c r="L51" s="153"/>
      <c r="M51" s="141"/>
      <c r="N51" s="101"/>
      <c r="O51" s="1"/>
      <c r="V51" s="650" t="s">
        <v>100</v>
      </c>
      <c r="W51" s="650"/>
      <c r="X51" s="650"/>
      <c r="Y51" s="650"/>
      <c r="Z51" s="650"/>
      <c r="AA51" s="650"/>
      <c r="AB51" s="650"/>
      <c r="AC51" s="650"/>
      <c r="AD51" s="154"/>
    </row>
    <row r="52" spans="2:30" ht="27.75" customHeight="1" x14ac:dyDescent="0.25">
      <c r="B52" s="13" t="s">
        <v>101</v>
      </c>
      <c r="C52" s="13"/>
      <c r="D52" s="13"/>
      <c r="E52" s="13"/>
      <c r="F52" s="13"/>
      <c r="G52" s="13"/>
      <c r="H52" s="13"/>
      <c r="I52" s="13"/>
      <c r="J52" s="13"/>
      <c r="K52" s="13"/>
      <c r="L52" s="13"/>
      <c r="O52" s="1"/>
      <c r="V52" s="651" t="s">
        <v>101</v>
      </c>
      <c r="W52" s="651"/>
      <c r="X52" s="651"/>
      <c r="Y52" s="651"/>
      <c r="Z52" s="651"/>
      <c r="AA52" s="651"/>
      <c r="AB52" s="651"/>
      <c r="AC52" s="651"/>
      <c r="AD52" s="9"/>
    </row>
    <row r="53" spans="2:30" x14ac:dyDescent="0.25">
      <c r="B53" s="13" t="s">
        <v>102</v>
      </c>
      <c r="C53" s="13"/>
      <c r="D53" s="13"/>
      <c r="E53" s="13"/>
      <c r="F53" s="13"/>
      <c r="G53" s="155">
        <f>K26</f>
        <v>725.15139999999985</v>
      </c>
      <c r="H53" s="57" t="s">
        <v>103</v>
      </c>
      <c r="I53" s="57"/>
      <c r="J53" s="156">
        <v>197823.77</v>
      </c>
      <c r="K53" s="156"/>
      <c r="L53" s="156"/>
      <c r="N53" s="3"/>
      <c r="O53" s="1"/>
      <c r="V53" s="657" t="s">
        <v>102</v>
      </c>
      <c r="W53" s="657"/>
      <c r="X53" s="157">
        <f>AB26</f>
        <v>0</v>
      </c>
      <c r="Y53" s="658" t="s">
        <v>103</v>
      </c>
      <c r="Z53" s="658"/>
      <c r="AA53" s="659">
        <f>+J53</f>
        <v>197823.77</v>
      </c>
      <c r="AB53" s="659"/>
      <c r="AC53" s="659"/>
      <c r="AD53" s="9"/>
    </row>
    <row r="54" spans="2:30" x14ac:dyDescent="0.25">
      <c r="B54" s="13" t="s">
        <v>104</v>
      </c>
      <c r="C54" s="13"/>
      <c r="D54" s="13"/>
      <c r="E54" s="13"/>
      <c r="F54" s="13"/>
      <c r="G54" s="13"/>
      <c r="H54" s="13"/>
      <c r="I54" s="13"/>
      <c r="J54" s="13"/>
      <c r="K54" s="158">
        <f>ROUND(G53/J53,6)</f>
        <v>3.666E-3</v>
      </c>
      <c r="L54" s="158"/>
      <c r="N54" s="101"/>
      <c r="O54" s="1"/>
      <c r="V54" s="657" t="s">
        <v>104</v>
      </c>
      <c r="W54" s="657"/>
      <c r="X54" s="657"/>
      <c r="Y54" s="657"/>
      <c r="Z54" s="657"/>
      <c r="AA54" s="657"/>
      <c r="AB54" s="660">
        <f>ROUND(X53/AA53,6)</f>
        <v>0</v>
      </c>
      <c r="AC54" s="660"/>
      <c r="AD54" s="9"/>
    </row>
    <row r="55" spans="2:30" ht="24" customHeight="1" x14ac:dyDescent="0.25">
      <c r="B55" s="13" t="s">
        <v>105</v>
      </c>
      <c r="C55" s="13"/>
      <c r="D55" s="13"/>
      <c r="E55" s="13"/>
      <c r="F55" s="13"/>
      <c r="G55" s="13"/>
      <c r="H55" s="13"/>
      <c r="I55" s="13"/>
      <c r="J55" s="13"/>
      <c r="K55" s="13"/>
      <c r="L55" s="13"/>
      <c r="O55" s="1"/>
      <c r="V55" s="651" t="s">
        <v>105</v>
      </c>
      <c r="W55" s="651"/>
      <c r="X55" s="651"/>
      <c r="Y55" s="651"/>
      <c r="Z55" s="651"/>
      <c r="AA55" s="651"/>
      <c r="AB55" s="651"/>
      <c r="AC55" s="651"/>
      <c r="AD55" s="9"/>
    </row>
    <row r="56" spans="2:30" x14ac:dyDescent="0.25">
      <c r="B56" s="13" t="s">
        <v>106</v>
      </c>
      <c r="C56" s="13"/>
      <c r="D56" s="13"/>
      <c r="E56" s="13"/>
      <c r="F56" s="13"/>
      <c r="G56" s="159">
        <f>G26</f>
        <v>673.36999999999989</v>
      </c>
      <c r="H56" s="57" t="s">
        <v>107</v>
      </c>
      <c r="I56" s="57"/>
      <c r="J56" s="156">
        <f>+G40</f>
        <v>180284.81</v>
      </c>
      <c r="K56" s="156"/>
      <c r="L56" s="156"/>
      <c r="O56" s="1"/>
      <c r="V56" s="657" t="s">
        <v>106</v>
      </c>
      <c r="W56" s="657"/>
      <c r="X56" s="160">
        <f>X26</f>
        <v>0</v>
      </c>
      <c r="Y56" s="658" t="s">
        <v>107</v>
      </c>
      <c r="Z56" s="658"/>
      <c r="AA56" s="659">
        <f>+J56</f>
        <v>180284.81</v>
      </c>
      <c r="AB56" s="659"/>
      <c r="AC56" s="659"/>
      <c r="AD56" s="9"/>
    </row>
    <row r="57" spans="2:30" x14ac:dyDescent="0.25">
      <c r="B57" s="13" t="s">
        <v>108</v>
      </c>
      <c r="C57" s="13"/>
      <c r="D57" s="13"/>
      <c r="E57" s="13"/>
      <c r="F57" s="13"/>
      <c r="G57" s="13"/>
      <c r="H57" s="13"/>
      <c r="I57" s="13"/>
      <c r="J57" s="13"/>
      <c r="K57" s="158">
        <f>ROUND(G56/J56,6)</f>
        <v>3.735E-3</v>
      </c>
      <c r="L57" s="158"/>
      <c r="O57" s="1"/>
      <c r="V57" s="657" t="s">
        <v>108</v>
      </c>
      <c r="W57" s="657"/>
      <c r="X57" s="657"/>
      <c r="Y57" s="657"/>
      <c r="Z57" s="657"/>
      <c r="AA57" s="657"/>
      <c r="AB57" s="660">
        <f>ROUND(X56/AA56,6)</f>
        <v>0</v>
      </c>
      <c r="AC57" s="660"/>
      <c r="AD57" s="9"/>
    </row>
    <row r="58" spans="2:30" ht="20.25" customHeight="1" x14ac:dyDescent="0.25">
      <c r="B58" s="161" t="s">
        <v>109</v>
      </c>
      <c r="C58" s="161"/>
      <c r="D58" s="161"/>
      <c r="E58" s="161"/>
      <c r="F58" s="161"/>
      <c r="G58" s="161"/>
      <c r="H58" s="161"/>
      <c r="I58" s="161"/>
      <c r="J58" s="161"/>
      <c r="K58" s="161"/>
      <c r="L58" s="161"/>
      <c r="N58" s="18"/>
      <c r="O58" s="18"/>
      <c r="V58" s="629" t="s">
        <v>110</v>
      </c>
      <c r="W58" s="629"/>
      <c r="X58" s="629"/>
      <c r="Y58" s="661">
        <f>X65+X64+X62+X61+X60</f>
        <v>4123852</v>
      </c>
      <c r="Z58" s="661"/>
      <c r="AA58" s="332" t="s">
        <v>111</v>
      </c>
      <c r="AB58" s="163">
        <f>AB54</f>
        <v>0</v>
      </c>
      <c r="AC58" s="56">
        <f>ROUND(Y58*AB58,0)</f>
        <v>0</v>
      </c>
      <c r="AD58" s="9"/>
    </row>
    <row r="59" spans="2:30" x14ac:dyDescent="0.25">
      <c r="B59" s="62" t="s">
        <v>110</v>
      </c>
      <c r="C59" s="62"/>
      <c r="D59" s="62"/>
      <c r="E59" s="62"/>
      <c r="F59" s="62"/>
      <c r="G59" s="62"/>
      <c r="H59" s="164" t="s">
        <v>22</v>
      </c>
      <c r="I59" s="129">
        <v>4123852</v>
      </c>
      <c r="J59" s="165" t="s">
        <v>111</v>
      </c>
      <c r="K59" s="166">
        <f>K54</f>
        <v>3.666E-3</v>
      </c>
      <c r="L59" s="50">
        <f>ROUND(I59*K59,0)</f>
        <v>15118</v>
      </c>
      <c r="O59" s="1"/>
      <c r="P59" s="165"/>
      <c r="Q59" s="165"/>
      <c r="V59" s="662" t="s">
        <v>112</v>
      </c>
      <c r="W59" s="662"/>
      <c r="X59" s="662"/>
      <c r="Y59" s="662"/>
      <c r="Z59" s="662"/>
      <c r="AA59" s="662"/>
      <c r="AB59" s="662"/>
      <c r="AC59" s="662"/>
      <c r="AD59" s="9"/>
    </row>
    <row r="60" spans="2:30" x14ac:dyDescent="0.25">
      <c r="B60" s="62" t="s">
        <v>112</v>
      </c>
      <c r="C60" s="62"/>
      <c r="D60" s="62"/>
      <c r="E60" s="62"/>
      <c r="F60" s="62"/>
      <c r="G60" s="62"/>
      <c r="H60" s="62"/>
      <c r="I60" s="62"/>
      <c r="J60" s="62"/>
      <c r="K60" s="62"/>
      <c r="L60" s="62"/>
      <c r="O60" s="1"/>
      <c r="P60" s="165"/>
      <c r="Q60" s="165"/>
      <c r="V60" s="663" t="s">
        <v>113</v>
      </c>
      <c r="W60" s="663"/>
      <c r="X60" s="664">
        <f>+G61</f>
        <v>0</v>
      </c>
      <c r="Y60" s="664"/>
      <c r="Z60" s="664"/>
      <c r="AA60" s="664"/>
      <c r="AB60" s="664"/>
      <c r="AC60" s="664"/>
      <c r="AD60" s="9"/>
    </row>
    <row r="61" spans="2:30" ht="15" customHeight="1" x14ac:dyDescent="0.25">
      <c r="B61" s="167" t="s">
        <v>113</v>
      </c>
      <c r="C61" s="62"/>
      <c r="D61" s="62"/>
      <c r="E61" s="62"/>
      <c r="F61" s="62"/>
      <c r="G61" s="168">
        <v>0</v>
      </c>
      <c r="H61" s="168"/>
      <c r="I61" s="168"/>
      <c r="J61" s="168"/>
      <c r="K61" s="168"/>
      <c r="L61" s="168"/>
      <c r="O61" s="1"/>
      <c r="P61" s="165"/>
      <c r="Q61" s="165"/>
      <c r="V61" s="663" t="s">
        <v>114</v>
      </c>
      <c r="W61" s="663"/>
      <c r="X61" s="664">
        <f>+G62</f>
        <v>0</v>
      </c>
      <c r="Y61" s="664"/>
      <c r="Z61" s="664"/>
      <c r="AA61" s="664"/>
      <c r="AB61" s="664"/>
      <c r="AC61" s="664"/>
      <c r="AD61" s="9"/>
    </row>
    <row r="62" spans="2:30" ht="13.5" customHeight="1" x14ac:dyDescent="0.25">
      <c r="B62" s="167" t="s">
        <v>114</v>
      </c>
      <c r="C62" s="62"/>
      <c r="D62" s="62"/>
      <c r="E62" s="62"/>
      <c r="F62" s="62"/>
      <c r="G62" s="168">
        <v>0</v>
      </c>
      <c r="H62" s="168"/>
      <c r="I62" s="168"/>
      <c r="J62" s="168"/>
      <c r="K62" s="168"/>
      <c r="L62" s="168"/>
      <c r="N62" s="165"/>
      <c r="O62" s="165"/>
      <c r="P62" s="165"/>
      <c r="Q62" s="165"/>
      <c r="V62" s="663" t="s">
        <v>115</v>
      </c>
      <c r="W62" s="663"/>
      <c r="X62" s="664">
        <v>0</v>
      </c>
      <c r="Y62" s="664"/>
      <c r="Z62" s="664"/>
      <c r="AA62" s="664"/>
      <c r="AB62" s="664"/>
      <c r="AC62" s="664"/>
      <c r="AD62" s="9"/>
    </row>
    <row r="63" spans="2:30" ht="13.5" hidden="1" customHeight="1" x14ac:dyDescent="0.25">
      <c r="B63" s="62" t="s">
        <v>115</v>
      </c>
      <c r="C63" s="62"/>
      <c r="D63" s="62"/>
      <c r="E63" s="62"/>
      <c r="F63" s="62"/>
      <c r="G63" s="168">
        <v>0</v>
      </c>
      <c r="H63" s="168"/>
      <c r="I63" s="168"/>
      <c r="J63" s="168"/>
      <c r="K63" s="168"/>
      <c r="L63" s="168"/>
      <c r="O63" s="1"/>
      <c r="P63" s="165"/>
      <c r="Q63" s="165"/>
      <c r="V63" s="662" t="s">
        <v>116</v>
      </c>
      <c r="W63" s="662"/>
      <c r="X63" s="662"/>
      <c r="Y63" s="662"/>
      <c r="Z63" s="662"/>
      <c r="AA63" s="662"/>
      <c r="AB63" s="662"/>
      <c r="AC63" s="662"/>
      <c r="AD63" s="333"/>
    </row>
    <row r="64" spans="2:30" ht="13.5" customHeight="1" x14ac:dyDescent="0.25">
      <c r="B64" s="62" t="s">
        <v>116</v>
      </c>
      <c r="C64" s="62"/>
      <c r="D64" s="62"/>
      <c r="E64" s="62"/>
      <c r="F64" s="62"/>
      <c r="G64" s="62"/>
      <c r="H64" s="62"/>
      <c r="I64" s="62"/>
      <c r="J64" s="62"/>
      <c r="K64" s="62"/>
      <c r="L64" s="62"/>
      <c r="M64" s="116"/>
      <c r="N64" s="18"/>
      <c r="O64" s="1"/>
      <c r="V64" s="663" t="s">
        <v>117</v>
      </c>
      <c r="W64" s="663"/>
      <c r="X64" s="664">
        <f>+G65</f>
        <v>4123852</v>
      </c>
      <c r="Y64" s="664"/>
      <c r="Z64" s="664"/>
      <c r="AA64" s="664"/>
      <c r="AB64" s="664"/>
      <c r="AC64" s="664"/>
      <c r="AD64" s="9"/>
    </row>
    <row r="65" spans="1:30" ht="12.75" customHeight="1" x14ac:dyDescent="0.25">
      <c r="B65" s="167" t="s">
        <v>117</v>
      </c>
      <c r="C65" s="62"/>
      <c r="D65" s="62"/>
      <c r="E65" s="62"/>
      <c r="F65" s="62"/>
      <c r="G65" s="168">
        <f>+I59</f>
        <v>4123852</v>
      </c>
      <c r="H65" s="168"/>
      <c r="I65" s="168"/>
      <c r="J65" s="168"/>
      <c r="K65" s="168"/>
      <c r="L65" s="168"/>
      <c r="O65" s="1"/>
      <c r="V65" s="663" t="s">
        <v>118</v>
      </c>
      <c r="W65" s="663"/>
      <c r="X65" s="664">
        <f>+G66</f>
        <v>0</v>
      </c>
      <c r="Y65" s="664"/>
      <c r="Z65" s="664"/>
      <c r="AA65" s="664"/>
      <c r="AB65" s="664"/>
      <c r="AC65" s="664"/>
      <c r="AD65" s="20"/>
    </row>
    <row r="66" spans="1:30" ht="15" customHeight="1" x14ac:dyDescent="0.25">
      <c r="B66" s="167" t="s">
        <v>118</v>
      </c>
      <c r="C66" s="62"/>
      <c r="D66" s="62"/>
      <c r="E66" s="62"/>
      <c r="F66" s="62"/>
      <c r="G66" s="168">
        <v>0</v>
      </c>
      <c r="H66" s="168"/>
      <c r="I66" s="168"/>
      <c r="J66" s="168"/>
      <c r="K66" s="168"/>
      <c r="L66" s="168"/>
      <c r="M66" s="18"/>
      <c r="N66" s="3"/>
      <c r="O66" s="169"/>
      <c r="P66" s="169"/>
      <c r="Q66" s="169"/>
      <c r="V66" s="651" t="s">
        <v>119</v>
      </c>
      <c r="W66" s="651"/>
      <c r="X66" s="651"/>
      <c r="Y66" s="661">
        <f>+I67</f>
        <v>96774526</v>
      </c>
      <c r="Z66" s="661"/>
      <c r="AA66" s="332" t="s">
        <v>111</v>
      </c>
      <c r="AB66" s="163">
        <f>AB54</f>
        <v>0</v>
      </c>
      <c r="AC66" s="56">
        <f>ROUND(Y66*AB66,0)</f>
        <v>0</v>
      </c>
      <c r="AD66" s="9"/>
    </row>
    <row r="67" spans="1:30" ht="20.25" customHeight="1" x14ac:dyDescent="0.25">
      <c r="B67" s="13" t="s">
        <v>119</v>
      </c>
      <c r="C67" s="13"/>
      <c r="D67" s="13"/>
      <c r="E67" s="13"/>
      <c r="F67" s="13"/>
      <c r="H67" s="164" t="s">
        <v>25</v>
      </c>
      <c r="I67" s="129">
        <v>96774526</v>
      </c>
      <c r="J67" s="165" t="s">
        <v>111</v>
      </c>
      <c r="K67" s="166">
        <f>K54</f>
        <v>3.666E-3</v>
      </c>
      <c r="L67" s="50">
        <f>ROUND(I67*K67,0)</f>
        <v>354775</v>
      </c>
      <c r="O67" s="1"/>
      <c r="V67" s="651" t="s">
        <v>120</v>
      </c>
      <c r="W67" s="651"/>
      <c r="X67" s="651"/>
      <c r="Y67" s="651"/>
      <c r="Z67" s="651"/>
      <c r="AA67" s="651"/>
      <c r="AB67" s="651"/>
      <c r="AC67" s="651"/>
      <c r="AD67" s="9"/>
    </row>
    <row r="68" spans="1:30" ht="20.25" customHeight="1" x14ac:dyDescent="0.25">
      <c r="B68" s="13" t="s">
        <v>120</v>
      </c>
      <c r="C68" s="13"/>
      <c r="D68" s="13"/>
      <c r="E68" s="13"/>
      <c r="F68" s="13"/>
      <c r="H68" s="13"/>
      <c r="I68" s="13"/>
      <c r="J68" s="82"/>
      <c r="K68" s="13"/>
      <c r="L68" s="13"/>
      <c r="O68" s="1"/>
      <c r="V68" s="667" t="s">
        <v>121</v>
      </c>
      <c r="W68" s="667"/>
      <c r="X68" s="667"/>
      <c r="Y68" s="661">
        <f>+I69</f>
        <v>0</v>
      </c>
      <c r="Z68" s="661"/>
      <c r="AA68" s="332" t="s">
        <v>111</v>
      </c>
      <c r="AB68" s="163">
        <f>AB57</f>
        <v>0</v>
      </c>
      <c r="AC68" s="56">
        <f>ROUND(Y68*AB68,0)</f>
        <v>0</v>
      </c>
      <c r="AD68" s="9"/>
    </row>
    <row r="69" spans="1:30" ht="15" customHeight="1" x14ac:dyDescent="0.25">
      <c r="B69" s="170" t="s">
        <v>121</v>
      </c>
      <c r="C69" s="13"/>
      <c r="D69" s="13"/>
      <c r="E69" s="13"/>
      <c r="F69" s="13"/>
      <c r="H69" s="164" t="s">
        <v>23</v>
      </c>
      <c r="I69" s="129">
        <v>0</v>
      </c>
      <c r="J69" s="165" t="s">
        <v>111</v>
      </c>
      <c r="K69" s="166">
        <f>K57</f>
        <v>3.735E-3</v>
      </c>
      <c r="L69" s="50">
        <f>ROUND(I69*K69,0)</f>
        <v>0</v>
      </c>
      <c r="O69" s="1"/>
      <c r="V69" s="651" t="s">
        <v>122</v>
      </c>
      <c r="W69" s="651"/>
      <c r="X69" s="651"/>
      <c r="Y69" s="668">
        <f>+I70</f>
        <v>-3460775</v>
      </c>
      <c r="Z69" s="668"/>
      <c r="AA69" s="332" t="s">
        <v>111</v>
      </c>
      <c r="AB69" s="163">
        <f>AB54</f>
        <v>0</v>
      </c>
      <c r="AC69" s="56">
        <f>ROUND(Y69*AB69,0)</f>
        <v>0</v>
      </c>
      <c r="AD69" s="9"/>
    </row>
    <row r="70" spans="1:30" ht="20.25" customHeight="1" x14ac:dyDescent="0.25">
      <c r="B70" s="13" t="s">
        <v>122</v>
      </c>
      <c r="C70" s="13"/>
      <c r="D70" s="13"/>
      <c r="E70" s="13"/>
      <c r="F70" s="13"/>
      <c r="H70" s="164" t="s">
        <v>22</v>
      </c>
      <c r="I70" s="129">
        <v>-3460775</v>
      </c>
      <c r="J70" s="165" t="s">
        <v>111</v>
      </c>
      <c r="K70" s="166">
        <f>K54</f>
        <v>3.666E-3</v>
      </c>
      <c r="L70" s="50">
        <f>ROUND(I70*K70,0)</f>
        <v>-12687</v>
      </c>
      <c r="O70" s="1"/>
      <c r="V70" s="651" t="s">
        <v>123</v>
      </c>
      <c r="W70" s="651"/>
      <c r="X70" s="651"/>
      <c r="Y70" s="665">
        <f>+I71</f>
        <v>1874788</v>
      </c>
      <c r="Z70" s="665"/>
      <c r="AA70" s="332" t="s">
        <v>111</v>
      </c>
      <c r="AB70" s="163">
        <f>AB54</f>
        <v>0</v>
      </c>
      <c r="AC70" s="56">
        <f>ROUND(Y70*AB70,0)</f>
        <v>0</v>
      </c>
      <c r="AD70" s="9"/>
    </row>
    <row r="71" spans="1:30" ht="20.25" customHeight="1" x14ac:dyDescent="0.25">
      <c r="B71" s="13" t="s">
        <v>123</v>
      </c>
      <c r="C71" s="13"/>
      <c r="D71" s="13"/>
      <c r="E71" s="13"/>
      <c r="F71" s="13"/>
      <c r="H71" s="164" t="s">
        <v>22</v>
      </c>
      <c r="I71" s="129">
        <v>1874788</v>
      </c>
      <c r="J71" s="165" t="s">
        <v>111</v>
      </c>
      <c r="K71" s="166">
        <f>K54</f>
        <v>3.666E-3</v>
      </c>
      <c r="L71" s="50">
        <f>ROUND(I71*K71,0)</f>
        <v>6873</v>
      </c>
      <c r="O71" s="1"/>
      <c r="V71" s="651" t="s">
        <v>124</v>
      </c>
      <c r="W71" s="651"/>
      <c r="X71" s="651"/>
      <c r="Y71" s="665">
        <f>+I72</f>
        <v>14223298</v>
      </c>
      <c r="Z71" s="665"/>
      <c r="AA71" s="332" t="s">
        <v>111</v>
      </c>
      <c r="AB71" s="163">
        <f>AB57</f>
        <v>0</v>
      </c>
      <c r="AC71" s="56">
        <f>ROUND(Y71*AB71,0)</f>
        <v>0</v>
      </c>
      <c r="AD71" s="9"/>
    </row>
    <row r="72" spans="1:30" ht="21" customHeight="1" x14ac:dyDescent="0.25">
      <c r="B72" s="13" t="s">
        <v>124</v>
      </c>
      <c r="C72" s="13"/>
      <c r="D72" s="13"/>
      <c r="E72" s="13"/>
      <c r="F72" s="13"/>
      <c r="H72" s="164" t="s">
        <v>23</v>
      </c>
      <c r="I72" s="171">
        <v>14223298</v>
      </c>
      <c r="J72" s="165" t="s">
        <v>111</v>
      </c>
      <c r="K72" s="166">
        <f>K57</f>
        <v>3.735E-3</v>
      </c>
      <c r="L72" s="50">
        <f>ROUND(I72*K72,0)</f>
        <v>53124</v>
      </c>
      <c r="O72" s="1"/>
      <c r="V72" s="623" t="s">
        <v>125</v>
      </c>
      <c r="W72" s="623"/>
      <c r="X72" s="623"/>
      <c r="Y72" s="623"/>
      <c r="Z72" s="623"/>
      <c r="AA72" s="623"/>
      <c r="AB72" s="623"/>
      <c r="AC72" s="60"/>
      <c r="AD72" s="9"/>
    </row>
    <row r="73" spans="1:30" ht="17.25" customHeight="1" x14ac:dyDescent="0.25">
      <c r="B73" s="13" t="s">
        <v>125</v>
      </c>
      <c r="C73" s="13"/>
      <c r="D73" s="13"/>
      <c r="E73" s="13"/>
      <c r="F73" s="13"/>
      <c r="H73" s="13"/>
      <c r="I73" s="13"/>
      <c r="J73" s="82"/>
      <c r="K73" s="13"/>
      <c r="L73" s="59"/>
      <c r="O73" s="1"/>
      <c r="V73" s="651" t="s">
        <v>126</v>
      </c>
      <c r="W73" s="651"/>
      <c r="X73" s="651"/>
      <c r="Y73" s="651"/>
      <c r="Z73" s="651"/>
      <c r="AA73" s="651"/>
      <c r="AB73" s="651"/>
      <c r="AC73" s="651"/>
      <c r="AD73" s="9"/>
    </row>
    <row r="74" spans="1:30" ht="31.5" x14ac:dyDescent="0.25">
      <c r="B74" s="13" t="s">
        <v>126</v>
      </c>
      <c r="C74" s="13"/>
      <c r="D74" s="27" t="s">
        <v>13</v>
      </c>
      <c r="E74" s="27" t="s">
        <v>14</v>
      </c>
      <c r="F74" s="27"/>
      <c r="H74" s="164" t="s">
        <v>26</v>
      </c>
      <c r="I74" s="172"/>
      <c r="J74" s="164"/>
      <c r="K74" s="172"/>
      <c r="L74" s="112"/>
      <c r="O74" s="1"/>
      <c r="V74" s="666" t="s">
        <v>127</v>
      </c>
      <c r="W74" s="666"/>
      <c r="X74" s="173" t="s">
        <v>128</v>
      </c>
      <c r="Y74" s="174"/>
      <c r="Z74" s="175">
        <f>+I75</f>
        <v>23</v>
      </c>
      <c r="AA74" s="331" t="s">
        <v>129</v>
      </c>
      <c r="AB74" s="177">
        <f>+K75</f>
        <v>361</v>
      </c>
      <c r="AC74" s="56">
        <f>ROUND(AB74*Z74,0)</f>
        <v>8303</v>
      </c>
      <c r="AD74" s="9"/>
    </row>
    <row r="75" spans="1:30" ht="19.5" customHeight="1" x14ac:dyDescent="0.25">
      <c r="A75" s="1" t="s">
        <v>130</v>
      </c>
      <c r="B75" s="178" t="s">
        <v>127</v>
      </c>
      <c r="C75" s="179" t="s">
        <v>128</v>
      </c>
      <c r="D75" s="178">
        <v>15</v>
      </c>
      <c r="E75" s="178">
        <v>31</v>
      </c>
      <c r="F75" s="178">
        <v>0</v>
      </c>
      <c r="G75" s="180">
        <f>IF(E75=0,D75,E75)</f>
        <v>31</v>
      </c>
      <c r="H75" s="181"/>
      <c r="I75" s="182">
        <f>AVERAGE(G75,D75)</f>
        <v>23</v>
      </c>
      <c r="J75" s="183" t="s">
        <v>129</v>
      </c>
      <c r="K75" s="184">
        <v>361</v>
      </c>
      <c r="L75" s="50">
        <f>ROUND(K75*I75,0)</f>
        <v>8303</v>
      </c>
      <c r="N75" s="1">
        <v>7802</v>
      </c>
      <c r="O75" s="1">
        <v>0</v>
      </c>
      <c r="V75" s="666" t="s">
        <v>127</v>
      </c>
      <c r="W75" s="666"/>
      <c r="X75" s="173" t="s">
        <v>131</v>
      </c>
      <c r="Y75" s="185"/>
      <c r="Z75" s="186">
        <f>+I76</f>
        <v>0</v>
      </c>
      <c r="AA75" s="331" t="s">
        <v>129</v>
      </c>
      <c r="AB75" s="187">
        <f>+K76</f>
        <v>1358</v>
      </c>
      <c r="AC75" s="56">
        <f>ROUND(AB75*Z75,0)</f>
        <v>0</v>
      </c>
      <c r="AD75" s="9"/>
    </row>
    <row r="76" spans="1:30" ht="19.5" customHeight="1" x14ac:dyDescent="0.25">
      <c r="A76" s="1" t="s">
        <v>132</v>
      </c>
      <c r="B76" s="178" t="s">
        <v>127</v>
      </c>
      <c r="C76" s="179" t="s">
        <v>131</v>
      </c>
      <c r="D76" s="178">
        <v>0</v>
      </c>
      <c r="E76" s="178">
        <v>0</v>
      </c>
      <c r="F76" s="178">
        <v>0</v>
      </c>
      <c r="G76" s="180">
        <f>IF(E76=0,D76,E76)</f>
        <v>0</v>
      </c>
      <c r="H76" s="181"/>
      <c r="I76" s="182">
        <f>AVERAGE(G76,D76)</f>
        <v>0</v>
      </c>
      <c r="J76" s="183" t="s">
        <v>129</v>
      </c>
      <c r="K76" s="188">
        <v>1358</v>
      </c>
      <c r="L76" s="50">
        <f>ROUND(K76*I76,0)</f>
        <v>0</v>
      </c>
      <c r="N76" s="1">
        <v>7802</v>
      </c>
      <c r="O76" s="1">
        <v>110</v>
      </c>
      <c r="V76" s="651" t="s">
        <v>133</v>
      </c>
      <c r="W76" s="651"/>
      <c r="X76" s="651"/>
      <c r="Y76" s="661">
        <f>+I77</f>
        <v>33305823</v>
      </c>
      <c r="Z76" s="661"/>
      <c r="AA76" s="331" t="s">
        <v>129</v>
      </c>
      <c r="AB76" s="163">
        <f>AB54</f>
        <v>0</v>
      </c>
      <c r="AC76" s="56">
        <f>ROUND(Y76*AB76,0)</f>
        <v>0</v>
      </c>
      <c r="AD76" s="9"/>
    </row>
    <row r="77" spans="1:30" ht="26.25" customHeight="1" x14ac:dyDescent="0.25">
      <c r="B77" s="13" t="s">
        <v>133</v>
      </c>
      <c r="C77" s="13"/>
      <c r="D77" s="13"/>
      <c r="E77" s="13"/>
      <c r="F77" s="13"/>
      <c r="H77" s="164" t="s">
        <v>134</v>
      </c>
      <c r="I77" s="189">
        <v>33305823</v>
      </c>
      <c r="J77" s="165" t="s">
        <v>111</v>
      </c>
      <c r="K77" s="166">
        <f>K54</f>
        <v>3.666E-3</v>
      </c>
      <c r="L77" s="50">
        <f>ROUND(I77*K77,0)</f>
        <v>122099</v>
      </c>
      <c r="O77" s="1"/>
      <c r="V77" s="651" t="str">
        <f>+B78</f>
        <v>15.  Additional Allocation (WFTE share)</v>
      </c>
      <c r="W77" s="651"/>
      <c r="X77" s="651"/>
      <c r="Y77" s="661">
        <f>+I78</f>
        <v>680688</v>
      </c>
      <c r="Z77" s="661"/>
      <c r="AA77" s="331" t="s">
        <v>129</v>
      </c>
      <c r="AB77" s="163">
        <f>AB54</f>
        <v>0</v>
      </c>
      <c r="AC77" s="56">
        <f>ROUND(Y77*AB77,0)</f>
        <v>0</v>
      </c>
      <c r="AD77" s="9"/>
    </row>
    <row r="78" spans="1:30" ht="26.25" customHeight="1" x14ac:dyDescent="0.25">
      <c r="B78" s="669" t="s">
        <v>135</v>
      </c>
      <c r="C78" s="669"/>
      <c r="D78" s="669"/>
      <c r="E78" s="13"/>
      <c r="F78" s="13"/>
      <c r="H78" s="164" t="s">
        <v>136</v>
      </c>
      <c r="I78" s="190">
        <v>680688</v>
      </c>
      <c r="J78" s="165" t="s">
        <v>111</v>
      </c>
      <c r="K78" s="166">
        <f>K54</f>
        <v>3.666E-3</v>
      </c>
      <c r="L78" s="50">
        <f>ROUND(I78*K78,0)</f>
        <v>2495</v>
      </c>
      <c r="O78" s="1"/>
      <c r="V78" s="651" t="str">
        <f>+B79</f>
        <v>16.  Florida Teachers Lead Program Stipend</v>
      </c>
      <c r="W78" s="651"/>
      <c r="X78" s="651"/>
      <c r="Y78" s="191"/>
      <c r="Z78" s="191"/>
      <c r="AA78" s="191"/>
      <c r="AB78" s="191"/>
      <c r="AC78" s="134"/>
      <c r="AD78" s="9"/>
    </row>
    <row r="79" spans="1:30" ht="21" customHeight="1" x14ac:dyDescent="0.25">
      <c r="B79" s="669" t="s">
        <v>137</v>
      </c>
      <c r="C79" s="669"/>
      <c r="D79" s="669"/>
      <c r="E79" s="13"/>
      <c r="F79" s="13"/>
      <c r="H79" s="164"/>
      <c r="I79" s="172"/>
      <c r="J79" s="172"/>
      <c r="K79" s="172"/>
      <c r="L79" s="129"/>
      <c r="N79" s="192"/>
      <c r="O79" s="1"/>
      <c r="Q79" s="164"/>
      <c r="V79" s="651" t="str">
        <f>+B80</f>
        <v>17.  Food Service Allocation</v>
      </c>
      <c r="W79" s="651"/>
      <c r="X79" s="651"/>
      <c r="Y79" s="191"/>
      <c r="Z79" s="191"/>
      <c r="AA79" s="191"/>
      <c r="AB79" s="191"/>
      <c r="AC79" s="193"/>
      <c r="AD79" s="9"/>
    </row>
    <row r="80" spans="1:30" ht="21" customHeight="1" x14ac:dyDescent="0.25">
      <c r="B80" s="669" t="s">
        <v>138</v>
      </c>
      <c r="C80" s="669"/>
      <c r="D80" s="669"/>
      <c r="E80" s="13"/>
      <c r="F80" s="13"/>
      <c r="H80" s="194" t="s">
        <v>139</v>
      </c>
      <c r="I80" s="195"/>
      <c r="J80" s="195"/>
      <c r="K80" s="195"/>
      <c r="L80" s="196"/>
      <c r="N80" s="197"/>
      <c r="O80" s="1"/>
      <c r="Q80" s="164"/>
      <c r="V80" s="191"/>
      <c r="W80" s="191"/>
      <c r="X80" s="191"/>
      <c r="Y80" s="191"/>
      <c r="Z80" s="191"/>
      <c r="AA80" s="191"/>
      <c r="AB80" s="191"/>
      <c r="AC80" s="193"/>
      <c r="AD80" s="9"/>
    </row>
    <row r="81" spans="1:30" ht="21" customHeight="1" thickBot="1" x14ac:dyDescent="0.3">
      <c r="B81" s="13"/>
      <c r="C81" s="13"/>
      <c r="D81" s="13"/>
      <c r="E81" s="13"/>
      <c r="F81" s="13"/>
      <c r="G81" s="13"/>
      <c r="H81" s="13"/>
      <c r="I81" s="13"/>
      <c r="J81" s="13"/>
      <c r="K81" s="13"/>
      <c r="L81" s="196"/>
      <c r="M81" s="198"/>
      <c r="N81" s="197"/>
      <c r="O81" s="1"/>
      <c r="Q81" s="164"/>
      <c r="V81" s="191" t="s">
        <v>140</v>
      </c>
      <c r="W81" s="191"/>
      <c r="X81" s="191"/>
      <c r="Y81" s="191"/>
      <c r="Z81" s="191"/>
      <c r="AA81" s="191"/>
      <c r="AB81" s="191"/>
      <c r="AC81" s="199">
        <f>SUM(AC44:AC80)</f>
        <v>8303</v>
      </c>
      <c r="AD81" s="200"/>
    </row>
    <row r="82" spans="1:30" ht="22.5" customHeight="1" thickTop="1" thickBot="1" x14ac:dyDescent="0.3">
      <c r="B82" s="13" t="s">
        <v>141</v>
      </c>
      <c r="C82" s="13"/>
      <c r="D82" s="13"/>
      <c r="E82" s="13"/>
      <c r="F82" s="13"/>
      <c r="G82" s="13"/>
      <c r="H82" s="13"/>
      <c r="I82" s="13"/>
      <c r="J82" s="13"/>
      <c r="K82" s="13"/>
      <c r="L82" s="201">
        <f>SUM(L44:L81)</f>
        <v>4493988</v>
      </c>
      <c r="M82" s="202"/>
      <c r="N82" s="203"/>
      <c r="O82" s="1"/>
      <c r="Q82" s="164"/>
      <c r="V82" s="191"/>
      <c r="W82" s="191"/>
      <c r="X82" s="191"/>
      <c r="Y82" s="191"/>
      <c r="Z82" s="191"/>
      <c r="AA82" s="191"/>
      <c r="AB82" s="191"/>
      <c r="AC82" s="204"/>
      <c r="AD82" s="200"/>
    </row>
    <row r="83" spans="1:30" ht="27.75" customHeight="1" thickTop="1" x14ac:dyDescent="0.25">
      <c r="B83" s="13" t="s">
        <v>142</v>
      </c>
      <c r="C83" s="13"/>
      <c r="D83" s="13"/>
      <c r="E83" s="13"/>
      <c r="F83" s="13"/>
      <c r="G83" s="13"/>
      <c r="H83" s="13"/>
      <c r="I83" s="13"/>
      <c r="J83" s="13"/>
      <c r="K83" s="82" t="s">
        <v>143</v>
      </c>
      <c r="L83" s="205" t="s">
        <v>144</v>
      </c>
      <c r="M83" s="202"/>
      <c r="N83" s="203"/>
      <c r="O83" s="1"/>
      <c r="Q83" s="164"/>
      <c r="V83" s="9" t="s">
        <v>145</v>
      </c>
      <c r="W83" s="9"/>
      <c r="X83" s="9"/>
      <c r="Y83" s="9"/>
      <c r="Z83" s="9"/>
      <c r="AA83" s="9"/>
      <c r="AB83" s="9"/>
      <c r="AC83" s="9"/>
      <c r="AD83" s="206"/>
    </row>
    <row r="84" spans="1:30" ht="18.75" customHeight="1" thickBot="1" x14ac:dyDescent="0.3">
      <c r="B84" s="13" t="s">
        <v>146</v>
      </c>
      <c r="C84" s="13"/>
      <c r="D84" s="13"/>
      <c r="E84" s="13"/>
      <c r="F84" s="13"/>
      <c r="G84" s="13"/>
      <c r="H84" s="13"/>
      <c r="I84" s="13"/>
      <c r="J84" s="13"/>
      <c r="K84" s="207" t="str">
        <f>IF(G26=0,"",IF((G11+G13+SUM(G15:G21))/G26&gt;0.75,1,""))</f>
        <v/>
      </c>
      <c r="L84" s="201">
        <f>'4000 June Final'!AC81</f>
        <v>8303</v>
      </c>
      <c r="M84" s="202"/>
      <c r="N84" s="203"/>
      <c r="O84" s="1"/>
      <c r="Q84" s="164"/>
      <c r="V84" s="208" t="s">
        <v>147</v>
      </c>
      <c r="W84" s="208"/>
      <c r="X84" s="208"/>
      <c r="Y84" s="208"/>
      <c r="Z84" s="208"/>
      <c r="AA84" s="208"/>
      <c r="AB84" s="208"/>
      <c r="AC84" s="208"/>
      <c r="AD84" s="9"/>
    </row>
    <row r="85" spans="1:30" ht="18.75" customHeight="1" thickTop="1" x14ac:dyDescent="0.25">
      <c r="B85" s="13"/>
      <c r="C85" s="13"/>
      <c r="D85" s="13"/>
      <c r="E85" s="13"/>
      <c r="F85" s="13"/>
      <c r="G85" s="13"/>
      <c r="H85" s="13"/>
      <c r="I85" s="13"/>
      <c r="J85" s="13"/>
      <c r="M85" s="202"/>
      <c r="N85" s="203"/>
      <c r="O85" s="1"/>
      <c r="Q85" s="164"/>
      <c r="V85" s="208" t="s">
        <v>148</v>
      </c>
      <c r="W85" s="208"/>
      <c r="X85" s="208"/>
      <c r="Y85" s="208"/>
      <c r="Z85" s="208"/>
      <c r="AA85" s="208"/>
      <c r="AB85" s="208"/>
      <c r="AC85" s="208"/>
      <c r="AD85" s="206"/>
    </row>
    <row r="86" spans="1:30" ht="18.75" customHeight="1" x14ac:dyDescent="0.25">
      <c r="B86" s="2" t="s">
        <v>149</v>
      </c>
      <c r="C86" s="13"/>
      <c r="D86" s="13"/>
      <c r="E86" s="13"/>
      <c r="F86" s="13"/>
      <c r="G86" s="13"/>
      <c r="H86" s="13"/>
      <c r="I86" s="13"/>
      <c r="J86" s="209" t="s">
        <v>150</v>
      </c>
      <c r="K86" s="210">
        <f>IF(K84=1,L84,L82)</f>
        <v>4493988</v>
      </c>
      <c r="L86" s="211">
        <f>IF(G26=0,0,IF(G26&gt;250,-(((250/G26)*K86)*IF(M86="H",0.02,0.05)),IF(M86="H",-0.02*K86,-0.05*K86)))</f>
        <v>-83423.452188247189</v>
      </c>
      <c r="M86" s="212" t="str">
        <f>IF(B123="2801","H",IF(B123="2911","H",IF(B123="3382","H"," ")))</f>
        <v xml:space="preserve"> </v>
      </c>
      <c r="N86" s="203"/>
      <c r="O86" s="1"/>
      <c r="Q86" s="164"/>
      <c r="V86" s="208" t="s">
        <v>151</v>
      </c>
      <c r="W86" s="208"/>
      <c r="X86" s="208"/>
      <c r="Y86" s="208"/>
      <c r="Z86" s="208"/>
      <c r="AA86" s="208"/>
      <c r="AB86" s="208"/>
      <c r="AC86" s="208"/>
      <c r="AD86" s="206"/>
    </row>
    <row r="87" spans="1:30" ht="18.75" customHeight="1" x14ac:dyDescent="0.25">
      <c r="B87" s="2" t="s">
        <v>152</v>
      </c>
      <c r="C87" s="13"/>
      <c r="D87" s="13"/>
      <c r="E87" s="13"/>
      <c r="F87" s="13"/>
      <c r="G87" s="13"/>
      <c r="H87" s="13"/>
      <c r="I87" s="13"/>
      <c r="J87" s="13"/>
      <c r="K87" s="213"/>
      <c r="L87" s="205">
        <f>L82+L86</f>
        <v>4410564.5478117531</v>
      </c>
      <c r="M87" s="202"/>
      <c r="N87" s="203"/>
      <c r="O87" s="1"/>
      <c r="Q87" s="164"/>
      <c r="V87" s="198"/>
      <c r="W87" s="198"/>
      <c r="X87" s="198"/>
      <c r="Y87" s="198"/>
      <c r="Z87" s="198"/>
      <c r="AA87" s="198"/>
      <c r="AB87" s="198"/>
      <c r="AC87" s="198"/>
      <c r="AD87" s="214"/>
    </row>
    <row r="88" spans="1:30" x14ac:dyDescent="0.25">
      <c r="V88" s="198"/>
      <c r="W88" s="198"/>
      <c r="X88" s="198"/>
      <c r="Y88" s="198"/>
      <c r="Z88" s="198"/>
      <c r="AA88" s="198"/>
      <c r="AB88" s="198"/>
      <c r="AC88" s="198"/>
      <c r="AD88" s="215"/>
    </row>
    <row r="89" spans="1:30" ht="18.75" customHeight="1" x14ac:dyDescent="0.25">
      <c r="A89" s="1" t="s">
        <v>153</v>
      </c>
      <c r="B89" s="13" t="s">
        <v>154</v>
      </c>
      <c r="C89" s="13"/>
      <c r="D89" s="13">
        <v>2354153</v>
      </c>
      <c r="E89" s="13">
        <v>360905</v>
      </c>
      <c r="F89" s="13">
        <v>3797702</v>
      </c>
      <c r="G89" s="13"/>
      <c r="H89" s="13"/>
      <c r="I89" s="13"/>
      <c r="J89" s="13"/>
      <c r="K89" s="213"/>
      <c r="L89" s="84">
        <v>-4412598.2917396901</v>
      </c>
      <c r="M89" s="202"/>
      <c r="N89" s="203"/>
      <c r="O89" s="1"/>
      <c r="Q89" s="164"/>
      <c r="V89" s="198">
        <v>2801</v>
      </c>
      <c r="W89" s="198"/>
      <c r="X89" s="198"/>
      <c r="Y89" s="198"/>
      <c r="Z89" s="198"/>
      <c r="AA89" s="198"/>
      <c r="AB89" s="198"/>
      <c r="AC89" s="198"/>
      <c r="AD89" s="214"/>
    </row>
    <row r="90" spans="1:30" ht="18.75" customHeight="1" x14ac:dyDescent="0.25">
      <c r="B90" s="13" t="s">
        <v>155</v>
      </c>
      <c r="C90" s="13"/>
      <c r="D90" s="13"/>
      <c r="E90" s="13"/>
      <c r="F90" s="13"/>
      <c r="G90" s="13"/>
      <c r="H90" s="13"/>
      <c r="I90" s="13"/>
      <c r="J90" s="13"/>
      <c r="K90" s="213"/>
      <c r="L90" s="205">
        <f>L87+L89</f>
        <v>-2033.743927937001</v>
      </c>
      <c r="M90" s="202"/>
      <c r="N90" s="203"/>
      <c r="O90" s="1"/>
      <c r="Q90" s="164"/>
      <c r="V90" s="198">
        <v>2911</v>
      </c>
      <c r="W90" s="216"/>
      <c r="X90" s="216"/>
      <c r="Y90" s="216"/>
      <c r="Z90" s="216"/>
      <c r="AA90" s="216"/>
      <c r="AB90" s="216"/>
      <c r="AC90" s="216"/>
      <c r="AD90" s="214"/>
    </row>
    <row r="91" spans="1:30" ht="18.75" customHeight="1" x14ac:dyDescent="0.25">
      <c r="B91" s="13" t="s">
        <v>156</v>
      </c>
      <c r="C91" s="13"/>
      <c r="D91" s="13"/>
      <c r="E91" s="13"/>
      <c r="F91" s="13"/>
      <c r="G91" s="13"/>
      <c r="H91" s="13"/>
      <c r="I91" s="13"/>
      <c r="J91" s="13"/>
      <c r="K91" s="213"/>
      <c r="L91" s="205">
        <v>1</v>
      </c>
      <c r="M91" s="202"/>
      <c r="N91" s="203"/>
      <c r="O91" s="1"/>
      <c r="Q91" s="164"/>
      <c r="V91" s="198">
        <v>3382</v>
      </c>
      <c r="W91" s="216"/>
      <c r="X91" s="216"/>
      <c r="Y91" s="216"/>
      <c r="Z91" s="216"/>
      <c r="AA91" s="216"/>
      <c r="AB91" s="216"/>
      <c r="AC91" s="216"/>
      <c r="AD91" s="214"/>
    </row>
    <row r="92" spans="1:30" ht="18.75" customHeight="1" thickBot="1" x14ac:dyDescent="0.3">
      <c r="B92" s="13" t="s">
        <v>434</v>
      </c>
      <c r="C92" s="13"/>
      <c r="D92" s="13"/>
      <c r="E92" s="13"/>
      <c r="F92" s="13"/>
      <c r="G92" s="13"/>
      <c r="H92" s="13"/>
      <c r="I92" s="13"/>
      <c r="J92" s="13"/>
      <c r="K92" s="213"/>
      <c r="L92" s="217">
        <f>L90/L91</f>
        <v>-2033.743927937001</v>
      </c>
      <c r="M92" s="202"/>
      <c r="N92" s="203"/>
      <c r="O92" s="1"/>
      <c r="Q92" s="164"/>
      <c r="V92" s="218"/>
      <c r="W92" s="218"/>
      <c r="X92" s="218"/>
      <c r="Y92" s="218"/>
      <c r="Z92" s="218"/>
      <c r="AA92" s="218"/>
      <c r="AB92" s="218"/>
      <c r="AC92" s="218"/>
      <c r="AD92" s="219"/>
    </row>
    <row r="93" spans="1:30" ht="18.75" customHeight="1" thickTop="1" x14ac:dyDescent="0.25">
      <c r="N93" s="219"/>
      <c r="O93" s="220"/>
      <c r="P93" s="219"/>
      <c r="Q93" s="219"/>
      <c r="V93" s="218"/>
      <c r="W93" s="218"/>
      <c r="X93" s="218"/>
      <c r="Y93" s="218"/>
      <c r="Z93" s="218"/>
      <c r="AA93" s="218"/>
      <c r="AB93" s="218"/>
      <c r="AC93" s="218"/>
      <c r="AD93" s="214"/>
    </row>
    <row r="94" spans="1:30" ht="18.75" customHeight="1" thickBot="1" x14ac:dyDescent="0.3">
      <c r="B94" s="221" t="s">
        <v>158</v>
      </c>
      <c r="C94" s="13"/>
      <c r="D94" s="13"/>
      <c r="E94" s="13"/>
      <c r="G94" s="13"/>
      <c r="H94" s="13"/>
      <c r="I94" s="13"/>
      <c r="J94" s="13"/>
      <c r="L94" s="222">
        <f>IF(M86="H",(K86*0.02)+L86,(K86*0.05)+L86)</f>
        <v>141275.94781175285</v>
      </c>
      <c r="M94" s="202"/>
      <c r="V94" s="223"/>
      <c r="W94" s="223"/>
      <c r="X94" s="223"/>
      <c r="Y94" s="223"/>
      <c r="Z94" s="223"/>
      <c r="AA94" s="223"/>
      <c r="AB94" s="223"/>
      <c r="AC94" s="223"/>
      <c r="AD94" s="214"/>
    </row>
    <row r="95" spans="1:30" ht="21.75" customHeight="1" thickTop="1" x14ac:dyDescent="0.25">
      <c r="B95" s="224" t="s">
        <v>159</v>
      </c>
      <c r="C95" s="224"/>
      <c r="D95" s="224"/>
      <c r="E95" s="224"/>
      <c r="F95" s="224"/>
      <c r="G95" s="224"/>
      <c r="H95" s="224"/>
      <c r="I95" s="224"/>
      <c r="J95" s="224"/>
      <c r="K95" s="224"/>
      <c r="L95" s="224"/>
      <c r="M95" s="219"/>
      <c r="V95" s="223"/>
      <c r="W95" s="223"/>
      <c r="X95" s="223"/>
      <c r="Y95" s="223"/>
      <c r="Z95" s="223"/>
      <c r="AA95" s="223"/>
      <c r="AB95" s="223"/>
      <c r="AC95" s="223"/>
      <c r="AD95" s="214"/>
    </row>
    <row r="96" spans="1:30" x14ac:dyDescent="0.25">
      <c r="B96" s="225"/>
      <c r="V96" s="223"/>
      <c r="W96" s="223"/>
      <c r="X96" s="223"/>
      <c r="Y96" s="223"/>
      <c r="Z96" s="223"/>
      <c r="AA96" s="223"/>
      <c r="AB96" s="223"/>
      <c r="AC96" s="223"/>
      <c r="AD96" s="219"/>
    </row>
    <row r="97" spans="2:30" x14ac:dyDescent="0.25">
      <c r="B97" s="225"/>
      <c r="V97" s="223"/>
      <c r="W97" s="223"/>
      <c r="X97" s="223"/>
      <c r="Y97" s="223"/>
      <c r="Z97" s="223"/>
      <c r="AA97" s="223"/>
      <c r="AB97" s="223"/>
      <c r="AC97" s="223"/>
      <c r="AD97" s="219"/>
    </row>
    <row r="98" spans="2:30" hidden="1" x14ac:dyDescent="0.25">
      <c r="B98" s="226" t="s">
        <v>160</v>
      </c>
      <c r="C98" s="227"/>
      <c r="V98" s="228"/>
      <c r="W98" s="228"/>
      <c r="X98" s="228"/>
      <c r="Y98" s="228"/>
      <c r="Z98" s="228"/>
      <c r="AA98" s="228"/>
      <c r="AB98" s="228"/>
      <c r="AC98" s="228"/>
    </row>
    <row r="99" spans="2:30" hidden="1" x14ac:dyDescent="0.25">
      <c r="B99" s="229"/>
      <c r="C99" s="227"/>
      <c r="V99" s="225"/>
      <c r="W99" s="13"/>
      <c r="X99" s="13"/>
      <c r="Y99" s="13"/>
      <c r="Z99" s="13"/>
      <c r="AA99" s="13"/>
      <c r="AB99" s="13"/>
      <c r="AC99" s="13"/>
    </row>
    <row r="100" spans="2:30" hidden="1" x14ac:dyDescent="0.25">
      <c r="B100" s="230" t="s">
        <v>161</v>
      </c>
      <c r="C100" s="226" t="s">
        <v>162</v>
      </c>
      <c r="V100" s="225"/>
    </row>
    <row r="101" spans="2:30" hidden="1" x14ac:dyDescent="0.25">
      <c r="B101" s="230" t="s">
        <v>163</v>
      </c>
      <c r="C101" s="226" t="s">
        <v>164</v>
      </c>
      <c r="V101" s="225"/>
    </row>
    <row r="102" spans="2:30" hidden="1" x14ac:dyDescent="0.25">
      <c r="B102" s="230" t="s">
        <v>165</v>
      </c>
      <c r="C102" s="226" t="s">
        <v>166</v>
      </c>
      <c r="V102" s="225"/>
      <c r="W102" s="231"/>
      <c r="X102" s="231"/>
      <c r="Y102" s="231"/>
      <c r="Z102" s="231"/>
      <c r="AA102" s="231"/>
      <c r="AB102" s="231"/>
      <c r="AC102" s="231"/>
      <c r="AD102" s="231"/>
    </row>
    <row r="103" spans="2:30" hidden="1" x14ac:dyDescent="0.25">
      <c r="B103" s="230" t="s">
        <v>167</v>
      </c>
      <c r="C103" s="226" t="s">
        <v>168</v>
      </c>
      <c r="V103" s="225"/>
    </row>
    <row r="104" spans="2:30" hidden="1" x14ac:dyDescent="0.25">
      <c r="B104" s="232"/>
      <c r="C104" s="226" t="s">
        <v>169</v>
      </c>
      <c r="V104" s="225"/>
    </row>
    <row r="105" spans="2:30" hidden="1" x14ac:dyDescent="0.25">
      <c r="B105" s="230" t="s">
        <v>170</v>
      </c>
      <c r="C105" s="226" t="s">
        <v>171</v>
      </c>
      <c r="V105" s="225"/>
    </row>
    <row r="106" spans="2:30" hidden="1" x14ac:dyDescent="0.25">
      <c r="B106" s="230" t="s">
        <v>172</v>
      </c>
      <c r="C106" s="226" t="s">
        <v>173</v>
      </c>
      <c r="V106" s="225"/>
    </row>
    <row r="107" spans="2:30" hidden="1" x14ac:dyDescent="0.25">
      <c r="B107" s="230" t="s">
        <v>321</v>
      </c>
      <c r="C107" s="226" t="s">
        <v>175</v>
      </c>
      <c r="V107" s="225"/>
    </row>
    <row r="108" spans="2:30" hidden="1" x14ac:dyDescent="0.25">
      <c r="B108" s="230" t="s">
        <v>176</v>
      </c>
      <c r="C108" s="226" t="s">
        <v>177</v>
      </c>
      <c r="V108" s="225"/>
    </row>
    <row r="109" spans="2:30" hidden="1" x14ac:dyDescent="0.25">
      <c r="B109" s="230" t="s">
        <v>178</v>
      </c>
      <c r="C109" s="226" t="s">
        <v>179</v>
      </c>
      <c r="V109" s="225"/>
    </row>
    <row r="110" spans="2:30" hidden="1" x14ac:dyDescent="0.25">
      <c r="B110" s="232"/>
      <c r="C110" s="226"/>
      <c r="V110" s="225"/>
    </row>
    <row r="111" spans="2:30" hidden="1" x14ac:dyDescent="0.25">
      <c r="B111" s="230" t="s">
        <v>180</v>
      </c>
      <c r="C111" s="226" t="s">
        <v>181</v>
      </c>
      <c r="V111" s="225"/>
    </row>
    <row r="112" spans="2:30" hidden="1" x14ac:dyDescent="0.25">
      <c r="B112" s="230" t="s">
        <v>180</v>
      </c>
      <c r="C112" s="226" t="s">
        <v>182</v>
      </c>
    </row>
    <row r="113" spans="2:3" hidden="1" x14ac:dyDescent="0.25">
      <c r="B113" s="230" t="s">
        <v>183</v>
      </c>
      <c r="C113" s="226" t="s">
        <v>184</v>
      </c>
    </row>
    <row r="114" spans="2:3" hidden="1" x14ac:dyDescent="0.25">
      <c r="B114" s="230" t="s">
        <v>185</v>
      </c>
      <c r="C114" s="226" t="s">
        <v>186</v>
      </c>
    </row>
    <row r="115" spans="2:3" hidden="1" x14ac:dyDescent="0.25">
      <c r="B115" s="230" t="s">
        <v>183</v>
      </c>
      <c r="C115" s="226" t="s">
        <v>187</v>
      </c>
    </row>
    <row r="116" spans="2:3" hidden="1" x14ac:dyDescent="0.25">
      <c r="B116" s="230" t="s">
        <v>188</v>
      </c>
      <c r="C116" s="226" t="s">
        <v>189</v>
      </c>
    </row>
    <row r="117" spans="2:3" hidden="1" x14ac:dyDescent="0.25">
      <c r="B117" s="230" t="s">
        <v>190</v>
      </c>
      <c r="C117" s="226" t="s">
        <v>191</v>
      </c>
    </row>
    <row r="118" spans="2:3" hidden="1" x14ac:dyDescent="0.25">
      <c r="B118" s="232" t="s">
        <v>192</v>
      </c>
      <c r="C118" s="226" t="s">
        <v>193</v>
      </c>
    </row>
    <row r="119" spans="2:3" hidden="1" x14ac:dyDescent="0.25">
      <c r="B119" s="232"/>
      <c r="C119" s="226"/>
    </row>
    <row r="120" spans="2:3" hidden="1" x14ac:dyDescent="0.25">
      <c r="B120" s="230" t="s">
        <v>161</v>
      </c>
      <c r="C120" s="226" t="s">
        <v>194</v>
      </c>
    </row>
    <row r="121" spans="2:3" hidden="1" x14ac:dyDescent="0.25">
      <c r="B121" s="230" t="s">
        <v>195</v>
      </c>
      <c r="C121" s="226" t="s">
        <v>196</v>
      </c>
    </row>
    <row r="122" spans="2:3" hidden="1" x14ac:dyDescent="0.25">
      <c r="B122" s="230" t="s">
        <v>197</v>
      </c>
      <c r="C122" s="226" t="s">
        <v>198</v>
      </c>
    </row>
    <row r="123" spans="2:3" hidden="1" x14ac:dyDescent="0.25">
      <c r="B123" s="230" t="s">
        <v>322</v>
      </c>
      <c r="C123" s="226" t="s">
        <v>200</v>
      </c>
    </row>
    <row r="124" spans="2:3" hidden="1" x14ac:dyDescent="0.25">
      <c r="B124" s="230" t="s">
        <v>323</v>
      </c>
      <c r="C124" s="226" t="s">
        <v>202</v>
      </c>
    </row>
    <row r="125" spans="2:3" hidden="1" x14ac:dyDescent="0.25">
      <c r="B125" s="230" t="s">
        <v>203</v>
      </c>
      <c r="C125" s="226" t="s">
        <v>204</v>
      </c>
    </row>
    <row r="126" spans="2:3" hidden="1" x14ac:dyDescent="0.25">
      <c r="B126" s="230" t="s">
        <v>203</v>
      </c>
      <c r="C126" s="226" t="s">
        <v>205</v>
      </c>
    </row>
    <row r="127" spans="2:3" hidden="1" x14ac:dyDescent="0.25">
      <c r="B127" s="230" t="s">
        <v>203</v>
      </c>
      <c r="C127" s="226" t="s">
        <v>206</v>
      </c>
    </row>
    <row r="128" spans="2:3" hidden="1" x14ac:dyDescent="0.25">
      <c r="B128" s="230" t="s">
        <v>203</v>
      </c>
      <c r="C128" s="226" t="s">
        <v>207</v>
      </c>
    </row>
    <row r="129" spans="2:3" hidden="1" x14ac:dyDescent="0.25">
      <c r="B129" s="230" t="s">
        <v>167</v>
      </c>
      <c r="C129" s="226" t="s">
        <v>208</v>
      </c>
    </row>
    <row r="130" spans="2:3" hidden="1" x14ac:dyDescent="0.25">
      <c r="B130" s="230" t="s">
        <v>209</v>
      </c>
      <c r="C130" s="226" t="s">
        <v>210</v>
      </c>
    </row>
    <row r="131" spans="2:3" hidden="1" x14ac:dyDescent="0.25">
      <c r="B131" s="230" t="s">
        <v>203</v>
      </c>
      <c r="C131" s="226" t="s">
        <v>211</v>
      </c>
    </row>
    <row r="132" spans="2:3" hidden="1" x14ac:dyDescent="0.25">
      <c r="B132" s="226"/>
      <c r="C132" s="226"/>
    </row>
    <row r="133" spans="2:3" hidden="1" x14ac:dyDescent="0.25">
      <c r="B133" s="226"/>
      <c r="C133" s="226"/>
    </row>
    <row r="134" spans="2:3" hidden="1" x14ac:dyDescent="0.25">
      <c r="B134" s="232"/>
      <c r="C134" s="232"/>
    </row>
    <row r="135" spans="2:3" hidden="1" x14ac:dyDescent="0.25">
      <c r="B135" s="232">
        <f>NvsElapsedTime</f>
        <v>1.15740767796524E-5</v>
      </c>
      <c r="C135" s="232"/>
    </row>
    <row r="136" spans="2:3" hidden="1" x14ac:dyDescent="0.25">
      <c r="B136" s="233">
        <f>NvsEndTime</f>
        <v>41754.488125000003</v>
      </c>
      <c r="C136" s="233" t="s">
        <v>212</v>
      </c>
    </row>
    <row r="137" spans="2:3" x14ac:dyDescent="0.25">
      <c r="B137" s="226"/>
      <c r="C137" s="234"/>
    </row>
    <row r="138" spans="2:3" x14ac:dyDescent="0.25">
      <c r="B138" s="226"/>
      <c r="C138" s="226"/>
    </row>
    <row r="139" spans="2:3" x14ac:dyDescent="0.25">
      <c r="B139" s="226"/>
      <c r="C139" s="226"/>
    </row>
    <row r="140" spans="2:3" x14ac:dyDescent="0.25">
      <c r="B140" s="226"/>
      <c r="C140" s="226"/>
    </row>
    <row r="141" spans="2:3" x14ac:dyDescent="0.25">
      <c r="B141" s="226"/>
      <c r="C141" s="226"/>
    </row>
    <row r="142" spans="2:3" x14ac:dyDescent="0.25">
      <c r="B142" s="226"/>
      <c r="C142" s="226"/>
    </row>
    <row r="143" spans="2:3" x14ac:dyDescent="0.25">
      <c r="B143" s="226"/>
      <c r="C143" s="226"/>
    </row>
    <row r="144" spans="2:3" x14ac:dyDescent="0.25">
      <c r="B144" s="226"/>
      <c r="C144" s="226"/>
    </row>
    <row r="145" spans="2:3" x14ac:dyDescent="0.25">
      <c r="B145" s="226"/>
      <c r="C145" s="226"/>
    </row>
    <row r="146" spans="2:3" x14ac:dyDescent="0.25">
      <c r="B146" s="226"/>
      <c r="C146" s="226"/>
    </row>
    <row r="147" spans="2:3" x14ac:dyDescent="0.25">
      <c r="B147" s="226"/>
      <c r="C147" s="226"/>
    </row>
    <row r="148" spans="2:3" x14ac:dyDescent="0.25">
      <c r="B148" s="226"/>
      <c r="C148" s="226"/>
    </row>
    <row r="149" spans="2:3" x14ac:dyDescent="0.25">
      <c r="B149" s="226"/>
      <c r="C149" s="226"/>
    </row>
    <row r="150" spans="2:3" x14ac:dyDescent="0.25">
      <c r="B150" s="226"/>
      <c r="C150" s="226"/>
    </row>
    <row r="151" spans="2:3" x14ac:dyDescent="0.25">
      <c r="B151" s="226"/>
      <c r="C151" s="226"/>
    </row>
  </sheetData>
  <mergeCells count="151">
    <mergeCell ref="B80:D80"/>
    <mergeCell ref="V76:X76"/>
    <mergeCell ref="Y76:Z76"/>
    <mergeCell ref="V77:X77"/>
    <mergeCell ref="Y77:Z77"/>
    <mergeCell ref="B78:D78"/>
    <mergeCell ref="V78:X78"/>
    <mergeCell ref="V70:X70"/>
    <mergeCell ref="Y70:Z70"/>
    <mergeCell ref="V71:X71"/>
    <mergeCell ref="Y71:Z71"/>
    <mergeCell ref="V72:AB72"/>
    <mergeCell ref="V73:AC73"/>
    <mergeCell ref="V74:W74"/>
    <mergeCell ref="V75:W75"/>
    <mergeCell ref="B79:D79"/>
    <mergeCell ref="V79:X79"/>
    <mergeCell ref="V65:W65"/>
    <mergeCell ref="X65:AC65"/>
    <mergeCell ref="V66:X66"/>
    <mergeCell ref="Y66:Z66"/>
    <mergeCell ref="V67:AC67"/>
    <mergeCell ref="V68:X68"/>
    <mergeCell ref="Y68:Z68"/>
    <mergeCell ref="V69:X69"/>
    <mergeCell ref="Y69:Z69"/>
    <mergeCell ref="V60:W60"/>
    <mergeCell ref="X60:AC60"/>
    <mergeCell ref="V61:W61"/>
    <mergeCell ref="X61:AC61"/>
    <mergeCell ref="V62:W62"/>
    <mergeCell ref="X62:AC62"/>
    <mergeCell ref="V63:AC63"/>
    <mergeCell ref="V64:W64"/>
    <mergeCell ref="X64:AC64"/>
    <mergeCell ref="V55:AC55"/>
    <mergeCell ref="V56:W56"/>
    <mergeCell ref="Y56:Z56"/>
    <mergeCell ref="AA56:AC56"/>
    <mergeCell ref="V57:AA57"/>
    <mergeCell ref="AB57:AC57"/>
    <mergeCell ref="V58:X58"/>
    <mergeCell ref="Y58:Z58"/>
    <mergeCell ref="V59:AC59"/>
    <mergeCell ref="X49:Y49"/>
    <mergeCell ref="X50:AB50"/>
    <mergeCell ref="V51:AC51"/>
    <mergeCell ref="V52:AC52"/>
    <mergeCell ref="V53:W53"/>
    <mergeCell ref="Y53:Z53"/>
    <mergeCell ref="AA53:AC53"/>
    <mergeCell ref="V54:AA54"/>
    <mergeCell ref="AB54:AC54"/>
    <mergeCell ref="V41:AC41"/>
    <mergeCell ref="V42:AC42"/>
    <mergeCell ref="V43:AC43"/>
    <mergeCell ref="V44:AB44"/>
    <mergeCell ref="V45:AC45"/>
    <mergeCell ref="X46:Y46"/>
    <mergeCell ref="Z46:AC46"/>
    <mergeCell ref="X47:Y47"/>
    <mergeCell ref="X48:Y48"/>
    <mergeCell ref="V37:W37"/>
    <mergeCell ref="X37:Y37"/>
    <mergeCell ref="Z37:AB37"/>
    <mergeCell ref="V38:AC38"/>
    <mergeCell ref="V39:W39"/>
    <mergeCell ref="X39:Y39"/>
    <mergeCell ref="Z39:AC39"/>
    <mergeCell ref="V40:W40"/>
    <mergeCell ref="X40:AA40"/>
    <mergeCell ref="V26:W26"/>
    <mergeCell ref="X26:Y26"/>
    <mergeCell ref="Z26:AA26"/>
    <mergeCell ref="V27:W27"/>
    <mergeCell ref="X27:Y27"/>
    <mergeCell ref="B28:C36"/>
    <mergeCell ref="V28:W36"/>
    <mergeCell ref="X28:Y28"/>
    <mergeCell ref="X29:Y29"/>
    <mergeCell ref="X30:Y30"/>
    <mergeCell ref="X31:Y31"/>
    <mergeCell ref="X32:Y32"/>
    <mergeCell ref="X33:Y33"/>
    <mergeCell ref="X34:Y34"/>
    <mergeCell ref="X35:Y35"/>
    <mergeCell ref="X36:Y36"/>
    <mergeCell ref="V23:W23"/>
    <mergeCell ref="X23:Y23"/>
    <mergeCell ref="Z23:AA23"/>
    <mergeCell ref="V24:W24"/>
    <mergeCell ref="X24:Y24"/>
    <mergeCell ref="Z24:AA24"/>
    <mergeCell ref="V25:W25"/>
    <mergeCell ref="X25:Y25"/>
    <mergeCell ref="Z25:AA25"/>
    <mergeCell ref="V20:W20"/>
    <mergeCell ref="X20:Y20"/>
    <mergeCell ref="Z20:AA20"/>
    <mergeCell ref="V21:W21"/>
    <mergeCell ref="X21:Y21"/>
    <mergeCell ref="Z21:AA21"/>
    <mergeCell ref="V22:W22"/>
    <mergeCell ref="X22:Y22"/>
    <mergeCell ref="Z22:AA22"/>
    <mergeCell ref="V17:W17"/>
    <mergeCell ref="X17:Y17"/>
    <mergeCell ref="Z17:AA17"/>
    <mergeCell ref="V18:W18"/>
    <mergeCell ref="X18:Y18"/>
    <mergeCell ref="Z18:AA18"/>
    <mergeCell ref="V19:W19"/>
    <mergeCell ref="X19:Y19"/>
    <mergeCell ref="Z19:AA19"/>
    <mergeCell ref="V14:W14"/>
    <mergeCell ref="X14:Y14"/>
    <mergeCell ref="Z14:AA14"/>
    <mergeCell ref="V15:W15"/>
    <mergeCell ref="X15:Y15"/>
    <mergeCell ref="Z15:AA15"/>
    <mergeCell ref="V16:W16"/>
    <mergeCell ref="X16:Y16"/>
    <mergeCell ref="Z16:AA16"/>
    <mergeCell ref="V11:W11"/>
    <mergeCell ref="X11:Y11"/>
    <mergeCell ref="Z11:AA11"/>
    <mergeCell ref="V12:W12"/>
    <mergeCell ref="X12:Y12"/>
    <mergeCell ref="Z12:AA12"/>
    <mergeCell ref="V13:W13"/>
    <mergeCell ref="X13:Y13"/>
    <mergeCell ref="Z13:AA13"/>
    <mergeCell ref="V8:W8"/>
    <mergeCell ref="X8:Y8"/>
    <mergeCell ref="Z8:AA8"/>
    <mergeCell ref="V9:W9"/>
    <mergeCell ref="X9:Y9"/>
    <mergeCell ref="Z9:AA9"/>
    <mergeCell ref="V10:W10"/>
    <mergeCell ref="X10:Y10"/>
    <mergeCell ref="Z10:AA10"/>
    <mergeCell ref="W2:AC2"/>
    <mergeCell ref="V3:AC3"/>
    <mergeCell ref="V4:AC4"/>
    <mergeCell ref="V5:W5"/>
    <mergeCell ref="X5:Y5"/>
    <mergeCell ref="V6:AC6"/>
    <mergeCell ref="V7:W7"/>
    <mergeCell ref="X7:Y7"/>
    <mergeCell ref="Z7:AA7"/>
    <mergeCell ref="AB7:AC7"/>
  </mergeCells>
  <printOptions horizontalCentered="1"/>
  <pageMargins left="0" right="0" top="0.67" bottom="0.2" header="0.25" footer="0.196850393700787"/>
  <pageSetup scale="72" fitToHeight="2" orientation="portrait" r:id="rId1"/>
  <headerFooter alignWithMargins="0">
    <oddHeader>&amp;L&amp;8&amp;F
&amp;D &amp;T</oddHeader>
    <oddFooter>&amp;C&amp;P</oddFooter>
  </headerFooter>
  <rowBreaks count="1" manualBreakCount="1">
    <brk id="51" max="16383" man="1"/>
  </rowBreaks>
  <legacyDrawing r:id="rId2"/>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pageSetUpPr fitToPage="1"/>
  </sheetPr>
  <dimension ref="A1:AD151"/>
  <sheetViews>
    <sheetView topLeftCell="B2" zoomScale="70" zoomScaleNormal="70" workbookViewId="0">
      <selection activeCell="B2" sqref="B2"/>
    </sheetView>
  </sheetViews>
  <sheetFormatPr defaultColWidth="8.85546875" defaultRowHeight="15.75" x14ac:dyDescent="0.25"/>
  <cols>
    <col min="1" max="1" width="11.28515625" style="1" hidden="1" customWidth="1"/>
    <col min="2" max="2" width="10.28515625" style="2" customWidth="1"/>
    <col min="3" max="3" width="29" style="1" customWidth="1"/>
    <col min="4" max="5" width="12.28515625" style="1" customWidth="1"/>
    <col min="6" max="6" width="12.28515625" style="1" hidden="1" customWidth="1"/>
    <col min="7" max="7" width="16.140625" style="1" customWidth="1"/>
    <col min="8" max="8" width="6.7109375" style="1" customWidth="1"/>
    <col min="9" max="9" width="14.28515625" style="1" customWidth="1"/>
    <col min="10" max="10" width="12.85546875" style="1" customWidth="1"/>
    <col min="11" max="11" width="16.140625" style="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28515625" style="1" customWidth="1"/>
    <col min="18" max="18" width="8.85546875" style="1"/>
    <col min="19" max="21" width="0" style="1" hidden="1" customWidth="1"/>
    <col min="22" max="23" width="8.85546875" style="1"/>
    <col min="24" max="24" width="12.7109375" style="1" customWidth="1"/>
    <col min="25" max="27" width="8.85546875" style="1"/>
    <col min="28" max="28" width="13.140625" style="1" bestFit="1" customWidth="1"/>
    <col min="29" max="16384" width="8.85546875" style="1"/>
  </cols>
  <sheetData>
    <row r="1" spans="1:30" ht="15.6"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7"/>
      <c r="N2" s="3"/>
      <c r="O2" s="1"/>
      <c r="V2" s="8">
        <f>'4002'!B2</f>
        <v>50</v>
      </c>
      <c r="W2" s="606" t="s">
        <v>4</v>
      </c>
      <c r="X2" s="607"/>
      <c r="Y2" s="608"/>
      <c r="Z2" s="608"/>
      <c r="AA2" s="608"/>
      <c r="AB2" s="608"/>
      <c r="AC2" s="608"/>
      <c r="AD2" s="9"/>
    </row>
    <row r="3" spans="1:30" ht="20.25" x14ac:dyDescent="0.3">
      <c r="B3" s="10" t="str">
        <f>"Revenue Estimate Worksheet for "&amp;B124</f>
        <v>Revenue Estimate Worksheet for Renaissance Cht Sch at Summit</v>
      </c>
      <c r="C3" s="11"/>
      <c r="D3" s="11"/>
      <c r="E3" s="11"/>
      <c r="F3" s="11"/>
      <c r="G3" s="11"/>
      <c r="H3" s="11"/>
      <c r="I3" s="11"/>
      <c r="J3" s="11"/>
      <c r="K3" s="11"/>
      <c r="L3" s="11"/>
      <c r="M3" s="10"/>
      <c r="N3" s="10"/>
      <c r="O3" s="10"/>
      <c r="P3" s="10"/>
      <c r="Q3" s="10"/>
      <c r="V3" s="609" t="s">
        <v>5</v>
      </c>
      <c r="W3" s="609"/>
      <c r="X3" s="609"/>
      <c r="Y3" s="609"/>
      <c r="Z3" s="609"/>
      <c r="AA3" s="609"/>
      <c r="AB3" s="609"/>
      <c r="AC3" s="609"/>
      <c r="AD3" s="12"/>
    </row>
    <row r="4" spans="1:30" ht="18.75" x14ac:dyDescent="0.3">
      <c r="B4" s="2" t="s">
        <v>6</v>
      </c>
      <c r="C4" s="13"/>
      <c r="D4" s="13"/>
      <c r="E4" s="13"/>
      <c r="F4" s="13"/>
      <c r="G4" s="13"/>
      <c r="H4" s="13"/>
      <c r="I4" s="13"/>
      <c r="J4" s="13"/>
      <c r="K4" s="13"/>
      <c r="L4" s="13"/>
      <c r="M4" s="14"/>
      <c r="N4" s="14"/>
      <c r="O4" s="14"/>
      <c r="P4" s="14"/>
      <c r="Q4" s="14"/>
      <c r="V4" s="610" t="str">
        <f>+Based_on_the_Second_Calculation_of_the_FEFP_2010_11</f>
        <v>Based on the Fourth Calculation of the FEFP 2013-14</v>
      </c>
      <c r="W4" s="610"/>
      <c r="X4" s="610"/>
      <c r="Y4" s="610"/>
      <c r="Z4" s="610"/>
      <c r="AA4" s="610"/>
      <c r="AB4" s="610"/>
      <c r="AC4" s="610"/>
      <c r="AD4" s="15"/>
    </row>
    <row r="5" spans="1:30" ht="18.75" customHeight="1" x14ac:dyDescent="0.25">
      <c r="B5" s="16" t="s">
        <v>7</v>
      </c>
      <c r="C5" s="16"/>
      <c r="D5" s="16"/>
      <c r="E5" s="16"/>
      <c r="F5" s="16"/>
      <c r="G5" s="17" t="s">
        <v>8</v>
      </c>
      <c r="H5" s="17"/>
      <c r="I5" s="17"/>
      <c r="J5" s="17"/>
      <c r="K5" s="17"/>
      <c r="L5" s="17"/>
      <c r="M5" s="18"/>
      <c r="N5" s="18"/>
      <c r="O5" s="18"/>
      <c r="P5" s="18"/>
      <c r="Q5" s="18"/>
      <c r="V5" s="611" t="s">
        <v>7</v>
      </c>
      <c r="W5" s="611"/>
      <c r="X5" s="612" t="s">
        <v>8</v>
      </c>
      <c r="Y5" s="612"/>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613" t="s">
        <v>9</v>
      </c>
      <c r="W6" s="613"/>
      <c r="X6" s="613"/>
      <c r="Y6" s="613"/>
      <c r="Z6" s="613"/>
      <c r="AA6" s="613"/>
      <c r="AB6" s="613"/>
      <c r="AC6" s="613"/>
      <c r="AD6" s="22"/>
    </row>
    <row r="7" spans="1:30" ht="18" customHeight="1" x14ac:dyDescent="0.25">
      <c r="B7" s="23" t="s">
        <v>10</v>
      </c>
      <c r="C7" s="23"/>
      <c r="D7" s="23"/>
      <c r="E7" s="23"/>
      <c r="F7" s="23"/>
      <c r="G7" s="24">
        <v>3752.3</v>
      </c>
      <c r="H7" s="24"/>
      <c r="I7" s="23" t="s">
        <v>11</v>
      </c>
      <c r="J7" s="23"/>
      <c r="K7" s="25">
        <v>1.0326</v>
      </c>
      <c r="L7" s="25"/>
      <c r="O7" s="1"/>
      <c r="V7" s="620" t="s">
        <v>10</v>
      </c>
      <c r="W7" s="620"/>
      <c r="X7" s="621">
        <f>'4002'!G7</f>
        <v>3752.3</v>
      </c>
      <c r="Y7" s="621"/>
      <c r="Z7" s="622" t="s">
        <v>11</v>
      </c>
      <c r="AA7" s="622"/>
      <c r="AB7" s="602">
        <f>+K7</f>
        <v>1.0326</v>
      </c>
      <c r="AC7" s="602"/>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603" t="s">
        <v>12</v>
      </c>
      <c r="W8" s="603"/>
      <c r="X8" s="604" t="s">
        <v>15</v>
      </c>
      <c r="Y8" s="604"/>
      <c r="Z8" s="605" t="s">
        <v>16</v>
      </c>
      <c r="AA8" s="605"/>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614" t="s">
        <v>22</v>
      </c>
      <c r="W9" s="614"/>
      <c r="X9" s="615" t="s">
        <v>23</v>
      </c>
      <c r="Y9" s="615"/>
      <c r="Z9" s="616" t="s">
        <v>24</v>
      </c>
      <c r="AA9" s="616"/>
      <c r="AB9" s="43" t="s">
        <v>25</v>
      </c>
      <c r="AC9" s="44" t="s">
        <v>26</v>
      </c>
      <c r="AD9" s="9"/>
    </row>
    <row r="10" spans="1:30" x14ac:dyDescent="0.25">
      <c r="A10" s="1" t="s">
        <v>27</v>
      </c>
      <c r="B10" s="45" t="s">
        <v>28</v>
      </c>
      <c r="C10" s="45"/>
      <c r="D10" s="45">
        <v>128.01</v>
      </c>
      <c r="E10" s="45">
        <v>130.69999999999999</v>
      </c>
      <c r="F10" s="45">
        <v>174.54</v>
      </c>
      <c r="G10" s="46">
        <f>D10+E10</f>
        <v>258.70999999999998</v>
      </c>
      <c r="H10" s="47"/>
      <c r="I10" s="48">
        <v>1.125</v>
      </c>
      <c r="J10" s="48"/>
      <c r="K10" s="49">
        <f>ROUND(G10*I10,4)</f>
        <v>291.04880000000003</v>
      </c>
      <c r="L10" s="50">
        <f>ROUND(ROUND(K10*$G$7,4)*($K$7),0)</f>
        <v>1127705</v>
      </c>
      <c r="N10" s="51">
        <v>5101</v>
      </c>
      <c r="O10" s="52">
        <v>101</v>
      </c>
      <c r="P10" s="53"/>
      <c r="Q10" s="54"/>
      <c r="V10" s="617" t="s">
        <v>28</v>
      </c>
      <c r="W10" s="617"/>
      <c r="X10" s="618">
        <f>IF('4002'!K$84=1,'4002'!G10,0)</f>
        <v>0</v>
      </c>
      <c r="Y10" s="618"/>
      <c r="Z10" s="619">
        <v>1</v>
      </c>
      <c r="AA10" s="619"/>
      <c r="AB10" s="55">
        <f t="shared" ref="AB10:AB25" si="0">ROUND(X10*Z10,4)</f>
        <v>0</v>
      </c>
      <c r="AC10" s="56">
        <f t="shared" ref="AC10:AC25" si="1">ROUND(ROUND(AB10*$X$7,4)*($AB$7),0)</f>
        <v>0</v>
      </c>
      <c r="AD10" s="9">
        <v>1</v>
      </c>
    </row>
    <row r="11" spans="1:30" x14ac:dyDescent="0.25">
      <c r="A11" s="1" t="s">
        <v>29</v>
      </c>
      <c r="B11" s="13" t="s">
        <v>30</v>
      </c>
      <c r="C11" s="13"/>
      <c r="D11" s="13">
        <v>16.34</v>
      </c>
      <c r="E11" s="13">
        <v>19.45</v>
      </c>
      <c r="F11" s="13">
        <v>22.83</v>
      </c>
      <c r="G11" s="46">
        <f t="shared" ref="G11:G25" si="2">D11+E11</f>
        <v>35.79</v>
      </c>
      <c r="H11" s="47"/>
      <c r="I11" s="57">
        <f>I10</f>
        <v>1.125</v>
      </c>
      <c r="J11" s="57"/>
      <c r="K11" s="49">
        <f t="shared" ref="K11:K25" si="3">ROUND(G11*I11,4)</f>
        <v>40.263800000000003</v>
      </c>
      <c r="L11" s="50">
        <f t="shared" ref="L11:L25" si="4">ROUND(ROUND(K11*$G$7,4)*($K$7),0)</f>
        <v>156007</v>
      </c>
      <c r="M11" s="1" t="str">
        <f>IF(ROUND(G11,2)=ROUND(SUM(G28:G30),2)," ","CHECK 2. PK-3 Lines Below")</f>
        <v xml:space="preserve"> </v>
      </c>
      <c r="N11" s="51">
        <v>5101</v>
      </c>
      <c r="O11" s="58" t="s">
        <v>31</v>
      </c>
      <c r="P11" s="53"/>
      <c r="Q11" s="54"/>
      <c r="V11" s="623" t="s">
        <v>30</v>
      </c>
      <c r="W11" s="623"/>
      <c r="X11" s="618">
        <f>IF('4002'!K$84=1,'4002'!G11,0)</f>
        <v>0</v>
      </c>
      <c r="Y11" s="618"/>
      <c r="Z11" s="624">
        <v>1</v>
      </c>
      <c r="AA11" s="624"/>
      <c r="AB11" s="55">
        <f t="shared" si="0"/>
        <v>0</v>
      </c>
      <c r="AC11" s="56">
        <f t="shared" si="1"/>
        <v>0</v>
      </c>
      <c r="AD11" s="9"/>
    </row>
    <row r="12" spans="1:30" x14ac:dyDescent="0.25">
      <c r="A12" s="1" t="s">
        <v>32</v>
      </c>
      <c r="B12" s="13" t="s">
        <v>33</v>
      </c>
      <c r="C12" s="13"/>
      <c r="D12" s="13">
        <v>100.14</v>
      </c>
      <c r="E12" s="13">
        <v>100.25</v>
      </c>
      <c r="F12" s="13">
        <v>145.72999999999999</v>
      </c>
      <c r="G12" s="46">
        <f t="shared" si="2"/>
        <v>200.39</v>
      </c>
      <c r="H12" s="47"/>
      <c r="I12" s="57">
        <v>1</v>
      </c>
      <c r="J12" s="57"/>
      <c r="K12" s="49">
        <f t="shared" si="3"/>
        <v>200.39</v>
      </c>
      <c r="L12" s="50">
        <f t="shared" si="4"/>
        <v>776436</v>
      </c>
      <c r="N12" s="51">
        <v>5102</v>
      </c>
      <c r="O12" s="52">
        <v>102</v>
      </c>
      <c r="P12" s="53"/>
      <c r="Q12" s="54"/>
      <c r="V12" s="623" t="s">
        <v>33</v>
      </c>
      <c r="W12" s="623"/>
      <c r="X12" s="618">
        <f>IF('4002'!K$84=1,'4002'!G12,0)</f>
        <v>0</v>
      </c>
      <c r="Y12" s="618"/>
      <c r="Z12" s="624">
        <v>1</v>
      </c>
      <c r="AA12" s="624"/>
      <c r="AB12" s="55">
        <f t="shared" si="0"/>
        <v>0</v>
      </c>
      <c r="AC12" s="56">
        <f t="shared" si="1"/>
        <v>0</v>
      </c>
      <c r="AD12" s="9"/>
    </row>
    <row r="13" spans="1:30" x14ac:dyDescent="0.25">
      <c r="A13" s="1" t="s">
        <v>34</v>
      </c>
      <c r="B13" s="13" t="s">
        <v>35</v>
      </c>
      <c r="C13" s="13"/>
      <c r="D13" s="13">
        <v>23.31</v>
      </c>
      <c r="E13" s="13">
        <v>20.9</v>
      </c>
      <c r="F13" s="13">
        <v>35.18</v>
      </c>
      <c r="G13" s="46">
        <f t="shared" si="2"/>
        <v>44.209999999999994</v>
      </c>
      <c r="H13" s="47"/>
      <c r="I13" s="57">
        <f>I12</f>
        <v>1</v>
      </c>
      <c r="J13" s="57"/>
      <c r="K13" s="49">
        <f t="shared" si="3"/>
        <v>44.21</v>
      </c>
      <c r="L13" s="50">
        <f t="shared" si="4"/>
        <v>171297</v>
      </c>
      <c r="M13" s="1" t="str">
        <f>IF(ROUND(G13,2)=ROUND(SUM(G31:G33),2)," ","CHECK 2. PK-3 Lines Below")</f>
        <v xml:space="preserve"> </v>
      </c>
      <c r="N13" s="51">
        <v>5102</v>
      </c>
      <c r="O13" s="58" t="s">
        <v>36</v>
      </c>
      <c r="P13" s="53"/>
      <c r="Q13" s="54"/>
      <c r="V13" s="623" t="s">
        <v>35</v>
      </c>
      <c r="W13" s="623"/>
      <c r="X13" s="618">
        <f>IF('4002'!K$84=1,'4002'!G13,0)</f>
        <v>0</v>
      </c>
      <c r="Y13" s="618"/>
      <c r="Z13" s="624">
        <v>1</v>
      </c>
      <c r="AA13" s="624"/>
      <c r="AB13" s="55">
        <f t="shared" si="0"/>
        <v>0</v>
      </c>
      <c r="AC13" s="56">
        <f t="shared" si="1"/>
        <v>0</v>
      </c>
      <c r="AD13" s="9"/>
    </row>
    <row r="14" spans="1:30" x14ac:dyDescent="0.25">
      <c r="A14" s="1" t="s">
        <v>37</v>
      </c>
      <c r="B14" s="13" t="s">
        <v>38</v>
      </c>
      <c r="C14" s="13"/>
      <c r="D14" s="13">
        <v>0</v>
      </c>
      <c r="E14" s="13">
        <v>0</v>
      </c>
      <c r="F14" s="13">
        <v>0</v>
      </c>
      <c r="G14" s="46">
        <f t="shared" si="2"/>
        <v>0</v>
      </c>
      <c r="H14" s="47"/>
      <c r="I14" s="57">
        <v>1.0109999999999999</v>
      </c>
      <c r="J14" s="57"/>
      <c r="K14" s="49">
        <f t="shared" si="3"/>
        <v>0</v>
      </c>
      <c r="L14" s="50">
        <f t="shared" si="4"/>
        <v>0</v>
      </c>
      <c r="N14" s="51">
        <v>5103</v>
      </c>
      <c r="O14" s="52">
        <v>103</v>
      </c>
      <c r="P14" s="53"/>
      <c r="Q14" s="54"/>
      <c r="V14" s="623" t="s">
        <v>38</v>
      </c>
      <c r="W14" s="623"/>
      <c r="X14" s="618">
        <f>IF('4002'!K$84=1,'4002'!G14,0)</f>
        <v>0</v>
      </c>
      <c r="Y14" s="618"/>
      <c r="Z14" s="624">
        <v>1</v>
      </c>
      <c r="AA14" s="624"/>
      <c r="AB14" s="55">
        <f t="shared" si="0"/>
        <v>0</v>
      </c>
      <c r="AC14" s="56">
        <f t="shared" si="1"/>
        <v>0</v>
      </c>
      <c r="AD14" s="9"/>
    </row>
    <row r="15" spans="1:30" x14ac:dyDescent="0.25">
      <c r="A15" s="1" t="s">
        <v>39</v>
      </c>
      <c r="B15" s="13" t="s">
        <v>40</v>
      </c>
      <c r="C15" s="13"/>
      <c r="D15" s="13">
        <v>0</v>
      </c>
      <c r="E15" s="13">
        <v>0</v>
      </c>
      <c r="F15" s="13">
        <v>0</v>
      </c>
      <c r="G15" s="46">
        <f t="shared" si="2"/>
        <v>0</v>
      </c>
      <c r="H15" s="47"/>
      <c r="I15" s="57">
        <f>I14</f>
        <v>1.0109999999999999</v>
      </c>
      <c r="J15" s="57"/>
      <c r="K15" s="49">
        <f t="shared" si="3"/>
        <v>0</v>
      </c>
      <c r="L15" s="59">
        <f t="shared" si="4"/>
        <v>0</v>
      </c>
      <c r="M15" s="1" t="str">
        <f>IF(ROUND(G15,2)=ROUND(SUM(G34:G36),2)," ","CHECK 2. PK-3 Lines Below")</f>
        <v xml:space="preserve"> </v>
      </c>
      <c r="N15" s="51">
        <v>5103</v>
      </c>
      <c r="O15" s="58" t="s">
        <v>41</v>
      </c>
      <c r="P15" s="53"/>
      <c r="Q15" s="54"/>
      <c r="V15" s="623" t="s">
        <v>40</v>
      </c>
      <c r="W15" s="623"/>
      <c r="X15" s="618">
        <f>IF('4002'!K$84=1,'4002'!G15,0)</f>
        <v>0</v>
      </c>
      <c r="Y15" s="618"/>
      <c r="Z15" s="624">
        <v>1</v>
      </c>
      <c r="AA15" s="624"/>
      <c r="AB15" s="55">
        <f t="shared" si="0"/>
        <v>0</v>
      </c>
      <c r="AC15" s="60">
        <f t="shared" si="1"/>
        <v>0</v>
      </c>
      <c r="AD15" s="9"/>
    </row>
    <row r="16" spans="1:30" x14ac:dyDescent="0.25">
      <c r="A16" s="1" t="s">
        <v>42</v>
      </c>
      <c r="B16" s="13" t="s">
        <v>43</v>
      </c>
      <c r="C16" s="13"/>
      <c r="D16" s="13">
        <v>0</v>
      </c>
      <c r="E16" s="13">
        <v>0</v>
      </c>
      <c r="F16" s="13">
        <v>0</v>
      </c>
      <c r="G16" s="46">
        <f t="shared" si="2"/>
        <v>0</v>
      </c>
      <c r="H16" s="47"/>
      <c r="I16" s="57">
        <v>3.5579999999999998</v>
      </c>
      <c r="J16" s="57"/>
      <c r="K16" s="49">
        <f t="shared" si="3"/>
        <v>0</v>
      </c>
      <c r="L16" s="50">
        <f t="shared" si="4"/>
        <v>0</v>
      </c>
      <c r="N16" s="51">
        <v>5101</v>
      </c>
      <c r="O16" s="53">
        <v>254</v>
      </c>
      <c r="P16" s="53"/>
      <c r="Q16" s="54"/>
      <c r="V16" s="623" t="s">
        <v>43</v>
      </c>
      <c r="W16" s="623"/>
      <c r="X16" s="618">
        <f>IF('4002'!K$84=1,'4002'!G16,0)</f>
        <v>0</v>
      </c>
      <c r="Y16" s="618"/>
      <c r="Z16" s="624">
        <v>1</v>
      </c>
      <c r="AA16" s="624"/>
      <c r="AB16" s="55">
        <f t="shared" si="0"/>
        <v>0</v>
      </c>
      <c r="AC16" s="56">
        <f t="shared" si="1"/>
        <v>0</v>
      </c>
      <c r="AD16" s="9"/>
    </row>
    <row r="17" spans="1:30" x14ac:dyDescent="0.25">
      <c r="A17" s="1" t="s">
        <v>44</v>
      </c>
      <c r="B17" s="13" t="s">
        <v>45</v>
      </c>
      <c r="C17" s="13"/>
      <c r="D17" s="13">
        <v>0</v>
      </c>
      <c r="E17" s="13">
        <v>0</v>
      </c>
      <c r="F17" s="13">
        <v>0</v>
      </c>
      <c r="G17" s="46">
        <f t="shared" si="2"/>
        <v>0</v>
      </c>
      <c r="H17" s="47"/>
      <c r="I17" s="57">
        <f>I16</f>
        <v>3.5579999999999998</v>
      </c>
      <c r="J17" s="57"/>
      <c r="K17" s="49">
        <f t="shared" si="3"/>
        <v>0</v>
      </c>
      <c r="L17" s="50">
        <f t="shared" si="4"/>
        <v>0</v>
      </c>
      <c r="N17" s="51">
        <v>5102</v>
      </c>
      <c r="O17" s="54">
        <v>254</v>
      </c>
      <c r="P17" s="53"/>
      <c r="Q17" s="54"/>
      <c r="V17" s="623" t="s">
        <v>45</v>
      </c>
      <c r="W17" s="623"/>
      <c r="X17" s="618">
        <f>IF('4002'!K$84=1,'4002'!G17,0)</f>
        <v>0</v>
      </c>
      <c r="Y17" s="618"/>
      <c r="Z17" s="624">
        <v>1</v>
      </c>
      <c r="AA17" s="624"/>
      <c r="AB17" s="55">
        <f t="shared" si="0"/>
        <v>0</v>
      </c>
      <c r="AC17" s="56">
        <f t="shared" si="1"/>
        <v>0</v>
      </c>
      <c r="AD17" s="9"/>
    </row>
    <row r="18" spans="1:30" x14ac:dyDescent="0.25">
      <c r="A18" s="1" t="s">
        <v>46</v>
      </c>
      <c r="B18" s="13" t="s">
        <v>47</v>
      </c>
      <c r="C18" s="13"/>
      <c r="D18" s="13">
        <v>0</v>
      </c>
      <c r="E18" s="13">
        <v>0</v>
      </c>
      <c r="F18" s="13">
        <v>0</v>
      </c>
      <c r="G18" s="46">
        <f t="shared" si="2"/>
        <v>0</v>
      </c>
      <c r="H18" s="47"/>
      <c r="I18" s="57">
        <f>I17</f>
        <v>3.5579999999999998</v>
      </c>
      <c r="J18" s="57"/>
      <c r="K18" s="49">
        <f t="shared" si="3"/>
        <v>0</v>
      </c>
      <c r="L18" s="50">
        <f t="shared" si="4"/>
        <v>0</v>
      </c>
      <c r="N18" s="51">
        <v>5103</v>
      </c>
      <c r="O18" s="54">
        <v>254</v>
      </c>
      <c r="P18" s="53"/>
      <c r="Q18" s="54"/>
      <c r="V18" s="623" t="s">
        <v>47</v>
      </c>
      <c r="W18" s="623"/>
      <c r="X18" s="618">
        <f>IF('4002'!K$84=1,'4002'!G18,0)</f>
        <v>0</v>
      </c>
      <c r="Y18" s="618"/>
      <c r="Z18" s="624">
        <v>1</v>
      </c>
      <c r="AA18" s="624"/>
      <c r="AB18" s="55">
        <f t="shared" si="0"/>
        <v>0</v>
      </c>
      <c r="AC18" s="56">
        <f t="shared" si="1"/>
        <v>0</v>
      </c>
      <c r="AD18" s="9"/>
    </row>
    <row r="19" spans="1:30" ht="15" customHeight="1" x14ac:dyDescent="0.25">
      <c r="A19" s="1" t="s">
        <v>48</v>
      </c>
      <c r="B19" s="13" t="s">
        <v>49</v>
      </c>
      <c r="C19" s="13"/>
      <c r="D19" s="13">
        <v>0</v>
      </c>
      <c r="E19" s="13">
        <v>0</v>
      </c>
      <c r="F19" s="13">
        <v>0</v>
      </c>
      <c r="G19" s="46">
        <f t="shared" si="2"/>
        <v>0</v>
      </c>
      <c r="H19" s="47"/>
      <c r="I19" s="57">
        <v>5.0890000000000004</v>
      </c>
      <c r="J19" s="57"/>
      <c r="K19" s="49">
        <f t="shared" si="3"/>
        <v>0</v>
      </c>
      <c r="L19" s="50">
        <f t="shared" si="4"/>
        <v>0</v>
      </c>
      <c r="N19" s="51">
        <v>5101</v>
      </c>
      <c r="O19" s="53">
        <v>255</v>
      </c>
      <c r="P19" s="53"/>
      <c r="Q19" s="54"/>
      <c r="V19" s="623" t="s">
        <v>49</v>
      </c>
      <c r="W19" s="623"/>
      <c r="X19" s="618">
        <f>IF('4002'!K$84=1,'4002'!G19,0)</f>
        <v>0</v>
      </c>
      <c r="Y19" s="618"/>
      <c r="Z19" s="624">
        <v>1</v>
      </c>
      <c r="AA19" s="624"/>
      <c r="AB19" s="55">
        <f t="shared" si="0"/>
        <v>0</v>
      </c>
      <c r="AC19" s="56">
        <f t="shared" si="1"/>
        <v>0</v>
      </c>
      <c r="AD19" s="9"/>
    </row>
    <row r="20" spans="1:30" ht="15" customHeight="1" x14ac:dyDescent="0.25">
      <c r="A20" s="1" t="s">
        <v>50</v>
      </c>
      <c r="B20" s="13" t="s">
        <v>51</v>
      </c>
      <c r="C20" s="13"/>
      <c r="D20" s="13">
        <v>0</v>
      </c>
      <c r="E20" s="13">
        <v>0</v>
      </c>
      <c r="F20" s="13">
        <v>0</v>
      </c>
      <c r="G20" s="46">
        <f t="shared" si="2"/>
        <v>0</v>
      </c>
      <c r="H20" s="47"/>
      <c r="I20" s="57">
        <f>I19</f>
        <v>5.0890000000000004</v>
      </c>
      <c r="J20" s="57"/>
      <c r="K20" s="49">
        <f t="shared" si="3"/>
        <v>0</v>
      </c>
      <c r="L20" s="50">
        <f t="shared" si="4"/>
        <v>0</v>
      </c>
      <c r="N20" s="51">
        <v>5102</v>
      </c>
      <c r="O20" s="54">
        <v>255</v>
      </c>
      <c r="P20" s="53"/>
      <c r="Q20" s="54"/>
      <c r="V20" s="623" t="s">
        <v>51</v>
      </c>
      <c r="W20" s="623"/>
      <c r="X20" s="618">
        <f>IF('4002'!K$84=1,'4002'!G20,0)</f>
        <v>0</v>
      </c>
      <c r="Y20" s="618"/>
      <c r="Z20" s="624">
        <v>1</v>
      </c>
      <c r="AA20" s="624"/>
      <c r="AB20" s="55">
        <f t="shared" si="0"/>
        <v>0</v>
      </c>
      <c r="AC20" s="56">
        <f t="shared" si="1"/>
        <v>0</v>
      </c>
      <c r="AD20" s="9"/>
    </row>
    <row r="21" spans="1:30" ht="15" customHeight="1" x14ac:dyDescent="0.25">
      <c r="A21" s="1" t="s">
        <v>52</v>
      </c>
      <c r="B21" s="13" t="s">
        <v>53</v>
      </c>
      <c r="C21" s="13"/>
      <c r="D21" s="13">
        <v>0</v>
      </c>
      <c r="E21" s="13">
        <v>0</v>
      </c>
      <c r="F21" s="13">
        <v>0</v>
      </c>
      <c r="G21" s="46">
        <f t="shared" si="2"/>
        <v>0</v>
      </c>
      <c r="H21" s="47"/>
      <c r="I21" s="57">
        <f>I20</f>
        <v>5.0890000000000004</v>
      </c>
      <c r="J21" s="57"/>
      <c r="K21" s="49">
        <f t="shared" si="3"/>
        <v>0</v>
      </c>
      <c r="L21" s="50">
        <f t="shared" si="4"/>
        <v>0</v>
      </c>
      <c r="N21" s="51">
        <v>5103</v>
      </c>
      <c r="O21" s="54">
        <v>255</v>
      </c>
      <c r="P21" s="53"/>
      <c r="Q21" s="54"/>
      <c r="V21" s="623" t="s">
        <v>53</v>
      </c>
      <c r="W21" s="623"/>
      <c r="X21" s="618">
        <f>IF('4002'!K$84=1,'4002'!G21,0)</f>
        <v>0</v>
      </c>
      <c r="Y21" s="618"/>
      <c r="Z21" s="624">
        <v>1</v>
      </c>
      <c r="AA21" s="624"/>
      <c r="AB21" s="55">
        <f t="shared" si="0"/>
        <v>0</v>
      </c>
      <c r="AC21" s="56">
        <f t="shared" si="1"/>
        <v>0</v>
      </c>
      <c r="AD21" s="9"/>
    </row>
    <row r="22" spans="1:30" x14ac:dyDescent="0.25">
      <c r="A22" s="1" t="s">
        <v>54</v>
      </c>
      <c r="B22" s="13" t="s">
        <v>55</v>
      </c>
      <c r="C22" s="13"/>
      <c r="D22" s="13">
        <v>39.94</v>
      </c>
      <c r="E22" s="13">
        <v>38.479999999999997</v>
      </c>
      <c r="F22" s="13">
        <v>55.31</v>
      </c>
      <c r="G22" s="46">
        <f t="shared" si="2"/>
        <v>78.419999999999987</v>
      </c>
      <c r="H22" s="47"/>
      <c r="I22" s="57">
        <v>1.145</v>
      </c>
      <c r="J22" s="57"/>
      <c r="K22" s="49">
        <f t="shared" si="3"/>
        <v>89.790899999999993</v>
      </c>
      <c r="L22" s="50">
        <f t="shared" si="4"/>
        <v>347906</v>
      </c>
      <c r="N22" s="51">
        <v>5101</v>
      </c>
      <c r="O22" s="52">
        <v>130</v>
      </c>
      <c r="P22" s="53"/>
      <c r="Q22" s="54"/>
      <c r="V22" s="623" t="s">
        <v>55</v>
      </c>
      <c r="W22" s="623"/>
      <c r="X22" s="618">
        <f>IF('4002'!K$84=1,'4002'!G22,0)</f>
        <v>0</v>
      </c>
      <c r="Y22" s="618"/>
      <c r="Z22" s="624">
        <v>1</v>
      </c>
      <c r="AA22" s="624"/>
      <c r="AB22" s="55">
        <f t="shared" si="0"/>
        <v>0</v>
      </c>
      <c r="AC22" s="56">
        <f t="shared" si="1"/>
        <v>0</v>
      </c>
      <c r="AD22" s="9"/>
    </row>
    <row r="23" spans="1:30" x14ac:dyDescent="0.25">
      <c r="A23" s="1" t="s">
        <v>56</v>
      </c>
      <c r="B23" s="13" t="s">
        <v>57</v>
      </c>
      <c r="C23" s="13"/>
      <c r="D23" s="13">
        <v>0</v>
      </c>
      <c r="E23" s="13">
        <v>0</v>
      </c>
      <c r="F23" s="13">
        <v>0</v>
      </c>
      <c r="G23" s="46">
        <f t="shared" si="2"/>
        <v>0</v>
      </c>
      <c r="H23" s="47"/>
      <c r="I23" s="57">
        <f>I22</f>
        <v>1.145</v>
      </c>
      <c r="J23" s="57"/>
      <c r="K23" s="49">
        <f t="shared" si="3"/>
        <v>0</v>
      </c>
      <c r="L23" s="50">
        <f t="shared" si="4"/>
        <v>0</v>
      </c>
      <c r="N23" s="51">
        <v>5102</v>
      </c>
      <c r="O23" s="52">
        <v>130</v>
      </c>
      <c r="P23" s="53"/>
      <c r="Q23" s="54"/>
      <c r="V23" s="623" t="s">
        <v>57</v>
      </c>
      <c r="W23" s="623"/>
      <c r="X23" s="618">
        <f>IF('4002'!K$84=1,'4002'!G23,0)</f>
        <v>0</v>
      </c>
      <c r="Y23" s="618"/>
      <c r="Z23" s="624">
        <v>1</v>
      </c>
      <c r="AA23" s="624"/>
      <c r="AB23" s="55">
        <f t="shared" si="0"/>
        <v>0</v>
      </c>
      <c r="AC23" s="56">
        <f t="shared" si="1"/>
        <v>0</v>
      </c>
      <c r="AD23" s="9"/>
    </row>
    <row r="24" spans="1:30" x14ac:dyDescent="0.25">
      <c r="A24" s="1" t="s">
        <v>58</v>
      </c>
      <c r="B24" s="13" t="s">
        <v>59</v>
      </c>
      <c r="C24" s="13"/>
      <c r="D24" s="13">
        <v>0</v>
      </c>
      <c r="E24" s="13">
        <v>0</v>
      </c>
      <c r="F24" s="13">
        <v>0</v>
      </c>
      <c r="G24" s="46">
        <f t="shared" si="2"/>
        <v>0</v>
      </c>
      <c r="H24" s="47"/>
      <c r="I24" s="57">
        <f>I23</f>
        <v>1.145</v>
      </c>
      <c r="J24" s="57"/>
      <c r="K24" s="49">
        <f t="shared" si="3"/>
        <v>0</v>
      </c>
      <c r="L24" s="50">
        <f t="shared" si="4"/>
        <v>0</v>
      </c>
      <c r="N24" s="51">
        <v>5103</v>
      </c>
      <c r="O24" s="52">
        <v>130</v>
      </c>
      <c r="P24" s="53"/>
      <c r="Q24" s="54"/>
      <c r="V24" s="623" t="s">
        <v>59</v>
      </c>
      <c r="W24" s="623"/>
      <c r="X24" s="618">
        <f>IF('4002'!K$84=1,'4002'!G24,0)</f>
        <v>0</v>
      </c>
      <c r="Y24" s="618"/>
      <c r="Z24" s="624">
        <v>1</v>
      </c>
      <c r="AA24" s="624"/>
      <c r="AB24" s="55">
        <f t="shared" si="0"/>
        <v>0</v>
      </c>
      <c r="AC24" s="56">
        <f t="shared" si="1"/>
        <v>0</v>
      </c>
      <c r="AD24" s="9"/>
    </row>
    <row r="25" spans="1:30" ht="16.5" thickBot="1" x14ac:dyDescent="0.3">
      <c r="A25" s="1" t="s">
        <v>60</v>
      </c>
      <c r="B25" s="13" t="s">
        <v>61</v>
      </c>
      <c r="C25" s="13"/>
      <c r="D25" s="13">
        <v>0</v>
      </c>
      <c r="E25" s="13">
        <v>0</v>
      </c>
      <c r="F25" s="13">
        <v>0</v>
      </c>
      <c r="G25" s="46">
        <f t="shared" si="2"/>
        <v>0</v>
      </c>
      <c r="H25" s="47"/>
      <c r="I25" s="57">
        <v>1.0109999999999999</v>
      </c>
      <c r="J25" s="57"/>
      <c r="K25" s="49">
        <f t="shared" si="3"/>
        <v>0</v>
      </c>
      <c r="L25" s="50">
        <f t="shared" si="4"/>
        <v>0</v>
      </c>
      <c r="N25" s="51">
        <v>5310</v>
      </c>
      <c r="O25" s="52">
        <v>300</v>
      </c>
      <c r="P25" s="53"/>
      <c r="Q25" s="54"/>
      <c r="V25" s="623" t="s">
        <v>61</v>
      </c>
      <c r="W25" s="623"/>
      <c r="X25" s="618">
        <f>IF('4002'!K$84=1,'4002'!G25,0)</f>
        <v>0</v>
      </c>
      <c r="Y25" s="618"/>
      <c r="Z25" s="624">
        <v>1</v>
      </c>
      <c r="AA25" s="624"/>
      <c r="AB25" s="55">
        <f t="shared" si="0"/>
        <v>0</v>
      </c>
      <c r="AC25" s="56">
        <f t="shared" si="1"/>
        <v>0</v>
      </c>
      <c r="AD25" s="9"/>
    </row>
    <row r="26" spans="1:30" ht="20.25" customHeight="1" thickBot="1" x14ac:dyDescent="0.3">
      <c r="B26" s="62" t="s">
        <v>62</v>
      </c>
      <c r="C26" s="62"/>
      <c r="D26" s="63">
        <f t="shared" ref="D26:E26" si="5">SUM(D10:D25)</f>
        <v>307.74</v>
      </c>
      <c r="E26" s="63">
        <f t="shared" si="5"/>
        <v>309.77999999999997</v>
      </c>
      <c r="F26" s="63"/>
      <c r="G26" s="63">
        <f>SUM(G10:G25)</f>
        <v>617.52</v>
      </c>
      <c r="H26" s="64"/>
      <c r="I26" s="64"/>
      <c r="J26" s="65"/>
      <c r="K26" s="66">
        <f>SUM(K10:K25)</f>
        <v>665.70350000000008</v>
      </c>
      <c r="L26" s="67">
        <f>SUM(L10:L25)</f>
        <v>2579351</v>
      </c>
      <c r="N26" s="54"/>
      <c r="O26" s="68"/>
      <c r="P26" s="54"/>
      <c r="Q26" s="54"/>
      <c r="V26" s="625" t="s">
        <v>62</v>
      </c>
      <c r="W26" s="625"/>
      <c r="X26" s="626">
        <f>SUM(X10:X25)</f>
        <v>0</v>
      </c>
      <c r="Y26" s="626"/>
      <c r="Z26" s="627"/>
      <c r="AA26" s="628"/>
      <c r="AB26" s="69">
        <f>SUM(AB10:AB25)</f>
        <v>0</v>
      </c>
      <c r="AC26" s="70">
        <f>SUM(AC10:AC25)</f>
        <v>0</v>
      </c>
      <c r="AD26" s="9"/>
    </row>
    <row r="27" spans="1:30" ht="51.75" customHeight="1" x14ac:dyDescent="0.25">
      <c r="B27" s="62" t="s">
        <v>63</v>
      </c>
      <c r="C27" s="62"/>
      <c r="D27" s="71" t="s">
        <v>13</v>
      </c>
      <c r="E27" s="71" t="s">
        <v>14</v>
      </c>
      <c r="F27" s="27"/>
      <c r="G27" s="72" t="s">
        <v>64</v>
      </c>
      <c r="H27" s="73"/>
      <c r="I27" s="74" t="s">
        <v>65</v>
      </c>
      <c r="J27" s="74" t="s">
        <v>66</v>
      </c>
      <c r="K27" s="75" t="s">
        <v>67</v>
      </c>
      <c r="N27" s="54"/>
      <c r="O27" s="68"/>
      <c r="P27" s="54"/>
      <c r="Q27" s="54"/>
      <c r="V27" s="629" t="s">
        <v>63</v>
      </c>
      <c r="W27" s="629"/>
      <c r="X27" s="630" t="s">
        <v>64</v>
      </c>
      <c r="Y27" s="630"/>
      <c r="Z27" s="76" t="s">
        <v>65</v>
      </c>
      <c r="AA27" s="77" t="s">
        <v>66</v>
      </c>
      <c r="AB27" s="78" t="s">
        <v>67</v>
      </c>
      <c r="AC27" s="9"/>
      <c r="AD27" s="9"/>
    </row>
    <row r="28" spans="1:30" ht="15.75" customHeight="1" x14ac:dyDescent="0.25">
      <c r="A28" s="1" t="s">
        <v>68</v>
      </c>
      <c r="B28" s="631" t="s">
        <v>69</v>
      </c>
      <c r="C28" s="632"/>
      <c r="D28" s="13">
        <v>14.84</v>
      </c>
      <c r="E28" s="13">
        <v>17.95</v>
      </c>
      <c r="F28" s="79">
        <v>0</v>
      </c>
      <c r="G28" s="46">
        <f t="shared" ref="G28:G36" si="6">D28+E28</f>
        <v>32.79</v>
      </c>
      <c r="H28" s="80"/>
      <c r="I28" s="81" t="s">
        <v>70</v>
      </c>
      <c r="J28" s="82">
        <v>251</v>
      </c>
      <c r="K28" s="83">
        <v>1047</v>
      </c>
      <c r="L28" s="84">
        <f>ROUND(G28*K28,0)</f>
        <v>34331</v>
      </c>
      <c r="N28" s="85">
        <v>5101</v>
      </c>
      <c r="O28" s="54">
        <v>251</v>
      </c>
      <c r="P28" s="86"/>
      <c r="Q28" s="87"/>
      <c r="V28" s="637" t="s">
        <v>69</v>
      </c>
      <c r="W28" s="637"/>
      <c r="X28" s="638"/>
      <c r="Y28" s="638"/>
      <c r="Z28" s="88" t="s">
        <v>70</v>
      </c>
      <c r="AA28" s="89">
        <v>251</v>
      </c>
      <c r="AB28" s="90">
        <f>+K28</f>
        <v>1047</v>
      </c>
      <c r="AC28" s="91">
        <f t="shared" ref="AC28:AC36" si="7">ROUND(X28*AB28,0)</f>
        <v>0</v>
      </c>
      <c r="AD28" s="9"/>
    </row>
    <row r="29" spans="1:30" x14ac:dyDescent="0.25">
      <c r="A29" s="1" t="s">
        <v>71</v>
      </c>
      <c r="B29" s="633"/>
      <c r="C29" s="634"/>
      <c r="D29" s="13">
        <v>1.5</v>
      </c>
      <c r="E29" s="13">
        <v>1.5</v>
      </c>
      <c r="F29" s="92">
        <v>0</v>
      </c>
      <c r="G29" s="46">
        <f t="shared" si="6"/>
        <v>3</v>
      </c>
      <c r="H29" s="80"/>
      <c r="I29" s="82" t="s">
        <v>70</v>
      </c>
      <c r="J29" s="82">
        <v>252</v>
      </c>
      <c r="K29" s="83">
        <v>3380</v>
      </c>
      <c r="L29" s="84">
        <f t="shared" ref="L29:L36" si="8">ROUND(G29*K29,0)</f>
        <v>10140</v>
      </c>
      <c r="N29" s="85">
        <v>5101</v>
      </c>
      <c r="O29" s="54">
        <v>252</v>
      </c>
      <c r="P29" s="86"/>
      <c r="Q29" s="87"/>
      <c r="V29" s="637"/>
      <c r="W29" s="637"/>
      <c r="X29" s="638"/>
      <c r="Y29" s="638"/>
      <c r="Z29" s="89" t="s">
        <v>70</v>
      </c>
      <c r="AA29" s="89">
        <v>252</v>
      </c>
      <c r="AB29" s="90">
        <f t="shared" ref="AB29:AB36" si="9">+K29</f>
        <v>3380</v>
      </c>
      <c r="AC29" s="91">
        <f t="shared" si="7"/>
        <v>0</v>
      </c>
      <c r="AD29" s="9"/>
    </row>
    <row r="30" spans="1:30" x14ac:dyDescent="0.25">
      <c r="A30" s="1" t="s">
        <v>72</v>
      </c>
      <c r="B30" s="633"/>
      <c r="C30" s="634"/>
      <c r="D30" s="13">
        <v>0</v>
      </c>
      <c r="E30" s="13">
        <v>0</v>
      </c>
      <c r="F30" s="92">
        <v>0</v>
      </c>
      <c r="G30" s="46">
        <f t="shared" si="6"/>
        <v>0</v>
      </c>
      <c r="H30" s="80"/>
      <c r="I30" s="82" t="s">
        <v>70</v>
      </c>
      <c r="J30" s="82">
        <v>253</v>
      </c>
      <c r="K30" s="83">
        <v>6896</v>
      </c>
      <c r="L30" s="84">
        <f t="shared" si="8"/>
        <v>0</v>
      </c>
      <c r="N30" s="85">
        <v>5101</v>
      </c>
      <c r="O30" s="54">
        <v>253</v>
      </c>
      <c r="P30" s="86"/>
      <c r="Q30" s="68"/>
      <c r="V30" s="637"/>
      <c r="W30" s="637"/>
      <c r="X30" s="638"/>
      <c r="Y30" s="638"/>
      <c r="Z30" s="89" t="s">
        <v>70</v>
      </c>
      <c r="AA30" s="89">
        <v>253</v>
      </c>
      <c r="AB30" s="90">
        <f t="shared" si="9"/>
        <v>6896</v>
      </c>
      <c r="AC30" s="91">
        <f t="shared" si="7"/>
        <v>0</v>
      </c>
      <c r="AD30" s="9"/>
    </row>
    <row r="31" spans="1:30" x14ac:dyDescent="0.25">
      <c r="A31" s="1" t="s">
        <v>73</v>
      </c>
      <c r="B31" s="633"/>
      <c r="C31" s="634"/>
      <c r="D31" s="13">
        <v>21.73</v>
      </c>
      <c r="E31" s="13">
        <v>20.9</v>
      </c>
      <c r="F31" s="92">
        <v>0</v>
      </c>
      <c r="G31" s="46">
        <f t="shared" si="6"/>
        <v>42.629999999999995</v>
      </c>
      <c r="H31" s="80"/>
      <c r="I31" s="93" t="s">
        <v>74</v>
      </c>
      <c r="J31" s="82">
        <v>251</v>
      </c>
      <c r="K31" s="83">
        <v>1173</v>
      </c>
      <c r="L31" s="84">
        <f t="shared" si="8"/>
        <v>50005</v>
      </c>
      <c r="N31" s="85">
        <v>5102</v>
      </c>
      <c r="O31" s="54">
        <v>251</v>
      </c>
      <c r="P31" s="86"/>
      <c r="Q31" s="68"/>
      <c r="V31" s="637"/>
      <c r="W31" s="637"/>
      <c r="X31" s="638"/>
      <c r="Y31" s="638"/>
      <c r="Z31" s="94" t="s">
        <v>74</v>
      </c>
      <c r="AA31" s="89">
        <v>251</v>
      </c>
      <c r="AB31" s="90">
        <f t="shared" si="9"/>
        <v>1173</v>
      </c>
      <c r="AC31" s="91">
        <f t="shared" si="7"/>
        <v>0</v>
      </c>
      <c r="AD31" s="9"/>
    </row>
    <row r="32" spans="1:30" x14ac:dyDescent="0.25">
      <c r="A32" s="1" t="s">
        <v>75</v>
      </c>
      <c r="B32" s="633"/>
      <c r="C32" s="634"/>
      <c r="D32" s="13">
        <v>1.58</v>
      </c>
      <c r="E32" s="13">
        <v>0</v>
      </c>
      <c r="F32" s="92">
        <v>0</v>
      </c>
      <c r="G32" s="46">
        <f t="shared" si="6"/>
        <v>1.58</v>
      </c>
      <c r="H32" s="80"/>
      <c r="I32" s="93" t="s">
        <v>74</v>
      </c>
      <c r="J32" s="82">
        <v>252</v>
      </c>
      <c r="K32" s="83">
        <v>3506</v>
      </c>
      <c r="L32" s="84">
        <f t="shared" si="8"/>
        <v>5539</v>
      </c>
      <c r="N32" s="85">
        <v>5102</v>
      </c>
      <c r="O32" s="54">
        <v>252</v>
      </c>
      <c r="P32" s="86"/>
      <c r="Q32" s="54"/>
      <c r="V32" s="637"/>
      <c r="W32" s="637"/>
      <c r="X32" s="638"/>
      <c r="Y32" s="638"/>
      <c r="Z32" s="94" t="s">
        <v>74</v>
      </c>
      <c r="AA32" s="89">
        <v>252</v>
      </c>
      <c r="AB32" s="90">
        <f t="shared" si="9"/>
        <v>3506</v>
      </c>
      <c r="AC32" s="91">
        <f t="shared" si="7"/>
        <v>0</v>
      </c>
      <c r="AD32" s="9"/>
    </row>
    <row r="33" spans="1:30" x14ac:dyDescent="0.25">
      <c r="A33" s="1" t="s">
        <v>76</v>
      </c>
      <c r="B33" s="633"/>
      <c r="C33" s="634"/>
      <c r="D33" s="13">
        <v>0</v>
      </c>
      <c r="E33" s="13">
        <v>0</v>
      </c>
      <c r="F33" s="92">
        <v>0</v>
      </c>
      <c r="G33" s="46">
        <f t="shared" si="6"/>
        <v>0</v>
      </c>
      <c r="H33" s="80"/>
      <c r="I33" s="93" t="s">
        <v>74</v>
      </c>
      <c r="J33" s="82">
        <v>253</v>
      </c>
      <c r="K33" s="83">
        <v>7023</v>
      </c>
      <c r="L33" s="84">
        <f t="shared" si="8"/>
        <v>0</v>
      </c>
      <c r="N33" s="85">
        <v>5102</v>
      </c>
      <c r="O33" s="54">
        <v>253</v>
      </c>
      <c r="P33" s="86"/>
      <c r="Q33" s="87"/>
      <c r="V33" s="637"/>
      <c r="W33" s="637"/>
      <c r="X33" s="638"/>
      <c r="Y33" s="638"/>
      <c r="Z33" s="94" t="s">
        <v>74</v>
      </c>
      <c r="AA33" s="89">
        <v>253</v>
      </c>
      <c r="AB33" s="90">
        <f t="shared" si="9"/>
        <v>7023</v>
      </c>
      <c r="AC33" s="91">
        <f t="shared" si="7"/>
        <v>0</v>
      </c>
      <c r="AD33" s="9"/>
    </row>
    <row r="34" spans="1:30" x14ac:dyDescent="0.25">
      <c r="A34" s="1" t="s">
        <v>77</v>
      </c>
      <c r="B34" s="633"/>
      <c r="C34" s="634"/>
      <c r="D34" s="13">
        <v>0</v>
      </c>
      <c r="E34" s="13">
        <v>0</v>
      </c>
      <c r="F34" s="92">
        <v>0</v>
      </c>
      <c r="G34" s="46">
        <f t="shared" si="6"/>
        <v>0</v>
      </c>
      <c r="H34" s="80"/>
      <c r="I34" s="93" t="s">
        <v>78</v>
      </c>
      <c r="J34" s="82">
        <v>251</v>
      </c>
      <c r="K34" s="83">
        <v>835</v>
      </c>
      <c r="L34" s="84">
        <f t="shared" si="8"/>
        <v>0</v>
      </c>
      <c r="N34" s="85">
        <v>5103</v>
      </c>
      <c r="O34" s="54">
        <v>251</v>
      </c>
      <c r="P34" s="86"/>
      <c r="Q34" s="87"/>
      <c r="V34" s="637"/>
      <c r="W34" s="637"/>
      <c r="X34" s="638"/>
      <c r="Y34" s="638"/>
      <c r="Z34" s="94" t="s">
        <v>78</v>
      </c>
      <c r="AA34" s="89">
        <v>251</v>
      </c>
      <c r="AB34" s="90">
        <f t="shared" si="9"/>
        <v>835</v>
      </c>
      <c r="AC34" s="91">
        <f t="shared" si="7"/>
        <v>0</v>
      </c>
      <c r="AD34" s="9"/>
    </row>
    <row r="35" spans="1:30" x14ac:dyDescent="0.25">
      <c r="A35" s="1" t="s">
        <v>79</v>
      </c>
      <c r="B35" s="633"/>
      <c r="C35" s="634"/>
      <c r="D35" s="13">
        <v>0</v>
      </c>
      <c r="E35" s="13">
        <v>0</v>
      </c>
      <c r="F35" s="92">
        <v>0</v>
      </c>
      <c r="G35" s="46">
        <f t="shared" si="6"/>
        <v>0</v>
      </c>
      <c r="H35" s="80"/>
      <c r="I35" s="93" t="s">
        <v>78</v>
      </c>
      <c r="J35" s="82">
        <v>252</v>
      </c>
      <c r="K35" s="83">
        <v>3168</v>
      </c>
      <c r="L35" s="84">
        <f t="shared" si="8"/>
        <v>0</v>
      </c>
      <c r="N35" s="85">
        <v>5103</v>
      </c>
      <c r="O35" s="54">
        <v>252</v>
      </c>
      <c r="P35" s="86"/>
      <c r="Q35" s="95"/>
      <c r="V35" s="637"/>
      <c r="W35" s="637"/>
      <c r="X35" s="638"/>
      <c r="Y35" s="638"/>
      <c r="Z35" s="94" t="s">
        <v>78</v>
      </c>
      <c r="AA35" s="89">
        <v>252</v>
      </c>
      <c r="AB35" s="90">
        <f t="shared" si="9"/>
        <v>3168</v>
      </c>
      <c r="AC35" s="91">
        <f t="shared" si="7"/>
        <v>0</v>
      </c>
      <c r="AD35" s="9"/>
    </row>
    <row r="36" spans="1:30" ht="16.5" thickBot="1" x14ac:dyDescent="0.3">
      <c r="A36" s="1" t="s">
        <v>80</v>
      </c>
      <c r="B36" s="635"/>
      <c r="C36" s="636"/>
      <c r="D36" s="13">
        <v>0</v>
      </c>
      <c r="E36" s="13">
        <v>0</v>
      </c>
      <c r="F36" s="92">
        <v>0</v>
      </c>
      <c r="G36" s="46">
        <f t="shared" si="6"/>
        <v>0</v>
      </c>
      <c r="H36" s="80"/>
      <c r="I36" s="93" t="s">
        <v>78</v>
      </c>
      <c r="J36" s="82">
        <v>253</v>
      </c>
      <c r="K36" s="83">
        <v>6685</v>
      </c>
      <c r="L36" s="96">
        <f t="shared" si="8"/>
        <v>0</v>
      </c>
      <c r="N36" s="85">
        <v>5103</v>
      </c>
      <c r="O36" s="54">
        <v>253</v>
      </c>
      <c r="P36" s="86"/>
      <c r="Q36" s="97"/>
      <c r="V36" s="637"/>
      <c r="W36" s="637"/>
      <c r="X36" s="645"/>
      <c r="Y36" s="645"/>
      <c r="Z36" s="94" t="s">
        <v>78</v>
      </c>
      <c r="AA36" s="89">
        <v>253</v>
      </c>
      <c r="AB36" s="90">
        <f t="shared" si="9"/>
        <v>6685</v>
      </c>
      <c r="AC36" s="98">
        <f t="shared" si="7"/>
        <v>0</v>
      </c>
      <c r="AD36" s="9"/>
    </row>
    <row r="37" spans="1:30" ht="18.75" customHeight="1" x14ac:dyDescent="0.25">
      <c r="B37" s="13" t="s">
        <v>81</v>
      </c>
      <c r="C37" s="13"/>
      <c r="D37" s="63">
        <f t="shared" ref="D37:E37" si="10">SUM(D28:D36)</f>
        <v>39.65</v>
      </c>
      <c r="E37" s="63">
        <f t="shared" si="10"/>
        <v>40.349999999999994</v>
      </c>
      <c r="F37" s="63"/>
      <c r="G37" s="63">
        <f>SUM(G28:G36)</f>
        <v>79.999999999999986</v>
      </c>
      <c r="H37" s="64"/>
      <c r="I37" s="13" t="s">
        <v>82</v>
      </c>
      <c r="J37" s="13"/>
      <c r="K37" s="13"/>
      <c r="L37" s="50">
        <f>SUM(L28:L36)</f>
        <v>100015</v>
      </c>
      <c r="N37" s="54"/>
      <c r="O37" s="68"/>
      <c r="P37" s="54"/>
      <c r="Q37" s="54"/>
      <c r="V37" s="646" t="s">
        <v>81</v>
      </c>
      <c r="W37" s="646"/>
      <c r="X37" s="626">
        <f>SUM(X28:X36)</f>
        <v>0</v>
      </c>
      <c r="Y37" s="626"/>
      <c r="Z37" s="646" t="s">
        <v>82</v>
      </c>
      <c r="AA37" s="646"/>
      <c r="AB37" s="646"/>
      <c r="AC37" s="56">
        <f>SUM(AC28:AC36)</f>
        <v>0</v>
      </c>
      <c r="AD37" s="9"/>
    </row>
    <row r="38" spans="1:30" ht="30.75" customHeight="1" x14ac:dyDescent="0.25">
      <c r="B38" s="99" t="s">
        <v>83</v>
      </c>
      <c r="C38" s="99"/>
      <c r="D38" s="99"/>
      <c r="E38" s="99"/>
      <c r="F38" s="99"/>
      <c r="G38" s="99"/>
      <c r="H38" s="100"/>
      <c r="I38" s="99"/>
      <c r="J38" s="99"/>
      <c r="K38" s="99"/>
      <c r="L38" s="99"/>
      <c r="M38" s="101"/>
      <c r="N38" s="54"/>
      <c r="O38" s="68"/>
      <c r="P38" s="54"/>
      <c r="Q38" s="54"/>
      <c r="V38" s="639" t="s">
        <v>83</v>
      </c>
      <c r="W38" s="639"/>
      <c r="X38" s="639"/>
      <c r="Y38" s="639"/>
      <c r="Z38" s="639"/>
      <c r="AA38" s="639"/>
      <c r="AB38" s="639"/>
      <c r="AC38" s="639"/>
      <c r="AD38" s="102"/>
    </row>
    <row r="39" spans="1:30" ht="15.75" customHeight="1" x14ac:dyDescent="0.25">
      <c r="B39" s="103" t="s">
        <v>84</v>
      </c>
      <c r="C39" s="103"/>
      <c r="D39" s="103"/>
      <c r="E39" s="103"/>
      <c r="F39" s="103"/>
      <c r="G39" s="104">
        <v>34389540</v>
      </c>
      <c r="H39" s="104"/>
      <c r="I39" s="13" t="s">
        <v>85</v>
      </c>
      <c r="J39" s="13"/>
      <c r="K39" s="13"/>
      <c r="L39" s="13"/>
      <c r="O39" s="1"/>
      <c r="V39" s="640" t="s">
        <v>84</v>
      </c>
      <c r="W39" s="640"/>
      <c r="X39" s="641">
        <f>+G39</f>
        <v>34389540</v>
      </c>
      <c r="Y39" s="641"/>
      <c r="Z39" s="642" t="s">
        <v>85</v>
      </c>
      <c r="AA39" s="642"/>
      <c r="AB39" s="642"/>
      <c r="AC39" s="642"/>
      <c r="AD39" s="9"/>
    </row>
    <row r="40" spans="1:30" ht="15.75" customHeight="1" x14ac:dyDescent="0.25">
      <c r="B40" s="105" t="s">
        <v>86</v>
      </c>
      <c r="C40" s="105"/>
      <c r="D40" s="105"/>
      <c r="E40" s="105"/>
      <c r="F40" s="105"/>
      <c r="G40" s="106">
        <v>180284.81</v>
      </c>
      <c r="H40" s="106"/>
      <c r="I40" s="106"/>
      <c r="J40" s="106"/>
      <c r="K40" s="50">
        <f>ROUND(G39/G40,0)</f>
        <v>191</v>
      </c>
      <c r="L40" s="50">
        <f>ROUND(K40*$G$26,0)</f>
        <v>117946</v>
      </c>
      <c r="N40" s="107"/>
      <c r="O40" s="107"/>
      <c r="P40" s="107"/>
      <c r="Q40" s="107"/>
      <c r="V40" s="643" t="s">
        <v>86</v>
      </c>
      <c r="W40" s="643"/>
      <c r="X40" s="644">
        <f>+G40</f>
        <v>180284.81</v>
      </c>
      <c r="Y40" s="644"/>
      <c r="Z40" s="644"/>
      <c r="AA40" s="644"/>
      <c r="AB40" s="56">
        <f>ROUND(X39/X40,0)</f>
        <v>191</v>
      </c>
      <c r="AC40" s="56">
        <f>ROUND(AB40*$X$26,0)</f>
        <v>0</v>
      </c>
      <c r="AD40" s="9"/>
    </row>
    <row r="41" spans="1:30" ht="15.75" customHeight="1" x14ac:dyDescent="0.25">
      <c r="B41" s="108" t="s">
        <v>87</v>
      </c>
      <c r="C41" s="108"/>
      <c r="D41" s="108"/>
      <c r="E41" s="108"/>
      <c r="F41" s="108"/>
      <c r="G41" s="108"/>
      <c r="H41" s="108"/>
      <c r="I41" s="108"/>
      <c r="J41" s="108"/>
      <c r="K41" s="108"/>
      <c r="L41" s="108"/>
      <c r="N41" s="101"/>
      <c r="O41" s="109"/>
      <c r="P41" s="101"/>
      <c r="Q41" s="101"/>
      <c r="V41" s="652" t="s">
        <v>87</v>
      </c>
      <c r="W41" s="652"/>
      <c r="X41" s="652"/>
      <c r="Y41" s="652"/>
      <c r="Z41" s="652"/>
      <c r="AA41" s="652"/>
      <c r="AB41" s="652"/>
      <c r="AC41" s="652"/>
      <c r="AD41" s="9"/>
    </row>
    <row r="42" spans="1:30" ht="28.5" customHeight="1" x14ac:dyDescent="0.25">
      <c r="B42" s="99" t="s">
        <v>88</v>
      </c>
      <c r="C42" s="99"/>
      <c r="D42" s="99"/>
      <c r="E42" s="99"/>
      <c r="F42" s="99"/>
      <c r="G42" s="99"/>
      <c r="H42" s="99"/>
      <c r="I42" s="99"/>
      <c r="J42" s="99"/>
      <c r="K42" s="99"/>
      <c r="L42" s="99"/>
      <c r="M42" s="107"/>
      <c r="O42" s="1"/>
      <c r="V42" s="639" t="s">
        <v>88</v>
      </c>
      <c r="W42" s="639"/>
      <c r="X42" s="639"/>
      <c r="Y42" s="639"/>
      <c r="Z42" s="639"/>
      <c r="AA42" s="639"/>
      <c r="AB42" s="639"/>
      <c r="AC42" s="639"/>
      <c r="AD42" s="110"/>
    </row>
    <row r="43" spans="1:30" x14ac:dyDescent="0.25">
      <c r="B43" s="111" t="s">
        <v>89</v>
      </c>
      <c r="C43" s="111"/>
      <c r="D43" s="111"/>
      <c r="E43" s="111"/>
      <c r="F43" s="111"/>
      <c r="G43" s="111"/>
      <c r="H43" s="111"/>
      <c r="I43" s="111"/>
      <c r="J43" s="111"/>
      <c r="K43" s="111"/>
      <c r="L43" s="111"/>
      <c r="M43" s="112"/>
      <c r="N43" s="101"/>
      <c r="O43" s="101"/>
      <c r="P43" s="101"/>
      <c r="Q43" s="101"/>
      <c r="V43" s="653" t="s">
        <v>89</v>
      </c>
      <c r="W43" s="653"/>
      <c r="X43" s="653"/>
      <c r="Y43" s="653"/>
      <c r="Z43" s="653"/>
      <c r="AA43" s="653"/>
      <c r="AB43" s="653"/>
      <c r="AC43" s="653"/>
      <c r="AD43" s="113"/>
    </row>
    <row r="44" spans="1:30" ht="24" customHeight="1" x14ac:dyDescent="0.25">
      <c r="B44" s="62" t="s">
        <v>90</v>
      </c>
      <c r="C44" s="62"/>
      <c r="D44" s="62"/>
      <c r="E44" s="62"/>
      <c r="F44" s="62"/>
      <c r="G44" s="62"/>
      <c r="H44" s="62"/>
      <c r="I44" s="62"/>
      <c r="J44" s="62"/>
      <c r="K44" s="62"/>
      <c r="L44" s="114">
        <f>SUM(L26,L37,L40)</f>
        <v>2797312</v>
      </c>
      <c r="O44" s="1"/>
      <c r="V44" s="654" t="s">
        <v>90</v>
      </c>
      <c r="W44" s="654"/>
      <c r="X44" s="654"/>
      <c r="Y44" s="654"/>
      <c r="Z44" s="654"/>
      <c r="AA44" s="654"/>
      <c r="AB44" s="654"/>
      <c r="AC44" s="115">
        <f>SUM(AC26,AC37,AC40)</f>
        <v>0</v>
      </c>
      <c r="AD44" s="9"/>
    </row>
    <row r="45" spans="1:30" ht="30.75" customHeight="1" x14ac:dyDescent="0.25">
      <c r="B45" s="99" t="s">
        <v>91</v>
      </c>
      <c r="C45" s="99"/>
      <c r="D45" s="99"/>
      <c r="E45" s="99"/>
      <c r="F45" s="99"/>
      <c r="G45" s="99"/>
      <c r="H45" s="99"/>
      <c r="I45" s="99"/>
      <c r="J45" s="99"/>
      <c r="K45" s="99"/>
      <c r="L45" s="99"/>
      <c r="M45" s="116"/>
      <c r="O45" s="1"/>
      <c r="V45" s="639" t="s">
        <v>91</v>
      </c>
      <c r="W45" s="639"/>
      <c r="X45" s="639"/>
      <c r="Y45" s="639"/>
      <c r="Z45" s="639"/>
      <c r="AA45" s="639"/>
      <c r="AB45" s="639"/>
      <c r="AC45" s="639"/>
      <c r="AD45" s="117"/>
    </row>
    <row r="46" spans="1:30" ht="18.75" customHeight="1" x14ac:dyDescent="0.25">
      <c r="B46" s="1"/>
      <c r="C46" s="118" t="s">
        <v>92</v>
      </c>
      <c r="D46" s="118"/>
      <c r="E46" s="118"/>
      <c r="F46" s="118"/>
      <c r="G46" s="118" t="s">
        <v>93</v>
      </c>
      <c r="H46" s="119"/>
      <c r="I46" s="120" t="s">
        <v>94</v>
      </c>
      <c r="J46" s="121"/>
      <c r="K46" s="121"/>
      <c r="L46" s="121"/>
      <c r="M46" s="122"/>
      <c r="O46" s="1"/>
      <c r="V46" s="9"/>
      <c r="W46" s="123" t="s">
        <v>92</v>
      </c>
      <c r="X46" s="655" t="s">
        <v>95</v>
      </c>
      <c r="Y46" s="655"/>
      <c r="Z46" s="656" t="s">
        <v>94</v>
      </c>
      <c r="AA46" s="656"/>
      <c r="AB46" s="656"/>
      <c r="AC46" s="656"/>
      <c r="AD46" s="124"/>
    </row>
    <row r="47" spans="1:30" ht="18.75" customHeight="1" x14ac:dyDescent="0.25">
      <c r="B47" s="107" t="s">
        <v>96</v>
      </c>
      <c r="C47" s="125">
        <f>K10+K11+K16+K19+K22</f>
        <v>421.10350000000005</v>
      </c>
      <c r="D47" s="125"/>
      <c r="E47" s="125"/>
      <c r="F47" s="125"/>
      <c r="G47" s="126">
        <f>K7</f>
        <v>1.0326</v>
      </c>
      <c r="H47" s="126"/>
      <c r="I47" s="127">
        <v>1316.85</v>
      </c>
      <c r="J47" s="128" t="s">
        <v>97</v>
      </c>
      <c r="K47" s="129">
        <f>ROUND(C47*G47*I47,0)</f>
        <v>572608</v>
      </c>
      <c r="L47" s="130"/>
      <c r="O47" s="1"/>
      <c r="V47" s="110" t="s">
        <v>96</v>
      </c>
      <c r="W47" s="131">
        <f>AB10+AB11+AB16+AB19+AB22</f>
        <v>0</v>
      </c>
      <c r="X47" s="647">
        <f>AB7</f>
        <v>1.0326</v>
      </c>
      <c r="Y47" s="647"/>
      <c r="Z47" s="132">
        <f>+I47</f>
        <v>1316.85</v>
      </c>
      <c r="AA47" s="133" t="s">
        <v>97</v>
      </c>
      <c r="AB47" s="134">
        <f>ROUND(W47*X47*Z47,0)</f>
        <v>0</v>
      </c>
      <c r="AC47" s="135"/>
      <c r="AD47" s="9"/>
    </row>
    <row r="48" spans="1:30" ht="18" customHeight="1" x14ac:dyDescent="0.25">
      <c r="B48" s="136" t="s">
        <v>74</v>
      </c>
      <c r="C48" s="125">
        <f>K12+K13+K17+K20+K23</f>
        <v>244.6</v>
      </c>
      <c r="D48" s="125"/>
      <c r="E48" s="125"/>
      <c r="F48" s="125"/>
      <c r="G48" s="126">
        <f>K7</f>
        <v>1.0326</v>
      </c>
      <c r="H48" s="126"/>
      <c r="I48" s="127">
        <v>898.23</v>
      </c>
      <c r="J48" s="128" t="s">
        <v>97</v>
      </c>
      <c r="K48" s="129">
        <f>ROUND(C48*G48*I48,0)</f>
        <v>226870</v>
      </c>
      <c r="L48" s="62"/>
      <c r="O48" s="1"/>
      <c r="V48" s="137" t="s">
        <v>74</v>
      </c>
      <c r="W48" s="131">
        <f>AB12+AB13+AB17+AB20+AB23</f>
        <v>0</v>
      </c>
      <c r="X48" s="647">
        <f>AB7</f>
        <v>1.0326</v>
      </c>
      <c r="Y48" s="647"/>
      <c r="Z48" s="132">
        <f>+I48</f>
        <v>898.23</v>
      </c>
      <c r="AA48" s="133" t="s">
        <v>97</v>
      </c>
      <c r="AB48" s="134">
        <f>ROUND(W48*X48*Z48,0)</f>
        <v>0</v>
      </c>
      <c r="AC48" s="138"/>
      <c r="AD48" s="9"/>
    </row>
    <row r="49" spans="2:30" ht="19.5" customHeight="1" thickBot="1" x14ac:dyDescent="0.3">
      <c r="B49" s="139" t="s">
        <v>78</v>
      </c>
      <c r="C49" s="140">
        <f>K14+K15+K18+K21+K24+K25</f>
        <v>0</v>
      </c>
      <c r="D49" s="125"/>
      <c r="E49" s="125"/>
      <c r="F49" s="125"/>
      <c r="G49" s="126">
        <f>K7</f>
        <v>1.0326</v>
      </c>
      <c r="H49" s="126"/>
      <c r="I49" s="127">
        <v>900.39</v>
      </c>
      <c r="J49" s="128" t="s">
        <v>97</v>
      </c>
      <c r="K49" s="129">
        <f>ROUND(C49*G49*I49,0)</f>
        <v>0</v>
      </c>
      <c r="L49" s="62"/>
      <c r="M49" s="112"/>
      <c r="N49" s="141"/>
      <c r="O49" s="142"/>
      <c r="P49" s="101"/>
      <c r="Q49" s="143"/>
      <c r="V49" s="144" t="s">
        <v>78</v>
      </c>
      <c r="W49" s="145">
        <f>AB14+AB15+AB18+AB21+AB24+AB25</f>
        <v>0</v>
      </c>
      <c r="X49" s="647">
        <f>AB7</f>
        <v>1.0326</v>
      </c>
      <c r="Y49" s="647"/>
      <c r="Z49" s="132">
        <f>+I49</f>
        <v>900.39</v>
      </c>
      <c r="AA49" s="133" t="s">
        <v>97</v>
      </c>
      <c r="AB49" s="134">
        <f>ROUND(W49*X49*Z49,0)</f>
        <v>0</v>
      </c>
      <c r="AC49" s="138"/>
      <c r="AD49" s="113"/>
    </row>
    <row r="50" spans="2:30" ht="24" customHeight="1" thickBot="1" x14ac:dyDescent="0.3">
      <c r="B50" s="146" t="s">
        <v>98</v>
      </c>
      <c r="C50" s="147">
        <f>SUM(C47:C49)</f>
        <v>665.70350000000008</v>
      </c>
      <c r="D50" s="148"/>
      <c r="E50" s="149"/>
      <c r="F50" s="149"/>
      <c r="G50" s="150" t="s">
        <v>99</v>
      </c>
      <c r="H50" s="150"/>
      <c r="I50" s="150"/>
      <c r="J50" s="150"/>
      <c r="K50" s="150"/>
      <c r="L50" s="50">
        <f>IF(B2=75,0,K49+K48+K47)</f>
        <v>799478</v>
      </c>
      <c r="N50" s="3"/>
      <c r="O50" s="1"/>
      <c r="V50" s="151" t="s">
        <v>98</v>
      </c>
      <c r="W50" s="152">
        <f>SUM(W47:W49)</f>
        <v>0</v>
      </c>
      <c r="X50" s="648" t="s">
        <v>99</v>
      </c>
      <c r="Y50" s="649"/>
      <c r="Z50" s="649"/>
      <c r="AA50" s="649"/>
      <c r="AB50" s="649"/>
      <c r="AC50" s="56">
        <f>IF(V2=75,0,AB49+AB48+AB47)</f>
        <v>0</v>
      </c>
      <c r="AD50" s="9"/>
    </row>
    <row r="51" spans="2:30" ht="19.5" customHeight="1" x14ac:dyDescent="0.25">
      <c r="B51" s="153" t="s">
        <v>100</v>
      </c>
      <c r="C51" s="153"/>
      <c r="D51" s="153"/>
      <c r="E51" s="153"/>
      <c r="F51" s="153"/>
      <c r="G51" s="153"/>
      <c r="H51" s="153"/>
      <c r="I51" s="153"/>
      <c r="J51" s="153"/>
      <c r="K51" s="153"/>
      <c r="L51" s="153"/>
      <c r="M51" s="141"/>
      <c r="N51" s="101"/>
      <c r="O51" s="1"/>
      <c r="V51" s="650" t="s">
        <v>100</v>
      </c>
      <c r="W51" s="650"/>
      <c r="X51" s="650"/>
      <c r="Y51" s="650"/>
      <c r="Z51" s="650"/>
      <c r="AA51" s="650"/>
      <c r="AB51" s="650"/>
      <c r="AC51" s="650"/>
      <c r="AD51" s="154"/>
    </row>
    <row r="52" spans="2:30" ht="27.75" customHeight="1" x14ac:dyDescent="0.25">
      <c r="B52" s="13" t="s">
        <v>101</v>
      </c>
      <c r="C52" s="13"/>
      <c r="D52" s="13"/>
      <c r="E52" s="13"/>
      <c r="F52" s="13"/>
      <c r="G52" s="13"/>
      <c r="H52" s="13"/>
      <c r="I52" s="13"/>
      <c r="J52" s="13"/>
      <c r="K52" s="13"/>
      <c r="L52" s="13"/>
      <c r="O52" s="1"/>
      <c r="V52" s="651" t="s">
        <v>101</v>
      </c>
      <c r="W52" s="651"/>
      <c r="X52" s="651"/>
      <c r="Y52" s="651"/>
      <c r="Z52" s="651"/>
      <c r="AA52" s="651"/>
      <c r="AB52" s="651"/>
      <c r="AC52" s="651"/>
      <c r="AD52" s="9"/>
    </row>
    <row r="53" spans="2:30" x14ac:dyDescent="0.25">
      <c r="B53" s="13" t="s">
        <v>102</v>
      </c>
      <c r="C53" s="13"/>
      <c r="D53" s="13"/>
      <c r="E53" s="13"/>
      <c r="F53" s="13"/>
      <c r="G53" s="155">
        <f>K26</f>
        <v>665.70350000000008</v>
      </c>
      <c r="H53" s="57" t="s">
        <v>103</v>
      </c>
      <c r="I53" s="57"/>
      <c r="J53" s="156">
        <v>197823.77</v>
      </c>
      <c r="K53" s="156"/>
      <c r="L53" s="156"/>
      <c r="N53" s="3"/>
      <c r="O53" s="1"/>
      <c r="V53" s="657" t="s">
        <v>102</v>
      </c>
      <c r="W53" s="657"/>
      <c r="X53" s="157">
        <f>AB26</f>
        <v>0</v>
      </c>
      <c r="Y53" s="658" t="s">
        <v>103</v>
      </c>
      <c r="Z53" s="658"/>
      <c r="AA53" s="659">
        <f>+J53</f>
        <v>197823.77</v>
      </c>
      <c r="AB53" s="659"/>
      <c r="AC53" s="659"/>
      <c r="AD53" s="9"/>
    </row>
    <row r="54" spans="2:30" x14ac:dyDescent="0.25">
      <c r="B54" s="13" t="s">
        <v>104</v>
      </c>
      <c r="C54" s="13"/>
      <c r="D54" s="13"/>
      <c r="E54" s="13"/>
      <c r="F54" s="13"/>
      <c r="G54" s="13"/>
      <c r="H54" s="13"/>
      <c r="I54" s="13"/>
      <c r="J54" s="13"/>
      <c r="K54" s="158">
        <f>ROUND(G53/J53,6)</f>
        <v>3.3649999999999999E-3</v>
      </c>
      <c r="L54" s="158"/>
      <c r="N54" s="101"/>
      <c r="O54" s="1"/>
      <c r="V54" s="657" t="s">
        <v>104</v>
      </c>
      <c r="W54" s="657"/>
      <c r="X54" s="657"/>
      <c r="Y54" s="657"/>
      <c r="Z54" s="657"/>
      <c r="AA54" s="657"/>
      <c r="AB54" s="660">
        <f>ROUND(X53/AA53,6)</f>
        <v>0</v>
      </c>
      <c r="AC54" s="660"/>
      <c r="AD54" s="9"/>
    </row>
    <row r="55" spans="2:30" ht="24" customHeight="1" x14ac:dyDescent="0.25">
      <c r="B55" s="13" t="s">
        <v>105</v>
      </c>
      <c r="C55" s="13"/>
      <c r="D55" s="13"/>
      <c r="E55" s="13"/>
      <c r="F55" s="13"/>
      <c r="G55" s="13"/>
      <c r="H55" s="13"/>
      <c r="I55" s="13"/>
      <c r="J55" s="13"/>
      <c r="K55" s="13"/>
      <c r="L55" s="13"/>
      <c r="O55" s="1"/>
      <c r="V55" s="651" t="s">
        <v>105</v>
      </c>
      <c r="W55" s="651"/>
      <c r="X55" s="651"/>
      <c r="Y55" s="651"/>
      <c r="Z55" s="651"/>
      <c r="AA55" s="651"/>
      <c r="AB55" s="651"/>
      <c r="AC55" s="651"/>
      <c r="AD55" s="9"/>
    </row>
    <row r="56" spans="2:30" x14ac:dyDescent="0.25">
      <c r="B56" s="13" t="s">
        <v>106</v>
      </c>
      <c r="C56" s="13"/>
      <c r="D56" s="13"/>
      <c r="E56" s="13"/>
      <c r="F56" s="13"/>
      <c r="G56" s="159">
        <f>G26</f>
        <v>617.52</v>
      </c>
      <c r="H56" s="57" t="s">
        <v>107</v>
      </c>
      <c r="I56" s="57"/>
      <c r="J56" s="156">
        <f>+G40</f>
        <v>180284.81</v>
      </c>
      <c r="K56" s="156"/>
      <c r="L56" s="156"/>
      <c r="O56" s="1"/>
      <c r="V56" s="657" t="s">
        <v>106</v>
      </c>
      <c r="W56" s="657"/>
      <c r="X56" s="160">
        <f>X26</f>
        <v>0</v>
      </c>
      <c r="Y56" s="658" t="s">
        <v>107</v>
      </c>
      <c r="Z56" s="658"/>
      <c r="AA56" s="659">
        <f>+J56</f>
        <v>180284.81</v>
      </c>
      <c r="AB56" s="659"/>
      <c r="AC56" s="659"/>
      <c r="AD56" s="9"/>
    </row>
    <row r="57" spans="2:30" x14ac:dyDescent="0.25">
      <c r="B57" s="13" t="s">
        <v>108</v>
      </c>
      <c r="C57" s="13"/>
      <c r="D57" s="13"/>
      <c r="E57" s="13"/>
      <c r="F57" s="13"/>
      <c r="G57" s="13"/>
      <c r="H57" s="13"/>
      <c r="I57" s="13"/>
      <c r="J57" s="13"/>
      <c r="K57" s="158">
        <f>ROUND(G56/J56,6)</f>
        <v>3.4250000000000001E-3</v>
      </c>
      <c r="L57" s="158"/>
      <c r="O57" s="1"/>
      <c r="V57" s="657" t="s">
        <v>108</v>
      </c>
      <c r="W57" s="657"/>
      <c r="X57" s="657"/>
      <c r="Y57" s="657"/>
      <c r="Z57" s="657"/>
      <c r="AA57" s="657"/>
      <c r="AB57" s="660">
        <f>ROUND(X56/AA56,6)</f>
        <v>0</v>
      </c>
      <c r="AC57" s="660"/>
      <c r="AD57" s="9"/>
    </row>
    <row r="58" spans="2:30" ht="20.25" customHeight="1" x14ac:dyDescent="0.25">
      <c r="B58" s="161" t="s">
        <v>109</v>
      </c>
      <c r="C58" s="161"/>
      <c r="D58" s="161"/>
      <c r="E58" s="161"/>
      <c r="F58" s="161"/>
      <c r="G58" s="161"/>
      <c r="H58" s="161"/>
      <c r="I58" s="161"/>
      <c r="J58" s="161"/>
      <c r="K58" s="161"/>
      <c r="L58" s="161"/>
      <c r="N58" s="18"/>
      <c r="O58" s="18"/>
      <c r="V58" s="629" t="s">
        <v>110</v>
      </c>
      <c r="W58" s="629"/>
      <c r="X58" s="629"/>
      <c r="Y58" s="661">
        <f>X65+X64+X62+X61+X60</f>
        <v>4123852</v>
      </c>
      <c r="Z58" s="661"/>
      <c r="AA58" s="162" t="s">
        <v>111</v>
      </c>
      <c r="AB58" s="163">
        <f>AB54</f>
        <v>0</v>
      </c>
      <c r="AC58" s="56">
        <f>ROUND(Y58*AB58,0)</f>
        <v>0</v>
      </c>
      <c r="AD58" s="9"/>
    </row>
    <row r="59" spans="2:30" x14ac:dyDescent="0.25">
      <c r="B59" s="62" t="s">
        <v>110</v>
      </c>
      <c r="C59" s="62"/>
      <c r="D59" s="62"/>
      <c r="E59" s="62"/>
      <c r="F59" s="62"/>
      <c r="G59" s="62"/>
      <c r="H59" s="164" t="s">
        <v>22</v>
      </c>
      <c r="I59" s="129">
        <v>4123852</v>
      </c>
      <c r="J59" s="165" t="s">
        <v>111</v>
      </c>
      <c r="K59" s="166">
        <f>K54</f>
        <v>3.3649999999999999E-3</v>
      </c>
      <c r="L59" s="50">
        <f>ROUND(I59*K59,0)</f>
        <v>13877</v>
      </c>
      <c r="O59" s="1"/>
      <c r="P59" s="165"/>
      <c r="Q59" s="165"/>
      <c r="V59" s="662" t="s">
        <v>112</v>
      </c>
      <c r="W59" s="662"/>
      <c r="X59" s="662"/>
      <c r="Y59" s="662"/>
      <c r="Z59" s="662"/>
      <c r="AA59" s="662"/>
      <c r="AB59" s="662"/>
      <c r="AC59" s="662"/>
      <c r="AD59" s="9"/>
    </row>
    <row r="60" spans="2:30" x14ac:dyDescent="0.25">
      <c r="B60" s="62" t="s">
        <v>112</v>
      </c>
      <c r="C60" s="62"/>
      <c r="D60" s="62"/>
      <c r="E60" s="62"/>
      <c r="F60" s="62"/>
      <c r="G60" s="62"/>
      <c r="H60" s="62"/>
      <c r="I60" s="62"/>
      <c r="J60" s="62"/>
      <c r="K60" s="62"/>
      <c r="L60" s="62"/>
      <c r="O60" s="1"/>
      <c r="P60" s="165"/>
      <c r="Q60" s="165"/>
      <c r="V60" s="663" t="s">
        <v>113</v>
      </c>
      <c r="W60" s="663"/>
      <c r="X60" s="664">
        <f>+G61</f>
        <v>0</v>
      </c>
      <c r="Y60" s="664"/>
      <c r="Z60" s="664"/>
      <c r="AA60" s="664"/>
      <c r="AB60" s="664"/>
      <c r="AC60" s="664"/>
      <c r="AD60" s="9"/>
    </row>
    <row r="61" spans="2:30" ht="15" customHeight="1" x14ac:dyDescent="0.25">
      <c r="B61" s="167" t="s">
        <v>113</v>
      </c>
      <c r="C61" s="62"/>
      <c r="D61" s="62"/>
      <c r="E61" s="62"/>
      <c r="F61" s="62"/>
      <c r="G61" s="168">
        <v>0</v>
      </c>
      <c r="H61" s="168"/>
      <c r="I61" s="168"/>
      <c r="J61" s="168"/>
      <c r="K61" s="168"/>
      <c r="L61" s="168"/>
      <c r="O61" s="1"/>
      <c r="P61" s="165"/>
      <c r="Q61" s="165"/>
      <c r="V61" s="663" t="s">
        <v>114</v>
      </c>
      <c r="W61" s="663"/>
      <c r="X61" s="664">
        <f>+G62</f>
        <v>0</v>
      </c>
      <c r="Y61" s="664"/>
      <c r="Z61" s="664"/>
      <c r="AA61" s="664"/>
      <c r="AB61" s="664"/>
      <c r="AC61" s="664"/>
      <c r="AD61" s="9"/>
    </row>
    <row r="62" spans="2:30" ht="13.5" customHeight="1" x14ac:dyDescent="0.25">
      <c r="B62" s="167" t="s">
        <v>114</v>
      </c>
      <c r="C62" s="62"/>
      <c r="D62" s="62"/>
      <c r="E62" s="62"/>
      <c r="F62" s="62"/>
      <c r="G62" s="168">
        <v>0</v>
      </c>
      <c r="H62" s="168"/>
      <c r="I62" s="168"/>
      <c r="J62" s="168"/>
      <c r="K62" s="168"/>
      <c r="L62" s="168"/>
      <c r="N62" s="165"/>
      <c r="O62" s="165"/>
      <c r="P62" s="165"/>
      <c r="Q62" s="165"/>
      <c r="V62" s="663" t="s">
        <v>115</v>
      </c>
      <c r="W62" s="663"/>
      <c r="X62" s="664">
        <v>0</v>
      </c>
      <c r="Y62" s="664"/>
      <c r="Z62" s="664"/>
      <c r="AA62" s="664"/>
      <c r="AB62" s="664"/>
      <c r="AC62" s="664"/>
      <c r="AD62" s="9"/>
    </row>
    <row r="63" spans="2:30" ht="13.5" hidden="1" customHeight="1" x14ac:dyDescent="0.25">
      <c r="B63" s="62" t="s">
        <v>115</v>
      </c>
      <c r="C63" s="62"/>
      <c r="D63" s="62"/>
      <c r="E63" s="62"/>
      <c r="F63" s="62"/>
      <c r="G63" s="168">
        <v>0</v>
      </c>
      <c r="H63" s="168"/>
      <c r="I63" s="168"/>
      <c r="J63" s="168"/>
      <c r="K63" s="168"/>
      <c r="L63" s="168"/>
      <c r="O63" s="1"/>
      <c r="P63" s="165"/>
      <c r="Q63" s="165"/>
      <c r="V63" s="662" t="s">
        <v>116</v>
      </c>
      <c r="W63" s="662"/>
      <c r="X63" s="662"/>
      <c r="Y63" s="662"/>
      <c r="Z63" s="662"/>
      <c r="AA63" s="662"/>
      <c r="AB63" s="662"/>
      <c r="AC63" s="662"/>
      <c r="AD63" s="117"/>
    </row>
    <row r="64" spans="2:30" ht="13.5" customHeight="1" x14ac:dyDescent="0.25">
      <c r="B64" s="62" t="s">
        <v>116</v>
      </c>
      <c r="C64" s="62"/>
      <c r="D64" s="62"/>
      <c r="E64" s="62"/>
      <c r="F64" s="62"/>
      <c r="G64" s="62"/>
      <c r="H64" s="62"/>
      <c r="I64" s="62"/>
      <c r="J64" s="62"/>
      <c r="K64" s="62"/>
      <c r="L64" s="62"/>
      <c r="M64" s="116"/>
      <c r="N64" s="18"/>
      <c r="O64" s="1"/>
      <c r="V64" s="663" t="s">
        <v>117</v>
      </c>
      <c r="W64" s="663"/>
      <c r="X64" s="664">
        <f>+G65</f>
        <v>4123852</v>
      </c>
      <c r="Y64" s="664"/>
      <c r="Z64" s="664"/>
      <c r="AA64" s="664"/>
      <c r="AB64" s="664"/>
      <c r="AC64" s="664"/>
      <c r="AD64" s="9"/>
    </row>
    <row r="65" spans="1:30" ht="12.75" customHeight="1" x14ac:dyDescent="0.25">
      <c r="B65" s="167" t="s">
        <v>117</v>
      </c>
      <c r="C65" s="62"/>
      <c r="D65" s="62"/>
      <c r="E65" s="62"/>
      <c r="F65" s="62"/>
      <c r="G65" s="168">
        <f>+I59</f>
        <v>4123852</v>
      </c>
      <c r="H65" s="168"/>
      <c r="I65" s="168"/>
      <c r="J65" s="168"/>
      <c r="K65" s="168"/>
      <c r="L65" s="168"/>
      <c r="O65" s="1"/>
      <c r="V65" s="663" t="s">
        <v>118</v>
      </c>
      <c r="W65" s="663"/>
      <c r="X65" s="664">
        <f>+G66</f>
        <v>0</v>
      </c>
      <c r="Y65" s="664"/>
      <c r="Z65" s="664"/>
      <c r="AA65" s="664"/>
      <c r="AB65" s="664"/>
      <c r="AC65" s="664"/>
      <c r="AD65" s="20"/>
    </row>
    <row r="66" spans="1:30" ht="15" customHeight="1" x14ac:dyDescent="0.25">
      <c r="B66" s="167" t="s">
        <v>118</v>
      </c>
      <c r="C66" s="62"/>
      <c r="D66" s="62"/>
      <c r="E66" s="62"/>
      <c r="F66" s="62"/>
      <c r="G66" s="168">
        <v>0</v>
      </c>
      <c r="H66" s="168"/>
      <c r="I66" s="168"/>
      <c r="J66" s="168"/>
      <c r="K66" s="168"/>
      <c r="L66" s="168"/>
      <c r="M66" s="18"/>
      <c r="N66" s="3"/>
      <c r="O66" s="169"/>
      <c r="P66" s="169"/>
      <c r="Q66" s="169"/>
      <c r="V66" s="651" t="s">
        <v>119</v>
      </c>
      <c r="W66" s="651"/>
      <c r="X66" s="651"/>
      <c r="Y66" s="661">
        <f>+I67</f>
        <v>96774526</v>
      </c>
      <c r="Z66" s="661"/>
      <c r="AA66" s="162" t="s">
        <v>111</v>
      </c>
      <c r="AB66" s="163">
        <f>AB54</f>
        <v>0</v>
      </c>
      <c r="AC66" s="56">
        <f>ROUND(Y66*AB66,0)</f>
        <v>0</v>
      </c>
      <c r="AD66" s="9"/>
    </row>
    <row r="67" spans="1:30" ht="20.25" customHeight="1" x14ac:dyDescent="0.25">
      <c r="B67" s="13" t="s">
        <v>119</v>
      </c>
      <c r="C67" s="13"/>
      <c r="D67" s="13"/>
      <c r="E67" s="13"/>
      <c r="F67" s="13"/>
      <c r="H67" s="164" t="s">
        <v>25</v>
      </c>
      <c r="I67" s="129">
        <v>96774526</v>
      </c>
      <c r="J67" s="165" t="s">
        <v>111</v>
      </c>
      <c r="K67" s="166">
        <f>K54</f>
        <v>3.3649999999999999E-3</v>
      </c>
      <c r="L67" s="50">
        <f>ROUND(I67*K67,0)</f>
        <v>325646</v>
      </c>
      <c r="O67" s="1"/>
      <c r="V67" s="651" t="s">
        <v>120</v>
      </c>
      <c r="W67" s="651"/>
      <c r="X67" s="651"/>
      <c r="Y67" s="651"/>
      <c r="Z67" s="651"/>
      <c r="AA67" s="651"/>
      <c r="AB67" s="651"/>
      <c r="AC67" s="651"/>
      <c r="AD67" s="9"/>
    </row>
    <row r="68" spans="1:30" ht="20.25" customHeight="1" x14ac:dyDescent="0.25">
      <c r="B68" s="13" t="s">
        <v>120</v>
      </c>
      <c r="C68" s="13"/>
      <c r="D68" s="13"/>
      <c r="E68" s="13"/>
      <c r="F68" s="13"/>
      <c r="H68" s="13"/>
      <c r="I68" s="13"/>
      <c r="J68" s="82"/>
      <c r="K68" s="13"/>
      <c r="L68" s="13"/>
      <c r="O68" s="1"/>
      <c r="V68" s="667" t="s">
        <v>121</v>
      </c>
      <c r="W68" s="667"/>
      <c r="X68" s="667"/>
      <c r="Y68" s="661">
        <f>+I69</f>
        <v>0</v>
      </c>
      <c r="Z68" s="661"/>
      <c r="AA68" s="162" t="s">
        <v>111</v>
      </c>
      <c r="AB68" s="163">
        <f>AB57</f>
        <v>0</v>
      </c>
      <c r="AC68" s="56">
        <f>ROUND(Y68*AB68,0)</f>
        <v>0</v>
      </c>
      <c r="AD68" s="9"/>
    </row>
    <row r="69" spans="1:30" ht="15" customHeight="1" x14ac:dyDescent="0.25">
      <c r="B69" s="170" t="s">
        <v>121</v>
      </c>
      <c r="C69" s="13"/>
      <c r="D69" s="13"/>
      <c r="E69" s="13"/>
      <c r="F69" s="13"/>
      <c r="H69" s="164" t="s">
        <v>23</v>
      </c>
      <c r="I69" s="129">
        <v>0</v>
      </c>
      <c r="J69" s="165" t="s">
        <v>111</v>
      </c>
      <c r="K69" s="166">
        <f>K57</f>
        <v>3.4250000000000001E-3</v>
      </c>
      <c r="L69" s="50">
        <f>ROUND(I69*K69,0)</f>
        <v>0</v>
      </c>
      <c r="O69" s="1"/>
      <c r="V69" s="651" t="s">
        <v>122</v>
      </c>
      <c r="W69" s="651"/>
      <c r="X69" s="651"/>
      <c r="Y69" s="668">
        <f>+I70</f>
        <v>-3460775</v>
      </c>
      <c r="Z69" s="668"/>
      <c r="AA69" s="162" t="s">
        <v>111</v>
      </c>
      <c r="AB69" s="163">
        <f>AB54</f>
        <v>0</v>
      </c>
      <c r="AC69" s="56">
        <f>ROUND(Y69*AB69,0)</f>
        <v>0</v>
      </c>
      <c r="AD69" s="9"/>
    </row>
    <row r="70" spans="1:30" ht="20.25" customHeight="1" x14ac:dyDescent="0.25">
      <c r="B70" s="13" t="s">
        <v>122</v>
      </c>
      <c r="C70" s="13"/>
      <c r="D70" s="13"/>
      <c r="E70" s="13"/>
      <c r="F70" s="13"/>
      <c r="H70" s="164" t="s">
        <v>22</v>
      </c>
      <c r="I70" s="129">
        <v>-3460775</v>
      </c>
      <c r="J70" s="165" t="s">
        <v>111</v>
      </c>
      <c r="K70" s="166">
        <f>K54</f>
        <v>3.3649999999999999E-3</v>
      </c>
      <c r="L70" s="50">
        <f>ROUND(I70*K70,0)</f>
        <v>-11646</v>
      </c>
      <c r="O70" s="1"/>
      <c r="V70" s="651" t="s">
        <v>123</v>
      </c>
      <c r="W70" s="651"/>
      <c r="X70" s="651"/>
      <c r="Y70" s="665">
        <f>+I71</f>
        <v>1874788</v>
      </c>
      <c r="Z70" s="665"/>
      <c r="AA70" s="162" t="s">
        <v>111</v>
      </c>
      <c r="AB70" s="163">
        <f>AB54</f>
        <v>0</v>
      </c>
      <c r="AC70" s="56">
        <f>ROUND(Y70*AB70,0)</f>
        <v>0</v>
      </c>
      <c r="AD70" s="9"/>
    </row>
    <row r="71" spans="1:30" ht="20.25" customHeight="1" x14ac:dyDescent="0.25">
      <c r="B71" s="13" t="s">
        <v>123</v>
      </c>
      <c r="C71" s="13"/>
      <c r="D71" s="13"/>
      <c r="E71" s="13"/>
      <c r="F71" s="13"/>
      <c r="H71" s="164" t="s">
        <v>22</v>
      </c>
      <c r="I71" s="129">
        <v>1874788</v>
      </c>
      <c r="J71" s="165" t="s">
        <v>111</v>
      </c>
      <c r="K71" s="166">
        <f>K54</f>
        <v>3.3649999999999999E-3</v>
      </c>
      <c r="L71" s="50">
        <f>ROUND(I71*K71,0)</f>
        <v>6309</v>
      </c>
      <c r="O71" s="1"/>
      <c r="V71" s="651" t="s">
        <v>124</v>
      </c>
      <c r="W71" s="651"/>
      <c r="X71" s="651"/>
      <c r="Y71" s="665">
        <f>+I72</f>
        <v>14223298</v>
      </c>
      <c r="Z71" s="665"/>
      <c r="AA71" s="162" t="s">
        <v>111</v>
      </c>
      <c r="AB71" s="163">
        <f>AB57</f>
        <v>0</v>
      </c>
      <c r="AC71" s="56">
        <f>ROUND(Y71*AB71,0)</f>
        <v>0</v>
      </c>
      <c r="AD71" s="9"/>
    </row>
    <row r="72" spans="1:30" ht="21" customHeight="1" x14ac:dyDescent="0.25">
      <c r="B72" s="13" t="s">
        <v>124</v>
      </c>
      <c r="C72" s="13"/>
      <c r="D72" s="13"/>
      <c r="E72" s="13"/>
      <c r="F72" s="13"/>
      <c r="H72" s="164" t="s">
        <v>23</v>
      </c>
      <c r="I72" s="171">
        <v>14223298</v>
      </c>
      <c r="J72" s="165" t="s">
        <v>111</v>
      </c>
      <c r="K72" s="166">
        <f>K57</f>
        <v>3.4250000000000001E-3</v>
      </c>
      <c r="L72" s="50">
        <f>ROUND(I72*K72,0)</f>
        <v>48715</v>
      </c>
      <c r="O72" s="1"/>
      <c r="V72" s="623" t="s">
        <v>125</v>
      </c>
      <c r="W72" s="623"/>
      <c r="X72" s="623"/>
      <c r="Y72" s="623"/>
      <c r="Z72" s="623"/>
      <c r="AA72" s="623"/>
      <c r="AB72" s="623"/>
      <c r="AC72" s="60"/>
      <c r="AD72" s="9"/>
    </row>
    <row r="73" spans="1:30" ht="17.25" customHeight="1" x14ac:dyDescent="0.25">
      <c r="B73" s="13" t="s">
        <v>125</v>
      </c>
      <c r="C73" s="13"/>
      <c r="D73" s="13"/>
      <c r="E73" s="13"/>
      <c r="F73" s="13"/>
      <c r="H73" s="13"/>
      <c r="I73" s="13"/>
      <c r="J73" s="82"/>
      <c r="K73" s="13"/>
      <c r="L73" s="59"/>
      <c r="O73" s="1"/>
      <c r="V73" s="651" t="s">
        <v>126</v>
      </c>
      <c r="W73" s="651"/>
      <c r="X73" s="651"/>
      <c r="Y73" s="651"/>
      <c r="Z73" s="651"/>
      <c r="AA73" s="651"/>
      <c r="AB73" s="651"/>
      <c r="AC73" s="651"/>
      <c r="AD73" s="9"/>
    </row>
    <row r="74" spans="1:30" ht="31.5" x14ac:dyDescent="0.25">
      <c r="B74" s="13" t="s">
        <v>126</v>
      </c>
      <c r="C74" s="13"/>
      <c r="D74" s="27" t="s">
        <v>13</v>
      </c>
      <c r="E74" s="27" t="s">
        <v>14</v>
      </c>
      <c r="F74" s="27"/>
      <c r="H74" s="164" t="s">
        <v>26</v>
      </c>
      <c r="I74" s="172"/>
      <c r="J74" s="164"/>
      <c r="K74" s="172"/>
      <c r="L74" s="112"/>
      <c r="O74" s="1"/>
      <c r="V74" s="666" t="s">
        <v>127</v>
      </c>
      <c r="W74" s="666"/>
      <c r="X74" s="173" t="s">
        <v>128</v>
      </c>
      <c r="Y74" s="174"/>
      <c r="Z74" s="175">
        <f>+I75</f>
        <v>9.5</v>
      </c>
      <c r="AA74" s="176" t="s">
        <v>129</v>
      </c>
      <c r="AB74" s="177">
        <f>+K75</f>
        <v>361</v>
      </c>
      <c r="AC74" s="56">
        <f>ROUND(AB74*Z74,0)</f>
        <v>3430</v>
      </c>
      <c r="AD74" s="9"/>
    </row>
    <row r="75" spans="1:30" ht="19.5" customHeight="1" x14ac:dyDescent="0.25">
      <c r="A75" s="1" t="s">
        <v>130</v>
      </c>
      <c r="B75" s="178" t="s">
        <v>127</v>
      </c>
      <c r="C75" s="179" t="s">
        <v>128</v>
      </c>
      <c r="D75" s="178">
        <v>6</v>
      </c>
      <c r="E75" s="178">
        <v>13</v>
      </c>
      <c r="F75" s="178">
        <v>0</v>
      </c>
      <c r="G75" s="180">
        <f>IF(E75=0,D75,E75)</f>
        <v>13</v>
      </c>
      <c r="H75" s="181"/>
      <c r="I75" s="182">
        <f>AVERAGE(G75,D75)</f>
        <v>9.5</v>
      </c>
      <c r="J75" s="183" t="s">
        <v>129</v>
      </c>
      <c r="K75" s="184">
        <v>361</v>
      </c>
      <c r="L75" s="50">
        <f>ROUND(K75*I75,0)</f>
        <v>3430</v>
      </c>
      <c r="N75" s="1">
        <v>7802</v>
      </c>
      <c r="O75" s="1">
        <v>0</v>
      </c>
      <c r="V75" s="666" t="s">
        <v>127</v>
      </c>
      <c r="W75" s="666"/>
      <c r="X75" s="173" t="s">
        <v>131</v>
      </c>
      <c r="Y75" s="185"/>
      <c r="Z75" s="186">
        <f>+I76</f>
        <v>0</v>
      </c>
      <c r="AA75" s="176" t="s">
        <v>129</v>
      </c>
      <c r="AB75" s="187">
        <f>+K76</f>
        <v>1358</v>
      </c>
      <c r="AC75" s="56">
        <f>ROUND(AB75*Z75,0)</f>
        <v>0</v>
      </c>
      <c r="AD75" s="9"/>
    </row>
    <row r="76" spans="1:30" ht="19.5" customHeight="1" x14ac:dyDescent="0.25">
      <c r="A76" s="1" t="s">
        <v>132</v>
      </c>
      <c r="B76" s="178" t="s">
        <v>127</v>
      </c>
      <c r="C76" s="179" t="s">
        <v>131</v>
      </c>
      <c r="D76" s="178">
        <v>0</v>
      </c>
      <c r="E76" s="178">
        <v>0</v>
      </c>
      <c r="F76" s="178">
        <v>0</v>
      </c>
      <c r="G76" s="180">
        <f>IF(E76=0,D76,E76)</f>
        <v>0</v>
      </c>
      <c r="H76" s="181"/>
      <c r="I76" s="182">
        <f>AVERAGE(G76,D76)</f>
        <v>0</v>
      </c>
      <c r="J76" s="183" t="s">
        <v>129</v>
      </c>
      <c r="K76" s="188">
        <v>1358</v>
      </c>
      <c r="L76" s="50">
        <f>ROUND(K76*I76,0)</f>
        <v>0</v>
      </c>
      <c r="N76" s="1">
        <v>7802</v>
      </c>
      <c r="O76" s="1">
        <v>110</v>
      </c>
      <c r="V76" s="651" t="s">
        <v>133</v>
      </c>
      <c r="W76" s="651"/>
      <c r="X76" s="651"/>
      <c r="Y76" s="661">
        <f>+I77</f>
        <v>33305823</v>
      </c>
      <c r="Z76" s="661"/>
      <c r="AA76" s="176" t="s">
        <v>129</v>
      </c>
      <c r="AB76" s="163">
        <f>AB54</f>
        <v>0</v>
      </c>
      <c r="AC76" s="56">
        <f>ROUND(Y76*AB76,0)</f>
        <v>0</v>
      </c>
      <c r="AD76" s="9"/>
    </row>
    <row r="77" spans="1:30" ht="26.25" customHeight="1" x14ac:dyDescent="0.25">
      <c r="B77" s="13" t="s">
        <v>133</v>
      </c>
      <c r="C77" s="13"/>
      <c r="D77" s="13"/>
      <c r="E77" s="13"/>
      <c r="F77" s="13"/>
      <c r="H77" s="164" t="s">
        <v>134</v>
      </c>
      <c r="I77" s="189">
        <v>33305823</v>
      </c>
      <c r="J77" s="165" t="s">
        <v>111</v>
      </c>
      <c r="K77" s="166">
        <f>K54</f>
        <v>3.3649999999999999E-3</v>
      </c>
      <c r="L77" s="50">
        <f>ROUND(I77*K77,0)</f>
        <v>112074</v>
      </c>
      <c r="O77" s="1"/>
      <c r="V77" s="651" t="str">
        <f>+B78</f>
        <v>15.  Additional Allocation (WFTE share)</v>
      </c>
      <c r="W77" s="651"/>
      <c r="X77" s="651"/>
      <c r="Y77" s="661">
        <f>+I78</f>
        <v>680688</v>
      </c>
      <c r="Z77" s="661"/>
      <c r="AA77" s="176" t="s">
        <v>129</v>
      </c>
      <c r="AB77" s="163">
        <f>AB54</f>
        <v>0</v>
      </c>
      <c r="AC77" s="56">
        <f>ROUND(Y77*AB77,0)</f>
        <v>0</v>
      </c>
      <c r="AD77" s="9"/>
    </row>
    <row r="78" spans="1:30" ht="26.25" customHeight="1" x14ac:dyDescent="0.25">
      <c r="B78" s="669" t="s">
        <v>135</v>
      </c>
      <c r="C78" s="669"/>
      <c r="D78" s="669"/>
      <c r="E78" s="13"/>
      <c r="F78" s="13"/>
      <c r="H78" s="164" t="s">
        <v>136</v>
      </c>
      <c r="I78" s="190">
        <v>680688</v>
      </c>
      <c r="J78" s="165" t="s">
        <v>111</v>
      </c>
      <c r="K78" s="166">
        <f>K54</f>
        <v>3.3649999999999999E-3</v>
      </c>
      <c r="L78" s="50">
        <f>ROUND(I78*K78,0)</f>
        <v>2291</v>
      </c>
      <c r="O78" s="1"/>
      <c r="V78" s="651" t="str">
        <f t="shared" ref="V78:V79" si="11">+B79</f>
        <v>16.  Florida Teachers Lead Program Stipend</v>
      </c>
      <c r="W78" s="651"/>
      <c r="X78" s="651"/>
      <c r="Y78" s="191"/>
      <c r="Z78" s="191"/>
      <c r="AA78" s="191"/>
      <c r="AB78" s="191"/>
      <c r="AC78" s="134"/>
      <c r="AD78" s="9"/>
    </row>
    <row r="79" spans="1:30" ht="21" customHeight="1" x14ac:dyDescent="0.25">
      <c r="B79" s="669" t="s">
        <v>137</v>
      </c>
      <c r="C79" s="669"/>
      <c r="D79" s="669"/>
      <c r="E79" s="13"/>
      <c r="F79" s="13"/>
      <c r="H79" s="164"/>
      <c r="I79" s="172"/>
      <c r="J79" s="172"/>
      <c r="K79" s="172"/>
      <c r="L79" s="129"/>
      <c r="N79" s="192"/>
      <c r="O79" s="1"/>
      <c r="Q79" s="164"/>
      <c r="V79" s="651" t="str">
        <f t="shared" si="11"/>
        <v>17.  Food Service Allocation</v>
      </c>
      <c r="W79" s="651"/>
      <c r="X79" s="651"/>
      <c r="Y79" s="191"/>
      <c r="Z79" s="191"/>
      <c r="AA79" s="191"/>
      <c r="AB79" s="191"/>
      <c r="AC79" s="193"/>
      <c r="AD79" s="9"/>
    </row>
    <row r="80" spans="1:30" ht="21" customHeight="1" x14ac:dyDescent="0.25">
      <c r="B80" s="669" t="s">
        <v>138</v>
      </c>
      <c r="C80" s="669"/>
      <c r="D80" s="669"/>
      <c r="E80" s="13"/>
      <c r="F80" s="13"/>
      <c r="H80" s="194" t="s">
        <v>139</v>
      </c>
      <c r="I80" s="195"/>
      <c r="J80" s="195"/>
      <c r="K80" s="195"/>
      <c r="L80" s="196"/>
      <c r="N80" s="197"/>
      <c r="O80" s="1"/>
      <c r="Q80" s="164"/>
      <c r="V80" s="191"/>
      <c r="W80" s="191"/>
      <c r="X80" s="191"/>
      <c r="Y80" s="191"/>
      <c r="Z80" s="191"/>
      <c r="AA80" s="191"/>
      <c r="AB80" s="191"/>
      <c r="AC80" s="193"/>
      <c r="AD80" s="9"/>
    </row>
    <row r="81" spans="1:30" ht="21" customHeight="1" thickBot="1" x14ac:dyDescent="0.3">
      <c r="B81" s="13"/>
      <c r="C81" s="13"/>
      <c r="D81" s="13"/>
      <c r="E81" s="13"/>
      <c r="F81" s="13"/>
      <c r="G81" s="13"/>
      <c r="H81" s="13"/>
      <c r="I81" s="13"/>
      <c r="J81" s="13"/>
      <c r="K81" s="13"/>
      <c r="L81" s="196"/>
      <c r="M81" s="198"/>
      <c r="N81" s="197"/>
      <c r="O81" s="1"/>
      <c r="Q81" s="164"/>
      <c r="V81" s="191" t="s">
        <v>140</v>
      </c>
      <c r="W81" s="191"/>
      <c r="X81" s="191"/>
      <c r="Y81" s="191"/>
      <c r="Z81" s="191"/>
      <c r="AA81" s="191"/>
      <c r="AB81" s="191"/>
      <c r="AC81" s="199">
        <f>SUM(AC44:AC80)</f>
        <v>3430</v>
      </c>
      <c r="AD81" s="200"/>
    </row>
    <row r="82" spans="1:30" ht="22.5" customHeight="1" thickTop="1" thickBot="1" x14ac:dyDescent="0.3">
      <c r="B82" s="13" t="s">
        <v>141</v>
      </c>
      <c r="C82" s="13"/>
      <c r="D82" s="13"/>
      <c r="E82" s="13"/>
      <c r="F82" s="13"/>
      <c r="G82" s="13"/>
      <c r="H82" s="13"/>
      <c r="I82" s="13"/>
      <c r="J82" s="13"/>
      <c r="K82" s="13"/>
      <c r="L82" s="201">
        <f>SUM(L44:L81)</f>
        <v>4097486</v>
      </c>
      <c r="M82" s="202"/>
      <c r="N82" s="203"/>
      <c r="O82" s="1"/>
      <c r="Q82" s="164"/>
      <c r="V82" s="191"/>
      <c r="W82" s="191"/>
      <c r="X82" s="191"/>
      <c r="Y82" s="191"/>
      <c r="Z82" s="191"/>
      <c r="AA82" s="191"/>
      <c r="AB82" s="191"/>
      <c r="AC82" s="204"/>
      <c r="AD82" s="200"/>
    </row>
    <row r="83" spans="1:30" ht="27.75" customHeight="1" thickTop="1" x14ac:dyDescent="0.25">
      <c r="B83" s="13" t="s">
        <v>142</v>
      </c>
      <c r="C83" s="13"/>
      <c r="D83" s="13"/>
      <c r="E83" s="13"/>
      <c r="F83" s="13"/>
      <c r="G83" s="13"/>
      <c r="H83" s="13"/>
      <c r="I83" s="13"/>
      <c r="J83" s="13"/>
      <c r="K83" s="82" t="s">
        <v>143</v>
      </c>
      <c r="L83" s="205" t="s">
        <v>144</v>
      </c>
      <c r="M83" s="202"/>
      <c r="N83" s="203"/>
      <c r="O83" s="1"/>
      <c r="Q83" s="164"/>
      <c r="V83" s="9" t="s">
        <v>145</v>
      </c>
      <c r="W83" s="9"/>
      <c r="X83" s="9"/>
      <c r="Y83" s="9"/>
      <c r="Z83" s="9"/>
      <c r="AA83" s="9"/>
      <c r="AB83" s="9"/>
      <c r="AC83" s="9"/>
      <c r="AD83" s="206"/>
    </row>
    <row r="84" spans="1:30" ht="18.75" customHeight="1" thickBot="1" x14ac:dyDescent="0.3">
      <c r="B84" s="13" t="s">
        <v>146</v>
      </c>
      <c r="C84" s="13"/>
      <c r="D84" s="13"/>
      <c r="E84" s="13"/>
      <c r="F84" s="13"/>
      <c r="G84" s="13"/>
      <c r="H84" s="13"/>
      <c r="I84" s="13"/>
      <c r="J84" s="13"/>
      <c r="K84" s="207" t="str">
        <f>IF(G26=0,"",IF((G11+G13+SUM(G15:G21))/G26&gt;0.75,1,""))</f>
        <v/>
      </c>
      <c r="L84" s="201">
        <f>'4002'!AC81</f>
        <v>3430</v>
      </c>
      <c r="M84" s="202"/>
      <c r="N84" s="203"/>
      <c r="O84" s="1"/>
      <c r="Q84" s="164"/>
      <c r="V84" s="208" t="s">
        <v>147</v>
      </c>
      <c r="W84" s="208"/>
      <c r="X84" s="208"/>
      <c r="Y84" s="208"/>
      <c r="Z84" s="208"/>
      <c r="AA84" s="208"/>
      <c r="AB84" s="208"/>
      <c r="AC84" s="208"/>
      <c r="AD84" s="9"/>
    </row>
    <row r="85" spans="1:30" ht="18.75" customHeight="1" thickTop="1" x14ac:dyDescent="0.25">
      <c r="B85" s="13"/>
      <c r="C85" s="13"/>
      <c r="D85" s="13"/>
      <c r="E85" s="13"/>
      <c r="F85" s="13"/>
      <c r="G85" s="13"/>
      <c r="H85" s="13"/>
      <c r="I85" s="13"/>
      <c r="J85" s="13"/>
      <c r="M85" s="202"/>
      <c r="N85" s="203"/>
      <c r="O85" s="1"/>
      <c r="Q85" s="164"/>
      <c r="V85" s="208" t="s">
        <v>148</v>
      </c>
      <c r="W85" s="208"/>
      <c r="X85" s="208"/>
      <c r="Y85" s="208"/>
      <c r="Z85" s="208"/>
      <c r="AA85" s="208"/>
      <c r="AB85" s="208"/>
      <c r="AC85" s="208"/>
      <c r="AD85" s="206"/>
    </row>
    <row r="86" spans="1:30" ht="18.75" customHeight="1" x14ac:dyDescent="0.25">
      <c r="B86" s="2" t="s">
        <v>149</v>
      </c>
      <c r="C86" s="13"/>
      <c r="D86" s="13"/>
      <c r="E86" s="13"/>
      <c r="F86" s="13"/>
      <c r="G86" s="13"/>
      <c r="H86" s="13"/>
      <c r="I86" s="13"/>
      <c r="J86" s="209" t="s">
        <v>150</v>
      </c>
      <c r="K86" s="210">
        <f>IF(K84=1,L84,L82)</f>
        <v>4097486</v>
      </c>
      <c r="L86" s="211">
        <f>IF(G26=0,0,IF(G26&gt;250,-(((250/G26)*K86)*IF(M86="H",0.02,0.05)),IF(M86="H",-0.02*K86,-0.05*K86)))</f>
        <v>-82942.374336053908</v>
      </c>
      <c r="M86" s="212" t="str">
        <f>IF(B123="2801","H",IF(B123="2911","H",IF(B123="3382","H"," ")))</f>
        <v xml:space="preserve"> </v>
      </c>
      <c r="N86" s="203"/>
      <c r="O86" s="1"/>
      <c r="Q86" s="164"/>
      <c r="V86" s="208" t="s">
        <v>151</v>
      </c>
      <c r="W86" s="208"/>
      <c r="X86" s="208"/>
      <c r="Y86" s="208"/>
      <c r="Z86" s="208"/>
      <c r="AA86" s="208"/>
      <c r="AB86" s="208"/>
      <c r="AC86" s="208"/>
      <c r="AD86" s="206"/>
    </row>
    <row r="87" spans="1:30" ht="18.75" customHeight="1" x14ac:dyDescent="0.25">
      <c r="B87" s="2" t="s">
        <v>152</v>
      </c>
      <c r="C87" s="13"/>
      <c r="D87" s="13"/>
      <c r="E87" s="13"/>
      <c r="F87" s="13"/>
      <c r="G87" s="13"/>
      <c r="H87" s="13"/>
      <c r="I87" s="13"/>
      <c r="J87" s="13"/>
      <c r="K87" s="213"/>
      <c r="L87" s="205">
        <f>L82+L86</f>
        <v>4014543.6256639459</v>
      </c>
      <c r="M87" s="202"/>
      <c r="N87" s="203"/>
      <c r="O87" s="1"/>
      <c r="Q87" s="164"/>
      <c r="V87" s="198"/>
      <c r="W87" s="198"/>
      <c r="X87" s="198"/>
      <c r="Y87" s="198"/>
      <c r="Z87" s="198"/>
      <c r="AA87" s="198"/>
      <c r="AB87" s="198"/>
      <c r="AC87" s="198"/>
      <c r="AD87" s="214"/>
    </row>
    <row r="88" spans="1:30" x14ac:dyDescent="0.25">
      <c r="V88" s="198"/>
      <c r="W88" s="198"/>
      <c r="X88" s="198"/>
      <c r="Y88" s="198"/>
      <c r="Z88" s="198"/>
      <c r="AA88" s="198"/>
      <c r="AB88" s="198"/>
      <c r="AC88" s="198"/>
      <c r="AD88" s="215"/>
    </row>
    <row r="89" spans="1:30" ht="18.75" customHeight="1" x14ac:dyDescent="0.25">
      <c r="A89" s="1" t="s">
        <v>153</v>
      </c>
      <c r="B89" s="13" t="s">
        <v>154</v>
      </c>
      <c r="C89" s="13"/>
      <c r="D89" s="13">
        <v>2074029</v>
      </c>
      <c r="E89" s="13">
        <v>315544</v>
      </c>
      <c r="F89" s="13">
        <v>3336205</v>
      </c>
      <c r="G89" s="13"/>
      <c r="H89" s="13"/>
      <c r="I89" s="13"/>
      <c r="J89" s="13"/>
      <c r="K89" s="213"/>
      <c r="L89" s="84">
        <f>-F89-340672</f>
        <v>-3676877</v>
      </c>
      <c r="M89" s="202"/>
      <c r="N89" s="203"/>
      <c r="O89" s="1"/>
      <c r="Q89" s="164"/>
      <c r="V89" s="198">
        <v>2801</v>
      </c>
      <c r="W89" s="198"/>
      <c r="X89" s="198"/>
      <c r="Y89" s="198"/>
      <c r="Z89" s="198"/>
      <c r="AA89" s="198"/>
      <c r="AB89" s="198"/>
      <c r="AC89" s="198"/>
      <c r="AD89" s="214"/>
    </row>
    <row r="90" spans="1:30" ht="18.75" customHeight="1" x14ac:dyDescent="0.25">
      <c r="B90" s="13" t="s">
        <v>155</v>
      </c>
      <c r="C90" s="13"/>
      <c r="D90" s="13"/>
      <c r="E90" s="13"/>
      <c r="F90" s="13"/>
      <c r="G90" s="13"/>
      <c r="H90" s="13"/>
      <c r="I90" s="13"/>
      <c r="J90" s="13"/>
      <c r="K90" s="213"/>
      <c r="L90" s="205">
        <f>L87+L89</f>
        <v>337666.62566394592</v>
      </c>
      <c r="M90" s="202"/>
      <c r="N90" s="203"/>
      <c r="O90" s="1"/>
      <c r="Q90" s="164"/>
      <c r="V90" s="198">
        <v>2911</v>
      </c>
      <c r="W90" s="216"/>
      <c r="X90" s="216"/>
      <c r="Y90" s="216"/>
      <c r="Z90" s="216"/>
      <c r="AA90" s="216"/>
      <c r="AB90" s="216"/>
      <c r="AC90" s="216"/>
      <c r="AD90" s="214"/>
    </row>
    <row r="91" spans="1:30" ht="18.75" customHeight="1" x14ac:dyDescent="0.25">
      <c r="B91" s="13" t="s">
        <v>156</v>
      </c>
      <c r="C91" s="13"/>
      <c r="D91" s="13"/>
      <c r="E91" s="13"/>
      <c r="F91" s="13"/>
      <c r="G91" s="13"/>
      <c r="H91" s="13"/>
      <c r="I91" s="13"/>
      <c r="J91" s="13"/>
      <c r="K91" s="213"/>
      <c r="L91" s="205">
        <v>1</v>
      </c>
      <c r="M91" s="202"/>
      <c r="N91" s="203"/>
      <c r="O91" s="1"/>
      <c r="Q91" s="164"/>
      <c r="V91" s="198">
        <v>3382</v>
      </c>
      <c r="W91" s="216"/>
      <c r="X91" s="216"/>
      <c r="Y91" s="216"/>
      <c r="Z91" s="216"/>
      <c r="AA91" s="216"/>
      <c r="AB91" s="216"/>
      <c r="AC91" s="216"/>
      <c r="AD91" s="214"/>
    </row>
    <row r="92" spans="1:30" ht="18.75" customHeight="1" thickBot="1" x14ac:dyDescent="0.3">
      <c r="B92" s="13" t="s">
        <v>157</v>
      </c>
      <c r="C92" s="13"/>
      <c r="D92" s="13"/>
      <c r="E92" s="13"/>
      <c r="F92" s="13"/>
      <c r="G92" s="13"/>
      <c r="H92" s="13"/>
      <c r="I92" s="13"/>
      <c r="J92" s="13"/>
      <c r="K92" s="213"/>
      <c r="L92" s="217">
        <f>L90/L91</f>
        <v>337666.62566394592</v>
      </c>
      <c r="M92" s="202"/>
      <c r="N92" s="203"/>
      <c r="O92" s="1"/>
      <c r="Q92" s="164"/>
      <c r="V92" s="218"/>
      <c r="W92" s="218"/>
      <c r="X92" s="218"/>
      <c r="Y92" s="218"/>
      <c r="Z92" s="218"/>
      <c r="AA92" s="218"/>
      <c r="AB92" s="218"/>
      <c r="AC92" s="218"/>
      <c r="AD92" s="219"/>
    </row>
    <row r="93" spans="1:30" ht="18.75" customHeight="1" thickTop="1" x14ac:dyDescent="0.25">
      <c r="N93" s="219"/>
      <c r="O93" s="220"/>
      <c r="P93" s="219"/>
      <c r="Q93" s="219"/>
      <c r="V93" s="218"/>
      <c r="W93" s="218"/>
      <c r="X93" s="218"/>
      <c r="Y93" s="218"/>
      <c r="Z93" s="218"/>
      <c r="AA93" s="218"/>
      <c r="AB93" s="218"/>
      <c r="AC93" s="218"/>
      <c r="AD93" s="214"/>
    </row>
    <row r="94" spans="1:30" ht="18.75" customHeight="1" thickBot="1" x14ac:dyDescent="0.3">
      <c r="B94" s="221" t="s">
        <v>158</v>
      </c>
      <c r="C94" s="13"/>
      <c r="D94" s="13"/>
      <c r="E94" s="13"/>
      <c r="G94" s="13"/>
      <c r="H94" s="13"/>
      <c r="I94" s="13"/>
      <c r="J94" s="13"/>
      <c r="L94" s="222">
        <f>IF(M86="H",(K86*0.02)+L86,(K86*0.05)+L86)</f>
        <v>121931.92566394611</v>
      </c>
      <c r="M94" s="202"/>
      <c r="V94" s="223"/>
      <c r="W94" s="223"/>
      <c r="X94" s="223"/>
      <c r="Y94" s="223"/>
      <c r="Z94" s="223"/>
      <c r="AA94" s="223"/>
      <c r="AB94" s="223"/>
      <c r="AC94" s="223"/>
      <c r="AD94" s="214"/>
    </row>
    <row r="95" spans="1:30" ht="21.75" customHeight="1" thickTop="1" x14ac:dyDescent="0.25">
      <c r="B95" s="224" t="s">
        <v>159</v>
      </c>
      <c r="C95" s="224"/>
      <c r="D95" s="224"/>
      <c r="E95" s="224"/>
      <c r="F95" s="224"/>
      <c r="G95" s="224"/>
      <c r="H95" s="224"/>
      <c r="I95" s="224"/>
      <c r="J95" s="224"/>
      <c r="K95" s="224"/>
      <c r="L95" s="224"/>
      <c r="M95" s="219"/>
      <c r="V95" s="223"/>
      <c r="W95" s="223"/>
      <c r="X95" s="223"/>
      <c r="Y95" s="223"/>
      <c r="Z95" s="223"/>
      <c r="AA95" s="223"/>
      <c r="AB95" s="223"/>
      <c r="AC95" s="223"/>
      <c r="AD95" s="214"/>
    </row>
    <row r="96" spans="1:30" x14ac:dyDescent="0.25">
      <c r="B96" s="225"/>
      <c r="V96" s="223"/>
      <c r="W96" s="223"/>
      <c r="X96" s="223"/>
      <c r="Y96" s="223"/>
      <c r="Z96" s="223"/>
      <c r="AA96" s="223"/>
      <c r="AB96" s="223"/>
      <c r="AC96" s="223"/>
      <c r="AD96" s="219"/>
    </row>
    <row r="97" spans="2:30" x14ac:dyDescent="0.25">
      <c r="B97" s="225"/>
      <c r="V97" s="223"/>
      <c r="W97" s="223"/>
      <c r="X97" s="223"/>
      <c r="Y97" s="223"/>
      <c r="Z97" s="223"/>
      <c r="AA97" s="223"/>
      <c r="AB97" s="223"/>
      <c r="AC97" s="223"/>
      <c r="AD97" s="219"/>
    </row>
    <row r="98" spans="2:30" hidden="1" x14ac:dyDescent="0.25">
      <c r="B98" s="226" t="s">
        <v>160</v>
      </c>
      <c r="C98" s="227"/>
      <c r="V98" s="228"/>
      <c r="W98" s="228"/>
      <c r="X98" s="228"/>
      <c r="Y98" s="228"/>
      <c r="Z98" s="228"/>
      <c r="AA98" s="228"/>
      <c r="AB98" s="228"/>
      <c r="AC98" s="228"/>
    </row>
    <row r="99" spans="2:30" hidden="1" x14ac:dyDescent="0.25">
      <c r="B99" s="229"/>
      <c r="C99" s="227"/>
      <c r="V99" s="225"/>
      <c r="W99" s="13"/>
      <c r="X99" s="13"/>
      <c r="Y99" s="13"/>
      <c r="Z99" s="13"/>
      <c r="AA99" s="13"/>
      <c r="AB99" s="13"/>
      <c r="AC99" s="13"/>
    </row>
    <row r="100" spans="2:30" hidden="1" x14ac:dyDescent="0.25">
      <c r="B100" s="230" t="s">
        <v>161</v>
      </c>
      <c r="C100" s="226" t="s">
        <v>162</v>
      </c>
      <c r="V100" s="225"/>
    </row>
    <row r="101" spans="2:30" hidden="1" x14ac:dyDescent="0.25">
      <c r="B101" s="230" t="s">
        <v>163</v>
      </c>
      <c r="C101" s="226" t="s">
        <v>164</v>
      </c>
      <c r="V101" s="225"/>
    </row>
    <row r="102" spans="2:30" hidden="1" x14ac:dyDescent="0.25">
      <c r="B102" s="230" t="s">
        <v>165</v>
      </c>
      <c r="C102" s="226" t="s">
        <v>166</v>
      </c>
      <c r="V102" s="225"/>
      <c r="W102" s="231"/>
      <c r="X102" s="231"/>
      <c r="Y102" s="231"/>
      <c r="Z102" s="231"/>
      <c r="AA102" s="231"/>
      <c r="AB102" s="231"/>
      <c r="AC102" s="231"/>
      <c r="AD102" s="231"/>
    </row>
    <row r="103" spans="2:30" hidden="1" x14ac:dyDescent="0.25">
      <c r="B103" s="230" t="s">
        <v>167</v>
      </c>
      <c r="C103" s="226" t="s">
        <v>168</v>
      </c>
      <c r="V103" s="225"/>
    </row>
    <row r="104" spans="2:30" hidden="1" x14ac:dyDescent="0.25">
      <c r="B104" s="232"/>
      <c r="C104" s="226" t="s">
        <v>169</v>
      </c>
      <c r="V104" s="225"/>
    </row>
    <row r="105" spans="2:30" hidden="1" x14ac:dyDescent="0.25">
      <c r="B105" s="230" t="s">
        <v>170</v>
      </c>
      <c r="C105" s="226" t="s">
        <v>171</v>
      </c>
      <c r="V105" s="225"/>
    </row>
    <row r="106" spans="2:30" hidden="1" x14ac:dyDescent="0.25">
      <c r="B106" s="230" t="s">
        <v>172</v>
      </c>
      <c r="C106" s="226" t="s">
        <v>173</v>
      </c>
      <c r="V106" s="225"/>
    </row>
    <row r="107" spans="2:30" hidden="1" x14ac:dyDescent="0.25">
      <c r="B107" s="230" t="s">
        <v>324</v>
      </c>
      <c r="C107" s="226" t="s">
        <v>175</v>
      </c>
      <c r="V107" s="225"/>
    </row>
    <row r="108" spans="2:30" hidden="1" x14ac:dyDescent="0.25">
      <c r="B108" s="230" t="s">
        <v>176</v>
      </c>
      <c r="C108" s="226" t="s">
        <v>177</v>
      </c>
      <c r="V108" s="225"/>
    </row>
    <row r="109" spans="2:30" hidden="1" x14ac:dyDescent="0.25">
      <c r="B109" s="230" t="s">
        <v>178</v>
      </c>
      <c r="C109" s="226" t="s">
        <v>179</v>
      </c>
      <c r="V109" s="225"/>
    </row>
    <row r="110" spans="2:30" hidden="1" x14ac:dyDescent="0.25">
      <c r="B110" s="232"/>
      <c r="C110" s="226"/>
      <c r="V110" s="225"/>
    </row>
    <row r="111" spans="2:30" hidden="1" x14ac:dyDescent="0.25">
      <c r="B111" s="230" t="s">
        <v>180</v>
      </c>
      <c r="C111" s="226" t="s">
        <v>181</v>
      </c>
      <c r="V111" s="225"/>
    </row>
    <row r="112" spans="2:30" hidden="1" x14ac:dyDescent="0.25">
      <c r="B112" s="230" t="s">
        <v>180</v>
      </c>
      <c r="C112" s="226" t="s">
        <v>182</v>
      </c>
    </row>
    <row r="113" spans="2:3" hidden="1" x14ac:dyDescent="0.25">
      <c r="B113" s="230" t="s">
        <v>183</v>
      </c>
      <c r="C113" s="226" t="s">
        <v>184</v>
      </c>
    </row>
    <row r="114" spans="2:3" hidden="1" x14ac:dyDescent="0.25">
      <c r="B114" s="230" t="s">
        <v>185</v>
      </c>
      <c r="C114" s="226" t="s">
        <v>186</v>
      </c>
    </row>
    <row r="115" spans="2:3" hidden="1" x14ac:dyDescent="0.25">
      <c r="B115" s="230" t="s">
        <v>183</v>
      </c>
      <c r="C115" s="226" t="s">
        <v>187</v>
      </c>
    </row>
    <row r="116" spans="2:3" hidden="1" x14ac:dyDescent="0.25">
      <c r="B116" s="230" t="s">
        <v>188</v>
      </c>
      <c r="C116" s="226" t="s">
        <v>189</v>
      </c>
    </row>
    <row r="117" spans="2:3" hidden="1" x14ac:dyDescent="0.25">
      <c r="B117" s="230" t="s">
        <v>190</v>
      </c>
      <c r="C117" s="226" t="s">
        <v>191</v>
      </c>
    </row>
    <row r="118" spans="2:3" hidden="1" x14ac:dyDescent="0.25">
      <c r="B118" s="232" t="s">
        <v>192</v>
      </c>
      <c r="C118" s="226" t="s">
        <v>193</v>
      </c>
    </row>
    <row r="119" spans="2:3" hidden="1" x14ac:dyDescent="0.25">
      <c r="B119" s="232"/>
      <c r="C119" s="226"/>
    </row>
    <row r="120" spans="2:3" hidden="1" x14ac:dyDescent="0.25">
      <c r="B120" s="230" t="s">
        <v>161</v>
      </c>
      <c r="C120" s="226" t="s">
        <v>194</v>
      </c>
    </row>
    <row r="121" spans="2:3" hidden="1" x14ac:dyDescent="0.25">
      <c r="B121" s="230" t="s">
        <v>195</v>
      </c>
      <c r="C121" s="226" t="s">
        <v>196</v>
      </c>
    </row>
    <row r="122" spans="2:3" hidden="1" x14ac:dyDescent="0.25">
      <c r="B122" s="230" t="s">
        <v>197</v>
      </c>
      <c r="C122" s="226" t="s">
        <v>198</v>
      </c>
    </row>
    <row r="123" spans="2:3" hidden="1" x14ac:dyDescent="0.25">
      <c r="B123" s="230" t="s">
        <v>325</v>
      </c>
      <c r="C123" s="226" t="s">
        <v>200</v>
      </c>
    </row>
    <row r="124" spans="2:3" hidden="1" x14ac:dyDescent="0.25">
      <c r="B124" s="230" t="s">
        <v>326</v>
      </c>
      <c r="C124" s="226" t="s">
        <v>202</v>
      </c>
    </row>
    <row r="125" spans="2:3" hidden="1" x14ac:dyDescent="0.25">
      <c r="B125" s="230" t="s">
        <v>203</v>
      </c>
      <c r="C125" s="226" t="s">
        <v>204</v>
      </c>
    </row>
    <row r="126" spans="2:3" hidden="1" x14ac:dyDescent="0.25">
      <c r="B126" s="230" t="s">
        <v>203</v>
      </c>
      <c r="C126" s="226" t="s">
        <v>205</v>
      </c>
    </row>
    <row r="127" spans="2:3" hidden="1" x14ac:dyDescent="0.25">
      <c r="B127" s="230" t="s">
        <v>203</v>
      </c>
      <c r="C127" s="226" t="s">
        <v>206</v>
      </c>
    </row>
    <row r="128" spans="2:3" hidden="1" x14ac:dyDescent="0.25">
      <c r="B128" s="230" t="s">
        <v>203</v>
      </c>
      <c r="C128" s="226" t="s">
        <v>207</v>
      </c>
    </row>
    <row r="129" spans="2:3" hidden="1" x14ac:dyDescent="0.25">
      <c r="B129" s="230" t="s">
        <v>167</v>
      </c>
      <c r="C129" s="226" t="s">
        <v>208</v>
      </c>
    </row>
    <row r="130" spans="2:3" hidden="1" x14ac:dyDescent="0.25">
      <c r="B130" s="230" t="s">
        <v>209</v>
      </c>
      <c r="C130" s="226" t="s">
        <v>210</v>
      </c>
    </row>
    <row r="131" spans="2:3" hidden="1" x14ac:dyDescent="0.25">
      <c r="B131" s="230" t="s">
        <v>203</v>
      </c>
      <c r="C131" s="226" t="s">
        <v>211</v>
      </c>
    </row>
    <row r="132" spans="2:3" hidden="1" x14ac:dyDescent="0.25">
      <c r="B132" s="226"/>
      <c r="C132" s="226"/>
    </row>
    <row r="133" spans="2:3" hidden="1" x14ac:dyDescent="0.25">
      <c r="B133" s="226"/>
      <c r="C133" s="226"/>
    </row>
    <row r="134" spans="2:3" hidden="1" x14ac:dyDescent="0.25">
      <c r="B134" s="232"/>
      <c r="C134" s="232"/>
    </row>
    <row r="135" spans="2:3" hidden="1" x14ac:dyDescent="0.25">
      <c r="B135" s="232">
        <f>NvsElapsedTime</f>
        <v>0</v>
      </c>
      <c r="C135" s="232"/>
    </row>
    <row r="136" spans="2:3" hidden="1" x14ac:dyDescent="0.25">
      <c r="B136" s="233">
        <f>NvsEndTime</f>
        <v>41754.488136574102</v>
      </c>
      <c r="C136" s="233" t="s">
        <v>212</v>
      </c>
    </row>
    <row r="137" spans="2:3" x14ac:dyDescent="0.25">
      <c r="B137" s="226"/>
      <c r="C137" s="234"/>
    </row>
    <row r="138" spans="2:3" x14ac:dyDescent="0.25">
      <c r="B138" s="226"/>
      <c r="C138" s="226"/>
    </row>
    <row r="139" spans="2:3" x14ac:dyDescent="0.25">
      <c r="B139" s="226"/>
      <c r="C139" s="226"/>
    </row>
    <row r="140" spans="2:3" x14ac:dyDescent="0.25">
      <c r="B140" s="226"/>
      <c r="C140" s="226"/>
    </row>
    <row r="141" spans="2:3" x14ac:dyDescent="0.25">
      <c r="B141" s="226"/>
      <c r="C141" s="226"/>
    </row>
    <row r="142" spans="2:3" x14ac:dyDescent="0.25">
      <c r="B142" s="226"/>
      <c r="C142" s="226"/>
    </row>
    <row r="143" spans="2:3" x14ac:dyDescent="0.25">
      <c r="B143" s="226"/>
      <c r="C143" s="226"/>
    </row>
    <row r="144" spans="2:3" x14ac:dyDescent="0.25">
      <c r="B144" s="226"/>
      <c r="C144" s="226"/>
    </row>
    <row r="145" spans="2:3" x14ac:dyDescent="0.25">
      <c r="B145" s="226"/>
      <c r="C145" s="226"/>
    </row>
    <row r="146" spans="2:3" x14ac:dyDescent="0.25">
      <c r="B146" s="226"/>
      <c r="C146" s="226"/>
    </row>
    <row r="147" spans="2:3" x14ac:dyDescent="0.25">
      <c r="B147" s="226"/>
      <c r="C147" s="226"/>
    </row>
    <row r="148" spans="2:3" x14ac:dyDescent="0.25">
      <c r="B148" s="226"/>
      <c r="C148" s="226"/>
    </row>
    <row r="149" spans="2:3" x14ac:dyDescent="0.25">
      <c r="B149" s="226"/>
      <c r="C149" s="226"/>
    </row>
    <row r="150" spans="2:3" x14ac:dyDescent="0.25">
      <c r="B150" s="226"/>
      <c r="C150" s="226"/>
    </row>
    <row r="151" spans="2:3" x14ac:dyDescent="0.25">
      <c r="B151" s="226"/>
      <c r="C151" s="226"/>
    </row>
  </sheetData>
  <mergeCells count="151">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9:W9"/>
    <mergeCell ref="X9:Y9"/>
    <mergeCell ref="Z9:AA9"/>
    <mergeCell ref="V10:W10"/>
    <mergeCell ref="X10:Y10"/>
    <mergeCell ref="Z10:AA10"/>
    <mergeCell ref="V7:W7"/>
    <mergeCell ref="X7:Y7"/>
    <mergeCell ref="Z7:AA7"/>
    <mergeCell ref="AB7:AC7"/>
    <mergeCell ref="V8:W8"/>
    <mergeCell ref="X8:Y8"/>
    <mergeCell ref="Z8:AA8"/>
    <mergeCell ref="W2:AC2"/>
    <mergeCell ref="V3:AC3"/>
    <mergeCell ref="V4:AC4"/>
    <mergeCell ref="V5:W5"/>
    <mergeCell ref="X5:Y5"/>
    <mergeCell ref="V6:AC6"/>
  </mergeCells>
  <printOptions horizontalCentered="1"/>
  <pageMargins left="0" right="0" top="0.67" bottom="0.2" header="0.25" footer="0.196850393700787"/>
  <pageSetup scale="72" fitToHeight="2" orientation="portrait" r:id="rId1"/>
  <headerFooter alignWithMargins="0">
    <oddHeader>&amp;L&amp;8&amp;F
&amp;D &amp;T</oddHeader>
    <oddFooter>&amp;C&amp;P</oddFooter>
  </headerFooter>
  <rowBreaks count="1" manualBreakCount="1">
    <brk id="51" max="16383" man="1"/>
  </rowBreaks>
  <legacyDrawing r:id="rId2"/>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D151"/>
  <sheetViews>
    <sheetView topLeftCell="B2" zoomScale="70" zoomScaleNormal="70" workbookViewId="0">
      <selection activeCell="L71" sqref="L70:L71"/>
    </sheetView>
  </sheetViews>
  <sheetFormatPr defaultColWidth="8.7109375" defaultRowHeight="15.75" x14ac:dyDescent="0.25"/>
  <cols>
    <col min="1" max="1" width="11.28515625" style="1" hidden="1" customWidth="1"/>
    <col min="2" max="2" width="10.28515625" style="2" customWidth="1"/>
    <col min="3" max="3" width="29" style="1" customWidth="1"/>
    <col min="4" max="5" width="12.28515625" style="1" customWidth="1"/>
    <col min="6" max="6" width="12.28515625" style="1" hidden="1" customWidth="1"/>
    <col min="7" max="7" width="16.140625" style="1" customWidth="1"/>
    <col min="8" max="8" width="6.7109375" style="1" customWidth="1"/>
    <col min="9" max="9" width="14.28515625" style="1" customWidth="1"/>
    <col min="10" max="10" width="12.85546875" style="1" customWidth="1"/>
    <col min="11" max="11" width="16.140625" style="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28515625" style="1" customWidth="1"/>
    <col min="18" max="18" width="8.85546875" style="1"/>
    <col min="19" max="21" width="0" style="1" hidden="1" customWidth="1"/>
    <col min="22" max="23" width="8.85546875" style="1"/>
    <col min="24" max="24" width="12.7109375" style="1" customWidth="1"/>
    <col min="25" max="27" width="8.85546875" style="1"/>
    <col min="28" max="28" width="13.140625" style="1" bestFit="1" customWidth="1"/>
    <col min="29" max="16384" width="8.7109375" style="1"/>
  </cols>
  <sheetData>
    <row r="1" spans="1:30" ht="15.6"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7"/>
      <c r="N2" s="3"/>
      <c r="O2" s="1"/>
      <c r="V2" s="8">
        <f>'4002 June Final'!B2</f>
        <v>50</v>
      </c>
      <c r="W2" s="606" t="s">
        <v>4</v>
      </c>
      <c r="X2" s="607"/>
      <c r="Y2" s="608"/>
      <c r="Z2" s="608"/>
      <c r="AA2" s="608"/>
      <c r="AB2" s="608"/>
      <c r="AC2" s="608"/>
      <c r="AD2" s="9"/>
    </row>
    <row r="3" spans="1:30" ht="20.25" x14ac:dyDescent="0.3">
      <c r="B3" s="10" t="str">
        <f>"Revenue Estimate Worksheet for "&amp;B124</f>
        <v>Revenue Estimate Worksheet for Renaissance Cht Sch at Summit</v>
      </c>
      <c r="C3" s="11"/>
      <c r="D3" s="11"/>
      <c r="E3" s="11"/>
      <c r="F3" s="11"/>
      <c r="G3" s="11"/>
      <c r="H3" s="11"/>
      <c r="I3" s="11"/>
      <c r="J3" s="11"/>
      <c r="K3" s="11"/>
      <c r="L3" s="11"/>
      <c r="M3" s="10"/>
      <c r="N3" s="10"/>
      <c r="O3" s="10"/>
      <c r="P3" s="10"/>
      <c r="Q3" s="10"/>
      <c r="V3" s="609" t="s">
        <v>5</v>
      </c>
      <c r="W3" s="609"/>
      <c r="X3" s="609"/>
      <c r="Y3" s="609"/>
      <c r="Z3" s="609"/>
      <c r="AA3" s="609"/>
      <c r="AB3" s="609"/>
      <c r="AC3" s="609"/>
      <c r="AD3" s="12"/>
    </row>
    <row r="4" spans="1:30" ht="18.75" x14ac:dyDescent="0.3">
      <c r="B4" s="2" t="s">
        <v>6</v>
      </c>
      <c r="C4" s="13"/>
      <c r="D4" s="13"/>
      <c r="E4" s="13"/>
      <c r="F4" s="13"/>
      <c r="G4" s="13"/>
      <c r="H4" s="13"/>
      <c r="I4" s="13"/>
      <c r="J4" s="13"/>
      <c r="K4" s="13"/>
      <c r="L4" s="13"/>
      <c r="M4" s="14"/>
      <c r="N4" s="14"/>
      <c r="O4" s="14"/>
      <c r="P4" s="14"/>
      <c r="Q4" s="14"/>
      <c r="V4" s="610" t="str">
        <f>+Based_on_the_Second_Calculation_of_the_FEFP_2010_11</f>
        <v>Based on the Fourth Calculation of the FEFP 2013-14</v>
      </c>
      <c r="W4" s="610"/>
      <c r="X4" s="610"/>
      <c r="Y4" s="610"/>
      <c r="Z4" s="610"/>
      <c r="AA4" s="610"/>
      <c r="AB4" s="610"/>
      <c r="AC4" s="610"/>
      <c r="AD4" s="15"/>
    </row>
    <row r="5" spans="1:30" ht="18.75" customHeight="1" x14ac:dyDescent="0.25">
      <c r="B5" s="16" t="s">
        <v>7</v>
      </c>
      <c r="C5" s="16"/>
      <c r="D5" s="16"/>
      <c r="E5" s="16"/>
      <c r="F5" s="16"/>
      <c r="G5" s="17" t="s">
        <v>8</v>
      </c>
      <c r="H5" s="17"/>
      <c r="I5" s="17"/>
      <c r="J5" s="17"/>
      <c r="K5" s="17"/>
      <c r="L5" s="17"/>
      <c r="M5" s="18"/>
      <c r="N5" s="18"/>
      <c r="O5" s="18"/>
      <c r="P5" s="18"/>
      <c r="Q5" s="18"/>
      <c r="V5" s="611" t="s">
        <v>7</v>
      </c>
      <c r="W5" s="611"/>
      <c r="X5" s="612" t="s">
        <v>8</v>
      </c>
      <c r="Y5" s="612"/>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613" t="s">
        <v>9</v>
      </c>
      <c r="W6" s="613"/>
      <c r="X6" s="613"/>
      <c r="Y6" s="613"/>
      <c r="Z6" s="613"/>
      <c r="AA6" s="613"/>
      <c r="AB6" s="613"/>
      <c r="AC6" s="613"/>
      <c r="AD6" s="22"/>
    </row>
    <row r="7" spans="1:30" ht="18" customHeight="1" x14ac:dyDescent="0.25">
      <c r="B7" s="23" t="s">
        <v>10</v>
      </c>
      <c r="C7" s="23"/>
      <c r="D7" s="23"/>
      <c r="E7" s="23"/>
      <c r="F7" s="23"/>
      <c r="G7" s="24">
        <v>3752.3</v>
      </c>
      <c r="H7" s="24"/>
      <c r="I7" s="23" t="s">
        <v>11</v>
      </c>
      <c r="J7" s="23"/>
      <c r="K7" s="25">
        <v>1.0326</v>
      </c>
      <c r="L7" s="25"/>
      <c r="O7" s="1"/>
      <c r="V7" s="620" t="s">
        <v>10</v>
      </c>
      <c r="W7" s="620"/>
      <c r="X7" s="621">
        <f>'4002 June Final'!G7</f>
        <v>3752.3</v>
      </c>
      <c r="Y7" s="621"/>
      <c r="Z7" s="622" t="s">
        <v>11</v>
      </c>
      <c r="AA7" s="622"/>
      <c r="AB7" s="602">
        <f>+K7</f>
        <v>1.0326</v>
      </c>
      <c r="AC7" s="602"/>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603" t="s">
        <v>12</v>
      </c>
      <c r="W8" s="603"/>
      <c r="X8" s="604" t="s">
        <v>15</v>
      </c>
      <c r="Y8" s="604"/>
      <c r="Z8" s="605" t="s">
        <v>16</v>
      </c>
      <c r="AA8" s="605"/>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614" t="s">
        <v>22</v>
      </c>
      <c r="W9" s="614"/>
      <c r="X9" s="615" t="s">
        <v>23</v>
      </c>
      <c r="Y9" s="615"/>
      <c r="Z9" s="616" t="s">
        <v>24</v>
      </c>
      <c r="AA9" s="616"/>
      <c r="AB9" s="43" t="s">
        <v>25</v>
      </c>
      <c r="AC9" s="44" t="s">
        <v>26</v>
      </c>
      <c r="AD9" s="9"/>
    </row>
    <row r="10" spans="1:30" x14ac:dyDescent="0.25">
      <c r="A10" s="1" t="s">
        <v>27</v>
      </c>
      <c r="B10" s="45" t="s">
        <v>28</v>
      </c>
      <c r="C10" s="45"/>
      <c r="D10" s="45">
        <v>128.02000000000001</v>
      </c>
      <c r="E10" s="45">
        <v>130.69999999999999</v>
      </c>
      <c r="F10" s="45">
        <v>174.54</v>
      </c>
      <c r="G10" s="46">
        <f t="shared" ref="G10:G25" si="0">D10+E10</f>
        <v>258.72000000000003</v>
      </c>
      <c r="H10" s="47"/>
      <c r="I10" s="48">
        <v>1.125</v>
      </c>
      <c r="J10" s="48"/>
      <c r="K10" s="49">
        <f t="shared" ref="K10:K25" si="1">ROUND(G10*I10,4)</f>
        <v>291.06</v>
      </c>
      <c r="L10" s="50">
        <f t="shared" ref="L10:L25" si="2">ROUND(ROUND(K10*$G$7,4)*($K$7),0)</f>
        <v>1127748</v>
      </c>
      <c r="N10" s="51">
        <v>5101</v>
      </c>
      <c r="O10" s="52">
        <v>101</v>
      </c>
      <c r="P10" s="53"/>
      <c r="Q10" s="54"/>
      <c r="V10" s="617" t="s">
        <v>28</v>
      </c>
      <c r="W10" s="617"/>
      <c r="X10" s="618">
        <f>IF('4002 June Final'!K$84=1,'4002 June Final'!G10,0)</f>
        <v>0</v>
      </c>
      <c r="Y10" s="618"/>
      <c r="Z10" s="619">
        <v>1</v>
      </c>
      <c r="AA10" s="619"/>
      <c r="AB10" s="55">
        <f t="shared" ref="AB10:AB25" si="3">ROUND(X10*Z10,4)</f>
        <v>0</v>
      </c>
      <c r="AC10" s="56">
        <f t="shared" ref="AC10:AC25" si="4">ROUND(ROUND(AB10*$X$7,4)*($AB$7),0)</f>
        <v>0</v>
      </c>
      <c r="AD10" s="9">
        <v>1</v>
      </c>
    </row>
    <row r="11" spans="1:30" x14ac:dyDescent="0.25">
      <c r="A11" s="1" t="s">
        <v>29</v>
      </c>
      <c r="B11" s="13" t="s">
        <v>30</v>
      </c>
      <c r="C11" s="13"/>
      <c r="D11" s="13">
        <v>16.34</v>
      </c>
      <c r="E11" s="13">
        <v>19.45</v>
      </c>
      <c r="F11" s="13">
        <v>22.83</v>
      </c>
      <c r="G11" s="46">
        <f t="shared" si="0"/>
        <v>35.79</v>
      </c>
      <c r="H11" s="47"/>
      <c r="I11" s="57">
        <f>I10</f>
        <v>1.125</v>
      </c>
      <c r="J11" s="57"/>
      <c r="K11" s="49">
        <f t="shared" si="1"/>
        <v>40.263800000000003</v>
      </c>
      <c r="L11" s="50">
        <f t="shared" si="2"/>
        <v>156007</v>
      </c>
      <c r="M11" s="1" t="str">
        <f>IF(ROUND(G11,2)=ROUND(SUM(G28:G30),2)," ","CHECK 2. PK-3 Lines Below")</f>
        <v xml:space="preserve"> </v>
      </c>
      <c r="N11" s="51">
        <v>5101</v>
      </c>
      <c r="O11" s="58" t="s">
        <v>31</v>
      </c>
      <c r="P11" s="53"/>
      <c r="Q11" s="54"/>
      <c r="V11" s="623" t="s">
        <v>30</v>
      </c>
      <c r="W11" s="623"/>
      <c r="X11" s="618">
        <f>IF('4002 June Final'!K$84=1,'4002 June Final'!G11,0)</f>
        <v>0</v>
      </c>
      <c r="Y11" s="618"/>
      <c r="Z11" s="624">
        <v>1</v>
      </c>
      <c r="AA11" s="624"/>
      <c r="AB11" s="55">
        <f t="shared" si="3"/>
        <v>0</v>
      </c>
      <c r="AC11" s="56">
        <f t="shared" si="4"/>
        <v>0</v>
      </c>
      <c r="AD11" s="9"/>
    </row>
    <row r="12" spans="1:30" x14ac:dyDescent="0.25">
      <c r="A12" s="1" t="s">
        <v>32</v>
      </c>
      <c r="B12" s="13" t="s">
        <v>33</v>
      </c>
      <c r="C12" s="13"/>
      <c r="D12" s="13">
        <v>100.15</v>
      </c>
      <c r="E12" s="13">
        <v>100.25</v>
      </c>
      <c r="F12" s="13">
        <v>145.72999999999999</v>
      </c>
      <c r="G12" s="46">
        <f t="shared" si="0"/>
        <v>200.4</v>
      </c>
      <c r="H12" s="47"/>
      <c r="I12" s="57">
        <v>1</v>
      </c>
      <c r="J12" s="57"/>
      <c r="K12" s="49">
        <f t="shared" si="1"/>
        <v>200.4</v>
      </c>
      <c r="L12" s="50">
        <f t="shared" si="2"/>
        <v>776475</v>
      </c>
      <c r="N12" s="51">
        <v>5102</v>
      </c>
      <c r="O12" s="52">
        <v>102</v>
      </c>
      <c r="P12" s="53"/>
      <c r="Q12" s="54"/>
      <c r="V12" s="623" t="s">
        <v>33</v>
      </c>
      <c r="W12" s="623"/>
      <c r="X12" s="618">
        <f>IF('4002 June Final'!K$84=1,'4002 June Final'!G12,0)</f>
        <v>0</v>
      </c>
      <c r="Y12" s="618"/>
      <c r="Z12" s="624">
        <v>1</v>
      </c>
      <c r="AA12" s="624"/>
      <c r="AB12" s="55">
        <f t="shared" si="3"/>
        <v>0</v>
      </c>
      <c r="AC12" s="56">
        <f t="shared" si="4"/>
        <v>0</v>
      </c>
      <c r="AD12" s="9"/>
    </row>
    <row r="13" spans="1:30" x14ac:dyDescent="0.25">
      <c r="A13" s="1" t="s">
        <v>34</v>
      </c>
      <c r="B13" s="13" t="s">
        <v>35</v>
      </c>
      <c r="C13" s="13"/>
      <c r="D13" s="13">
        <v>23.3</v>
      </c>
      <c r="E13" s="13">
        <v>20.89</v>
      </c>
      <c r="F13" s="13">
        <v>35.18</v>
      </c>
      <c r="G13" s="46">
        <f t="shared" si="0"/>
        <v>44.19</v>
      </c>
      <c r="H13" s="47"/>
      <c r="I13" s="57">
        <f>I12</f>
        <v>1</v>
      </c>
      <c r="J13" s="57"/>
      <c r="K13" s="49">
        <f t="shared" si="1"/>
        <v>44.19</v>
      </c>
      <c r="L13" s="50">
        <f t="shared" si="2"/>
        <v>171220</v>
      </c>
      <c r="M13" s="1" t="str">
        <f>IF(ROUND(G13,2)=ROUND(SUM(G31:G33),2)," ","CHECK 2. PK-3 Lines Below")</f>
        <v xml:space="preserve"> </v>
      </c>
      <c r="N13" s="51">
        <v>5102</v>
      </c>
      <c r="O13" s="58" t="s">
        <v>36</v>
      </c>
      <c r="P13" s="53"/>
      <c r="Q13" s="54"/>
      <c r="V13" s="623" t="s">
        <v>35</v>
      </c>
      <c r="W13" s="623"/>
      <c r="X13" s="618">
        <f>IF('4002 June Final'!K$84=1,'4002 June Final'!G13,0)</f>
        <v>0</v>
      </c>
      <c r="Y13" s="618"/>
      <c r="Z13" s="624">
        <v>1</v>
      </c>
      <c r="AA13" s="624"/>
      <c r="AB13" s="55">
        <f t="shared" si="3"/>
        <v>0</v>
      </c>
      <c r="AC13" s="56">
        <f t="shared" si="4"/>
        <v>0</v>
      </c>
      <c r="AD13" s="9"/>
    </row>
    <row r="14" spans="1:30" x14ac:dyDescent="0.25">
      <c r="A14" s="1" t="s">
        <v>37</v>
      </c>
      <c r="B14" s="13" t="s">
        <v>38</v>
      </c>
      <c r="C14" s="13"/>
      <c r="D14" s="13">
        <v>0</v>
      </c>
      <c r="E14" s="13">
        <v>0</v>
      </c>
      <c r="F14" s="13">
        <v>0</v>
      </c>
      <c r="G14" s="46">
        <f t="shared" si="0"/>
        <v>0</v>
      </c>
      <c r="H14" s="47"/>
      <c r="I14" s="57">
        <v>1.0109999999999999</v>
      </c>
      <c r="J14" s="57"/>
      <c r="K14" s="49">
        <f t="shared" si="1"/>
        <v>0</v>
      </c>
      <c r="L14" s="50">
        <f t="shared" si="2"/>
        <v>0</v>
      </c>
      <c r="N14" s="51">
        <v>5103</v>
      </c>
      <c r="O14" s="52">
        <v>103</v>
      </c>
      <c r="P14" s="53"/>
      <c r="Q14" s="54"/>
      <c r="V14" s="623" t="s">
        <v>38</v>
      </c>
      <c r="W14" s="623"/>
      <c r="X14" s="618">
        <f>IF('4002 June Final'!K$84=1,'4002 June Final'!G14,0)</f>
        <v>0</v>
      </c>
      <c r="Y14" s="618"/>
      <c r="Z14" s="624">
        <v>1</v>
      </c>
      <c r="AA14" s="624"/>
      <c r="AB14" s="55">
        <f t="shared" si="3"/>
        <v>0</v>
      </c>
      <c r="AC14" s="56">
        <f t="shared" si="4"/>
        <v>0</v>
      </c>
      <c r="AD14" s="9"/>
    </row>
    <row r="15" spans="1:30" x14ac:dyDescent="0.25">
      <c r="A15" s="1" t="s">
        <v>39</v>
      </c>
      <c r="B15" s="13" t="s">
        <v>40</v>
      </c>
      <c r="C15" s="13"/>
      <c r="D15" s="13">
        <v>0</v>
      </c>
      <c r="E15" s="13">
        <v>0</v>
      </c>
      <c r="F15" s="13">
        <v>0</v>
      </c>
      <c r="G15" s="46">
        <f t="shared" si="0"/>
        <v>0</v>
      </c>
      <c r="H15" s="47"/>
      <c r="I15" s="57">
        <f>I14</f>
        <v>1.0109999999999999</v>
      </c>
      <c r="J15" s="57"/>
      <c r="K15" s="49">
        <f t="shared" si="1"/>
        <v>0</v>
      </c>
      <c r="L15" s="59">
        <f t="shared" si="2"/>
        <v>0</v>
      </c>
      <c r="M15" s="1" t="str">
        <f>IF(ROUND(G15,2)=ROUND(SUM(G34:G36),2)," ","CHECK 2. PK-3 Lines Below")</f>
        <v xml:space="preserve"> </v>
      </c>
      <c r="N15" s="51">
        <v>5103</v>
      </c>
      <c r="O15" s="58" t="s">
        <v>41</v>
      </c>
      <c r="P15" s="53"/>
      <c r="Q15" s="54"/>
      <c r="V15" s="623" t="s">
        <v>40</v>
      </c>
      <c r="W15" s="623"/>
      <c r="X15" s="618">
        <f>IF('4002 June Final'!K$84=1,'4002 June Final'!G15,0)</f>
        <v>0</v>
      </c>
      <c r="Y15" s="618"/>
      <c r="Z15" s="624">
        <v>1</v>
      </c>
      <c r="AA15" s="624"/>
      <c r="AB15" s="55">
        <f t="shared" si="3"/>
        <v>0</v>
      </c>
      <c r="AC15" s="60">
        <f t="shared" si="4"/>
        <v>0</v>
      </c>
      <c r="AD15" s="9"/>
    </row>
    <row r="16" spans="1:30" x14ac:dyDescent="0.25">
      <c r="A16" s="1" t="s">
        <v>42</v>
      </c>
      <c r="B16" s="13" t="s">
        <v>43</v>
      </c>
      <c r="C16" s="13"/>
      <c r="D16" s="13">
        <v>0</v>
      </c>
      <c r="E16" s="13">
        <v>0</v>
      </c>
      <c r="F16" s="13">
        <v>0</v>
      </c>
      <c r="G16" s="46">
        <f t="shared" si="0"/>
        <v>0</v>
      </c>
      <c r="H16" s="47"/>
      <c r="I16" s="57">
        <v>3.5579999999999998</v>
      </c>
      <c r="J16" s="57"/>
      <c r="K16" s="49">
        <f t="shared" si="1"/>
        <v>0</v>
      </c>
      <c r="L16" s="50">
        <f t="shared" si="2"/>
        <v>0</v>
      </c>
      <c r="N16" s="51">
        <v>5101</v>
      </c>
      <c r="O16" s="53">
        <v>254</v>
      </c>
      <c r="P16" s="53"/>
      <c r="Q16" s="54"/>
      <c r="V16" s="623" t="s">
        <v>43</v>
      </c>
      <c r="W16" s="623"/>
      <c r="X16" s="618">
        <f>IF('4002 June Final'!K$84=1,'4002 June Final'!G16,0)</f>
        <v>0</v>
      </c>
      <c r="Y16" s="618"/>
      <c r="Z16" s="624">
        <v>1</v>
      </c>
      <c r="AA16" s="624"/>
      <c r="AB16" s="55">
        <f t="shared" si="3"/>
        <v>0</v>
      </c>
      <c r="AC16" s="56">
        <f t="shared" si="4"/>
        <v>0</v>
      </c>
      <c r="AD16" s="9"/>
    </row>
    <row r="17" spans="1:30" x14ac:dyDescent="0.25">
      <c r="A17" s="1" t="s">
        <v>44</v>
      </c>
      <c r="B17" s="13" t="s">
        <v>45</v>
      </c>
      <c r="C17" s="13"/>
      <c r="D17" s="13">
        <v>0</v>
      </c>
      <c r="E17" s="13">
        <v>0</v>
      </c>
      <c r="F17" s="13">
        <v>0</v>
      </c>
      <c r="G17" s="46">
        <f t="shared" si="0"/>
        <v>0</v>
      </c>
      <c r="H17" s="47"/>
      <c r="I17" s="57">
        <f>I16</f>
        <v>3.5579999999999998</v>
      </c>
      <c r="J17" s="57"/>
      <c r="K17" s="49">
        <f t="shared" si="1"/>
        <v>0</v>
      </c>
      <c r="L17" s="50">
        <f t="shared" si="2"/>
        <v>0</v>
      </c>
      <c r="N17" s="51">
        <v>5102</v>
      </c>
      <c r="O17" s="54">
        <v>254</v>
      </c>
      <c r="P17" s="53"/>
      <c r="Q17" s="54"/>
      <c r="V17" s="623" t="s">
        <v>45</v>
      </c>
      <c r="W17" s="623"/>
      <c r="X17" s="618">
        <f>IF('4002 June Final'!K$84=1,'4002 June Final'!G17,0)</f>
        <v>0</v>
      </c>
      <c r="Y17" s="618"/>
      <c r="Z17" s="624">
        <v>1</v>
      </c>
      <c r="AA17" s="624"/>
      <c r="AB17" s="55">
        <f t="shared" si="3"/>
        <v>0</v>
      </c>
      <c r="AC17" s="56">
        <f t="shared" si="4"/>
        <v>0</v>
      </c>
      <c r="AD17" s="9"/>
    </row>
    <row r="18" spans="1:30" x14ac:dyDescent="0.25">
      <c r="A18" s="1" t="s">
        <v>46</v>
      </c>
      <c r="B18" s="13" t="s">
        <v>47</v>
      </c>
      <c r="C18" s="13"/>
      <c r="D18" s="13">
        <v>0</v>
      </c>
      <c r="E18" s="13">
        <v>0</v>
      </c>
      <c r="F18" s="13">
        <v>0</v>
      </c>
      <c r="G18" s="46">
        <f t="shared" si="0"/>
        <v>0</v>
      </c>
      <c r="H18" s="47"/>
      <c r="I18" s="57">
        <f>I17</f>
        <v>3.5579999999999998</v>
      </c>
      <c r="J18" s="57"/>
      <c r="K18" s="49">
        <f t="shared" si="1"/>
        <v>0</v>
      </c>
      <c r="L18" s="50">
        <f t="shared" si="2"/>
        <v>0</v>
      </c>
      <c r="N18" s="51">
        <v>5103</v>
      </c>
      <c r="O18" s="54">
        <v>254</v>
      </c>
      <c r="P18" s="53"/>
      <c r="Q18" s="54"/>
      <c r="V18" s="623" t="s">
        <v>47</v>
      </c>
      <c r="W18" s="623"/>
      <c r="X18" s="618">
        <f>IF('4002 June Final'!K$84=1,'4002 June Final'!G18,0)</f>
        <v>0</v>
      </c>
      <c r="Y18" s="618"/>
      <c r="Z18" s="624">
        <v>1</v>
      </c>
      <c r="AA18" s="624"/>
      <c r="AB18" s="55">
        <f t="shared" si="3"/>
        <v>0</v>
      </c>
      <c r="AC18" s="56">
        <f t="shared" si="4"/>
        <v>0</v>
      </c>
      <c r="AD18" s="9"/>
    </row>
    <row r="19" spans="1:30" ht="15" customHeight="1" x14ac:dyDescent="0.25">
      <c r="A19" s="1" t="s">
        <v>48</v>
      </c>
      <c r="B19" s="13" t="s">
        <v>49</v>
      </c>
      <c r="C19" s="13"/>
      <c r="D19" s="13">
        <v>0</v>
      </c>
      <c r="E19" s="13">
        <v>0</v>
      </c>
      <c r="F19" s="13">
        <v>0</v>
      </c>
      <c r="G19" s="46">
        <f t="shared" si="0"/>
        <v>0</v>
      </c>
      <c r="H19" s="47"/>
      <c r="I19" s="57">
        <v>5.0890000000000004</v>
      </c>
      <c r="J19" s="57"/>
      <c r="K19" s="49">
        <f t="shared" si="1"/>
        <v>0</v>
      </c>
      <c r="L19" s="50">
        <f t="shared" si="2"/>
        <v>0</v>
      </c>
      <c r="N19" s="51">
        <v>5101</v>
      </c>
      <c r="O19" s="53">
        <v>255</v>
      </c>
      <c r="P19" s="53"/>
      <c r="Q19" s="54"/>
      <c r="V19" s="623" t="s">
        <v>49</v>
      </c>
      <c r="W19" s="623"/>
      <c r="X19" s="618">
        <f>IF('4002 June Final'!K$84=1,'4002 June Final'!G19,0)</f>
        <v>0</v>
      </c>
      <c r="Y19" s="618"/>
      <c r="Z19" s="624">
        <v>1</v>
      </c>
      <c r="AA19" s="624"/>
      <c r="AB19" s="55">
        <f t="shared" si="3"/>
        <v>0</v>
      </c>
      <c r="AC19" s="56">
        <f t="shared" si="4"/>
        <v>0</v>
      </c>
      <c r="AD19" s="9"/>
    </row>
    <row r="20" spans="1:30" ht="15" customHeight="1" x14ac:dyDescent="0.25">
      <c r="A20" s="1" t="s">
        <v>50</v>
      </c>
      <c r="B20" s="13" t="s">
        <v>51</v>
      </c>
      <c r="C20" s="13"/>
      <c r="D20" s="13">
        <v>0</v>
      </c>
      <c r="E20" s="13">
        <v>0</v>
      </c>
      <c r="F20" s="13">
        <v>0</v>
      </c>
      <c r="G20" s="46">
        <f t="shared" si="0"/>
        <v>0</v>
      </c>
      <c r="H20" s="47"/>
      <c r="I20" s="57">
        <f>I19</f>
        <v>5.0890000000000004</v>
      </c>
      <c r="J20" s="57"/>
      <c r="K20" s="49">
        <f t="shared" si="1"/>
        <v>0</v>
      </c>
      <c r="L20" s="50">
        <f t="shared" si="2"/>
        <v>0</v>
      </c>
      <c r="N20" s="51">
        <v>5102</v>
      </c>
      <c r="O20" s="54">
        <v>255</v>
      </c>
      <c r="P20" s="53"/>
      <c r="Q20" s="54"/>
      <c r="V20" s="623" t="s">
        <v>51</v>
      </c>
      <c r="W20" s="623"/>
      <c r="X20" s="618">
        <f>IF('4002 June Final'!K$84=1,'4002 June Final'!G20,0)</f>
        <v>0</v>
      </c>
      <c r="Y20" s="618"/>
      <c r="Z20" s="624">
        <v>1</v>
      </c>
      <c r="AA20" s="624"/>
      <c r="AB20" s="55">
        <f t="shared" si="3"/>
        <v>0</v>
      </c>
      <c r="AC20" s="56">
        <f t="shared" si="4"/>
        <v>0</v>
      </c>
      <c r="AD20" s="9"/>
    </row>
    <row r="21" spans="1:30" ht="15" customHeight="1" x14ac:dyDescent="0.25">
      <c r="A21" s="1" t="s">
        <v>52</v>
      </c>
      <c r="B21" s="13" t="s">
        <v>53</v>
      </c>
      <c r="C21" s="13"/>
      <c r="D21" s="13">
        <v>0</v>
      </c>
      <c r="E21" s="13">
        <v>0</v>
      </c>
      <c r="F21" s="13">
        <v>0</v>
      </c>
      <c r="G21" s="46">
        <f t="shared" si="0"/>
        <v>0</v>
      </c>
      <c r="H21" s="47"/>
      <c r="I21" s="57">
        <f>I20</f>
        <v>5.0890000000000004</v>
      </c>
      <c r="J21" s="57"/>
      <c r="K21" s="49">
        <f t="shared" si="1"/>
        <v>0</v>
      </c>
      <c r="L21" s="50">
        <f t="shared" si="2"/>
        <v>0</v>
      </c>
      <c r="N21" s="51">
        <v>5103</v>
      </c>
      <c r="O21" s="54">
        <v>255</v>
      </c>
      <c r="P21" s="53"/>
      <c r="Q21" s="54"/>
      <c r="V21" s="623" t="s">
        <v>53</v>
      </c>
      <c r="W21" s="623"/>
      <c r="X21" s="618">
        <f>IF('4002 June Final'!K$84=1,'4002 June Final'!G21,0)</f>
        <v>0</v>
      </c>
      <c r="Y21" s="618"/>
      <c r="Z21" s="624">
        <v>1</v>
      </c>
      <c r="AA21" s="624"/>
      <c r="AB21" s="55">
        <f t="shared" si="3"/>
        <v>0</v>
      </c>
      <c r="AC21" s="56">
        <f t="shared" si="4"/>
        <v>0</v>
      </c>
      <c r="AD21" s="9"/>
    </row>
    <row r="22" spans="1:30" x14ac:dyDescent="0.25">
      <c r="A22" s="1" t="s">
        <v>54</v>
      </c>
      <c r="B22" s="13" t="s">
        <v>55</v>
      </c>
      <c r="C22" s="13"/>
      <c r="D22" s="13">
        <v>29.87</v>
      </c>
      <c r="E22" s="13">
        <v>29.78</v>
      </c>
      <c r="F22" s="13">
        <v>55.31</v>
      </c>
      <c r="G22" s="46">
        <f t="shared" si="0"/>
        <v>59.650000000000006</v>
      </c>
      <c r="H22" s="47"/>
      <c r="I22" s="57">
        <v>1.145</v>
      </c>
      <c r="J22" s="57"/>
      <c r="K22" s="49">
        <f t="shared" si="1"/>
        <v>68.299300000000002</v>
      </c>
      <c r="L22" s="50">
        <f t="shared" si="2"/>
        <v>264634</v>
      </c>
      <c r="N22" s="51">
        <v>5101</v>
      </c>
      <c r="O22" s="52">
        <v>130</v>
      </c>
      <c r="P22" s="53"/>
      <c r="Q22" s="54"/>
      <c r="V22" s="623" t="s">
        <v>55</v>
      </c>
      <c r="W22" s="623"/>
      <c r="X22" s="618">
        <f>IF('4002 June Final'!K$84=1,'4002 June Final'!G22,0)</f>
        <v>0</v>
      </c>
      <c r="Y22" s="618"/>
      <c r="Z22" s="624">
        <v>1</v>
      </c>
      <c r="AA22" s="624"/>
      <c r="AB22" s="55">
        <f t="shared" si="3"/>
        <v>0</v>
      </c>
      <c r="AC22" s="56">
        <f t="shared" si="4"/>
        <v>0</v>
      </c>
      <c r="AD22" s="9"/>
    </row>
    <row r="23" spans="1:30" x14ac:dyDescent="0.25">
      <c r="A23" s="1" t="s">
        <v>56</v>
      </c>
      <c r="B23" s="13" t="s">
        <v>57</v>
      </c>
      <c r="C23" s="13"/>
      <c r="D23" s="13">
        <v>10.08</v>
      </c>
      <c r="E23" s="13">
        <v>8.69</v>
      </c>
      <c r="F23" s="13">
        <v>0</v>
      </c>
      <c r="G23" s="46">
        <f t="shared" si="0"/>
        <v>18.77</v>
      </c>
      <c r="H23" s="47"/>
      <c r="I23" s="57">
        <f>I22</f>
        <v>1.145</v>
      </c>
      <c r="J23" s="57"/>
      <c r="K23" s="49">
        <f t="shared" si="1"/>
        <v>21.491700000000002</v>
      </c>
      <c r="L23" s="50">
        <f t="shared" si="2"/>
        <v>83272</v>
      </c>
      <c r="N23" s="51">
        <v>5102</v>
      </c>
      <c r="O23" s="52">
        <v>130</v>
      </c>
      <c r="P23" s="53"/>
      <c r="Q23" s="54"/>
      <c r="V23" s="623" t="s">
        <v>57</v>
      </c>
      <c r="W23" s="623"/>
      <c r="X23" s="618">
        <f>IF('4002 June Final'!K$84=1,'4002 June Final'!G23,0)</f>
        <v>0</v>
      </c>
      <c r="Y23" s="618"/>
      <c r="Z23" s="624">
        <v>1</v>
      </c>
      <c r="AA23" s="624"/>
      <c r="AB23" s="55">
        <f t="shared" si="3"/>
        <v>0</v>
      </c>
      <c r="AC23" s="56">
        <f t="shared" si="4"/>
        <v>0</v>
      </c>
      <c r="AD23" s="9"/>
    </row>
    <row r="24" spans="1:30" x14ac:dyDescent="0.25">
      <c r="A24" s="1" t="s">
        <v>58</v>
      </c>
      <c r="B24" s="13" t="s">
        <v>59</v>
      </c>
      <c r="C24" s="13"/>
      <c r="D24" s="13">
        <v>0</v>
      </c>
      <c r="E24" s="13">
        <v>0</v>
      </c>
      <c r="F24" s="13">
        <v>0</v>
      </c>
      <c r="G24" s="46">
        <f t="shared" si="0"/>
        <v>0</v>
      </c>
      <c r="H24" s="47"/>
      <c r="I24" s="57">
        <f>I23</f>
        <v>1.145</v>
      </c>
      <c r="J24" s="57"/>
      <c r="K24" s="49">
        <f t="shared" si="1"/>
        <v>0</v>
      </c>
      <c r="L24" s="50">
        <f t="shared" si="2"/>
        <v>0</v>
      </c>
      <c r="N24" s="51">
        <v>5103</v>
      </c>
      <c r="O24" s="52">
        <v>130</v>
      </c>
      <c r="P24" s="53"/>
      <c r="Q24" s="54"/>
      <c r="V24" s="623" t="s">
        <v>59</v>
      </c>
      <c r="W24" s="623"/>
      <c r="X24" s="618">
        <f>IF('4002 June Final'!K$84=1,'4002 June Final'!G24,0)</f>
        <v>0</v>
      </c>
      <c r="Y24" s="618"/>
      <c r="Z24" s="624">
        <v>1</v>
      </c>
      <c r="AA24" s="624"/>
      <c r="AB24" s="55">
        <f t="shared" si="3"/>
        <v>0</v>
      </c>
      <c r="AC24" s="56">
        <f t="shared" si="4"/>
        <v>0</v>
      </c>
      <c r="AD24" s="9"/>
    </row>
    <row r="25" spans="1:30" ht="16.5" thickBot="1" x14ac:dyDescent="0.3">
      <c r="A25" s="1" t="s">
        <v>60</v>
      </c>
      <c r="B25" s="13" t="s">
        <v>61</v>
      </c>
      <c r="C25" s="13"/>
      <c r="D25" s="13">
        <v>0</v>
      </c>
      <c r="E25" s="13">
        <v>0</v>
      </c>
      <c r="F25" s="13">
        <v>0</v>
      </c>
      <c r="G25" s="46">
        <f t="shared" si="0"/>
        <v>0</v>
      </c>
      <c r="H25" s="47"/>
      <c r="I25" s="57">
        <v>1.0109999999999999</v>
      </c>
      <c r="J25" s="57"/>
      <c r="K25" s="49">
        <f t="shared" si="1"/>
        <v>0</v>
      </c>
      <c r="L25" s="50">
        <f t="shared" si="2"/>
        <v>0</v>
      </c>
      <c r="N25" s="51">
        <v>5310</v>
      </c>
      <c r="O25" s="52">
        <v>300</v>
      </c>
      <c r="P25" s="53"/>
      <c r="Q25" s="54"/>
      <c r="V25" s="623" t="s">
        <v>61</v>
      </c>
      <c r="W25" s="623"/>
      <c r="X25" s="618">
        <f>IF('4002 June Final'!K$84=1,'4002 June Final'!G25,0)</f>
        <v>0</v>
      </c>
      <c r="Y25" s="618"/>
      <c r="Z25" s="624">
        <v>1</v>
      </c>
      <c r="AA25" s="624"/>
      <c r="AB25" s="55">
        <f t="shared" si="3"/>
        <v>0</v>
      </c>
      <c r="AC25" s="56">
        <f t="shared" si="4"/>
        <v>0</v>
      </c>
      <c r="AD25" s="9"/>
    </row>
    <row r="26" spans="1:30" ht="20.25" customHeight="1" thickBot="1" x14ac:dyDescent="0.3">
      <c r="B26" s="62" t="s">
        <v>62</v>
      </c>
      <c r="C26" s="62"/>
      <c r="D26" s="63">
        <f>SUM(D10:D25)</f>
        <v>307.76</v>
      </c>
      <c r="E26" s="63">
        <f>SUM(E10:E25)</f>
        <v>309.75999999999993</v>
      </c>
      <c r="F26" s="63"/>
      <c r="G26" s="63">
        <f>SUM(G10:G25)</f>
        <v>617.5200000000001</v>
      </c>
      <c r="H26" s="64"/>
      <c r="I26" s="64"/>
      <c r="J26" s="65"/>
      <c r="K26" s="66">
        <f>SUM(K10:K25)</f>
        <v>665.70480000000009</v>
      </c>
      <c r="L26" s="67">
        <f>SUM(L10:L25)</f>
        <v>2579356</v>
      </c>
      <c r="N26" s="54"/>
      <c r="O26" s="68"/>
      <c r="P26" s="54"/>
      <c r="Q26" s="54"/>
      <c r="V26" s="625" t="s">
        <v>62</v>
      </c>
      <c r="W26" s="625"/>
      <c r="X26" s="626">
        <f>SUM(X10:X25)</f>
        <v>0</v>
      </c>
      <c r="Y26" s="626"/>
      <c r="Z26" s="627"/>
      <c r="AA26" s="628"/>
      <c r="AB26" s="69">
        <f>SUM(AB10:AB25)</f>
        <v>0</v>
      </c>
      <c r="AC26" s="70">
        <f>SUM(AC10:AC25)</f>
        <v>0</v>
      </c>
      <c r="AD26" s="9"/>
    </row>
    <row r="27" spans="1:30" ht="51.75" customHeight="1" x14ac:dyDescent="0.25">
      <c r="B27" s="62" t="s">
        <v>63</v>
      </c>
      <c r="C27" s="62"/>
      <c r="D27" s="71" t="s">
        <v>13</v>
      </c>
      <c r="E27" s="71" t="s">
        <v>14</v>
      </c>
      <c r="F27" s="27"/>
      <c r="G27" s="72" t="s">
        <v>64</v>
      </c>
      <c r="H27" s="73"/>
      <c r="I27" s="74" t="s">
        <v>65</v>
      </c>
      <c r="J27" s="74" t="s">
        <v>66</v>
      </c>
      <c r="K27" s="75" t="s">
        <v>67</v>
      </c>
      <c r="N27" s="54"/>
      <c r="O27" s="68"/>
      <c r="P27" s="54"/>
      <c r="Q27" s="54"/>
      <c r="V27" s="629" t="s">
        <v>63</v>
      </c>
      <c r="W27" s="629"/>
      <c r="X27" s="630" t="s">
        <v>64</v>
      </c>
      <c r="Y27" s="630"/>
      <c r="Z27" s="76" t="s">
        <v>65</v>
      </c>
      <c r="AA27" s="77" t="s">
        <v>66</v>
      </c>
      <c r="AB27" s="78" t="s">
        <v>67</v>
      </c>
      <c r="AC27" s="9"/>
      <c r="AD27" s="9"/>
    </row>
    <row r="28" spans="1:30" ht="15.75" customHeight="1" x14ac:dyDescent="0.25">
      <c r="A28" s="1" t="s">
        <v>68</v>
      </c>
      <c r="B28" s="631" t="s">
        <v>69</v>
      </c>
      <c r="C28" s="632"/>
      <c r="D28" s="584">
        <v>14.84</v>
      </c>
      <c r="E28" s="584">
        <v>17.95</v>
      </c>
      <c r="F28" s="79">
        <v>0</v>
      </c>
      <c r="G28" s="46">
        <f t="shared" ref="G28:G36" si="5">D28+E28</f>
        <v>32.79</v>
      </c>
      <c r="H28" s="80"/>
      <c r="I28" s="81" t="s">
        <v>70</v>
      </c>
      <c r="J28" s="82">
        <v>251</v>
      </c>
      <c r="K28" s="83">
        <v>1047</v>
      </c>
      <c r="L28" s="84">
        <f t="shared" ref="L28:L36" si="6">ROUND(G28*K28,0)</f>
        <v>34331</v>
      </c>
      <c r="N28" s="337">
        <v>5101</v>
      </c>
      <c r="O28" s="54">
        <v>251</v>
      </c>
      <c r="P28" s="86"/>
      <c r="Q28" s="87"/>
      <c r="V28" s="637" t="s">
        <v>69</v>
      </c>
      <c r="W28" s="637"/>
      <c r="X28" s="638"/>
      <c r="Y28" s="638"/>
      <c r="Z28" s="88" t="s">
        <v>70</v>
      </c>
      <c r="AA28" s="330">
        <v>251</v>
      </c>
      <c r="AB28" s="90">
        <f t="shared" ref="AB28:AB36" si="7">+K28</f>
        <v>1047</v>
      </c>
      <c r="AC28" s="91">
        <f t="shared" ref="AC28:AC36" si="8">ROUND(X28*AB28,0)</f>
        <v>0</v>
      </c>
      <c r="AD28" s="9"/>
    </row>
    <row r="29" spans="1:30" x14ac:dyDescent="0.25">
      <c r="A29" s="1" t="s">
        <v>71</v>
      </c>
      <c r="B29" s="633"/>
      <c r="C29" s="634"/>
      <c r="D29" s="584">
        <v>1.5</v>
      </c>
      <c r="E29" s="584">
        <v>1.5</v>
      </c>
      <c r="F29" s="92">
        <v>0</v>
      </c>
      <c r="G29" s="46">
        <f t="shared" si="5"/>
        <v>3</v>
      </c>
      <c r="H29" s="80"/>
      <c r="I29" s="82" t="s">
        <v>70</v>
      </c>
      <c r="J29" s="82">
        <v>252</v>
      </c>
      <c r="K29" s="83">
        <v>3380</v>
      </c>
      <c r="L29" s="84">
        <f t="shared" si="6"/>
        <v>10140</v>
      </c>
      <c r="N29" s="337">
        <v>5101</v>
      </c>
      <c r="O29" s="54">
        <v>252</v>
      </c>
      <c r="P29" s="86"/>
      <c r="Q29" s="87"/>
      <c r="V29" s="637"/>
      <c r="W29" s="637"/>
      <c r="X29" s="638"/>
      <c r="Y29" s="638"/>
      <c r="Z29" s="330" t="s">
        <v>70</v>
      </c>
      <c r="AA29" s="330">
        <v>252</v>
      </c>
      <c r="AB29" s="90">
        <f t="shared" si="7"/>
        <v>3380</v>
      </c>
      <c r="AC29" s="91">
        <f t="shared" si="8"/>
        <v>0</v>
      </c>
      <c r="AD29" s="9"/>
    </row>
    <row r="30" spans="1:30" x14ac:dyDescent="0.25">
      <c r="A30" s="1" t="s">
        <v>72</v>
      </c>
      <c r="B30" s="633"/>
      <c r="C30" s="634"/>
      <c r="D30" s="584">
        <v>0</v>
      </c>
      <c r="E30" s="584">
        <v>0</v>
      </c>
      <c r="F30" s="92">
        <v>0</v>
      </c>
      <c r="G30" s="46">
        <f t="shared" si="5"/>
        <v>0</v>
      </c>
      <c r="H30" s="80"/>
      <c r="I30" s="82" t="s">
        <v>70</v>
      </c>
      <c r="J30" s="82">
        <v>253</v>
      </c>
      <c r="K30" s="83">
        <v>6896</v>
      </c>
      <c r="L30" s="84">
        <f t="shared" si="6"/>
        <v>0</v>
      </c>
      <c r="N30" s="337">
        <v>5101</v>
      </c>
      <c r="O30" s="54">
        <v>253</v>
      </c>
      <c r="P30" s="86"/>
      <c r="Q30" s="68"/>
      <c r="V30" s="637"/>
      <c r="W30" s="637"/>
      <c r="X30" s="638"/>
      <c r="Y30" s="638"/>
      <c r="Z30" s="330" t="s">
        <v>70</v>
      </c>
      <c r="AA30" s="330">
        <v>253</v>
      </c>
      <c r="AB30" s="90">
        <f t="shared" si="7"/>
        <v>6896</v>
      </c>
      <c r="AC30" s="91">
        <f t="shared" si="8"/>
        <v>0</v>
      </c>
      <c r="AD30" s="9"/>
    </row>
    <row r="31" spans="1:30" x14ac:dyDescent="0.25">
      <c r="A31" s="1" t="s">
        <v>73</v>
      </c>
      <c r="B31" s="633"/>
      <c r="C31" s="634"/>
      <c r="D31" s="584">
        <v>21.72</v>
      </c>
      <c r="E31" s="584">
        <v>20.89</v>
      </c>
      <c r="F31" s="92">
        <v>0</v>
      </c>
      <c r="G31" s="46">
        <f t="shared" si="5"/>
        <v>42.61</v>
      </c>
      <c r="H31" s="80"/>
      <c r="I31" s="93" t="s">
        <v>74</v>
      </c>
      <c r="J31" s="82">
        <v>251</v>
      </c>
      <c r="K31" s="83">
        <v>1173</v>
      </c>
      <c r="L31" s="84">
        <f t="shared" si="6"/>
        <v>49982</v>
      </c>
      <c r="N31" s="337">
        <v>5102</v>
      </c>
      <c r="O31" s="54">
        <v>251</v>
      </c>
      <c r="P31" s="86"/>
      <c r="Q31" s="68"/>
      <c r="V31" s="637"/>
      <c r="W31" s="637"/>
      <c r="X31" s="638"/>
      <c r="Y31" s="638"/>
      <c r="Z31" s="94" t="s">
        <v>74</v>
      </c>
      <c r="AA31" s="330">
        <v>251</v>
      </c>
      <c r="AB31" s="90">
        <f t="shared" si="7"/>
        <v>1173</v>
      </c>
      <c r="AC31" s="91">
        <f t="shared" si="8"/>
        <v>0</v>
      </c>
      <c r="AD31" s="9"/>
    </row>
    <row r="32" spans="1:30" x14ac:dyDescent="0.25">
      <c r="A32" s="1" t="s">
        <v>75</v>
      </c>
      <c r="B32" s="633"/>
      <c r="C32" s="634"/>
      <c r="D32" s="584">
        <v>1.58</v>
      </c>
      <c r="E32" s="584">
        <v>0</v>
      </c>
      <c r="F32" s="92">
        <v>0</v>
      </c>
      <c r="G32" s="46">
        <f t="shared" si="5"/>
        <v>1.58</v>
      </c>
      <c r="H32" s="80"/>
      <c r="I32" s="93" t="s">
        <v>74</v>
      </c>
      <c r="J32" s="82">
        <v>252</v>
      </c>
      <c r="K32" s="83">
        <v>3506</v>
      </c>
      <c r="L32" s="84">
        <f t="shared" si="6"/>
        <v>5539</v>
      </c>
      <c r="N32" s="337">
        <v>5102</v>
      </c>
      <c r="O32" s="54">
        <v>252</v>
      </c>
      <c r="P32" s="86"/>
      <c r="Q32" s="54"/>
      <c r="V32" s="637"/>
      <c r="W32" s="637"/>
      <c r="X32" s="638"/>
      <c r="Y32" s="638"/>
      <c r="Z32" s="94" t="s">
        <v>74</v>
      </c>
      <c r="AA32" s="330">
        <v>252</v>
      </c>
      <c r="AB32" s="90">
        <f t="shared" si="7"/>
        <v>3506</v>
      </c>
      <c r="AC32" s="91">
        <f t="shared" si="8"/>
        <v>0</v>
      </c>
      <c r="AD32" s="9"/>
    </row>
    <row r="33" spans="1:30" x14ac:dyDescent="0.25">
      <c r="A33" s="1" t="s">
        <v>76</v>
      </c>
      <c r="B33" s="633"/>
      <c r="C33" s="634"/>
      <c r="D33" s="584">
        <v>0</v>
      </c>
      <c r="E33" s="584">
        <v>0</v>
      </c>
      <c r="F33" s="92">
        <v>0</v>
      </c>
      <c r="G33" s="46">
        <f t="shared" si="5"/>
        <v>0</v>
      </c>
      <c r="H33" s="80"/>
      <c r="I33" s="93" t="s">
        <v>74</v>
      </c>
      <c r="J33" s="82">
        <v>253</v>
      </c>
      <c r="K33" s="83">
        <v>7023</v>
      </c>
      <c r="L33" s="84">
        <f t="shared" si="6"/>
        <v>0</v>
      </c>
      <c r="N33" s="337">
        <v>5102</v>
      </c>
      <c r="O33" s="54">
        <v>253</v>
      </c>
      <c r="P33" s="86"/>
      <c r="Q33" s="87"/>
      <c r="V33" s="637"/>
      <c r="W33" s="637"/>
      <c r="X33" s="638"/>
      <c r="Y33" s="638"/>
      <c r="Z33" s="94" t="s">
        <v>74</v>
      </c>
      <c r="AA33" s="330">
        <v>253</v>
      </c>
      <c r="AB33" s="90">
        <f t="shared" si="7"/>
        <v>7023</v>
      </c>
      <c r="AC33" s="91">
        <f t="shared" si="8"/>
        <v>0</v>
      </c>
      <c r="AD33" s="9"/>
    </row>
    <row r="34" spans="1:30" x14ac:dyDescent="0.25">
      <c r="A34" s="1" t="s">
        <v>77</v>
      </c>
      <c r="B34" s="633"/>
      <c r="C34" s="634"/>
      <c r="D34" s="13">
        <v>0</v>
      </c>
      <c r="E34" s="13">
        <v>0</v>
      </c>
      <c r="F34" s="92">
        <v>0</v>
      </c>
      <c r="G34" s="46">
        <f t="shared" si="5"/>
        <v>0</v>
      </c>
      <c r="H34" s="80"/>
      <c r="I34" s="93" t="s">
        <v>78</v>
      </c>
      <c r="J34" s="82">
        <v>251</v>
      </c>
      <c r="K34" s="83">
        <v>835</v>
      </c>
      <c r="L34" s="84">
        <f t="shared" si="6"/>
        <v>0</v>
      </c>
      <c r="N34" s="337">
        <v>5103</v>
      </c>
      <c r="O34" s="54">
        <v>251</v>
      </c>
      <c r="P34" s="86"/>
      <c r="Q34" s="87"/>
      <c r="V34" s="637"/>
      <c r="W34" s="637"/>
      <c r="X34" s="638"/>
      <c r="Y34" s="638"/>
      <c r="Z34" s="94" t="s">
        <v>78</v>
      </c>
      <c r="AA34" s="330">
        <v>251</v>
      </c>
      <c r="AB34" s="90">
        <f t="shared" si="7"/>
        <v>835</v>
      </c>
      <c r="AC34" s="91">
        <f t="shared" si="8"/>
        <v>0</v>
      </c>
      <c r="AD34" s="9"/>
    </row>
    <row r="35" spans="1:30" x14ac:dyDescent="0.25">
      <c r="A35" s="1" t="s">
        <v>79</v>
      </c>
      <c r="B35" s="633"/>
      <c r="C35" s="634"/>
      <c r="D35" s="13">
        <v>0</v>
      </c>
      <c r="E35" s="13">
        <v>0</v>
      </c>
      <c r="F35" s="92">
        <v>0</v>
      </c>
      <c r="G35" s="46">
        <f t="shared" si="5"/>
        <v>0</v>
      </c>
      <c r="H35" s="80"/>
      <c r="I35" s="93" t="s">
        <v>78</v>
      </c>
      <c r="J35" s="82">
        <v>252</v>
      </c>
      <c r="K35" s="83">
        <v>3168</v>
      </c>
      <c r="L35" s="84">
        <f t="shared" si="6"/>
        <v>0</v>
      </c>
      <c r="N35" s="337">
        <v>5103</v>
      </c>
      <c r="O35" s="54">
        <v>252</v>
      </c>
      <c r="P35" s="86"/>
      <c r="Q35" s="95"/>
      <c r="V35" s="637"/>
      <c r="W35" s="637"/>
      <c r="X35" s="638"/>
      <c r="Y35" s="638"/>
      <c r="Z35" s="94" t="s">
        <v>78</v>
      </c>
      <c r="AA35" s="330">
        <v>252</v>
      </c>
      <c r="AB35" s="90">
        <f t="shared" si="7"/>
        <v>3168</v>
      </c>
      <c r="AC35" s="91">
        <f t="shared" si="8"/>
        <v>0</v>
      </c>
      <c r="AD35" s="9"/>
    </row>
    <row r="36" spans="1:30" ht="16.5" thickBot="1" x14ac:dyDescent="0.3">
      <c r="A36" s="1" t="s">
        <v>80</v>
      </c>
      <c r="B36" s="635"/>
      <c r="C36" s="636"/>
      <c r="D36" s="13">
        <v>0</v>
      </c>
      <c r="E36" s="13">
        <v>0</v>
      </c>
      <c r="F36" s="92">
        <v>0</v>
      </c>
      <c r="G36" s="46">
        <f t="shared" si="5"/>
        <v>0</v>
      </c>
      <c r="H36" s="80"/>
      <c r="I36" s="93" t="s">
        <v>78</v>
      </c>
      <c r="J36" s="82">
        <v>253</v>
      </c>
      <c r="K36" s="83">
        <v>6685</v>
      </c>
      <c r="L36" s="96">
        <f t="shared" si="6"/>
        <v>0</v>
      </c>
      <c r="N36" s="337">
        <v>5103</v>
      </c>
      <c r="O36" s="54">
        <v>253</v>
      </c>
      <c r="P36" s="86"/>
      <c r="Q36" s="97"/>
      <c r="V36" s="637"/>
      <c r="W36" s="637"/>
      <c r="X36" s="645"/>
      <c r="Y36" s="645"/>
      <c r="Z36" s="94" t="s">
        <v>78</v>
      </c>
      <c r="AA36" s="330">
        <v>253</v>
      </c>
      <c r="AB36" s="90">
        <f t="shared" si="7"/>
        <v>6685</v>
      </c>
      <c r="AC36" s="98">
        <f t="shared" si="8"/>
        <v>0</v>
      </c>
      <c r="AD36" s="9"/>
    </row>
    <row r="37" spans="1:30" ht="18.75" customHeight="1" x14ac:dyDescent="0.25">
      <c r="B37" s="13" t="s">
        <v>81</v>
      </c>
      <c r="C37" s="13"/>
      <c r="D37" s="63">
        <f>SUM(D28:D36)</f>
        <v>39.64</v>
      </c>
      <c r="E37" s="63">
        <f>SUM(E28:E36)</f>
        <v>40.340000000000003</v>
      </c>
      <c r="F37" s="63"/>
      <c r="G37" s="63">
        <f>SUM(G28:G36)</f>
        <v>79.98</v>
      </c>
      <c r="H37" s="64"/>
      <c r="I37" s="13" t="s">
        <v>82</v>
      </c>
      <c r="J37" s="13"/>
      <c r="K37" s="13"/>
      <c r="L37" s="50">
        <f>SUM(L28:L36)</f>
        <v>99992</v>
      </c>
      <c r="N37" s="54"/>
      <c r="O37" s="68"/>
      <c r="P37" s="54"/>
      <c r="Q37" s="54"/>
      <c r="V37" s="646" t="s">
        <v>81</v>
      </c>
      <c r="W37" s="646"/>
      <c r="X37" s="626">
        <f>SUM(X28:X36)</f>
        <v>0</v>
      </c>
      <c r="Y37" s="626"/>
      <c r="Z37" s="646" t="s">
        <v>82</v>
      </c>
      <c r="AA37" s="646"/>
      <c r="AB37" s="646"/>
      <c r="AC37" s="56">
        <f>SUM(AC28:AC36)</f>
        <v>0</v>
      </c>
      <c r="AD37" s="9"/>
    </row>
    <row r="38" spans="1:30" ht="30.75" customHeight="1" x14ac:dyDescent="0.25">
      <c r="B38" s="99" t="s">
        <v>83</v>
      </c>
      <c r="C38" s="99"/>
      <c r="D38" s="99"/>
      <c r="E38" s="99"/>
      <c r="F38" s="99"/>
      <c r="G38" s="99"/>
      <c r="H38" s="100"/>
      <c r="I38" s="99"/>
      <c r="J38" s="99"/>
      <c r="K38" s="99"/>
      <c r="L38" s="99"/>
      <c r="M38" s="101"/>
      <c r="N38" s="54"/>
      <c r="O38" s="68"/>
      <c r="P38" s="54"/>
      <c r="Q38" s="54"/>
      <c r="V38" s="639" t="s">
        <v>83</v>
      </c>
      <c r="W38" s="639"/>
      <c r="X38" s="639"/>
      <c r="Y38" s="639"/>
      <c r="Z38" s="639"/>
      <c r="AA38" s="639"/>
      <c r="AB38" s="639"/>
      <c r="AC38" s="639"/>
      <c r="AD38" s="102"/>
    </row>
    <row r="39" spans="1:30" ht="15.75" customHeight="1" x14ac:dyDescent="0.25">
      <c r="B39" s="103" t="s">
        <v>84</v>
      </c>
      <c r="C39" s="103"/>
      <c r="D39" s="103"/>
      <c r="E39" s="103"/>
      <c r="F39" s="103"/>
      <c r="G39" s="104">
        <v>34389540</v>
      </c>
      <c r="H39" s="104"/>
      <c r="I39" s="13" t="s">
        <v>85</v>
      </c>
      <c r="J39" s="13"/>
      <c r="K39" s="13"/>
      <c r="L39" s="13"/>
      <c r="O39" s="1"/>
      <c r="V39" s="640" t="s">
        <v>84</v>
      </c>
      <c r="W39" s="640"/>
      <c r="X39" s="641">
        <f>+G39</f>
        <v>34389540</v>
      </c>
      <c r="Y39" s="641"/>
      <c r="Z39" s="642" t="s">
        <v>85</v>
      </c>
      <c r="AA39" s="642"/>
      <c r="AB39" s="642"/>
      <c r="AC39" s="642"/>
      <c r="AD39" s="9"/>
    </row>
    <row r="40" spans="1:30" ht="15.75" customHeight="1" x14ac:dyDescent="0.25">
      <c r="B40" s="105" t="s">
        <v>86</v>
      </c>
      <c r="C40" s="105"/>
      <c r="D40" s="105"/>
      <c r="E40" s="105"/>
      <c r="F40" s="105"/>
      <c r="G40" s="106">
        <v>180284.81</v>
      </c>
      <c r="H40" s="106"/>
      <c r="I40" s="106"/>
      <c r="J40" s="106"/>
      <c r="K40" s="50">
        <f>ROUND(G39/G40,0)</f>
        <v>191</v>
      </c>
      <c r="L40" s="50">
        <f>ROUND(K40*$G$26,0)</f>
        <v>117946</v>
      </c>
      <c r="N40" s="107"/>
      <c r="O40" s="107"/>
      <c r="P40" s="107"/>
      <c r="Q40" s="107"/>
      <c r="V40" s="643" t="s">
        <v>86</v>
      </c>
      <c r="W40" s="643"/>
      <c r="X40" s="644">
        <f>+G40</f>
        <v>180284.81</v>
      </c>
      <c r="Y40" s="644"/>
      <c r="Z40" s="644"/>
      <c r="AA40" s="644"/>
      <c r="AB40" s="56">
        <f>ROUND(X39/X40,0)</f>
        <v>191</v>
      </c>
      <c r="AC40" s="56">
        <f>ROUND(AB40*$X$26,0)</f>
        <v>0</v>
      </c>
      <c r="AD40" s="9"/>
    </row>
    <row r="41" spans="1:30" ht="15.75" customHeight="1" x14ac:dyDescent="0.25">
      <c r="B41" s="108" t="s">
        <v>87</v>
      </c>
      <c r="C41" s="108"/>
      <c r="D41" s="108"/>
      <c r="E41" s="108"/>
      <c r="F41" s="108"/>
      <c r="G41" s="108"/>
      <c r="H41" s="108"/>
      <c r="I41" s="108"/>
      <c r="J41" s="108"/>
      <c r="K41" s="108"/>
      <c r="L41" s="108"/>
      <c r="N41" s="101"/>
      <c r="O41" s="109"/>
      <c r="P41" s="101"/>
      <c r="Q41" s="101"/>
      <c r="V41" s="652" t="s">
        <v>87</v>
      </c>
      <c r="W41" s="652"/>
      <c r="X41" s="652"/>
      <c r="Y41" s="652"/>
      <c r="Z41" s="652"/>
      <c r="AA41" s="652"/>
      <c r="AB41" s="652"/>
      <c r="AC41" s="652"/>
      <c r="AD41" s="9"/>
    </row>
    <row r="42" spans="1:30" ht="28.5" customHeight="1" x14ac:dyDescent="0.25">
      <c r="B42" s="99" t="s">
        <v>88</v>
      </c>
      <c r="C42" s="99"/>
      <c r="D42" s="99"/>
      <c r="E42" s="99"/>
      <c r="F42" s="99"/>
      <c r="G42" s="99"/>
      <c r="H42" s="99"/>
      <c r="I42" s="99"/>
      <c r="J42" s="99"/>
      <c r="K42" s="99"/>
      <c r="L42" s="99"/>
      <c r="M42" s="107"/>
      <c r="O42" s="1"/>
      <c r="V42" s="639" t="s">
        <v>88</v>
      </c>
      <c r="W42" s="639"/>
      <c r="X42" s="639"/>
      <c r="Y42" s="639"/>
      <c r="Z42" s="639"/>
      <c r="AA42" s="639"/>
      <c r="AB42" s="639"/>
      <c r="AC42" s="639"/>
      <c r="AD42" s="334"/>
    </row>
    <row r="43" spans="1:30" x14ac:dyDescent="0.25">
      <c r="B43" s="111" t="s">
        <v>89</v>
      </c>
      <c r="C43" s="111"/>
      <c r="D43" s="111"/>
      <c r="E43" s="111"/>
      <c r="F43" s="111"/>
      <c r="G43" s="111"/>
      <c r="H43" s="111"/>
      <c r="I43" s="111"/>
      <c r="J43" s="111"/>
      <c r="K43" s="111"/>
      <c r="L43" s="111"/>
      <c r="M43" s="112"/>
      <c r="N43" s="101"/>
      <c r="O43" s="101"/>
      <c r="P43" s="101"/>
      <c r="Q43" s="101"/>
      <c r="V43" s="653" t="s">
        <v>89</v>
      </c>
      <c r="W43" s="653"/>
      <c r="X43" s="653"/>
      <c r="Y43" s="653"/>
      <c r="Z43" s="653"/>
      <c r="AA43" s="653"/>
      <c r="AB43" s="653"/>
      <c r="AC43" s="653"/>
      <c r="AD43" s="113"/>
    </row>
    <row r="44" spans="1:30" ht="24" customHeight="1" x14ac:dyDescent="0.25">
      <c r="B44" s="62" t="s">
        <v>90</v>
      </c>
      <c r="C44" s="62"/>
      <c r="D44" s="62"/>
      <c r="E44" s="62"/>
      <c r="F44" s="62"/>
      <c r="G44" s="62"/>
      <c r="H44" s="62"/>
      <c r="I44" s="62"/>
      <c r="J44" s="62"/>
      <c r="K44" s="62"/>
      <c r="L44" s="114">
        <f>SUM(L26,L37,L40)</f>
        <v>2797294</v>
      </c>
      <c r="O44" s="1"/>
      <c r="V44" s="654" t="s">
        <v>90</v>
      </c>
      <c r="W44" s="654"/>
      <c r="X44" s="654"/>
      <c r="Y44" s="654"/>
      <c r="Z44" s="654"/>
      <c r="AA44" s="654"/>
      <c r="AB44" s="654"/>
      <c r="AC44" s="115">
        <f>SUM(AC26,AC37,AC40)</f>
        <v>0</v>
      </c>
      <c r="AD44" s="9"/>
    </row>
    <row r="45" spans="1:30" ht="30.75" customHeight="1" x14ac:dyDescent="0.25">
      <c r="B45" s="99" t="s">
        <v>91</v>
      </c>
      <c r="C45" s="99"/>
      <c r="D45" s="99"/>
      <c r="E45" s="99"/>
      <c r="F45" s="99"/>
      <c r="G45" s="99"/>
      <c r="H45" s="99"/>
      <c r="I45" s="99"/>
      <c r="J45" s="99"/>
      <c r="K45" s="99"/>
      <c r="L45" s="99"/>
      <c r="M45" s="116"/>
      <c r="O45" s="1"/>
      <c r="V45" s="639" t="s">
        <v>91</v>
      </c>
      <c r="W45" s="639"/>
      <c r="X45" s="639"/>
      <c r="Y45" s="639"/>
      <c r="Z45" s="639"/>
      <c r="AA45" s="639"/>
      <c r="AB45" s="639"/>
      <c r="AC45" s="639"/>
      <c r="AD45" s="333"/>
    </row>
    <row r="46" spans="1:30" ht="18.75" customHeight="1" x14ac:dyDescent="0.25">
      <c r="B46" s="1"/>
      <c r="C46" s="118" t="s">
        <v>92</v>
      </c>
      <c r="D46" s="118"/>
      <c r="E46" s="118"/>
      <c r="F46" s="118"/>
      <c r="G46" s="118" t="s">
        <v>93</v>
      </c>
      <c r="H46" s="119"/>
      <c r="I46" s="120" t="s">
        <v>94</v>
      </c>
      <c r="J46" s="121"/>
      <c r="K46" s="121"/>
      <c r="L46" s="121"/>
      <c r="M46" s="122"/>
      <c r="O46" s="1"/>
      <c r="V46" s="9"/>
      <c r="W46" s="336" t="s">
        <v>92</v>
      </c>
      <c r="X46" s="655" t="s">
        <v>95</v>
      </c>
      <c r="Y46" s="655"/>
      <c r="Z46" s="656" t="s">
        <v>94</v>
      </c>
      <c r="AA46" s="656"/>
      <c r="AB46" s="656"/>
      <c r="AC46" s="656"/>
      <c r="AD46" s="124"/>
    </row>
    <row r="47" spans="1:30" ht="18.75" customHeight="1" x14ac:dyDescent="0.25">
      <c r="B47" s="107" t="s">
        <v>96</v>
      </c>
      <c r="C47" s="125">
        <f>K10+K11+K16+K19+K22</f>
        <v>399.62310000000002</v>
      </c>
      <c r="D47" s="125"/>
      <c r="E47" s="125"/>
      <c r="F47" s="125"/>
      <c r="G47" s="126">
        <f>K7</f>
        <v>1.0326</v>
      </c>
      <c r="H47" s="126"/>
      <c r="I47" s="127">
        <v>1316.85</v>
      </c>
      <c r="J47" s="128" t="s">
        <v>97</v>
      </c>
      <c r="K47" s="129">
        <f>ROUND(C47*G47*I47,0)</f>
        <v>543399</v>
      </c>
      <c r="L47" s="130"/>
      <c r="O47" s="1"/>
      <c r="V47" s="334" t="s">
        <v>96</v>
      </c>
      <c r="W47" s="131">
        <f>AB10+AB11+AB16+AB19+AB22</f>
        <v>0</v>
      </c>
      <c r="X47" s="647">
        <f>AB7</f>
        <v>1.0326</v>
      </c>
      <c r="Y47" s="647"/>
      <c r="Z47" s="132">
        <f>+I47</f>
        <v>1316.85</v>
      </c>
      <c r="AA47" s="133" t="s">
        <v>97</v>
      </c>
      <c r="AB47" s="134">
        <f>ROUND(W47*X47*Z47,0)</f>
        <v>0</v>
      </c>
      <c r="AC47" s="135"/>
      <c r="AD47" s="9"/>
    </row>
    <row r="48" spans="1:30" ht="18" customHeight="1" x14ac:dyDescent="0.25">
      <c r="B48" s="136" t="s">
        <v>74</v>
      </c>
      <c r="C48" s="125">
        <f>K12+K13+K17+K20+K23</f>
        <v>266.08170000000001</v>
      </c>
      <c r="D48" s="125"/>
      <c r="E48" s="125"/>
      <c r="F48" s="125"/>
      <c r="G48" s="126">
        <f>K7</f>
        <v>1.0326</v>
      </c>
      <c r="H48" s="126"/>
      <c r="I48" s="127">
        <v>898.23</v>
      </c>
      <c r="J48" s="128" t="s">
        <v>97</v>
      </c>
      <c r="K48" s="129">
        <f>ROUND(C48*G48*I48,0)</f>
        <v>246794</v>
      </c>
      <c r="L48" s="62"/>
      <c r="O48" s="1"/>
      <c r="V48" s="137" t="s">
        <v>74</v>
      </c>
      <c r="W48" s="131">
        <f>AB12+AB13+AB17+AB20+AB23</f>
        <v>0</v>
      </c>
      <c r="X48" s="647">
        <f>AB7</f>
        <v>1.0326</v>
      </c>
      <c r="Y48" s="647"/>
      <c r="Z48" s="132">
        <f>+I48</f>
        <v>898.23</v>
      </c>
      <c r="AA48" s="133" t="s">
        <v>97</v>
      </c>
      <c r="AB48" s="134">
        <f>ROUND(W48*X48*Z48,0)</f>
        <v>0</v>
      </c>
      <c r="AC48" s="138"/>
      <c r="AD48" s="9"/>
    </row>
    <row r="49" spans="2:30" ht="19.5" customHeight="1" thickBot="1" x14ac:dyDescent="0.3">
      <c r="B49" s="139" t="s">
        <v>78</v>
      </c>
      <c r="C49" s="140">
        <f>K14+K15+K18+K21+K24+K25</f>
        <v>0</v>
      </c>
      <c r="D49" s="125"/>
      <c r="E49" s="125"/>
      <c r="F49" s="125"/>
      <c r="G49" s="126">
        <f>K7</f>
        <v>1.0326</v>
      </c>
      <c r="H49" s="126"/>
      <c r="I49" s="127">
        <v>900.39</v>
      </c>
      <c r="J49" s="128" t="s">
        <v>97</v>
      </c>
      <c r="K49" s="129">
        <f>ROUND(C49*G49*I49,0)</f>
        <v>0</v>
      </c>
      <c r="L49" s="62"/>
      <c r="M49" s="112"/>
      <c r="N49" s="141"/>
      <c r="O49" s="142"/>
      <c r="P49" s="101"/>
      <c r="Q49" s="143"/>
      <c r="V49" s="144" t="s">
        <v>78</v>
      </c>
      <c r="W49" s="145">
        <f>AB14+AB15+AB18+AB21+AB24+AB25</f>
        <v>0</v>
      </c>
      <c r="X49" s="647">
        <f>AB7</f>
        <v>1.0326</v>
      </c>
      <c r="Y49" s="647"/>
      <c r="Z49" s="132">
        <f>+I49</f>
        <v>900.39</v>
      </c>
      <c r="AA49" s="133" t="s">
        <v>97</v>
      </c>
      <c r="AB49" s="134">
        <f>ROUND(W49*X49*Z49,0)</f>
        <v>0</v>
      </c>
      <c r="AC49" s="138"/>
      <c r="AD49" s="113"/>
    </row>
    <row r="50" spans="2:30" ht="24" customHeight="1" thickBot="1" x14ac:dyDescent="0.3">
      <c r="B50" s="146" t="s">
        <v>98</v>
      </c>
      <c r="C50" s="147">
        <f>SUM(C47:C49)</f>
        <v>665.70479999999998</v>
      </c>
      <c r="D50" s="148"/>
      <c r="E50" s="149"/>
      <c r="F50" s="149"/>
      <c r="G50" s="150" t="s">
        <v>99</v>
      </c>
      <c r="H50" s="150"/>
      <c r="I50" s="150"/>
      <c r="J50" s="150"/>
      <c r="K50" s="150"/>
      <c r="L50" s="50">
        <f>IF(B2=75,0,K49+K48+K47)</f>
        <v>790193</v>
      </c>
      <c r="N50" s="3"/>
      <c r="O50" s="1"/>
      <c r="V50" s="335" t="s">
        <v>98</v>
      </c>
      <c r="W50" s="152">
        <f>SUM(W47:W49)</f>
        <v>0</v>
      </c>
      <c r="X50" s="648" t="s">
        <v>99</v>
      </c>
      <c r="Y50" s="649"/>
      <c r="Z50" s="649"/>
      <c r="AA50" s="649"/>
      <c r="AB50" s="649"/>
      <c r="AC50" s="56">
        <f>IF(V2=75,0,AB49+AB48+AB47)</f>
        <v>0</v>
      </c>
      <c r="AD50" s="9"/>
    </row>
    <row r="51" spans="2:30" ht="19.5" customHeight="1" x14ac:dyDescent="0.25">
      <c r="B51" s="153" t="s">
        <v>100</v>
      </c>
      <c r="C51" s="153"/>
      <c r="D51" s="153"/>
      <c r="E51" s="153"/>
      <c r="F51" s="153"/>
      <c r="G51" s="153"/>
      <c r="H51" s="153"/>
      <c r="I51" s="153"/>
      <c r="J51" s="153"/>
      <c r="K51" s="153"/>
      <c r="L51" s="153"/>
      <c r="M51" s="141"/>
      <c r="N51" s="101"/>
      <c r="O51" s="1"/>
      <c r="V51" s="650" t="s">
        <v>100</v>
      </c>
      <c r="W51" s="650"/>
      <c r="X51" s="650"/>
      <c r="Y51" s="650"/>
      <c r="Z51" s="650"/>
      <c r="AA51" s="650"/>
      <c r="AB51" s="650"/>
      <c r="AC51" s="650"/>
      <c r="AD51" s="154"/>
    </row>
    <row r="52" spans="2:30" ht="27.75" customHeight="1" x14ac:dyDescent="0.25">
      <c r="B52" s="13" t="s">
        <v>101</v>
      </c>
      <c r="C52" s="13"/>
      <c r="D52" s="13"/>
      <c r="E52" s="13"/>
      <c r="F52" s="13"/>
      <c r="G52" s="13"/>
      <c r="H52" s="13"/>
      <c r="I52" s="13"/>
      <c r="J52" s="13"/>
      <c r="K52" s="13"/>
      <c r="L52" s="13"/>
      <c r="O52" s="1"/>
      <c r="V52" s="651" t="s">
        <v>101</v>
      </c>
      <c r="W52" s="651"/>
      <c r="X52" s="651"/>
      <c r="Y52" s="651"/>
      <c r="Z52" s="651"/>
      <c r="AA52" s="651"/>
      <c r="AB52" s="651"/>
      <c r="AC52" s="651"/>
      <c r="AD52" s="9"/>
    </row>
    <row r="53" spans="2:30" x14ac:dyDescent="0.25">
      <c r="B53" s="13" t="s">
        <v>102</v>
      </c>
      <c r="C53" s="13"/>
      <c r="D53" s="13"/>
      <c r="E53" s="13"/>
      <c r="F53" s="13"/>
      <c r="G53" s="155">
        <f>K26</f>
        <v>665.70480000000009</v>
      </c>
      <c r="H53" s="57" t="s">
        <v>103</v>
      </c>
      <c r="I53" s="57"/>
      <c r="J53" s="156">
        <v>197823.77</v>
      </c>
      <c r="K53" s="156"/>
      <c r="L53" s="156"/>
      <c r="N53" s="3"/>
      <c r="O53" s="1"/>
      <c r="V53" s="657" t="s">
        <v>102</v>
      </c>
      <c r="W53" s="657"/>
      <c r="X53" s="157">
        <f>AB26</f>
        <v>0</v>
      </c>
      <c r="Y53" s="658" t="s">
        <v>103</v>
      </c>
      <c r="Z53" s="658"/>
      <c r="AA53" s="659">
        <f>+J53</f>
        <v>197823.77</v>
      </c>
      <c r="AB53" s="659"/>
      <c r="AC53" s="659"/>
      <c r="AD53" s="9"/>
    </row>
    <row r="54" spans="2:30" x14ac:dyDescent="0.25">
      <c r="B54" s="13" t="s">
        <v>104</v>
      </c>
      <c r="C54" s="13"/>
      <c r="D54" s="13"/>
      <c r="E54" s="13"/>
      <c r="F54" s="13"/>
      <c r="G54" s="13"/>
      <c r="H54" s="13"/>
      <c r="I54" s="13"/>
      <c r="J54" s="13"/>
      <c r="K54" s="158">
        <f>ROUND(G53/J53,6)</f>
        <v>3.3649999999999999E-3</v>
      </c>
      <c r="L54" s="158"/>
      <c r="N54" s="101"/>
      <c r="O54" s="1"/>
      <c r="V54" s="657" t="s">
        <v>104</v>
      </c>
      <c r="W54" s="657"/>
      <c r="X54" s="657"/>
      <c r="Y54" s="657"/>
      <c r="Z54" s="657"/>
      <c r="AA54" s="657"/>
      <c r="AB54" s="660">
        <f>ROUND(X53/AA53,6)</f>
        <v>0</v>
      </c>
      <c r="AC54" s="660"/>
      <c r="AD54" s="9"/>
    </row>
    <row r="55" spans="2:30" ht="24" customHeight="1" x14ac:dyDescent="0.25">
      <c r="B55" s="13" t="s">
        <v>105</v>
      </c>
      <c r="C55" s="13"/>
      <c r="D55" s="13"/>
      <c r="E55" s="13"/>
      <c r="F55" s="13"/>
      <c r="G55" s="13"/>
      <c r="H55" s="13"/>
      <c r="I55" s="13"/>
      <c r="J55" s="13"/>
      <c r="K55" s="13"/>
      <c r="L55" s="13"/>
      <c r="O55" s="1"/>
      <c r="V55" s="651" t="s">
        <v>105</v>
      </c>
      <c r="W55" s="651"/>
      <c r="X55" s="651"/>
      <c r="Y55" s="651"/>
      <c r="Z55" s="651"/>
      <c r="AA55" s="651"/>
      <c r="AB55" s="651"/>
      <c r="AC55" s="651"/>
      <c r="AD55" s="9"/>
    </row>
    <row r="56" spans="2:30" x14ac:dyDescent="0.25">
      <c r="B56" s="13" t="s">
        <v>106</v>
      </c>
      <c r="C56" s="13"/>
      <c r="D56" s="13"/>
      <c r="E56" s="13"/>
      <c r="F56" s="13"/>
      <c r="G56" s="159">
        <f>G26</f>
        <v>617.5200000000001</v>
      </c>
      <c r="H56" s="57" t="s">
        <v>107</v>
      </c>
      <c r="I56" s="57"/>
      <c r="J56" s="156">
        <f>+G40</f>
        <v>180284.81</v>
      </c>
      <c r="K56" s="156"/>
      <c r="L56" s="156"/>
      <c r="O56" s="1"/>
      <c r="V56" s="657" t="s">
        <v>106</v>
      </c>
      <c r="W56" s="657"/>
      <c r="X56" s="160">
        <f>X26</f>
        <v>0</v>
      </c>
      <c r="Y56" s="658" t="s">
        <v>107</v>
      </c>
      <c r="Z56" s="658"/>
      <c r="AA56" s="659">
        <f>+J56</f>
        <v>180284.81</v>
      </c>
      <c r="AB56" s="659"/>
      <c r="AC56" s="659"/>
      <c r="AD56" s="9"/>
    </row>
    <row r="57" spans="2:30" x14ac:dyDescent="0.25">
      <c r="B57" s="13" t="s">
        <v>108</v>
      </c>
      <c r="C57" s="13"/>
      <c r="D57" s="13"/>
      <c r="E57" s="13"/>
      <c r="F57" s="13"/>
      <c r="G57" s="13"/>
      <c r="H57" s="13"/>
      <c r="I57" s="13"/>
      <c r="J57" s="13"/>
      <c r="K57" s="158">
        <f>ROUND(G56/J56,6)</f>
        <v>3.4250000000000001E-3</v>
      </c>
      <c r="L57" s="158"/>
      <c r="O57" s="1"/>
      <c r="V57" s="657" t="s">
        <v>108</v>
      </c>
      <c r="W57" s="657"/>
      <c r="X57" s="657"/>
      <c r="Y57" s="657"/>
      <c r="Z57" s="657"/>
      <c r="AA57" s="657"/>
      <c r="AB57" s="660">
        <f>ROUND(X56/AA56,6)</f>
        <v>0</v>
      </c>
      <c r="AC57" s="660"/>
      <c r="AD57" s="9"/>
    </row>
    <row r="58" spans="2:30" ht="20.25" customHeight="1" x14ac:dyDescent="0.25">
      <c r="B58" s="161" t="s">
        <v>109</v>
      </c>
      <c r="C58" s="161"/>
      <c r="D58" s="161"/>
      <c r="E58" s="161"/>
      <c r="F58" s="161"/>
      <c r="G58" s="161"/>
      <c r="H58" s="161"/>
      <c r="I58" s="161"/>
      <c r="J58" s="161"/>
      <c r="K58" s="161"/>
      <c r="L58" s="161"/>
      <c r="N58" s="18"/>
      <c r="O58" s="18"/>
      <c r="V58" s="629" t="s">
        <v>110</v>
      </c>
      <c r="W58" s="629"/>
      <c r="X58" s="629"/>
      <c r="Y58" s="661">
        <f>X65+X64+X62+X61+X60</f>
        <v>4123852</v>
      </c>
      <c r="Z58" s="661"/>
      <c r="AA58" s="332" t="s">
        <v>111</v>
      </c>
      <c r="AB58" s="163">
        <f>AB54</f>
        <v>0</v>
      </c>
      <c r="AC58" s="56">
        <f>ROUND(Y58*AB58,0)</f>
        <v>0</v>
      </c>
      <c r="AD58" s="9"/>
    </row>
    <row r="59" spans="2:30" x14ac:dyDescent="0.25">
      <c r="B59" s="62" t="s">
        <v>110</v>
      </c>
      <c r="C59" s="62"/>
      <c r="D59" s="62"/>
      <c r="E59" s="62"/>
      <c r="F59" s="62"/>
      <c r="G59" s="62"/>
      <c r="H59" s="164" t="s">
        <v>22</v>
      </c>
      <c r="I59" s="129">
        <v>4123852</v>
      </c>
      <c r="J59" s="165" t="s">
        <v>111</v>
      </c>
      <c r="K59" s="166">
        <f>K54</f>
        <v>3.3649999999999999E-3</v>
      </c>
      <c r="L59" s="50">
        <f>ROUND(I59*K59,0)</f>
        <v>13877</v>
      </c>
      <c r="O59" s="1"/>
      <c r="P59" s="165"/>
      <c r="Q59" s="165"/>
      <c r="V59" s="662" t="s">
        <v>112</v>
      </c>
      <c r="W59" s="662"/>
      <c r="X59" s="662"/>
      <c r="Y59" s="662"/>
      <c r="Z59" s="662"/>
      <c r="AA59" s="662"/>
      <c r="AB59" s="662"/>
      <c r="AC59" s="662"/>
      <c r="AD59" s="9"/>
    </row>
    <row r="60" spans="2:30" x14ac:dyDescent="0.25">
      <c r="B60" s="62" t="s">
        <v>112</v>
      </c>
      <c r="C60" s="62"/>
      <c r="D60" s="62"/>
      <c r="E60" s="62"/>
      <c r="F60" s="62"/>
      <c r="G60" s="62"/>
      <c r="H60" s="62"/>
      <c r="I60" s="62"/>
      <c r="J60" s="62"/>
      <c r="K60" s="62"/>
      <c r="L60" s="62"/>
      <c r="O60" s="1"/>
      <c r="P60" s="165"/>
      <c r="Q60" s="165"/>
      <c r="V60" s="663" t="s">
        <v>113</v>
      </c>
      <c r="W60" s="663"/>
      <c r="X60" s="664">
        <f>+G61</f>
        <v>0</v>
      </c>
      <c r="Y60" s="664"/>
      <c r="Z60" s="664"/>
      <c r="AA60" s="664"/>
      <c r="AB60" s="664"/>
      <c r="AC60" s="664"/>
      <c r="AD60" s="9"/>
    </row>
    <row r="61" spans="2:30" ht="15" customHeight="1" x14ac:dyDescent="0.25">
      <c r="B61" s="167" t="s">
        <v>113</v>
      </c>
      <c r="C61" s="62"/>
      <c r="D61" s="62"/>
      <c r="E61" s="62"/>
      <c r="F61" s="62"/>
      <c r="G61" s="168">
        <v>0</v>
      </c>
      <c r="H61" s="168"/>
      <c r="I61" s="168"/>
      <c r="J61" s="168"/>
      <c r="K61" s="168"/>
      <c r="L61" s="168"/>
      <c r="O61" s="1"/>
      <c r="P61" s="165"/>
      <c r="Q61" s="165"/>
      <c r="V61" s="663" t="s">
        <v>114</v>
      </c>
      <c r="W61" s="663"/>
      <c r="X61" s="664">
        <f>+G62</f>
        <v>0</v>
      </c>
      <c r="Y61" s="664"/>
      <c r="Z61" s="664"/>
      <c r="AA61" s="664"/>
      <c r="AB61" s="664"/>
      <c r="AC61" s="664"/>
      <c r="AD61" s="9"/>
    </row>
    <row r="62" spans="2:30" ht="13.5" customHeight="1" x14ac:dyDescent="0.25">
      <c r="B62" s="167" t="s">
        <v>114</v>
      </c>
      <c r="C62" s="62"/>
      <c r="D62" s="62"/>
      <c r="E62" s="62"/>
      <c r="F62" s="62"/>
      <c r="G62" s="168">
        <v>0</v>
      </c>
      <c r="H62" s="168"/>
      <c r="I62" s="168"/>
      <c r="J62" s="168"/>
      <c r="K62" s="168"/>
      <c r="L62" s="168"/>
      <c r="N62" s="165"/>
      <c r="O62" s="165"/>
      <c r="P62" s="165"/>
      <c r="Q62" s="165"/>
      <c r="V62" s="663" t="s">
        <v>115</v>
      </c>
      <c r="W62" s="663"/>
      <c r="X62" s="664">
        <v>0</v>
      </c>
      <c r="Y62" s="664"/>
      <c r="Z62" s="664"/>
      <c r="AA62" s="664"/>
      <c r="AB62" s="664"/>
      <c r="AC62" s="664"/>
      <c r="AD62" s="9"/>
    </row>
    <row r="63" spans="2:30" ht="13.5" hidden="1" customHeight="1" x14ac:dyDescent="0.25">
      <c r="B63" s="62" t="s">
        <v>115</v>
      </c>
      <c r="C63" s="62"/>
      <c r="D63" s="62"/>
      <c r="E63" s="62"/>
      <c r="F63" s="62"/>
      <c r="G63" s="168">
        <v>0</v>
      </c>
      <c r="H63" s="168"/>
      <c r="I63" s="168"/>
      <c r="J63" s="168"/>
      <c r="K63" s="168"/>
      <c r="L63" s="168"/>
      <c r="O63" s="1"/>
      <c r="P63" s="165"/>
      <c r="Q63" s="165"/>
      <c r="V63" s="662" t="s">
        <v>116</v>
      </c>
      <c r="W63" s="662"/>
      <c r="X63" s="662"/>
      <c r="Y63" s="662"/>
      <c r="Z63" s="662"/>
      <c r="AA63" s="662"/>
      <c r="AB63" s="662"/>
      <c r="AC63" s="662"/>
      <c r="AD63" s="333"/>
    </row>
    <row r="64" spans="2:30" ht="13.5" customHeight="1" x14ac:dyDescent="0.25">
      <c r="B64" s="62" t="s">
        <v>116</v>
      </c>
      <c r="C64" s="62"/>
      <c r="D64" s="62"/>
      <c r="E64" s="62"/>
      <c r="F64" s="62"/>
      <c r="G64" s="62"/>
      <c r="H64" s="62"/>
      <c r="I64" s="62"/>
      <c r="J64" s="62"/>
      <c r="K64" s="62"/>
      <c r="L64" s="62"/>
      <c r="M64" s="116"/>
      <c r="N64" s="18"/>
      <c r="O64" s="1"/>
      <c r="V64" s="663" t="s">
        <v>117</v>
      </c>
      <c r="W64" s="663"/>
      <c r="X64" s="664">
        <f>+G65</f>
        <v>4123852</v>
      </c>
      <c r="Y64" s="664"/>
      <c r="Z64" s="664"/>
      <c r="AA64" s="664"/>
      <c r="AB64" s="664"/>
      <c r="AC64" s="664"/>
      <c r="AD64" s="9"/>
    </row>
    <row r="65" spans="1:30" ht="12.75" customHeight="1" x14ac:dyDescent="0.25">
      <c r="B65" s="167" t="s">
        <v>117</v>
      </c>
      <c r="C65" s="62"/>
      <c r="D65" s="62"/>
      <c r="E65" s="62"/>
      <c r="F65" s="62"/>
      <c r="G65" s="168">
        <f>+I59</f>
        <v>4123852</v>
      </c>
      <c r="H65" s="168"/>
      <c r="I65" s="168"/>
      <c r="J65" s="168"/>
      <c r="K65" s="168"/>
      <c r="L65" s="168"/>
      <c r="O65" s="1"/>
      <c r="V65" s="663" t="s">
        <v>118</v>
      </c>
      <c r="W65" s="663"/>
      <c r="X65" s="664">
        <f>+G66</f>
        <v>0</v>
      </c>
      <c r="Y65" s="664"/>
      <c r="Z65" s="664"/>
      <c r="AA65" s="664"/>
      <c r="AB65" s="664"/>
      <c r="AC65" s="664"/>
      <c r="AD65" s="20"/>
    </row>
    <row r="66" spans="1:30" ht="15" customHeight="1" x14ac:dyDescent="0.25">
      <c r="B66" s="167" t="s">
        <v>118</v>
      </c>
      <c r="C66" s="62"/>
      <c r="D66" s="62"/>
      <c r="E66" s="62"/>
      <c r="F66" s="62"/>
      <c r="G66" s="168">
        <v>0</v>
      </c>
      <c r="H66" s="168"/>
      <c r="I66" s="168"/>
      <c r="J66" s="168"/>
      <c r="K66" s="168"/>
      <c r="L66" s="168"/>
      <c r="M66" s="18"/>
      <c r="N66" s="3"/>
      <c r="O66" s="169"/>
      <c r="P66" s="169"/>
      <c r="Q66" s="169"/>
      <c r="V66" s="651" t="s">
        <v>119</v>
      </c>
      <c r="W66" s="651"/>
      <c r="X66" s="651"/>
      <c r="Y66" s="661">
        <f>+I67</f>
        <v>96774526</v>
      </c>
      <c r="Z66" s="661"/>
      <c r="AA66" s="332" t="s">
        <v>111</v>
      </c>
      <c r="AB66" s="163">
        <f>AB54</f>
        <v>0</v>
      </c>
      <c r="AC66" s="56">
        <f>ROUND(Y66*AB66,0)</f>
        <v>0</v>
      </c>
      <c r="AD66" s="9"/>
    </row>
    <row r="67" spans="1:30" ht="20.25" customHeight="1" x14ac:dyDescent="0.25">
      <c r="B67" s="13" t="s">
        <v>119</v>
      </c>
      <c r="C67" s="13"/>
      <c r="D67" s="13"/>
      <c r="E67" s="13"/>
      <c r="F67" s="13"/>
      <c r="H67" s="164" t="s">
        <v>25</v>
      </c>
      <c r="I67" s="129">
        <v>96774526</v>
      </c>
      <c r="J67" s="165" t="s">
        <v>111</v>
      </c>
      <c r="K67" s="166">
        <f>K54</f>
        <v>3.3649999999999999E-3</v>
      </c>
      <c r="L67" s="50">
        <f>ROUND(I67*K67,0)</f>
        <v>325646</v>
      </c>
      <c r="O67" s="1"/>
      <c r="V67" s="651" t="s">
        <v>120</v>
      </c>
      <c r="W67" s="651"/>
      <c r="X67" s="651"/>
      <c r="Y67" s="651"/>
      <c r="Z67" s="651"/>
      <c r="AA67" s="651"/>
      <c r="AB67" s="651"/>
      <c r="AC67" s="651"/>
      <c r="AD67" s="9"/>
    </row>
    <row r="68" spans="1:30" ht="20.25" customHeight="1" x14ac:dyDescent="0.25">
      <c r="B68" s="13" t="s">
        <v>120</v>
      </c>
      <c r="C68" s="13"/>
      <c r="D68" s="13"/>
      <c r="E68" s="13"/>
      <c r="F68" s="13"/>
      <c r="H68" s="13"/>
      <c r="I68" s="13"/>
      <c r="J68" s="82"/>
      <c r="K68" s="13"/>
      <c r="L68" s="13"/>
      <c r="O68" s="1"/>
      <c r="V68" s="667" t="s">
        <v>121</v>
      </c>
      <c r="W68" s="667"/>
      <c r="X68" s="667"/>
      <c r="Y68" s="661">
        <f>+I69</f>
        <v>0</v>
      </c>
      <c r="Z68" s="661"/>
      <c r="AA68" s="332" t="s">
        <v>111</v>
      </c>
      <c r="AB68" s="163">
        <f>AB57</f>
        <v>0</v>
      </c>
      <c r="AC68" s="56">
        <f>ROUND(Y68*AB68,0)</f>
        <v>0</v>
      </c>
      <c r="AD68" s="9"/>
    </row>
    <row r="69" spans="1:30" ht="15" customHeight="1" x14ac:dyDescent="0.25">
      <c r="B69" s="170" t="s">
        <v>121</v>
      </c>
      <c r="C69" s="13"/>
      <c r="D69" s="13"/>
      <c r="E69" s="13"/>
      <c r="F69" s="13"/>
      <c r="H69" s="164" t="s">
        <v>23</v>
      </c>
      <c r="I69" s="129">
        <v>0</v>
      </c>
      <c r="J69" s="165" t="s">
        <v>111</v>
      </c>
      <c r="K69" s="166">
        <f>K57</f>
        <v>3.4250000000000001E-3</v>
      </c>
      <c r="L69" s="50">
        <f>ROUND(I69*K69,0)</f>
        <v>0</v>
      </c>
      <c r="O69" s="1"/>
      <c r="V69" s="651" t="s">
        <v>122</v>
      </c>
      <c r="W69" s="651"/>
      <c r="X69" s="651"/>
      <c r="Y69" s="668">
        <f>+I70</f>
        <v>-3460775</v>
      </c>
      <c r="Z69" s="668"/>
      <c r="AA69" s="332" t="s">
        <v>111</v>
      </c>
      <c r="AB69" s="163">
        <f>AB54</f>
        <v>0</v>
      </c>
      <c r="AC69" s="56">
        <f>ROUND(Y69*AB69,0)</f>
        <v>0</v>
      </c>
      <c r="AD69" s="9"/>
    </row>
    <row r="70" spans="1:30" ht="20.25" customHeight="1" x14ac:dyDescent="0.25">
      <c r="B70" s="13" t="s">
        <v>122</v>
      </c>
      <c r="C70" s="13"/>
      <c r="D70" s="13"/>
      <c r="E70" s="13"/>
      <c r="F70" s="13"/>
      <c r="H70" s="164" t="s">
        <v>22</v>
      </c>
      <c r="I70" s="129">
        <v>-3460775</v>
      </c>
      <c r="J70" s="165" t="s">
        <v>111</v>
      </c>
      <c r="K70" s="166">
        <f>K54</f>
        <v>3.3649999999999999E-3</v>
      </c>
      <c r="L70" s="50">
        <f>ROUND(I70*K70,0)</f>
        <v>-11646</v>
      </c>
      <c r="O70" s="1"/>
      <c r="V70" s="651" t="s">
        <v>123</v>
      </c>
      <c r="W70" s="651"/>
      <c r="X70" s="651"/>
      <c r="Y70" s="665">
        <f>+I71</f>
        <v>1874788</v>
      </c>
      <c r="Z70" s="665"/>
      <c r="AA70" s="332" t="s">
        <v>111</v>
      </c>
      <c r="AB70" s="163">
        <f>AB54</f>
        <v>0</v>
      </c>
      <c r="AC70" s="56">
        <f>ROUND(Y70*AB70,0)</f>
        <v>0</v>
      </c>
      <c r="AD70" s="9"/>
    </row>
    <row r="71" spans="1:30" ht="20.25" customHeight="1" x14ac:dyDescent="0.25">
      <c r="B71" s="13" t="s">
        <v>123</v>
      </c>
      <c r="C71" s="13"/>
      <c r="D71" s="13"/>
      <c r="E71" s="13"/>
      <c r="F71" s="13"/>
      <c r="H71" s="164" t="s">
        <v>22</v>
      </c>
      <c r="I71" s="129">
        <v>1874788</v>
      </c>
      <c r="J71" s="165" t="s">
        <v>111</v>
      </c>
      <c r="K71" s="166">
        <f>K54</f>
        <v>3.3649999999999999E-3</v>
      </c>
      <c r="L71" s="50">
        <f>ROUND(I71*K71,0)</f>
        <v>6309</v>
      </c>
      <c r="O71" s="1"/>
      <c r="V71" s="651" t="s">
        <v>124</v>
      </c>
      <c r="W71" s="651"/>
      <c r="X71" s="651"/>
      <c r="Y71" s="665">
        <f>+I72</f>
        <v>14223298</v>
      </c>
      <c r="Z71" s="665"/>
      <c r="AA71" s="332" t="s">
        <v>111</v>
      </c>
      <c r="AB71" s="163">
        <f>AB57</f>
        <v>0</v>
      </c>
      <c r="AC71" s="56">
        <f>ROUND(Y71*AB71,0)</f>
        <v>0</v>
      </c>
      <c r="AD71" s="9"/>
    </row>
    <row r="72" spans="1:30" ht="21" customHeight="1" x14ac:dyDescent="0.25">
      <c r="B72" s="13" t="s">
        <v>124</v>
      </c>
      <c r="C72" s="13"/>
      <c r="D72" s="13"/>
      <c r="E72" s="13"/>
      <c r="F72" s="13"/>
      <c r="H72" s="164" t="s">
        <v>23</v>
      </c>
      <c r="I72" s="171">
        <v>14223298</v>
      </c>
      <c r="J72" s="165" t="s">
        <v>111</v>
      </c>
      <c r="K72" s="166">
        <f>K57</f>
        <v>3.4250000000000001E-3</v>
      </c>
      <c r="L72" s="50">
        <f>ROUND(I72*K72,0)</f>
        <v>48715</v>
      </c>
      <c r="O72" s="1"/>
      <c r="V72" s="623" t="s">
        <v>125</v>
      </c>
      <c r="W72" s="623"/>
      <c r="X72" s="623"/>
      <c r="Y72" s="623"/>
      <c r="Z72" s="623"/>
      <c r="AA72" s="623"/>
      <c r="AB72" s="623"/>
      <c r="AC72" s="60"/>
      <c r="AD72" s="9"/>
    </row>
    <row r="73" spans="1:30" ht="17.25" customHeight="1" x14ac:dyDescent="0.25">
      <c r="B73" s="13" t="s">
        <v>125</v>
      </c>
      <c r="C73" s="13"/>
      <c r="D73" s="13"/>
      <c r="E73" s="13"/>
      <c r="F73" s="13"/>
      <c r="H73" s="13"/>
      <c r="I73" s="13"/>
      <c r="J73" s="82"/>
      <c r="K73" s="13"/>
      <c r="L73" s="59"/>
      <c r="O73" s="1"/>
      <c r="V73" s="651" t="s">
        <v>126</v>
      </c>
      <c r="W73" s="651"/>
      <c r="X73" s="651"/>
      <c r="Y73" s="651"/>
      <c r="Z73" s="651"/>
      <c r="AA73" s="651"/>
      <c r="AB73" s="651"/>
      <c r="AC73" s="651"/>
      <c r="AD73" s="9"/>
    </row>
    <row r="74" spans="1:30" ht="31.5" x14ac:dyDescent="0.25">
      <c r="B74" s="13" t="s">
        <v>126</v>
      </c>
      <c r="C74" s="13"/>
      <c r="D74" s="27" t="s">
        <v>13</v>
      </c>
      <c r="E74" s="27" t="s">
        <v>14</v>
      </c>
      <c r="F74" s="27"/>
      <c r="H74" s="164" t="s">
        <v>26</v>
      </c>
      <c r="I74" s="172"/>
      <c r="J74" s="164"/>
      <c r="K74" s="172"/>
      <c r="L74" s="112"/>
      <c r="O74" s="1"/>
      <c r="V74" s="666" t="s">
        <v>127</v>
      </c>
      <c r="W74" s="666"/>
      <c r="X74" s="173" t="s">
        <v>128</v>
      </c>
      <c r="Y74" s="174"/>
      <c r="Z74" s="175">
        <f>+I75</f>
        <v>9.5</v>
      </c>
      <c r="AA74" s="331" t="s">
        <v>129</v>
      </c>
      <c r="AB74" s="177">
        <f>+K75</f>
        <v>361</v>
      </c>
      <c r="AC74" s="56">
        <f>ROUND(AB74*Z74,0)</f>
        <v>3430</v>
      </c>
      <c r="AD74" s="9"/>
    </row>
    <row r="75" spans="1:30" ht="19.5" customHeight="1" x14ac:dyDescent="0.25">
      <c r="A75" s="1" t="s">
        <v>130</v>
      </c>
      <c r="B75" s="178" t="s">
        <v>127</v>
      </c>
      <c r="C75" s="179" t="s">
        <v>128</v>
      </c>
      <c r="D75" s="178">
        <v>6</v>
      </c>
      <c r="E75" s="178">
        <v>13</v>
      </c>
      <c r="F75" s="178">
        <v>0</v>
      </c>
      <c r="G75" s="180">
        <f>IF(E75=0,D75,E75)</f>
        <v>13</v>
      </c>
      <c r="H75" s="181"/>
      <c r="I75" s="182">
        <f>AVERAGE(G75,D75)</f>
        <v>9.5</v>
      </c>
      <c r="J75" s="183" t="s">
        <v>129</v>
      </c>
      <c r="K75" s="184">
        <v>361</v>
      </c>
      <c r="L75" s="50">
        <f>ROUND(K75*I75,0)</f>
        <v>3430</v>
      </c>
      <c r="N75" s="1">
        <v>7802</v>
      </c>
      <c r="O75" s="1">
        <v>0</v>
      </c>
      <c r="V75" s="666" t="s">
        <v>127</v>
      </c>
      <c r="W75" s="666"/>
      <c r="X75" s="173" t="s">
        <v>131</v>
      </c>
      <c r="Y75" s="185"/>
      <c r="Z75" s="186">
        <f>+I76</f>
        <v>0</v>
      </c>
      <c r="AA75" s="331" t="s">
        <v>129</v>
      </c>
      <c r="AB75" s="187">
        <f>+K76</f>
        <v>1358</v>
      </c>
      <c r="AC75" s="56">
        <f>ROUND(AB75*Z75,0)</f>
        <v>0</v>
      </c>
      <c r="AD75" s="9"/>
    </row>
    <row r="76" spans="1:30" ht="19.5" customHeight="1" x14ac:dyDescent="0.25">
      <c r="A76" s="1" t="s">
        <v>132</v>
      </c>
      <c r="B76" s="178" t="s">
        <v>127</v>
      </c>
      <c r="C76" s="179" t="s">
        <v>131</v>
      </c>
      <c r="D76" s="178">
        <v>0</v>
      </c>
      <c r="E76" s="178">
        <v>0</v>
      </c>
      <c r="F76" s="178">
        <v>0</v>
      </c>
      <c r="G76" s="180">
        <f>IF(E76=0,D76,E76)</f>
        <v>0</v>
      </c>
      <c r="H76" s="181"/>
      <c r="I76" s="182">
        <f>AVERAGE(G76,D76)</f>
        <v>0</v>
      </c>
      <c r="J76" s="183" t="s">
        <v>129</v>
      </c>
      <c r="K76" s="188">
        <v>1358</v>
      </c>
      <c r="L76" s="50">
        <f>ROUND(K76*I76,0)</f>
        <v>0</v>
      </c>
      <c r="N76" s="1">
        <v>7802</v>
      </c>
      <c r="O76" s="1">
        <v>110</v>
      </c>
      <c r="V76" s="651" t="s">
        <v>133</v>
      </c>
      <c r="W76" s="651"/>
      <c r="X76" s="651"/>
      <c r="Y76" s="661">
        <f>+I77</f>
        <v>33305823</v>
      </c>
      <c r="Z76" s="661"/>
      <c r="AA76" s="331" t="s">
        <v>129</v>
      </c>
      <c r="AB76" s="163">
        <f>AB54</f>
        <v>0</v>
      </c>
      <c r="AC76" s="56">
        <f>ROUND(Y76*AB76,0)</f>
        <v>0</v>
      </c>
      <c r="AD76" s="9"/>
    </row>
    <row r="77" spans="1:30" ht="26.25" customHeight="1" x14ac:dyDescent="0.25">
      <c r="B77" s="13" t="s">
        <v>133</v>
      </c>
      <c r="C77" s="13"/>
      <c r="D77" s="13"/>
      <c r="E77" s="13"/>
      <c r="F77" s="13"/>
      <c r="H77" s="164" t="s">
        <v>134</v>
      </c>
      <c r="I77" s="189">
        <v>33305823</v>
      </c>
      <c r="J77" s="165" t="s">
        <v>111</v>
      </c>
      <c r="K77" s="166">
        <f>K54</f>
        <v>3.3649999999999999E-3</v>
      </c>
      <c r="L77" s="50">
        <f>ROUND(I77*K77,0)</f>
        <v>112074</v>
      </c>
      <c r="O77" s="1"/>
      <c r="V77" s="651" t="str">
        <f>+B78</f>
        <v>15.  Additional Allocation (WFTE share)</v>
      </c>
      <c r="W77" s="651"/>
      <c r="X77" s="651"/>
      <c r="Y77" s="661">
        <f>+I78</f>
        <v>680688</v>
      </c>
      <c r="Z77" s="661"/>
      <c r="AA77" s="331" t="s">
        <v>129</v>
      </c>
      <c r="AB77" s="163">
        <f>AB54</f>
        <v>0</v>
      </c>
      <c r="AC77" s="56">
        <f>ROUND(Y77*AB77,0)</f>
        <v>0</v>
      </c>
      <c r="AD77" s="9"/>
    </row>
    <row r="78" spans="1:30" ht="26.25" customHeight="1" x14ac:dyDescent="0.25">
      <c r="B78" s="669" t="s">
        <v>135</v>
      </c>
      <c r="C78" s="669"/>
      <c r="D78" s="669"/>
      <c r="E78" s="13"/>
      <c r="F78" s="13"/>
      <c r="H78" s="164" t="s">
        <v>136</v>
      </c>
      <c r="I78" s="190">
        <v>680688</v>
      </c>
      <c r="J78" s="165" t="s">
        <v>111</v>
      </c>
      <c r="K78" s="166">
        <f>K54</f>
        <v>3.3649999999999999E-3</v>
      </c>
      <c r="L78" s="50">
        <f>ROUND(I78*K78,0)</f>
        <v>2291</v>
      </c>
      <c r="O78" s="1"/>
      <c r="V78" s="651" t="str">
        <f>+B79</f>
        <v>16.  Florida Teachers Lead Program Stipend</v>
      </c>
      <c r="W78" s="651"/>
      <c r="X78" s="651"/>
      <c r="Y78" s="191"/>
      <c r="Z78" s="191"/>
      <c r="AA78" s="191"/>
      <c r="AB78" s="191"/>
      <c r="AC78" s="134"/>
      <c r="AD78" s="9"/>
    </row>
    <row r="79" spans="1:30" ht="21" customHeight="1" x14ac:dyDescent="0.25">
      <c r="B79" s="669" t="s">
        <v>137</v>
      </c>
      <c r="C79" s="669"/>
      <c r="D79" s="669"/>
      <c r="E79" s="13"/>
      <c r="F79" s="13"/>
      <c r="H79" s="164"/>
      <c r="I79" s="172"/>
      <c r="J79" s="172"/>
      <c r="K79" s="172"/>
      <c r="L79" s="129"/>
      <c r="N79" s="192"/>
      <c r="O79" s="1"/>
      <c r="Q79" s="164"/>
      <c r="V79" s="651" t="str">
        <f>+B80</f>
        <v>17.  Food Service Allocation</v>
      </c>
      <c r="W79" s="651"/>
      <c r="X79" s="651"/>
      <c r="Y79" s="191"/>
      <c r="Z79" s="191"/>
      <c r="AA79" s="191"/>
      <c r="AB79" s="191"/>
      <c r="AC79" s="193"/>
      <c r="AD79" s="9"/>
    </row>
    <row r="80" spans="1:30" ht="21" customHeight="1" x14ac:dyDescent="0.25">
      <c r="B80" s="669" t="s">
        <v>138</v>
      </c>
      <c r="C80" s="669"/>
      <c r="D80" s="669"/>
      <c r="E80" s="13"/>
      <c r="F80" s="13"/>
      <c r="H80" s="194" t="s">
        <v>139</v>
      </c>
      <c r="I80" s="195"/>
      <c r="J80" s="195"/>
      <c r="K80" s="195"/>
      <c r="L80" s="196"/>
      <c r="N80" s="197"/>
      <c r="O80" s="1"/>
      <c r="Q80" s="164"/>
      <c r="V80" s="191"/>
      <c r="W80" s="191"/>
      <c r="X80" s="191"/>
      <c r="Y80" s="191"/>
      <c r="Z80" s="191"/>
      <c r="AA80" s="191"/>
      <c r="AB80" s="191"/>
      <c r="AC80" s="193"/>
      <c r="AD80" s="9"/>
    </row>
    <row r="81" spans="1:30" ht="21" customHeight="1" thickBot="1" x14ac:dyDescent="0.3">
      <c r="B81" s="13"/>
      <c r="C81" s="13"/>
      <c r="D81" s="13"/>
      <c r="E81" s="13"/>
      <c r="F81" s="13"/>
      <c r="G81" s="13"/>
      <c r="H81" s="13"/>
      <c r="I81" s="13"/>
      <c r="J81" s="13"/>
      <c r="K81" s="13"/>
      <c r="L81" s="196"/>
      <c r="M81" s="198"/>
      <c r="N81" s="197"/>
      <c r="O81" s="1"/>
      <c r="Q81" s="164"/>
      <c r="V81" s="191" t="s">
        <v>140</v>
      </c>
      <c r="W81" s="191"/>
      <c r="X81" s="191"/>
      <c r="Y81" s="191"/>
      <c r="Z81" s="191"/>
      <c r="AA81" s="191"/>
      <c r="AB81" s="191"/>
      <c r="AC81" s="199">
        <f>SUM(AC44:AC80)</f>
        <v>3430</v>
      </c>
      <c r="AD81" s="200"/>
    </row>
    <row r="82" spans="1:30" ht="22.5" customHeight="1" thickTop="1" thickBot="1" x14ac:dyDescent="0.3">
      <c r="B82" s="13" t="s">
        <v>141</v>
      </c>
      <c r="C82" s="13"/>
      <c r="D82" s="13"/>
      <c r="E82" s="13"/>
      <c r="F82" s="13"/>
      <c r="G82" s="13"/>
      <c r="H82" s="13"/>
      <c r="I82" s="13"/>
      <c r="J82" s="13"/>
      <c r="K82" s="13"/>
      <c r="L82" s="201">
        <f>SUM(L44:L81)</f>
        <v>4088183</v>
      </c>
      <c r="M82" s="202"/>
      <c r="N82" s="203"/>
      <c r="O82" s="1"/>
      <c r="Q82" s="164"/>
      <c r="V82" s="191"/>
      <c r="W82" s="191"/>
      <c r="X82" s="191"/>
      <c r="Y82" s="191"/>
      <c r="Z82" s="191"/>
      <c r="AA82" s="191"/>
      <c r="AB82" s="191"/>
      <c r="AC82" s="204"/>
      <c r="AD82" s="200"/>
    </row>
    <row r="83" spans="1:30" ht="27.75" customHeight="1" thickTop="1" x14ac:dyDescent="0.25">
      <c r="B83" s="13" t="s">
        <v>142</v>
      </c>
      <c r="C83" s="13"/>
      <c r="D83" s="13"/>
      <c r="E83" s="13"/>
      <c r="F83" s="13"/>
      <c r="G83" s="13"/>
      <c r="H83" s="13"/>
      <c r="I83" s="13"/>
      <c r="J83" s="13"/>
      <c r="K83" s="82" t="s">
        <v>143</v>
      </c>
      <c r="L83" s="205" t="s">
        <v>144</v>
      </c>
      <c r="M83" s="202"/>
      <c r="N83" s="203"/>
      <c r="O83" s="1"/>
      <c r="Q83" s="164"/>
      <c r="V83" s="9" t="s">
        <v>145</v>
      </c>
      <c r="W83" s="9"/>
      <c r="X83" s="9"/>
      <c r="Y83" s="9"/>
      <c r="Z83" s="9"/>
      <c r="AA83" s="9"/>
      <c r="AB83" s="9"/>
      <c r="AC83" s="9"/>
      <c r="AD83" s="206"/>
    </row>
    <row r="84" spans="1:30" ht="18.75" customHeight="1" thickBot="1" x14ac:dyDescent="0.3">
      <c r="B84" s="13" t="s">
        <v>146</v>
      </c>
      <c r="C84" s="13"/>
      <c r="D84" s="13"/>
      <c r="E84" s="13"/>
      <c r="F84" s="13"/>
      <c r="G84" s="13"/>
      <c r="H84" s="13"/>
      <c r="I84" s="13"/>
      <c r="J84" s="13"/>
      <c r="K84" s="207" t="str">
        <f>IF(G26=0,"",IF((G11+G13+SUM(G15:G21))/G26&gt;0.75,1,""))</f>
        <v/>
      </c>
      <c r="L84" s="201">
        <f>'4002 June Final'!AC81</f>
        <v>3430</v>
      </c>
      <c r="M84" s="202"/>
      <c r="N84" s="203"/>
      <c r="O84" s="1"/>
      <c r="Q84" s="164"/>
      <c r="V84" s="208" t="s">
        <v>147</v>
      </c>
      <c r="W84" s="208"/>
      <c r="X84" s="208"/>
      <c r="Y84" s="208"/>
      <c r="Z84" s="208"/>
      <c r="AA84" s="208"/>
      <c r="AB84" s="208"/>
      <c r="AC84" s="208"/>
      <c r="AD84" s="9"/>
    </row>
    <row r="85" spans="1:30" ht="18.75" customHeight="1" thickTop="1" x14ac:dyDescent="0.25">
      <c r="B85" s="13"/>
      <c r="C85" s="13"/>
      <c r="D85" s="13"/>
      <c r="E85" s="13"/>
      <c r="F85" s="13"/>
      <c r="G85" s="13"/>
      <c r="H85" s="13"/>
      <c r="I85" s="13"/>
      <c r="J85" s="13"/>
      <c r="M85" s="202"/>
      <c r="N85" s="203"/>
      <c r="O85" s="1"/>
      <c r="Q85" s="164"/>
      <c r="V85" s="208" t="s">
        <v>148</v>
      </c>
      <c r="W85" s="208"/>
      <c r="X85" s="208"/>
      <c r="Y85" s="208"/>
      <c r="Z85" s="208"/>
      <c r="AA85" s="208"/>
      <c r="AB85" s="208"/>
      <c r="AC85" s="208"/>
      <c r="AD85" s="206"/>
    </row>
    <row r="86" spans="1:30" ht="18.75" customHeight="1" x14ac:dyDescent="0.25">
      <c r="B86" s="2" t="s">
        <v>149</v>
      </c>
      <c r="C86" s="13"/>
      <c r="D86" s="13"/>
      <c r="E86" s="13"/>
      <c r="F86" s="13"/>
      <c r="G86" s="13"/>
      <c r="H86" s="13"/>
      <c r="I86" s="13"/>
      <c r="J86" s="209" t="s">
        <v>150</v>
      </c>
      <c r="K86" s="210">
        <f>IF(K84=1,L84,L82)</f>
        <v>4088183</v>
      </c>
      <c r="L86" s="211">
        <f>IF(G26=0,0,IF(G26&gt;250,-(((250/G26)*K86)*IF(M86="H",0.02,0.05)),IF(M86="H",-0.02*K86,-0.05*K86)))</f>
        <v>-82754.06059722761</v>
      </c>
      <c r="M86" s="212" t="str">
        <f>IF(B123="2801","H",IF(B123="2911","H",IF(B123="3382","H"," ")))</f>
        <v xml:space="preserve"> </v>
      </c>
      <c r="N86" s="203"/>
      <c r="O86" s="1"/>
      <c r="Q86" s="164"/>
      <c r="V86" s="208" t="s">
        <v>151</v>
      </c>
      <c r="W86" s="208"/>
      <c r="X86" s="208"/>
      <c r="Y86" s="208"/>
      <c r="Z86" s="208"/>
      <c r="AA86" s="208"/>
      <c r="AB86" s="208"/>
      <c r="AC86" s="208"/>
      <c r="AD86" s="206"/>
    </row>
    <row r="87" spans="1:30" ht="18.75" customHeight="1" x14ac:dyDescent="0.25">
      <c r="B87" s="2" t="s">
        <v>152</v>
      </c>
      <c r="C87" s="13"/>
      <c r="D87" s="13"/>
      <c r="E87" s="13"/>
      <c r="F87" s="13"/>
      <c r="G87" s="13"/>
      <c r="H87" s="13"/>
      <c r="I87" s="13"/>
      <c r="J87" s="13"/>
      <c r="K87" s="213"/>
      <c r="L87" s="205">
        <f>L82+L86</f>
        <v>4005428.9394027726</v>
      </c>
      <c r="M87" s="202"/>
      <c r="N87" s="203"/>
      <c r="O87" s="1"/>
      <c r="Q87" s="164"/>
      <c r="V87" s="198"/>
      <c r="W87" s="198"/>
      <c r="X87" s="198"/>
      <c r="Y87" s="198"/>
      <c r="Z87" s="198"/>
      <c r="AA87" s="198"/>
      <c r="AB87" s="198"/>
      <c r="AC87" s="198"/>
      <c r="AD87" s="214"/>
    </row>
    <row r="88" spans="1:30" x14ac:dyDescent="0.25">
      <c r="V88" s="198"/>
      <c r="W88" s="198"/>
      <c r="X88" s="198"/>
      <c r="Y88" s="198"/>
      <c r="Z88" s="198"/>
      <c r="AA88" s="198"/>
      <c r="AB88" s="198"/>
      <c r="AC88" s="198"/>
      <c r="AD88" s="215"/>
    </row>
    <row r="89" spans="1:30" ht="18.75" customHeight="1" x14ac:dyDescent="0.25">
      <c r="A89" s="1" t="s">
        <v>153</v>
      </c>
      <c r="B89" s="13" t="s">
        <v>154</v>
      </c>
      <c r="C89" s="13"/>
      <c r="D89" s="13">
        <v>2074029</v>
      </c>
      <c r="E89" s="13">
        <v>315544</v>
      </c>
      <c r="F89" s="13">
        <v>3336205</v>
      </c>
      <c r="G89" s="13"/>
      <c r="H89" s="13"/>
      <c r="I89" s="13"/>
      <c r="J89" s="13"/>
      <c r="K89" s="213"/>
      <c r="L89" s="84">
        <v>-4014543.6256639501</v>
      </c>
      <c r="M89" s="202"/>
      <c r="N89" s="203"/>
      <c r="O89" s="1"/>
      <c r="Q89" s="164"/>
      <c r="V89" s="198">
        <v>2801</v>
      </c>
      <c r="W89" s="198"/>
      <c r="X89" s="198"/>
      <c r="Y89" s="198"/>
      <c r="Z89" s="198"/>
      <c r="AA89" s="198"/>
      <c r="AB89" s="198"/>
      <c r="AC89" s="198"/>
      <c r="AD89" s="214"/>
    </row>
    <row r="90" spans="1:30" ht="18.75" customHeight="1" x14ac:dyDescent="0.25">
      <c r="B90" s="13" t="s">
        <v>155</v>
      </c>
      <c r="C90" s="13"/>
      <c r="D90" s="13"/>
      <c r="E90" s="13"/>
      <c r="F90" s="13"/>
      <c r="G90" s="13"/>
      <c r="H90" s="13"/>
      <c r="I90" s="13"/>
      <c r="J90" s="13"/>
      <c r="K90" s="213"/>
      <c r="L90" s="205">
        <f>L87+L89</f>
        <v>-9114.6862611775286</v>
      </c>
      <c r="M90" s="202"/>
      <c r="N90" s="203"/>
      <c r="O90" s="1"/>
      <c r="Q90" s="164"/>
      <c r="V90" s="198">
        <v>2911</v>
      </c>
      <c r="W90" s="216"/>
      <c r="X90" s="216"/>
      <c r="Y90" s="216"/>
      <c r="Z90" s="216"/>
      <c r="AA90" s="216"/>
      <c r="AB90" s="216"/>
      <c r="AC90" s="216"/>
      <c r="AD90" s="214"/>
    </row>
    <row r="91" spans="1:30" ht="18.75" customHeight="1" x14ac:dyDescent="0.25">
      <c r="B91" s="13" t="s">
        <v>156</v>
      </c>
      <c r="C91" s="13"/>
      <c r="D91" s="13"/>
      <c r="E91" s="13"/>
      <c r="F91" s="13"/>
      <c r="G91" s="13"/>
      <c r="H91" s="13"/>
      <c r="I91" s="13"/>
      <c r="J91" s="13"/>
      <c r="K91" s="213"/>
      <c r="L91" s="205">
        <v>1</v>
      </c>
      <c r="M91" s="202"/>
      <c r="N91" s="203"/>
      <c r="O91" s="1"/>
      <c r="Q91" s="164"/>
      <c r="V91" s="198">
        <v>3382</v>
      </c>
      <c r="W91" s="216"/>
      <c r="X91" s="216"/>
      <c r="Y91" s="216"/>
      <c r="Z91" s="216"/>
      <c r="AA91" s="216"/>
      <c r="AB91" s="216"/>
      <c r="AC91" s="216"/>
      <c r="AD91" s="214"/>
    </row>
    <row r="92" spans="1:30" ht="18.75" customHeight="1" thickBot="1" x14ac:dyDescent="0.3">
      <c r="B92" s="13" t="s">
        <v>434</v>
      </c>
      <c r="C92" s="13"/>
      <c r="D92" s="13"/>
      <c r="E92" s="13"/>
      <c r="F92" s="13"/>
      <c r="G92" s="13"/>
      <c r="H92" s="13"/>
      <c r="I92" s="13"/>
      <c r="J92" s="13"/>
      <c r="K92" s="213"/>
      <c r="L92" s="217">
        <f>L90/L91</f>
        <v>-9114.6862611775286</v>
      </c>
      <c r="M92" s="202"/>
      <c r="N92" s="203"/>
      <c r="O92" s="1"/>
      <c r="Q92" s="164"/>
      <c r="V92" s="218"/>
      <c r="W92" s="218"/>
      <c r="X92" s="218"/>
      <c r="Y92" s="218"/>
      <c r="Z92" s="218"/>
      <c r="AA92" s="218"/>
      <c r="AB92" s="218"/>
      <c r="AC92" s="218"/>
      <c r="AD92" s="219"/>
    </row>
    <row r="93" spans="1:30" ht="18.75" customHeight="1" thickTop="1" x14ac:dyDescent="0.25">
      <c r="N93" s="219"/>
      <c r="O93" s="220"/>
      <c r="P93" s="219"/>
      <c r="Q93" s="219"/>
      <c r="V93" s="218"/>
      <c r="W93" s="218"/>
      <c r="X93" s="218"/>
      <c r="Y93" s="218"/>
      <c r="Z93" s="218"/>
      <c r="AA93" s="218"/>
      <c r="AB93" s="218"/>
      <c r="AC93" s="218"/>
      <c r="AD93" s="214"/>
    </row>
    <row r="94" spans="1:30" ht="18.75" customHeight="1" thickBot="1" x14ac:dyDescent="0.3">
      <c r="B94" s="221" t="s">
        <v>158</v>
      </c>
      <c r="C94" s="13"/>
      <c r="D94" s="13"/>
      <c r="E94" s="13"/>
      <c r="G94" s="13"/>
      <c r="H94" s="13"/>
      <c r="I94" s="13"/>
      <c r="J94" s="13"/>
      <c r="L94" s="222">
        <v>0</v>
      </c>
      <c r="M94" s="202"/>
      <c r="V94" s="223"/>
      <c r="W94" s="223"/>
      <c r="X94" s="223"/>
      <c r="Y94" s="223"/>
      <c r="Z94" s="223"/>
      <c r="AA94" s="223"/>
      <c r="AB94" s="223"/>
      <c r="AC94" s="223"/>
      <c r="AD94" s="214"/>
    </row>
    <row r="95" spans="1:30" ht="21.75" customHeight="1" thickTop="1" x14ac:dyDescent="0.25">
      <c r="B95" s="224" t="s">
        <v>159</v>
      </c>
      <c r="C95" s="224"/>
      <c r="D95" s="224"/>
      <c r="E95" s="224"/>
      <c r="F95" s="224"/>
      <c r="G95" s="224"/>
      <c r="H95" s="224"/>
      <c r="I95" s="224"/>
      <c r="J95" s="224"/>
      <c r="K95" s="224"/>
      <c r="L95" s="224"/>
      <c r="M95" s="219"/>
      <c r="V95" s="223"/>
      <c r="W95" s="223"/>
      <c r="X95" s="223"/>
      <c r="Y95" s="223"/>
      <c r="Z95" s="223"/>
      <c r="AA95" s="223"/>
      <c r="AB95" s="223"/>
      <c r="AC95" s="223"/>
      <c r="AD95" s="214"/>
    </row>
    <row r="96" spans="1:30" x14ac:dyDescent="0.25">
      <c r="B96" s="225"/>
      <c r="V96" s="223"/>
      <c r="W96" s="223"/>
      <c r="X96" s="223"/>
      <c r="Y96" s="223"/>
      <c r="Z96" s="223"/>
      <c r="AA96" s="223"/>
      <c r="AB96" s="223"/>
      <c r="AC96" s="223"/>
      <c r="AD96" s="219"/>
    </row>
    <row r="97" spans="2:30" x14ac:dyDescent="0.25">
      <c r="B97" s="225"/>
      <c r="V97" s="223"/>
      <c r="W97" s="223"/>
      <c r="X97" s="223"/>
      <c r="Y97" s="223"/>
      <c r="Z97" s="223"/>
      <c r="AA97" s="223"/>
      <c r="AB97" s="223"/>
      <c r="AC97" s="223"/>
      <c r="AD97" s="219"/>
    </row>
    <row r="98" spans="2:30" hidden="1" x14ac:dyDescent="0.25">
      <c r="B98" s="226" t="s">
        <v>160</v>
      </c>
      <c r="C98" s="227"/>
      <c r="V98" s="228"/>
      <c r="W98" s="228"/>
      <c r="X98" s="228"/>
      <c r="Y98" s="228"/>
      <c r="Z98" s="228"/>
      <c r="AA98" s="228"/>
      <c r="AB98" s="228"/>
      <c r="AC98" s="228"/>
    </row>
    <row r="99" spans="2:30" hidden="1" x14ac:dyDescent="0.25">
      <c r="B99" s="229"/>
      <c r="C99" s="227"/>
      <c r="V99" s="225"/>
      <c r="W99" s="13"/>
      <c r="X99" s="13"/>
      <c r="Y99" s="13"/>
      <c r="Z99" s="13"/>
      <c r="AA99" s="13"/>
      <c r="AB99" s="13"/>
      <c r="AC99" s="13"/>
    </row>
    <row r="100" spans="2:30" hidden="1" x14ac:dyDescent="0.25">
      <c r="B100" s="230" t="s">
        <v>161</v>
      </c>
      <c r="C100" s="226" t="s">
        <v>162</v>
      </c>
      <c r="V100" s="225"/>
    </row>
    <row r="101" spans="2:30" hidden="1" x14ac:dyDescent="0.25">
      <c r="B101" s="230" t="s">
        <v>163</v>
      </c>
      <c r="C101" s="226" t="s">
        <v>164</v>
      </c>
      <c r="V101" s="225"/>
    </row>
    <row r="102" spans="2:30" hidden="1" x14ac:dyDescent="0.25">
      <c r="B102" s="230" t="s">
        <v>165</v>
      </c>
      <c r="C102" s="226" t="s">
        <v>166</v>
      </c>
      <c r="V102" s="225"/>
      <c r="W102" s="231"/>
      <c r="X102" s="231"/>
      <c r="Y102" s="231"/>
      <c r="Z102" s="231"/>
      <c r="AA102" s="231"/>
      <c r="AB102" s="231"/>
      <c r="AC102" s="231"/>
      <c r="AD102" s="231"/>
    </row>
    <row r="103" spans="2:30" hidden="1" x14ac:dyDescent="0.25">
      <c r="B103" s="230" t="s">
        <v>167</v>
      </c>
      <c r="C103" s="226" t="s">
        <v>168</v>
      </c>
      <c r="V103" s="225"/>
    </row>
    <row r="104" spans="2:30" hidden="1" x14ac:dyDescent="0.25">
      <c r="B104" s="232"/>
      <c r="C104" s="226" t="s">
        <v>169</v>
      </c>
      <c r="V104" s="225"/>
    </row>
    <row r="105" spans="2:30" hidden="1" x14ac:dyDescent="0.25">
      <c r="B105" s="230" t="s">
        <v>170</v>
      </c>
      <c r="C105" s="226" t="s">
        <v>171</v>
      </c>
      <c r="V105" s="225"/>
    </row>
    <row r="106" spans="2:30" hidden="1" x14ac:dyDescent="0.25">
      <c r="B106" s="230" t="s">
        <v>172</v>
      </c>
      <c r="C106" s="226" t="s">
        <v>173</v>
      </c>
      <c r="V106" s="225"/>
    </row>
    <row r="107" spans="2:30" hidden="1" x14ac:dyDescent="0.25">
      <c r="B107" s="230" t="s">
        <v>324</v>
      </c>
      <c r="C107" s="226" t="s">
        <v>175</v>
      </c>
      <c r="V107" s="225"/>
    </row>
    <row r="108" spans="2:30" hidden="1" x14ac:dyDescent="0.25">
      <c r="B108" s="230" t="s">
        <v>176</v>
      </c>
      <c r="C108" s="226" t="s">
        <v>177</v>
      </c>
      <c r="V108" s="225"/>
    </row>
    <row r="109" spans="2:30" hidden="1" x14ac:dyDescent="0.25">
      <c r="B109" s="230" t="s">
        <v>178</v>
      </c>
      <c r="C109" s="226" t="s">
        <v>179</v>
      </c>
      <c r="V109" s="225"/>
    </row>
    <row r="110" spans="2:30" hidden="1" x14ac:dyDescent="0.25">
      <c r="B110" s="232"/>
      <c r="C110" s="226"/>
      <c r="V110" s="225"/>
    </row>
    <row r="111" spans="2:30" hidden="1" x14ac:dyDescent="0.25">
      <c r="B111" s="230" t="s">
        <v>180</v>
      </c>
      <c r="C111" s="226" t="s">
        <v>181</v>
      </c>
      <c r="V111" s="225"/>
    </row>
    <row r="112" spans="2:30" hidden="1" x14ac:dyDescent="0.25">
      <c r="B112" s="230" t="s">
        <v>180</v>
      </c>
      <c r="C112" s="226" t="s">
        <v>182</v>
      </c>
    </row>
    <row r="113" spans="2:3" hidden="1" x14ac:dyDescent="0.25">
      <c r="B113" s="230" t="s">
        <v>183</v>
      </c>
      <c r="C113" s="226" t="s">
        <v>184</v>
      </c>
    </row>
    <row r="114" spans="2:3" hidden="1" x14ac:dyDescent="0.25">
      <c r="B114" s="230" t="s">
        <v>185</v>
      </c>
      <c r="C114" s="226" t="s">
        <v>186</v>
      </c>
    </row>
    <row r="115" spans="2:3" hidden="1" x14ac:dyDescent="0.25">
      <c r="B115" s="230" t="s">
        <v>183</v>
      </c>
      <c r="C115" s="226" t="s">
        <v>187</v>
      </c>
    </row>
    <row r="116" spans="2:3" hidden="1" x14ac:dyDescent="0.25">
      <c r="B116" s="230" t="s">
        <v>188</v>
      </c>
      <c r="C116" s="226" t="s">
        <v>189</v>
      </c>
    </row>
    <row r="117" spans="2:3" hidden="1" x14ac:dyDescent="0.25">
      <c r="B117" s="230" t="s">
        <v>190</v>
      </c>
      <c r="C117" s="226" t="s">
        <v>191</v>
      </c>
    </row>
    <row r="118" spans="2:3" hidden="1" x14ac:dyDescent="0.25">
      <c r="B118" s="232" t="s">
        <v>192</v>
      </c>
      <c r="C118" s="226" t="s">
        <v>193</v>
      </c>
    </row>
    <row r="119" spans="2:3" hidden="1" x14ac:dyDescent="0.25">
      <c r="B119" s="232"/>
      <c r="C119" s="226"/>
    </row>
    <row r="120" spans="2:3" hidden="1" x14ac:dyDescent="0.25">
      <c r="B120" s="230" t="s">
        <v>161</v>
      </c>
      <c r="C120" s="226" t="s">
        <v>194</v>
      </c>
    </row>
    <row r="121" spans="2:3" hidden="1" x14ac:dyDescent="0.25">
      <c r="B121" s="230" t="s">
        <v>195</v>
      </c>
      <c r="C121" s="226" t="s">
        <v>196</v>
      </c>
    </row>
    <row r="122" spans="2:3" hidden="1" x14ac:dyDescent="0.25">
      <c r="B122" s="230" t="s">
        <v>197</v>
      </c>
      <c r="C122" s="226" t="s">
        <v>198</v>
      </c>
    </row>
    <row r="123" spans="2:3" hidden="1" x14ac:dyDescent="0.25">
      <c r="B123" s="230" t="s">
        <v>325</v>
      </c>
      <c r="C123" s="226" t="s">
        <v>200</v>
      </c>
    </row>
    <row r="124" spans="2:3" hidden="1" x14ac:dyDescent="0.25">
      <c r="B124" s="230" t="s">
        <v>326</v>
      </c>
      <c r="C124" s="226" t="s">
        <v>202</v>
      </c>
    </row>
    <row r="125" spans="2:3" hidden="1" x14ac:dyDescent="0.25">
      <c r="B125" s="230" t="s">
        <v>203</v>
      </c>
      <c r="C125" s="226" t="s">
        <v>204</v>
      </c>
    </row>
    <row r="126" spans="2:3" hidden="1" x14ac:dyDescent="0.25">
      <c r="B126" s="230" t="s">
        <v>203</v>
      </c>
      <c r="C126" s="226" t="s">
        <v>205</v>
      </c>
    </row>
    <row r="127" spans="2:3" hidden="1" x14ac:dyDescent="0.25">
      <c r="B127" s="230" t="s">
        <v>203</v>
      </c>
      <c r="C127" s="226" t="s">
        <v>206</v>
      </c>
    </row>
    <row r="128" spans="2:3" hidden="1" x14ac:dyDescent="0.25">
      <c r="B128" s="230" t="s">
        <v>203</v>
      </c>
      <c r="C128" s="226" t="s">
        <v>207</v>
      </c>
    </row>
    <row r="129" spans="2:3" hidden="1" x14ac:dyDescent="0.25">
      <c r="B129" s="230" t="s">
        <v>167</v>
      </c>
      <c r="C129" s="226" t="s">
        <v>208</v>
      </c>
    </row>
    <row r="130" spans="2:3" hidden="1" x14ac:dyDescent="0.25">
      <c r="B130" s="230" t="s">
        <v>209</v>
      </c>
      <c r="C130" s="226" t="s">
        <v>210</v>
      </c>
    </row>
    <row r="131" spans="2:3" hidden="1" x14ac:dyDescent="0.25">
      <c r="B131" s="230" t="s">
        <v>203</v>
      </c>
      <c r="C131" s="226" t="s">
        <v>211</v>
      </c>
    </row>
    <row r="132" spans="2:3" hidden="1" x14ac:dyDescent="0.25">
      <c r="B132" s="226"/>
      <c r="C132" s="226"/>
    </row>
    <row r="133" spans="2:3" hidden="1" x14ac:dyDescent="0.25">
      <c r="B133" s="226"/>
      <c r="C133" s="226"/>
    </row>
    <row r="134" spans="2:3" hidden="1" x14ac:dyDescent="0.25">
      <c r="B134" s="232"/>
      <c r="C134" s="232"/>
    </row>
    <row r="135" spans="2:3" hidden="1" x14ac:dyDescent="0.25">
      <c r="B135" s="232">
        <f>NvsElapsedTime</f>
        <v>0</v>
      </c>
      <c r="C135" s="232"/>
    </row>
    <row r="136" spans="2:3" hidden="1" x14ac:dyDescent="0.25">
      <c r="B136" s="233">
        <f>NvsEndTime</f>
        <v>41754.488136574102</v>
      </c>
      <c r="C136" s="233" t="s">
        <v>212</v>
      </c>
    </row>
    <row r="137" spans="2:3" x14ac:dyDescent="0.25">
      <c r="B137" s="226"/>
      <c r="C137" s="234"/>
    </row>
    <row r="138" spans="2:3" x14ac:dyDescent="0.25">
      <c r="B138" s="226"/>
      <c r="C138" s="226"/>
    </row>
    <row r="139" spans="2:3" x14ac:dyDescent="0.25">
      <c r="B139" s="226"/>
      <c r="C139" s="226"/>
    </row>
    <row r="140" spans="2:3" x14ac:dyDescent="0.25">
      <c r="B140" s="226"/>
      <c r="C140" s="226"/>
    </row>
    <row r="141" spans="2:3" x14ac:dyDescent="0.25">
      <c r="B141" s="226"/>
      <c r="C141" s="226"/>
    </row>
    <row r="142" spans="2:3" x14ac:dyDescent="0.25">
      <c r="B142" s="226"/>
      <c r="C142" s="226"/>
    </row>
    <row r="143" spans="2:3" x14ac:dyDescent="0.25">
      <c r="B143" s="226"/>
      <c r="C143" s="226"/>
    </row>
    <row r="144" spans="2:3" x14ac:dyDescent="0.25">
      <c r="B144" s="226"/>
      <c r="C144" s="226"/>
    </row>
    <row r="145" spans="2:3" x14ac:dyDescent="0.25">
      <c r="B145" s="226"/>
      <c r="C145" s="226"/>
    </row>
    <row r="146" spans="2:3" x14ac:dyDescent="0.25">
      <c r="B146" s="226"/>
      <c r="C146" s="226"/>
    </row>
    <row r="147" spans="2:3" x14ac:dyDescent="0.25">
      <c r="B147" s="226"/>
      <c r="C147" s="226"/>
    </row>
    <row r="148" spans="2:3" x14ac:dyDescent="0.25">
      <c r="B148" s="226"/>
      <c r="C148" s="226"/>
    </row>
    <row r="149" spans="2:3" x14ac:dyDescent="0.25">
      <c r="B149" s="226"/>
      <c r="C149" s="226"/>
    </row>
    <row r="150" spans="2:3" x14ac:dyDescent="0.25">
      <c r="B150" s="226"/>
      <c r="C150" s="226"/>
    </row>
    <row r="151" spans="2:3" x14ac:dyDescent="0.25">
      <c r="B151" s="226"/>
      <c r="C151" s="226"/>
    </row>
  </sheetData>
  <mergeCells count="151">
    <mergeCell ref="B80:D80"/>
    <mergeCell ref="V76:X76"/>
    <mergeCell ref="Y76:Z76"/>
    <mergeCell ref="V77:X77"/>
    <mergeCell ref="Y77:Z77"/>
    <mergeCell ref="B78:D78"/>
    <mergeCell ref="V78:X78"/>
    <mergeCell ref="V70:X70"/>
    <mergeCell ref="Y70:Z70"/>
    <mergeCell ref="V71:X71"/>
    <mergeCell ref="Y71:Z71"/>
    <mergeCell ref="V72:AB72"/>
    <mergeCell ref="V73:AC73"/>
    <mergeCell ref="V74:W74"/>
    <mergeCell ref="V75:W75"/>
    <mergeCell ref="B79:D79"/>
    <mergeCell ref="V79:X79"/>
    <mergeCell ref="V65:W65"/>
    <mergeCell ref="X65:AC65"/>
    <mergeCell ref="V66:X66"/>
    <mergeCell ref="Y66:Z66"/>
    <mergeCell ref="V67:AC67"/>
    <mergeCell ref="V68:X68"/>
    <mergeCell ref="Y68:Z68"/>
    <mergeCell ref="V69:X69"/>
    <mergeCell ref="Y69:Z69"/>
    <mergeCell ref="V60:W60"/>
    <mergeCell ref="X60:AC60"/>
    <mergeCell ref="V61:W61"/>
    <mergeCell ref="X61:AC61"/>
    <mergeCell ref="V62:W62"/>
    <mergeCell ref="X62:AC62"/>
    <mergeCell ref="V63:AC63"/>
    <mergeCell ref="V64:W64"/>
    <mergeCell ref="X64:AC64"/>
    <mergeCell ref="V55:AC55"/>
    <mergeCell ref="V56:W56"/>
    <mergeCell ref="Y56:Z56"/>
    <mergeCell ref="AA56:AC56"/>
    <mergeCell ref="V57:AA57"/>
    <mergeCell ref="AB57:AC57"/>
    <mergeCell ref="V58:X58"/>
    <mergeCell ref="Y58:Z58"/>
    <mergeCell ref="V59:AC59"/>
    <mergeCell ref="X49:Y49"/>
    <mergeCell ref="X50:AB50"/>
    <mergeCell ref="V51:AC51"/>
    <mergeCell ref="V52:AC52"/>
    <mergeCell ref="V53:W53"/>
    <mergeCell ref="Y53:Z53"/>
    <mergeCell ref="AA53:AC53"/>
    <mergeCell ref="V54:AA54"/>
    <mergeCell ref="AB54:AC54"/>
    <mergeCell ref="V41:AC41"/>
    <mergeCell ref="V42:AC42"/>
    <mergeCell ref="V43:AC43"/>
    <mergeCell ref="V44:AB44"/>
    <mergeCell ref="V45:AC45"/>
    <mergeCell ref="X46:Y46"/>
    <mergeCell ref="Z46:AC46"/>
    <mergeCell ref="X47:Y47"/>
    <mergeCell ref="X48:Y48"/>
    <mergeCell ref="V37:W37"/>
    <mergeCell ref="X37:Y37"/>
    <mergeCell ref="Z37:AB37"/>
    <mergeCell ref="V38:AC38"/>
    <mergeCell ref="V39:W39"/>
    <mergeCell ref="X39:Y39"/>
    <mergeCell ref="Z39:AC39"/>
    <mergeCell ref="V40:W40"/>
    <mergeCell ref="X40:AA40"/>
    <mergeCell ref="V26:W26"/>
    <mergeCell ref="X26:Y26"/>
    <mergeCell ref="Z26:AA26"/>
    <mergeCell ref="V27:W27"/>
    <mergeCell ref="X27:Y27"/>
    <mergeCell ref="B28:C36"/>
    <mergeCell ref="V28:W36"/>
    <mergeCell ref="X28:Y28"/>
    <mergeCell ref="X29:Y29"/>
    <mergeCell ref="X30:Y30"/>
    <mergeCell ref="X31:Y31"/>
    <mergeCell ref="X32:Y32"/>
    <mergeCell ref="X33:Y33"/>
    <mergeCell ref="X34:Y34"/>
    <mergeCell ref="X35:Y35"/>
    <mergeCell ref="X36:Y36"/>
    <mergeCell ref="V23:W23"/>
    <mergeCell ref="X23:Y23"/>
    <mergeCell ref="Z23:AA23"/>
    <mergeCell ref="V24:W24"/>
    <mergeCell ref="X24:Y24"/>
    <mergeCell ref="Z24:AA24"/>
    <mergeCell ref="V25:W25"/>
    <mergeCell ref="X25:Y25"/>
    <mergeCell ref="Z25:AA25"/>
    <mergeCell ref="V20:W20"/>
    <mergeCell ref="X20:Y20"/>
    <mergeCell ref="Z20:AA20"/>
    <mergeCell ref="V21:W21"/>
    <mergeCell ref="X21:Y21"/>
    <mergeCell ref="Z21:AA21"/>
    <mergeCell ref="V22:W22"/>
    <mergeCell ref="X22:Y22"/>
    <mergeCell ref="Z22:AA22"/>
    <mergeCell ref="V17:W17"/>
    <mergeCell ref="X17:Y17"/>
    <mergeCell ref="Z17:AA17"/>
    <mergeCell ref="V18:W18"/>
    <mergeCell ref="X18:Y18"/>
    <mergeCell ref="Z18:AA18"/>
    <mergeCell ref="V19:W19"/>
    <mergeCell ref="X19:Y19"/>
    <mergeCell ref="Z19:AA19"/>
    <mergeCell ref="V14:W14"/>
    <mergeCell ref="X14:Y14"/>
    <mergeCell ref="Z14:AA14"/>
    <mergeCell ref="V15:W15"/>
    <mergeCell ref="X15:Y15"/>
    <mergeCell ref="Z15:AA15"/>
    <mergeCell ref="V16:W16"/>
    <mergeCell ref="X16:Y16"/>
    <mergeCell ref="Z16:AA16"/>
    <mergeCell ref="V11:W11"/>
    <mergeCell ref="X11:Y11"/>
    <mergeCell ref="Z11:AA11"/>
    <mergeCell ref="V12:W12"/>
    <mergeCell ref="X12:Y12"/>
    <mergeCell ref="Z12:AA12"/>
    <mergeCell ref="V13:W13"/>
    <mergeCell ref="X13:Y13"/>
    <mergeCell ref="Z13:AA13"/>
    <mergeCell ref="V8:W8"/>
    <mergeCell ref="X8:Y8"/>
    <mergeCell ref="Z8:AA8"/>
    <mergeCell ref="V9:W9"/>
    <mergeCell ref="X9:Y9"/>
    <mergeCell ref="Z9:AA9"/>
    <mergeCell ref="V10:W10"/>
    <mergeCell ref="X10:Y10"/>
    <mergeCell ref="Z10:AA10"/>
    <mergeCell ref="W2:AC2"/>
    <mergeCell ref="V3:AC3"/>
    <mergeCell ref="V4:AC4"/>
    <mergeCell ref="V5:W5"/>
    <mergeCell ref="X5:Y5"/>
    <mergeCell ref="V6:AC6"/>
    <mergeCell ref="V7:W7"/>
    <mergeCell ref="X7:Y7"/>
    <mergeCell ref="Z7:AA7"/>
    <mergeCell ref="AB7:AC7"/>
  </mergeCells>
  <printOptions horizontalCentered="1"/>
  <pageMargins left="0" right="0" top="0.67" bottom="0.2" header="0.25" footer="0.196850393700787"/>
  <pageSetup scale="72" fitToHeight="2" orientation="portrait" r:id="rId1"/>
  <headerFooter alignWithMargins="0">
    <oddHeader>&amp;L&amp;8&amp;F
&amp;D &amp;T</oddHeader>
    <oddFooter>&amp;C&amp;P</oddFooter>
  </headerFooter>
  <rowBreaks count="1" manualBreakCount="1">
    <brk id="51" max="16383" man="1"/>
  </rowBreaks>
  <legacyDrawing r:id="rId2"/>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pageSetUpPr fitToPage="1"/>
  </sheetPr>
  <dimension ref="A1:AD151"/>
  <sheetViews>
    <sheetView topLeftCell="B56" zoomScale="70" zoomScaleNormal="70" workbookViewId="0">
      <selection activeCell="L71" sqref="L70:L71"/>
    </sheetView>
  </sheetViews>
  <sheetFormatPr defaultColWidth="8.85546875" defaultRowHeight="15.75" x14ac:dyDescent="0.25"/>
  <cols>
    <col min="1" max="1" width="11.28515625" style="1" hidden="1" customWidth="1"/>
    <col min="2" max="2" width="10.28515625" style="2" customWidth="1"/>
    <col min="3" max="3" width="29" style="1" customWidth="1"/>
    <col min="4" max="5" width="12.28515625" style="1" customWidth="1"/>
    <col min="6" max="6" width="12.28515625" style="1" hidden="1" customWidth="1"/>
    <col min="7" max="7" width="16.140625" style="1" customWidth="1"/>
    <col min="8" max="8" width="6.7109375" style="1" customWidth="1"/>
    <col min="9" max="9" width="14.28515625" style="1" customWidth="1"/>
    <col min="10" max="10" width="12.85546875" style="1" customWidth="1"/>
    <col min="11" max="11" width="16.140625" style="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28515625" style="1" customWidth="1"/>
    <col min="18" max="18" width="8.85546875" style="1"/>
    <col min="19" max="21" width="0" style="1" hidden="1" customWidth="1"/>
    <col min="22" max="23" width="8.85546875" style="1"/>
    <col min="24" max="24" width="12.7109375" style="1" customWidth="1"/>
    <col min="25" max="27" width="8.85546875" style="1"/>
    <col min="28" max="28" width="13.140625" style="1" bestFit="1" customWidth="1"/>
    <col min="29" max="16384" width="8.85546875" style="1"/>
  </cols>
  <sheetData>
    <row r="1" spans="1:30" ht="15.6"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7"/>
      <c r="N2" s="3"/>
      <c r="O2" s="1"/>
      <c r="V2" s="8">
        <f>'4010'!B2</f>
        <v>50</v>
      </c>
      <c r="W2" s="606" t="s">
        <v>4</v>
      </c>
      <c r="X2" s="607"/>
      <c r="Y2" s="608"/>
      <c r="Z2" s="608"/>
      <c r="AA2" s="608"/>
      <c r="AB2" s="608"/>
      <c r="AC2" s="608"/>
      <c r="AD2" s="9"/>
    </row>
    <row r="3" spans="1:30" ht="20.25" x14ac:dyDescent="0.3">
      <c r="B3" s="10" t="str">
        <f>"Revenue Estimate Worksheet for "&amp;B124</f>
        <v>Revenue Estimate Worksheet for Belle Glade Excel Cht School</v>
      </c>
      <c r="C3" s="11"/>
      <c r="D3" s="11"/>
      <c r="E3" s="11"/>
      <c r="F3" s="11"/>
      <c r="G3" s="11"/>
      <c r="H3" s="11"/>
      <c r="I3" s="11"/>
      <c r="J3" s="11"/>
      <c r="K3" s="11"/>
      <c r="L3" s="11"/>
      <c r="M3" s="10"/>
      <c r="N3" s="10"/>
      <c r="O3" s="10"/>
      <c r="P3" s="10"/>
      <c r="Q3" s="10"/>
      <c r="V3" s="609" t="s">
        <v>5</v>
      </c>
      <c r="W3" s="609"/>
      <c r="X3" s="609"/>
      <c r="Y3" s="609"/>
      <c r="Z3" s="609"/>
      <c r="AA3" s="609"/>
      <c r="AB3" s="609"/>
      <c r="AC3" s="609"/>
      <c r="AD3" s="12"/>
    </row>
    <row r="4" spans="1:30" ht="18.75" x14ac:dyDescent="0.3">
      <c r="B4" s="2" t="s">
        <v>6</v>
      </c>
      <c r="C4" s="13"/>
      <c r="D4" s="13"/>
      <c r="E4" s="13"/>
      <c r="F4" s="13"/>
      <c r="G4" s="13"/>
      <c r="H4" s="13"/>
      <c r="I4" s="13"/>
      <c r="J4" s="13"/>
      <c r="K4" s="13"/>
      <c r="L4" s="13"/>
      <c r="M4" s="14"/>
      <c r="N4" s="14"/>
      <c r="O4" s="14"/>
      <c r="P4" s="14"/>
      <c r="Q4" s="14"/>
      <c r="V4" s="610" t="str">
        <f>+Based_on_the_Second_Calculation_of_the_FEFP_2010_11</f>
        <v>Based on the Fourth Calculation of the FEFP 2013-14</v>
      </c>
      <c r="W4" s="610"/>
      <c r="X4" s="610"/>
      <c r="Y4" s="610"/>
      <c r="Z4" s="610"/>
      <c r="AA4" s="610"/>
      <c r="AB4" s="610"/>
      <c r="AC4" s="610"/>
      <c r="AD4" s="15"/>
    </row>
    <row r="5" spans="1:30" ht="18.75" customHeight="1" x14ac:dyDescent="0.25">
      <c r="B5" s="16" t="s">
        <v>7</v>
      </c>
      <c r="C5" s="16"/>
      <c r="D5" s="16"/>
      <c r="E5" s="16"/>
      <c r="F5" s="16"/>
      <c r="G5" s="17" t="s">
        <v>8</v>
      </c>
      <c r="H5" s="17"/>
      <c r="I5" s="17"/>
      <c r="J5" s="17"/>
      <c r="K5" s="17"/>
      <c r="L5" s="17"/>
      <c r="M5" s="18"/>
      <c r="N5" s="18"/>
      <c r="O5" s="18"/>
      <c r="P5" s="18"/>
      <c r="Q5" s="18"/>
      <c r="V5" s="611" t="s">
        <v>7</v>
      </c>
      <c r="W5" s="611"/>
      <c r="X5" s="612" t="s">
        <v>8</v>
      </c>
      <c r="Y5" s="612"/>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613" t="s">
        <v>9</v>
      </c>
      <c r="W6" s="613"/>
      <c r="X6" s="613"/>
      <c r="Y6" s="613"/>
      <c r="Z6" s="613"/>
      <c r="AA6" s="613"/>
      <c r="AB6" s="613"/>
      <c r="AC6" s="613"/>
      <c r="AD6" s="22"/>
    </row>
    <row r="7" spans="1:30" ht="18" customHeight="1" x14ac:dyDescent="0.25">
      <c r="B7" s="23" t="s">
        <v>10</v>
      </c>
      <c r="C7" s="23"/>
      <c r="D7" s="23"/>
      <c r="E7" s="23"/>
      <c r="F7" s="23"/>
      <c r="G7" s="24">
        <v>3752.3</v>
      </c>
      <c r="H7" s="24"/>
      <c r="I7" s="23" t="s">
        <v>11</v>
      </c>
      <c r="J7" s="23"/>
      <c r="K7" s="25">
        <v>1.0326</v>
      </c>
      <c r="L7" s="25"/>
      <c r="O7" s="1"/>
      <c r="V7" s="620" t="s">
        <v>10</v>
      </c>
      <c r="W7" s="620"/>
      <c r="X7" s="621">
        <f>'4010'!G7</f>
        <v>3752.3</v>
      </c>
      <c r="Y7" s="621"/>
      <c r="Z7" s="622" t="s">
        <v>11</v>
      </c>
      <c r="AA7" s="622"/>
      <c r="AB7" s="602">
        <f>+K7</f>
        <v>1.0326</v>
      </c>
      <c r="AC7" s="602"/>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603" t="s">
        <v>12</v>
      </c>
      <c r="W8" s="603"/>
      <c r="X8" s="604" t="s">
        <v>15</v>
      </c>
      <c r="Y8" s="604"/>
      <c r="Z8" s="605" t="s">
        <v>16</v>
      </c>
      <c r="AA8" s="605"/>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614" t="s">
        <v>22</v>
      </c>
      <c r="W9" s="614"/>
      <c r="X9" s="615" t="s">
        <v>23</v>
      </c>
      <c r="Y9" s="615"/>
      <c r="Z9" s="616" t="s">
        <v>24</v>
      </c>
      <c r="AA9" s="616"/>
      <c r="AB9" s="43" t="s">
        <v>25</v>
      </c>
      <c r="AC9" s="44" t="s">
        <v>26</v>
      </c>
      <c r="AD9" s="9"/>
    </row>
    <row r="10" spans="1:30" x14ac:dyDescent="0.25">
      <c r="A10" s="1" t="s">
        <v>27</v>
      </c>
      <c r="B10" s="45" t="s">
        <v>28</v>
      </c>
      <c r="C10" s="45"/>
      <c r="D10" s="45">
        <v>51.22</v>
      </c>
      <c r="E10" s="45">
        <v>43.11</v>
      </c>
      <c r="F10" s="45">
        <v>0</v>
      </c>
      <c r="G10" s="46">
        <f>D10+E10</f>
        <v>94.33</v>
      </c>
      <c r="H10" s="47"/>
      <c r="I10" s="48">
        <v>1.125</v>
      </c>
      <c r="J10" s="48"/>
      <c r="K10" s="49">
        <f>ROUND(G10*I10,4)</f>
        <v>106.12130000000001</v>
      </c>
      <c r="L10" s="50">
        <f>ROUND(ROUND(K10*$G$7,4)*($K$7),0)</f>
        <v>411180</v>
      </c>
      <c r="N10" s="51">
        <v>5101</v>
      </c>
      <c r="O10" s="52">
        <v>101</v>
      </c>
      <c r="P10" s="53"/>
      <c r="Q10" s="54"/>
      <c r="V10" s="617" t="s">
        <v>28</v>
      </c>
      <c r="W10" s="617"/>
      <c r="X10" s="618">
        <f>IF('4010'!K$84=1,'4010'!G10,0)</f>
        <v>0</v>
      </c>
      <c r="Y10" s="618"/>
      <c r="Z10" s="619">
        <v>1</v>
      </c>
      <c r="AA10" s="619"/>
      <c r="AB10" s="55">
        <f t="shared" ref="AB10:AB25" si="0">ROUND(X10*Z10,4)</f>
        <v>0</v>
      </c>
      <c r="AC10" s="56">
        <f t="shared" ref="AC10:AC25" si="1">ROUND(ROUND(AB10*$X$7,4)*($AB$7),0)</f>
        <v>0</v>
      </c>
      <c r="AD10" s="9">
        <v>1</v>
      </c>
    </row>
    <row r="11" spans="1:30" x14ac:dyDescent="0.25">
      <c r="A11" s="1" t="s">
        <v>29</v>
      </c>
      <c r="B11" s="13" t="s">
        <v>30</v>
      </c>
      <c r="C11" s="13"/>
      <c r="D11" s="13">
        <v>5.0599999999999996</v>
      </c>
      <c r="E11" s="13">
        <v>5.4</v>
      </c>
      <c r="F11" s="13">
        <v>0</v>
      </c>
      <c r="G11" s="46">
        <f t="shared" ref="G11:G25" si="2">D11+E11</f>
        <v>10.46</v>
      </c>
      <c r="H11" s="47"/>
      <c r="I11" s="57">
        <f>I10</f>
        <v>1.125</v>
      </c>
      <c r="J11" s="57"/>
      <c r="K11" s="49">
        <f t="shared" ref="K11:K25" si="3">ROUND(G11*I11,4)</f>
        <v>11.7675</v>
      </c>
      <c r="L11" s="50">
        <f t="shared" ref="L11:L25" si="4">ROUND(ROUND(K11*$G$7,4)*($K$7),0)</f>
        <v>45595</v>
      </c>
      <c r="M11" s="1" t="str">
        <f>IF(ROUND(G11,2)=ROUND(SUM(G28:G30),2)," ","CHECK 2. PK-3 Lines Below")</f>
        <v xml:space="preserve"> </v>
      </c>
      <c r="N11" s="51">
        <v>5101</v>
      </c>
      <c r="O11" s="58" t="s">
        <v>31</v>
      </c>
      <c r="P11" s="53"/>
      <c r="Q11" s="54"/>
      <c r="V11" s="623" t="s">
        <v>30</v>
      </c>
      <c r="W11" s="623"/>
      <c r="X11" s="618">
        <f>IF('4010'!K$84=1,'4010'!G11,0)</f>
        <v>0</v>
      </c>
      <c r="Y11" s="618"/>
      <c r="Z11" s="624">
        <v>1</v>
      </c>
      <c r="AA11" s="624"/>
      <c r="AB11" s="55">
        <f t="shared" si="0"/>
        <v>0</v>
      </c>
      <c r="AC11" s="56">
        <f t="shared" si="1"/>
        <v>0</v>
      </c>
      <c r="AD11" s="9"/>
    </row>
    <row r="12" spans="1:30" x14ac:dyDescent="0.25">
      <c r="A12" s="1" t="s">
        <v>32</v>
      </c>
      <c r="B12" s="13" t="s">
        <v>33</v>
      </c>
      <c r="C12" s="13"/>
      <c r="D12" s="13">
        <v>0</v>
      </c>
      <c r="E12" s="13">
        <v>0</v>
      </c>
      <c r="F12" s="13">
        <v>0</v>
      </c>
      <c r="G12" s="46">
        <f t="shared" si="2"/>
        <v>0</v>
      </c>
      <c r="H12" s="47"/>
      <c r="I12" s="57">
        <v>1</v>
      </c>
      <c r="J12" s="57"/>
      <c r="K12" s="49">
        <f t="shared" si="3"/>
        <v>0</v>
      </c>
      <c r="L12" s="50">
        <f t="shared" si="4"/>
        <v>0</v>
      </c>
      <c r="N12" s="51">
        <v>5102</v>
      </c>
      <c r="O12" s="52">
        <v>102</v>
      </c>
      <c r="P12" s="53"/>
      <c r="Q12" s="54"/>
      <c r="V12" s="623" t="s">
        <v>33</v>
      </c>
      <c r="W12" s="623"/>
      <c r="X12" s="618">
        <f>IF('4010'!K$84=1,'4010'!G12,0)</f>
        <v>0</v>
      </c>
      <c r="Y12" s="618"/>
      <c r="Z12" s="624">
        <v>1</v>
      </c>
      <c r="AA12" s="624"/>
      <c r="AB12" s="55">
        <f t="shared" si="0"/>
        <v>0</v>
      </c>
      <c r="AC12" s="56">
        <f t="shared" si="1"/>
        <v>0</v>
      </c>
      <c r="AD12" s="9"/>
    </row>
    <row r="13" spans="1:30" x14ac:dyDescent="0.25">
      <c r="A13" s="1" t="s">
        <v>34</v>
      </c>
      <c r="B13" s="13" t="s">
        <v>35</v>
      </c>
      <c r="C13" s="13"/>
      <c r="D13" s="13">
        <v>0</v>
      </c>
      <c r="E13" s="13">
        <v>0</v>
      </c>
      <c r="F13" s="13">
        <v>0</v>
      </c>
      <c r="G13" s="46">
        <f t="shared" si="2"/>
        <v>0</v>
      </c>
      <c r="H13" s="47"/>
      <c r="I13" s="57">
        <f>I12</f>
        <v>1</v>
      </c>
      <c r="J13" s="57"/>
      <c r="K13" s="49">
        <f t="shared" si="3"/>
        <v>0</v>
      </c>
      <c r="L13" s="50">
        <f t="shared" si="4"/>
        <v>0</v>
      </c>
      <c r="M13" s="1" t="str">
        <f>IF(ROUND(G13,2)=ROUND(SUM(G31:G33),2)," ","CHECK 2. PK-3 Lines Below")</f>
        <v xml:space="preserve"> </v>
      </c>
      <c r="N13" s="51">
        <v>5102</v>
      </c>
      <c r="O13" s="58" t="s">
        <v>36</v>
      </c>
      <c r="P13" s="53"/>
      <c r="Q13" s="54"/>
      <c r="V13" s="623" t="s">
        <v>35</v>
      </c>
      <c r="W13" s="623"/>
      <c r="X13" s="618">
        <f>IF('4010'!K$84=1,'4010'!G13,0)</f>
        <v>0</v>
      </c>
      <c r="Y13" s="618"/>
      <c r="Z13" s="624">
        <v>1</v>
      </c>
      <c r="AA13" s="624"/>
      <c r="AB13" s="55">
        <f t="shared" si="0"/>
        <v>0</v>
      </c>
      <c r="AC13" s="56">
        <f t="shared" si="1"/>
        <v>0</v>
      </c>
      <c r="AD13" s="9"/>
    </row>
    <row r="14" spans="1:30" x14ac:dyDescent="0.25">
      <c r="A14" s="1" t="s">
        <v>37</v>
      </c>
      <c r="B14" s="13" t="s">
        <v>38</v>
      </c>
      <c r="C14" s="13"/>
      <c r="D14" s="13">
        <v>0</v>
      </c>
      <c r="E14" s="13">
        <v>0</v>
      </c>
      <c r="F14" s="13">
        <v>0</v>
      </c>
      <c r="G14" s="46">
        <f t="shared" si="2"/>
        <v>0</v>
      </c>
      <c r="H14" s="47"/>
      <c r="I14" s="57">
        <v>1.0109999999999999</v>
      </c>
      <c r="J14" s="57"/>
      <c r="K14" s="49">
        <f t="shared" si="3"/>
        <v>0</v>
      </c>
      <c r="L14" s="50">
        <f t="shared" si="4"/>
        <v>0</v>
      </c>
      <c r="N14" s="51">
        <v>5103</v>
      </c>
      <c r="O14" s="52">
        <v>103</v>
      </c>
      <c r="P14" s="53"/>
      <c r="Q14" s="54"/>
      <c r="V14" s="623" t="s">
        <v>38</v>
      </c>
      <c r="W14" s="623"/>
      <c r="X14" s="618">
        <f>IF('4010'!K$84=1,'4010'!G14,0)</f>
        <v>0</v>
      </c>
      <c r="Y14" s="618"/>
      <c r="Z14" s="624">
        <v>1</v>
      </c>
      <c r="AA14" s="624"/>
      <c r="AB14" s="55">
        <f t="shared" si="0"/>
        <v>0</v>
      </c>
      <c r="AC14" s="56">
        <f t="shared" si="1"/>
        <v>0</v>
      </c>
      <c r="AD14" s="9"/>
    </row>
    <row r="15" spans="1:30" x14ac:dyDescent="0.25">
      <c r="A15" s="1" t="s">
        <v>39</v>
      </c>
      <c r="B15" s="13" t="s">
        <v>40</v>
      </c>
      <c r="C15" s="13"/>
      <c r="D15" s="13">
        <v>0</v>
      </c>
      <c r="E15" s="13">
        <v>0</v>
      </c>
      <c r="F15" s="13">
        <v>0</v>
      </c>
      <c r="G15" s="46">
        <f t="shared" si="2"/>
        <v>0</v>
      </c>
      <c r="H15" s="47"/>
      <c r="I15" s="57">
        <f>I14</f>
        <v>1.0109999999999999</v>
      </c>
      <c r="J15" s="57"/>
      <c r="K15" s="49">
        <f t="shared" si="3"/>
        <v>0</v>
      </c>
      <c r="L15" s="59">
        <f t="shared" si="4"/>
        <v>0</v>
      </c>
      <c r="M15" s="1" t="str">
        <f>IF(ROUND(G15,2)=ROUND(SUM(G34:G36),2)," ","CHECK 2. PK-3 Lines Below")</f>
        <v xml:space="preserve"> </v>
      </c>
      <c r="N15" s="51">
        <v>5103</v>
      </c>
      <c r="O15" s="58" t="s">
        <v>41</v>
      </c>
      <c r="P15" s="53"/>
      <c r="Q15" s="54"/>
      <c r="V15" s="623" t="s">
        <v>40</v>
      </c>
      <c r="W15" s="623"/>
      <c r="X15" s="618">
        <f>IF('4010'!K$84=1,'4010'!G15,0)</f>
        <v>0</v>
      </c>
      <c r="Y15" s="618"/>
      <c r="Z15" s="624">
        <v>1</v>
      </c>
      <c r="AA15" s="624"/>
      <c r="AB15" s="55">
        <f t="shared" si="0"/>
        <v>0</v>
      </c>
      <c r="AC15" s="60">
        <f t="shared" si="1"/>
        <v>0</v>
      </c>
      <c r="AD15" s="9"/>
    </row>
    <row r="16" spans="1:30" x14ac:dyDescent="0.25">
      <c r="A16" s="1" t="s">
        <v>42</v>
      </c>
      <c r="B16" s="13" t="s">
        <v>43</v>
      </c>
      <c r="C16" s="13"/>
      <c r="D16" s="13">
        <v>0</v>
      </c>
      <c r="E16" s="13">
        <v>0</v>
      </c>
      <c r="F16" s="13">
        <v>0</v>
      </c>
      <c r="G16" s="46">
        <f t="shared" si="2"/>
        <v>0</v>
      </c>
      <c r="H16" s="47"/>
      <c r="I16" s="57">
        <v>3.5579999999999998</v>
      </c>
      <c r="J16" s="57"/>
      <c r="K16" s="49">
        <f t="shared" si="3"/>
        <v>0</v>
      </c>
      <c r="L16" s="50">
        <f t="shared" si="4"/>
        <v>0</v>
      </c>
      <c r="N16" s="51">
        <v>5101</v>
      </c>
      <c r="O16" s="53">
        <v>254</v>
      </c>
      <c r="P16" s="53"/>
      <c r="Q16" s="54"/>
      <c r="V16" s="623" t="s">
        <v>43</v>
      </c>
      <c r="W16" s="623"/>
      <c r="X16" s="618">
        <f>IF('4010'!K$84=1,'4010'!G16,0)</f>
        <v>0</v>
      </c>
      <c r="Y16" s="618"/>
      <c r="Z16" s="624">
        <v>1</v>
      </c>
      <c r="AA16" s="624"/>
      <c r="AB16" s="55">
        <f t="shared" si="0"/>
        <v>0</v>
      </c>
      <c r="AC16" s="56">
        <f t="shared" si="1"/>
        <v>0</v>
      </c>
      <c r="AD16" s="9"/>
    </row>
    <row r="17" spans="1:30" x14ac:dyDescent="0.25">
      <c r="A17" s="1" t="s">
        <v>44</v>
      </c>
      <c r="B17" s="13" t="s">
        <v>45</v>
      </c>
      <c r="C17" s="13"/>
      <c r="D17" s="13">
        <v>0</v>
      </c>
      <c r="E17" s="13">
        <v>0</v>
      </c>
      <c r="F17" s="13">
        <v>0</v>
      </c>
      <c r="G17" s="46">
        <f t="shared" si="2"/>
        <v>0</v>
      </c>
      <c r="H17" s="47"/>
      <c r="I17" s="57">
        <f>I16</f>
        <v>3.5579999999999998</v>
      </c>
      <c r="J17" s="57"/>
      <c r="K17" s="49">
        <f t="shared" si="3"/>
        <v>0</v>
      </c>
      <c r="L17" s="50">
        <f t="shared" si="4"/>
        <v>0</v>
      </c>
      <c r="N17" s="51">
        <v>5102</v>
      </c>
      <c r="O17" s="54">
        <v>254</v>
      </c>
      <c r="P17" s="53"/>
      <c r="Q17" s="54"/>
      <c r="V17" s="623" t="s">
        <v>45</v>
      </c>
      <c r="W17" s="623"/>
      <c r="X17" s="618">
        <f>IF('4010'!K$84=1,'4010'!G17,0)</f>
        <v>0</v>
      </c>
      <c r="Y17" s="618"/>
      <c r="Z17" s="624">
        <v>1</v>
      </c>
      <c r="AA17" s="624"/>
      <c r="AB17" s="55">
        <f t="shared" si="0"/>
        <v>0</v>
      </c>
      <c r="AC17" s="56">
        <f t="shared" si="1"/>
        <v>0</v>
      </c>
      <c r="AD17" s="9"/>
    </row>
    <row r="18" spans="1:30" x14ac:dyDescent="0.25">
      <c r="A18" s="1" t="s">
        <v>46</v>
      </c>
      <c r="B18" s="13" t="s">
        <v>47</v>
      </c>
      <c r="C18" s="13"/>
      <c r="D18" s="13">
        <v>0</v>
      </c>
      <c r="E18" s="13">
        <v>0</v>
      </c>
      <c r="F18" s="13">
        <v>0</v>
      </c>
      <c r="G18" s="46">
        <f t="shared" si="2"/>
        <v>0</v>
      </c>
      <c r="H18" s="47"/>
      <c r="I18" s="57">
        <f>I17</f>
        <v>3.5579999999999998</v>
      </c>
      <c r="J18" s="57"/>
      <c r="K18" s="49">
        <f t="shared" si="3"/>
        <v>0</v>
      </c>
      <c r="L18" s="50">
        <f t="shared" si="4"/>
        <v>0</v>
      </c>
      <c r="N18" s="51">
        <v>5103</v>
      </c>
      <c r="O18" s="54">
        <v>254</v>
      </c>
      <c r="P18" s="53"/>
      <c r="Q18" s="54"/>
      <c r="V18" s="623" t="s">
        <v>47</v>
      </c>
      <c r="W18" s="623"/>
      <c r="X18" s="618">
        <f>IF('4010'!K$84=1,'4010'!G18,0)</f>
        <v>0</v>
      </c>
      <c r="Y18" s="618"/>
      <c r="Z18" s="624">
        <v>1</v>
      </c>
      <c r="AA18" s="624"/>
      <c r="AB18" s="55">
        <f t="shared" si="0"/>
        <v>0</v>
      </c>
      <c r="AC18" s="56">
        <f t="shared" si="1"/>
        <v>0</v>
      </c>
      <c r="AD18" s="9"/>
    </row>
    <row r="19" spans="1:30" ht="15" customHeight="1" x14ac:dyDescent="0.25">
      <c r="A19" s="1" t="s">
        <v>48</v>
      </c>
      <c r="B19" s="13" t="s">
        <v>49</v>
      </c>
      <c r="C19" s="13"/>
      <c r="D19" s="13">
        <v>0</v>
      </c>
      <c r="E19" s="13">
        <v>0</v>
      </c>
      <c r="F19" s="13">
        <v>0</v>
      </c>
      <c r="G19" s="46">
        <f t="shared" si="2"/>
        <v>0</v>
      </c>
      <c r="H19" s="47"/>
      <c r="I19" s="57">
        <v>5.0890000000000004</v>
      </c>
      <c r="J19" s="57"/>
      <c r="K19" s="49">
        <f t="shared" si="3"/>
        <v>0</v>
      </c>
      <c r="L19" s="50">
        <f t="shared" si="4"/>
        <v>0</v>
      </c>
      <c r="N19" s="51">
        <v>5101</v>
      </c>
      <c r="O19" s="53">
        <v>255</v>
      </c>
      <c r="P19" s="53"/>
      <c r="Q19" s="54"/>
      <c r="V19" s="623" t="s">
        <v>49</v>
      </c>
      <c r="W19" s="623"/>
      <c r="X19" s="618">
        <f>IF('4010'!K$84=1,'4010'!G19,0)</f>
        <v>0</v>
      </c>
      <c r="Y19" s="618"/>
      <c r="Z19" s="624">
        <v>1</v>
      </c>
      <c r="AA19" s="624"/>
      <c r="AB19" s="55">
        <f t="shared" si="0"/>
        <v>0</v>
      </c>
      <c r="AC19" s="56">
        <f t="shared" si="1"/>
        <v>0</v>
      </c>
      <c r="AD19" s="9"/>
    </row>
    <row r="20" spans="1:30" ht="15" customHeight="1" x14ac:dyDescent="0.25">
      <c r="A20" s="1" t="s">
        <v>50</v>
      </c>
      <c r="B20" s="13" t="s">
        <v>51</v>
      </c>
      <c r="C20" s="13"/>
      <c r="D20" s="13">
        <v>0</v>
      </c>
      <c r="E20" s="13">
        <v>0</v>
      </c>
      <c r="F20" s="13">
        <v>0</v>
      </c>
      <c r="G20" s="46">
        <f t="shared" si="2"/>
        <v>0</v>
      </c>
      <c r="H20" s="47"/>
      <c r="I20" s="57">
        <f>I19</f>
        <v>5.0890000000000004</v>
      </c>
      <c r="J20" s="57"/>
      <c r="K20" s="49">
        <f t="shared" si="3"/>
        <v>0</v>
      </c>
      <c r="L20" s="50">
        <f t="shared" si="4"/>
        <v>0</v>
      </c>
      <c r="N20" s="51">
        <v>5102</v>
      </c>
      <c r="O20" s="54">
        <v>255</v>
      </c>
      <c r="P20" s="53"/>
      <c r="Q20" s="54"/>
      <c r="V20" s="623" t="s">
        <v>51</v>
      </c>
      <c r="W20" s="623"/>
      <c r="X20" s="618">
        <f>IF('4010'!K$84=1,'4010'!G20,0)</f>
        <v>0</v>
      </c>
      <c r="Y20" s="618"/>
      <c r="Z20" s="624">
        <v>1</v>
      </c>
      <c r="AA20" s="624"/>
      <c r="AB20" s="55">
        <f t="shared" si="0"/>
        <v>0</v>
      </c>
      <c r="AC20" s="56">
        <f t="shared" si="1"/>
        <v>0</v>
      </c>
      <c r="AD20" s="9"/>
    </row>
    <row r="21" spans="1:30" ht="15" customHeight="1" x14ac:dyDescent="0.25">
      <c r="A21" s="1" t="s">
        <v>52</v>
      </c>
      <c r="B21" s="13" t="s">
        <v>53</v>
      </c>
      <c r="C21" s="13"/>
      <c r="D21" s="13">
        <v>0</v>
      </c>
      <c r="E21" s="13">
        <v>0</v>
      </c>
      <c r="F21" s="13">
        <v>0</v>
      </c>
      <c r="G21" s="46">
        <f t="shared" si="2"/>
        <v>0</v>
      </c>
      <c r="H21" s="47"/>
      <c r="I21" s="57">
        <f>I20</f>
        <v>5.0890000000000004</v>
      </c>
      <c r="J21" s="57"/>
      <c r="K21" s="49">
        <f t="shared" si="3"/>
        <v>0</v>
      </c>
      <c r="L21" s="50">
        <f t="shared" si="4"/>
        <v>0</v>
      </c>
      <c r="N21" s="51">
        <v>5103</v>
      </c>
      <c r="O21" s="54">
        <v>255</v>
      </c>
      <c r="P21" s="53"/>
      <c r="Q21" s="54"/>
      <c r="V21" s="623" t="s">
        <v>53</v>
      </c>
      <c r="W21" s="623"/>
      <c r="X21" s="618">
        <f>IF('4010'!K$84=1,'4010'!G21,0)</f>
        <v>0</v>
      </c>
      <c r="Y21" s="618"/>
      <c r="Z21" s="624">
        <v>1</v>
      </c>
      <c r="AA21" s="624"/>
      <c r="AB21" s="55">
        <f t="shared" si="0"/>
        <v>0</v>
      </c>
      <c r="AC21" s="56">
        <f t="shared" si="1"/>
        <v>0</v>
      </c>
      <c r="AD21" s="9"/>
    </row>
    <row r="22" spans="1:30" x14ac:dyDescent="0.25">
      <c r="A22" s="1" t="s">
        <v>54</v>
      </c>
      <c r="B22" s="13" t="s">
        <v>55</v>
      </c>
      <c r="C22" s="13"/>
      <c r="D22" s="13">
        <v>1.37</v>
      </c>
      <c r="E22" s="13">
        <v>1.24</v>
      </c>
      <c r="F22" s="13">
        <v>0</v>
      </c>
      <c r="G22" s="46">
        <f t="shared" si="2"/>
        <v>2.6100000000000003</v>
      </c>
      <c r="H22" s="47"/>
      <c r="I22" s="57">
        <v>1.145</v>
      </c>
      <c r="J22" s="57"/>
      <c r="K22" s="49">
        <f t="shared" si="3"/>
        <v>2.9885000000000002</v>
      </c>
      <c r="L22" s="50">
        <f t="shared" si="4"/>
        <v>11579</v>
      </c>
      <c r="N22" s="51">
        <v>5101</v>
      </c>
      <c r="O22" s="52">
        <v>130</v>
      </c>
      <c r="P22" s="53"/>
      <c r="Q22" s="54"/>
      <c r="V22" s="623" t="s">
        <v>55</v>
      </c>
      <c r="W22" s="623"/>
      <c r="X22" s="618">
        <f>IF('4010'!K$84=1,'4010'!G22,0)</f>
        <v>0</v>
      </c>
      <c r="Y22" s="618"/>
      <c r="Z22" s="624">
        <v>1</v>
      </c>
      <c r="AA22" s="624"/>
      <c r="AB22" s="55">
        <f t="shared" si="0"/>
        <v>0</v>
      </c>
      <c r="AC22" s="56">
        <f t="shared" si="1"/>
        <v>0</v>
      </c>
      <c r="AD22" s="9"/>
    </row>
    <row r="23" spans="1:30" x14ac:dyDescent="0.25">
      <c r="A23" s="1" t="s">
        <v>56</v>
      </c>
      <c r="B23" s="13" t="s">
        <v>57</v>
      </c>
      <c r="C23" s="13"/>
      <c r="D23" s="13">
        <v>0</v>
      </c>
      <c r="E23" s="13">
        <v>0</v>
      </c>
      <c r="F23" s="13">
        <v>0</v>
      </c>
      <c r="G23" s="46">
        <f t="shared" si="2"/>
        <v>0</v>
      </c>
      <c r="H23" s="47"/>
      <c r="I23" s="57">
        <f>I22</f>
        <v>1.145</v>
      </c>
      <c r="J23" s="57"/>
      <c r="K23" s="49">
        <f t="shared" si="3"/>
        <v>0</v>
      </c>
      <c r="L23" s="50">
        <f t="shared" si="4"/>
        <v>0</v>
      </c>
      <c r="N23" s="51">
        <v>5102</v>
      </c>
      <c r="O23" s="52">
        <v>130</v>
      </c>
      <c r="P23" s="53"/>
      <c r="Q23" s="54"/>
      <c r="V23" s="623" t="s">
        <v>57</v>
      </c>
      <c r="W23" s="623"/>
      <c r="X23" s="618">
        <f>IF('4010'!K$84=1,'4010'!G23,0)</f>
        <v>0</v>
      </c>
      <c r="Y23" s="618"/>
      <c r="Z23" s="624">
        <v>1</v>
      </c>
      <c r="AA23" s="624"/>
      <c r="AB23" s="55">
        <f t="shared" si="0"/>
        <v>0</v>
      </c>
      <c r="AC23" s="56">
        <f t="shared" si="1"/>
        <v>0</v>
      </c>
      <c r="AD23" s="9"/>
    </row>
    <row r="24" spans="1:30" x14ac:dyDescent="0.25">
      <c r="A24" s="1" t="s">
        <v>58</v>
      </c>
      <c r="B24" s="13" t="s">
        <v>59</v>
      </c>
      <c r="C24" s="13"/>
      <c r="D24" s="13">
        <v>0</v>
      </c>
      <c r="E24" s="13">
        <v>0</v>
      </c>
      <c r="F24" s="13">
        <v>0</v>
      </c>
      <c r="G24" s="46">
        <f t="shared" si="2"/>
        <v>0</v>
      </c>
      <c r="H24" s="47"/>
      <c r="I24" s="57">
        <f>I23</f>
        <v>1.145</v>
      </c>
      <c r="J24" s="57"/>
      <c r="K24" s="49">
        <f t="shared" si="3"/>
        <v>0</v>
      </c>
      <c r="L24" s="50">
        <f t="shared" si="4"/>
        <v>0</v>
      </c>
      <c r="N24" s="51">
        <v>5103</v>
      </c>
      <c r="O24" s="52">
        <v>130</v>
      </c>
      <c r="P24" s="53"/>
      <c r="Q24" s="54"/>
      <c r="V24" s="623" t="s">
        <v>59</v>
      </c>
      <c r="W24" s="623"/>
      <c r="X24" s="618">
        <f>IF('4010'!K$84=1,'4010'!G24,0)</f>
        <v>0</v>
      </c>
      <c r="Y24" s="618"/>
      <c r="Z24" s="624">
        <v>1</v>
      </c>
      <c r="AA24" s="624"/>
      <c r="AB24" s="55">
        <f t="shared" si="0"/>
        <v>0</v>
      </c>
      <c r="AC24" s="56">
        <f t="shared" si="1"/>
        <v>0</v>
      </c>
      <c r="AD24" s="9"/>
    </row>
    <row r="25" spans="1:30" ht="16.5" thickBot="1" x14ac:dyDescent="0.3">
      <c r="A25" s="1" t="s">
        <v>60</v>
      </c>
      <c r="B25" s="13" t="s">
        <v>61</v>
      </c>
      <c r="C25" s="13"/>
      <c r="D25" s="13">
        <v>0</v>
      </c>
      <c r="E25" s="13">
        <v>0</v>
      </c>
      <c r="F25" s="13">
        <v>0</v>
      </c>
      <c r="G25" s="46">
        <f t="shared" si="2"/>
        <v>0</v>
      </c>
      <c r="H25" s="47"/>
      <c r="I25" s="57">
        <v>1.0109999999999999</v>
      </c>
      <c r="J25" s="57"/>
      <c r="K25" s="49">
        <f t="shared" si="3"/>
        <v>0</v>
      </c>
      <c r="L25" s="50">
        <f t="shared" si="4"/>
        <v>0</v>
      </c>
      <c r="N25" s="51">
        <v>5310</v>
      </c>
      <c r="O25" s="52">
        <v>300</v>
      </c>
      <c r="P25" s="53"/>
      <c r="Q25" s="54"/>
      <c r="V25" s="623" t="s">
        <v>61</v>
      </c>
      <c r="W25" s="623"/>
      <c r="X25" s="618">
        <f>IF('4010'!K$84=1,'4010'!G25,0)</f>
        <v>0</v>
      </c>
      <c r="Y25" s="618"/>
      <c r="Z25" s="624">
        <v>1</v>
      </c>
      <c r="AA25" s="624"/>
      <c r="AB25" s="55">
        <f t="shared" si="0"/>
        <v>0</v>
      </c>
      <c r="AC25" s="56">
        <f t="shared" si="1"/>
        <v>0</v>
      </c>
      <c r="AD25" s="9"/>
    </row>
    <row r="26" spans="1:30" ht="20.25" customHeight="1" thickBot="1" x14ac:dyDescent="0.3">
      <c r="B26" s="62" t="s">
        <v>62</v>
      </c>
      <c r="C26" s="62"/>
      <c r="D26" s="63">
        <f t="shared" ref="D26:E26" si="5">SUM(D10:D25)</f>
        <v>57.65</v>
      </c>
      <c r="E26" s="63">
        <f t="shared" si="5"/>
        <v>49.75</v>
      </c>
      <c r="F26" s="63"/>
      <c r="G26" s="63">
        <f>SUM(G10:G25)</f>
        <v>107.39999999999999</v>
      </c>
      <c r="H26" s="64"/>
      <c r="I26" s="64"/>
      <c r="J26" s="65"/>
      <c r="K26" s="66">
        <f>SUM(K10:K25)</f>
        <v>120.87730000000001</v>
      </c>
      <c r="L26" s="67">
        <f>SUM(L10:L25)</f>
        <v>468354</v>
      </c>
      <c r="N26" s="54"/>
      <c r="O26" s="68"/>
      <c r="P26" s="54"/>
      <c r="Q26" s="54"/>
      <c r="V26" s="625" t="s">
        <v>62</v>
      </c>
      <c r="W26" s="625"/>
      <c r="X26" s="626">
        <f>SUM(X10:X25)</f>
        <v>0</v>
      </c>
      <c r="Y26" s="626"/>
      <c r="Z26" s="627"/>
      <c r="AA26" s="628"/>
      <c r="AB26" s="69">
        <f>SUM(AB10:AB25)</f>
        <v>0</v>
      </c>
      <c r="AC26" s="70">
        <f>SUM(AC10:AC25)</f>
        <v>0</v>
      </c>
      <c r="AD26" s="9"/>
    </row>
    <row r="27" spans="1:30" ht="51.75" customHeight="1" x14ac:dyDescent="0.25">
      <c r="B27" s="62" t="s">
        <v>63</v>
      </c>
      <c r="C27" s="62"/>
      <c r="D27" s="71" t="s">
        <v>13</v>
      </c>
      <c r="E27" s="71" t="s">
        <v>14</v>
      </c>
      <c r="F27" s="27"/>
      <c r="G27" s="72" t="s">
        <v>64</v>
      </c>
      <c r="H27" s="73"/>
      <c r="I27" s="74" t="s">
        <v>65</v>
      </c>
      <c r="J27" s="74" t="s">
        <v>66</v>
      </c>
      <c r="K27" s="75" t="s">
        <v>67</v>
      </c>
      <c r="N27" s="54"/>
      <c r="O27" s="68"/>
      <c r="P27" s="54"/>
      <c r="Q27" s="54"/>
      <c r="V27" s="629" t="s">
        <v>63</v>
      </c>
      <c r="W27" s="629"/>
      <c r="X27" s="630" t="s">
        <v>64</v>
      </c>
      <c r="Y27" s="630"/>
      <c r="Z27" s="76" t="s">
        <v>65</v>
      </c>
      <c r="AA27" s="77" t="s">
        <v>66</v>
      </c>
      <c r="AB27" s="78" t="s">
        <v>67</v>
      </c>
      <c r="AC27" s="9"/>
      <c r="AD27" s="9"/>
    </row>
    <row r="28" spans="1:30" ht="15.75" customHeight="1" x14ac:dyDescent="0.25">
      <c r="A28" s="1" t="s">
        <v>68</v>
      </c>
      <c r="B28" s="631" t="s">
        <v>69</v>
      </c>
      <c r="C28" s="632"/>
      <c r="D28" s="13">
        <v>5.0599999999999996</v>
      </c>
      <c r="E28" s="13">
        <v>4.93</v>
      </c>
      <c r="F28" s="79">
        <v>0</v>
      </c>
      <c r="G28" s="46">
        <f t="shared" ref="G28:G36" si="6">D28+E28</f>
        <v>9.9899999999999984</v>
      </c>
      <c r="H28" s="80"/>
      <c r="I28" s="81" t="s">
        <v>70</v>
      </c>
      <c r="J28" s="82">
        <v>251</v>
      </c>
      <c r="K28" s="83">
        <v>1047</v>
      </c>
      <c r="L28" s="84">
        <f>ROUND(G28*K28,0)</f>
        <v>10460</v>
      </c>
      <c r="N28" s="85">
        <v>5101</v>
      </c>
      <c r="O28" s="54">
        <v>251</v>
      </c>
      <c r="P28" s="86"/>
      <c r="Q28" s="87"/>
      <c r="V28" s="637" t="s">
        <v>69</v>
      </c>
      <c r="W28" s="637"/>
      <c r="X28" s="638"/>
      <c r="Y28" s="638"/>
      <c r="Z28" s="88" t="s">
        <v>70</v>
      </c>
      <c r="AA28" s="89">
        <v>251</v>
      </c>
      <c r="AB28" s="90">
        <f>+K28</f>
        <v>1047</v>
      </c>
      <c r="AC28" s="91">
        <f t="shared" ref="AC28:AC36" si="7">ROUND(X28*AB28,0)</f>
        <v>0</v>
      </c>
      <c r="AD28" s="9"/>
    </row>
    <row r="29" spans="1:30" x14ac:dyDescent="0.25">
      <c r="A29" s="1" t="s">
        <v>71</v>
      </c>
      <c r="B29" s="633"/>
      <c r="C29" s="634"/>
      <c r="D29" s="13">
        <v>0</v>
      </c>
      <c r="E29" s="13">
        <v>0.47</v>
      </c>
      <c r="F29" s="92">
        <v>0</v>
      </c>
      <c r="G29" s="46">
        <f t="shared" si="6"/>
        <v>0.47</v>
      </c>
      <c r="H29" s="80"/>
      <c r="I29" s="82" t="s">
        <v>70</v>
      </c>
      <c r="J29" s="82">
        <v>252</v>
      </c>
      <c r="K29" s="83">
        <v>3380</v>
      </c>
      <c r="L29" s="84">
        <f t="shared" ref="L29:L36" si="8">ROUND(G29*K29,0)</f>
        <v>1589</v>
      </c>
      <c r="N29" s="85">
        <v>5101</v>
      </c>
      <c r="O29" s="54">
        <v>252</v>
      </c>
      <c r="P29" s="86"/>
      <c r="Q29" s="87"/>
      <c r="V29" s="637"/>
      <c r="W29" s="637"/>
      <c r="X29" s="638"/>
      <c r="Y29" s="638"/>
      <c r="Z29" s="89" t="s">
        <v>70</v>
      </c>
      <c r="AA29" s="89">
        <v>252</v>
      </c>
      <c r="AB29" s="90">
        <f t="shared" ref="AB29:AB36" si="9">+K29</f>
        <v>3380</v>
      </c>
      <c r="AC29" s="91">
        <f t="shared" si="7"/>
        <v>0</v>
      </c>
      <c r="AD29" s="9"/>
    </row>
    <row r="30" spans="1:30" x14ac:dyDescent="0.25">
      <c r="A30" s="1" t="s">
        <v>72</v>
      </c>
      <c r="B30" s="633"/>
      <c r="C30" s="634"/>
      <c r="D30" s="13">
        <v>0</v>
      </c>
      <c r="E30" s="13">
        <v>0</v>
      </c>
      <c r="F30" s="92">
        <v>0</v>
      </c>
      <c r="G30" s="46">
        <f t="shared" si="6"/>
        <v>0</v>
      </c>
      <c r="H30" s="80"/>
      <c r="I30" s="82" t="s">
        <v>70</v>
      </c>
      <c r="J30" s="82">
        <v>253</v>
      </c>
      <c r="K30" s="83">
        <v>6896</v>
      </c>
      <c r="L30" s="84">
        <f t="shared" si="8"/>
        <v>0</v>
      </c>
      <c r="N30" s="85">
        <v>5101</v>
      </c>
      <c r="O30" s="54">
        <v>253</v>
      </c>
      <c r="P30" s="86"/>
      <c r="Q30" s="68"/>
      <c r="V30" s="637"/>
      <c r="W30" s="637"/>
      <c r="X30" s="638"/>
      <c r="Y30" s="638"/>
      <c r="Z30" s="89" t="s">
        <v>70</v>
      </c>
      <c r="AA30" s="89">
        <v>253</v>
      </c>
      <c r="AB30" s="90">
        <f t="shared" si="9"/>
        <v>6896</v>
      </c>
      <c r="AC30" s="91">
        <f t="shared" si="7"/>
        <v>0</v>
      </c>
      <c r="AD30" s="9"/>
    </row>
    <row r="31" spans="1:30" x14ac:dyDescent="0.25">
      <c r="A31" s="1" t="s">
        <v>73</v>
      </c>
      <c r="B31" s="633"/>
      <c r="C31" s="634"/>
      <c r="D31" s="13">
        <v>0</v>
      </c>
      <c r="E31" s="13">
        <v>0</v>
      </c>
      <c r="F31" s="92">
        <v>0</v>
      </c>
      <c r="G31" s="46">
        <f t="shared" si="6"/>
        <v>0</v>
      </c>
      <c r="H31" s="80"/>
      <c r="I31" s="93" t="s">
        <v>74</v>
      </c>
      <c r="J31" s="82">
        <v>251</v>
      </c>
      <c r="K31" s="83">
        <v>1173</v>
      </c>
      <c r="L31" s="84">
        <f t="shared" si="8"/>
        <v>0</v>
      </c>
      <c r="N31" s="85">
        <v>5102</v>
      </c>
      <c r="O31" s="54">
        <v>251</v>
      </c>
      <c r="P31" s="86"/>
      <c r="Q31" s="68"/>
      <c r="V31" s="637"/>
      <c r="W31" s="637"/>
      <c r="X31" s="638"/>
      <c r="Y31" s="638"/>
      <c r="Z31" s="94" t="s">
        <v>74</v>
      </c>
      <c r="AA31" s="89">
        <v>251</v>
      </c>
      <c r="AB31" s="90">
        <f t="shared" si="9"/>
        <v>1173</v>
      </c>
      <c r="AC31" s="91">
        <f t="shared" si="7"/>
        <v>0</v>
      </c>
      <c r="AD31" s="9"/>
    </row>
    <row r="32" spans="1:30" x14ac:dyDescent="0.25">
      <c r="A32" s="1" t="s">
        <v>75</v>
      </c>
      <c r="B32" s="633"/>
      <c r="C32" s="634"/>
      <c r="D32" s="13">
        <v>0</v>
      </c>
      <c r="E32" s="13">
        <v>0</v>
      </c>
      <c r="F32" s="92">
        <v>0</v>
      </c>
      <c r="G32" s="46">
        <f t="shared" si="6"/>
        <v>0</v>
      </c>
      <c r="H32" s="80"/>
      <c r="I32" s="93" t="s">
        <v>74</v>
      </c>
      <c r="J32" s="82">
        <v>252</v>
      </c>
      <c r="K32" s="83">
        <v>3506</v>
      </c>
      <c r="L32" s="84">
        <f t="shared" si="8"/>
        <v>0</v>
      </c>
      <c r="N32" s="85">
        <v>5102</v>
      </c>
      <c r="O32" s="54">
        <v>252</v>
      </c>
      <c r="P32" s="86"/>
      <c r="Q32" s="54"/>
      <c r="V32" s="637"/>
      <c r="W32" s="637"/>
      <c r="X32" s="638"/>
      <c r="Y32" s="638"/>
      <c r="Z32" s="94" t="s">
        <v>74</v>
      </c>
      <c r="AA32" s="89">
        <v>252</v>
      </c>
      <c r="AB32" s="90">
        <f t="shared" si="9"/>
        <v>3506</v>
      </c>
      <c r="AC32" s="91">
        <f t="shared" si="7"/>
        <v>0</v>
      </c>
      <c r="AD32" s="9"/>
    </row>
    <row r="33" spans="1:30" x14ac:dyDescent="0.25">
      <c r="A33" s="1" t="s">
        <v>76</v>
      </c>
      <c r="B33" s="633"/>
      <c r="C33" s="634"/>
      <c r="D33" s="13">
        <v>0</v>
      </c>
      <c r="E33" s="13">
        <v>0</v>
      </c>
      <c r="F33" s="92">
        <v>0</v>
      </c>
      <c r="G33" s="46">
        <f t="shared" si="6"/>
        <v>0</v>
      </c>
      <c r="H33" s="80"/>
      <c r="I33" s="93" t="s">
        <v>74</v>
      </c>
      <c r="J33" s="82">
        <v>253</v>
      </c>
      <c r="K33" s="83">
        <v>7023</v>
      </c>
      <c r="L33" s="84">
        <f t="shared" si="8"/>
        <v>0</v>
      </c>
      <c r="N33" s="85">
        <v>5102</v>
      </c>
      <c r="O33" s="54">
        <v>253</v>
      </c>
      <c r="P33" s="86"/>
      <c r="Q33" s="87"/>
      <c r="V33" s="637"/>
      <c r="W33" s="637"/>
      <c r="X33" s="638"/>
      <c r="Y33" s="638"/>
      <c r="Z33" s="94" t="s">
        <v>74</v>
      </c>
      <c r="AA33" s="89">
        <v>253</v>
      </c>
      <c r="AB33" s="90">
        <f t="shared" si="9"/>
        <v>7023</v>
      </c>
      <c r="AC33" s="91">
        <f t="shared" si="7"/>
        <v>0</v>
      </c>
      <c r="AD33" s="9"/>
    </row>
    <row r="34" spans="1:30" x14ac:dyDescent="0.25">
      <c r="A34" s="1" t="s">
        <v>77</v>
      </c>
      <c r="B34" s="633"/>
      <c r="C34" s="634"/>
      <c r="D34" s="13">
        <v>0</v>
      </c>
      <c r="E34" s="13">
        <v>0</v>
      </c>
      <c r="F34" s="92">
        <v>0</v>
      </c>
      <c r="G34" s="46">
        <f t="shared" si="6"/>
        <v>0</v>
      </c>
      <c r="H34" s="80"/>
      <c r="I34" s="93" t="s">
        <v>78</v>
      </c>
      <c r="J34" s="82">
        <v>251</v>
      </c>
      <c r="K34" s="83">
        <v>835</v>
      </c>
      <c r="L34" s="84">
        <f t="shared" si="8"/>
        <v>0</v>
      </c>
      <c r="N34" s="85">
        <v>5103</v>
      </c>
      <c r="O34" s="54">
        <v>251</v>
      </c>
      <c r="P34" s="86"/>
      <c r="Q34" s="87"/>
      <c r="V34" s="637"/>
      <c r="W34" s="637"/>
      <c r="X34" s="638"/>
      <c r="Y34" s="638"/>
      <c r="Z34" s="94" t="s">
        <v>78</v>
      </c>
      <c r="AA34" s="89">
        <v>251</v>
      </c>
      <c r="AB34" s="90">
        <f t="shared" si="9"/>
        <v>835</v>
      </c>
      <c r="AC34" s="91">
        <f t="shared" si="7"/>
        <v>0</v>
      </c>
      <c r="AD34" s="9"/>
    </row>
    <row r="35" spans="1:30" x14ac:dyDescent="0.25">
      <c r="A35" s="1" t="s">
        <v>79</v>
      </c>
      <c r="B35" s="633"/>
      <c r="C35" s="634"/>
      <c r="D35" s="13">
        <v>0</v>
      </c>
      <c r="E35" s="13">
        <v>0</v>
      </c>
      <c r="F35" s="92">
        <v>0</v>
      </c>
      <c r="G35" s="46">
        <f t="shared" si="6"/>
        <v>0</v>
      </c>
      <c r="H35" s="80"/>
      <c r="I35" s="93" t="s">
        <v>78</v>
      </c>
      <c r="J35" s="82">
        <v>252</v>
      </c>
      <c r="K35" s="83">
        <v>3168</v>
      </c>
      <c r="L35" s="84">
        <f t="shared" si="8"/>
        <v>0</v>
      </c>
      <c r="N35" s="85">
        <v>5103</v>
      </c>
      <c r="O35" s="54">
        <v>252</v>
      </c>
      <c r="P35" s="86"/>
      <c r="Q35" s="95"/>
      <c r="V35" s="637"/>
      <c r="W35" s="637"/>
      <c r="X35" s="638"/>
      <c r="Y35" s="638"/>
      <c r="Z35" s="94" t="s">
        <v>78</v>
      </c>
      <c r="AA35" s="89">
        <v>252</v>
      </c>
      <c r="AB35" s="90">
        <f t="shared" si="9"/>
        <v>3168</v>
      </c>
      <c r="AC35" s="91">
        <f t="shared" si="7"/>
        <v>0</v>
      </c>
      <c r="AD35" s="9"/>
    </row>
    <row r="36" spans="1:30" ht="16.5" thickBot="1" x14ac:dyDescent="0.3">
      <c r="A36" s="1" t="s">
        <v>80</v>
      </c>
      <c r="B36" s="635"/>
      <c r="C36" s="636"/>
      <c r="D36" s="13">
        <v>0</v>
      </c>
      <c r="E36" s="13">
        <v>0</v>
      </c>
      <c r="F36" s="92">
        <v>0</v>
      </c>
      <c r="G36" s="46">
        <f t="shared" si="6"/>
        <v>0</v>
      </c>
      <c r="H36" s="80"/>
      <c r="I36" s="93" t="s">
        <v>78</v>
      </c>
      <c r="J36" s="82">
        <v>253</v>
      </c>
      <c r="K36" s="83">
        <v>6685</v>
      </c>
      <c r="L36" s="96">
        <f t="shared" si="8"/>
        <v>0</v>
      </c>
      <c r="N36" s="85">
        <v>5103</v>
      </c>
      <c r="O36" s="54">
        <v>253</v>
      </c>
      <c r="P36" s="86"/>
      <c r="Q36" s="97"/>
      <c r="V36" s="637"/>
      <c r="W36" s="637"/>
      <c r="X36" s="645"/>
      <c r="Y36" s="645"/>
      <c r="Z36" s="94" t="s">
        <v>78</v>
      </c>
      <c r="AA36" s="89">
        <v>253</v>
      </c>
      <c r="AB36" s="90">
        <f t="shared" si="9"/>
        <v>6685</v>
      </c>
      <c r="AC36" s="98">
        <f t="shared" si="7"/>
        <v>0</v>
      </c>
      <c r="AD36" s="9"/>
    </row>
    <row r="37" spans="1:30" ht="18.75" customHeight="1" x14ac:dyDescent="0.25">
      <c r="B37" s="13" t="s">
        <v>81</v>
      </c>
      <c r="C37" s="13"/>
      <c r="D37" s="63">
        <f t="shared" ref="D37:E37" si="10">SUM(D28:D36)</f>
        <v>5.0599999999999996</v>
      </c>
      <c r="E37" s="63">
        <f t="shared" si="10"/>
        <v>5.3999999999999995</v>
      </c>
      <c r="F37" s="63"/>
      <c r="G37" s="63">
        <f>SUM(G28:G36)</f>
        <v>10.459999999999999</v>
      </c>
      <c r="H37" s="64"/>
      <c r="I37" s="13" t="s">
        <v>82</v>
      </c>
      <c r="J37" s="13"/>
      <c r="K37" s="13"/>
      <c r="L37" s="50">
        <f>SUM(L28:L36)</f>
        <v>12049</v>
      </c>
      <c r="N37" s="54"/>
      <c r="O37" s="68"/>
      <c r="P37" s="54"/>
      <c r="Q37" s="54"/>
      <c r="V37" s="646" t="s">
        <v>81</v>
      </c>
      <c r="W37" s="646"/>
      <c r="X37" s="626">
        <f>SUM(X28:X36)</f>
        <v>0</v>
      </c>
      <c r="Y37" s="626"/>
      <c r="Z37" s="646" t="s">
        <v>82</v>
      </c>
      <c r="AA37" s="646"/>
      <c r="AB37" s="646"/>
      <c r="AC37" s="56">
        <f>SUM(AC28:AC36)</f>
        <v>0</v>
      </c>
      <c r="AD37" s="9"/>
    </row>
    <row r="38" spans="1:30" ht="30.75" customHeight="1" x14ac:dyDescent="0.25">
      <c r="B38" s="99" t="s">
        <v>83</v>
      </c>
      <c r="C38" s="99"/>
      <c r="D38" s="99"/>
      <c r="E38" s="99"/>
      <c r="F38" s="99"/>
      <c r="G38" s="99"/>
      <c r="H38" s="100"/>
      <c r="I38" s="99"/>
      <c r="J38" s="99"/>
      <c r="K38" s="99"/>
      <c r="L38" s="99"/>
      <c r="M38" s="101"/>
      <c r="N38" s="54"/>
      <c r="O38" s="68"/>
      <c r="P38" s="54"/>
      <c r="Q38" s="54"/>
      <c r="V38" s="639" t="s">
        <v>83</v>
      </c>
      <c r="W38" s="639"/>
      <c r="X38" s="639"/>
      <c r="Y38" s="639"/>
      <c r="Z38" s="639"/>
      <c r="AA38" s="639"/>
      <c r="AB38" s="639"/>
      <c r="AC38" s="639"/>
      <c r="AD38" s="102"/>
    </row>
    <row r="39" spans="1:30" ht="15.75" customHeight="1" x14ac:dyDescent="0.25">
      <c r="B39" s="103" t="s">
        <v>84</v>
      </c>
      <c r="C39" s="103"/>
      <c r="D39" s="103"/>
      <c r="E39" s="103"/>
      <c r="F39" s="103"/>
      <c r="G39" s="104">
        <v>34389540</v>
      </c>
      <c r="H39" s="104"/>
      <c r="I39" s="13" t="s">
        <v>85</v>
      </c>
      <c r="J39" s="13"/>
      <c r="K39" s="13"/>
      <c r="L39" s="13"/>
      <c r="O39" s="1"/>
      <c r="V39" s="640" t="s">
        <v>84</v>
      </c>
      <c r="W39" s="640"/>
      <c r="X39" s="641">
        <f>+G39</f>
        <v>34389540</v>
      </c>
      <c r="Y39" s="641"/>
      <c r="Z39" s="642" t="s">
        <v>85</v>
      </c>
      <c r="AA39" s="642"/>
      <c r="AB39" s="642"/>
      <c r="AC39" s="642"/>
      <c r="AD39" s="9"/>
    </row>
    <row r="40" spans="1:30" ht="15.75" customHeight="1" x14ac:dyDescent="0.25">
      <c r="B40" s="105" t="s">
        <v>86</v>
      </c>
      <c r="C40" s="105"/>
      <c r="D40" s="105"/>
      <c r="E40" s="105"/>
      <c r="F40" s="105"/>
      <c r="G40" s="106">
        <v>180284.81</v>
      </c>
      <c r="H40" s="106"/>
      <c r="I40" s="106"/>
      <c r="J40" s="106"/>
      <c r="K40" s="50">
        <f>ROUND(G39/G40,0)</f>
        <v>191</v>
      </c>
      <c r="L40" s="50">
        <f>ROUND(K40*$G$26,0)</f>
        <v>20513</v>
      </c>
      <c r="N40" s="107"/>
      <c r="O40" s="107"/>
      <c r="P40" s="107"/>
      <c r="Q40" s="107"/>
      <c r="V40" s="643" t="s">
        <v>86</v>
      </c>
      <c r="W40" s="643"/>
      <c r="X40" s="644">
        <f>+G40</f>
        <v>180284.81</v>
      </c>
      <c r="Y40" s="644"/>
      <c r="Z40" s="644"/>
      <c r="AA40" s="644"/>
      <c r="AB40" s="56">
        <f>ROUND(X39/X40,0)</f>
        <v>191</v>
      </c>
      <c r="AC40" s="56">
        <f>ROUND(AB40*$X$26,0)</f>
        <v>0</v>
      </c>
      <c r="AD40" s="9"/>
    </row>
    <row r="41" spans="1:30" ht="15.75" customHeight="1" x14ac:dyDescent="0.25">
      <c r="B41" s="108" t="s">
        <v>87</v>
      </c>
      <c r="C41" s="108"/>
      <c r="D41" s="108"/>
      <c r="E41" s="108"/>
      <c r="F41" s="108"/>
      <c r="G41" s="108"/>
      <c r="H41" s="108"/>
      <c r="I41" s="108"/>
      <c r="J41" s="108"/>
      <c r="K41" s="108"/>
      <c r="L41" s="108"/>
      <c r="N41" s="101"/>
      <c r="O41" s="109"/>
      <c r="P41" s="101"/>
      <c r="Q41" s="101"/>
      <c r="V41" s="652" t="s">
        <v>87</v>
      </c>
      <c r="W41" s="652"/>
      <c r="X41" s="652"/>
      <c r="Y41" s="652"/>
      <c r="Z41" s="652"/>
      <c r="AA41" s="652"/>
      <c r="AB41" s="652"/>
      <c r="AC41" s="652"/>
      <c r="AD41" s="9"/>
    </row>
    <row r="42" spans="1:30" ht="28.5" customHeight="1" x14ac:dyDescent="0.25">
      <c r="B42" s="99" t="s">
        <v>88</v>
      </c>
      <c r="C42" s="99"/>
      <c r="D42" s="99"/>
      <c r="E42" s="99"/>
      <c r="F42" s="99"/>
      <c r="G42" s="99"/>
      <c r="H42" s="99"/>
      <c r="I42" s="99"/>
      <c r="J42" s="99"/>
      <c r="K42" s="99"/>
      <c r="L42" s="99"/>
      <c r="M42" s="107"/>
      <c r="O42" s="1"/>
      <c r="V42" s="639" t="s">
        <v>88</v>
      </c>
      <c r="W42" s="639"/>
      <c r="X42" s="639"/>
      <c r="Y42" s="639"/>
      <c r="Z42" s="639"/>
      <c r="AA42" s="639"/>
      <c r="AB42" s="639"/>
      <c r="AC42" s="639"/>
      <c r="AD42" s="110"/>
    </row>
    <row r="43" spans="1:30" x14ac:dyDescent="0.25">
      <c r="B43" s="111" t="s">
        <v>89</v>
      </c>
      <c r="C43" s="111"/>
      <c r="D43" s="111"/>
      <c r="E43" s="111"/>
      <c r="F43" s="111"/>
      <c r="G43" s="111"/>
      <c r="H43" s="111"/>
      <c r="I43" s="111"/>
      <c r="J43" s="111"/>
      <c r="K43" s="111"/>
      <c r="L43" s="111"/>
      <c r="M43" s="112"/>
      <c r="N43" s="101"/>
      <c r="O43" s="101"/>
      <c r="P43" s="101"/>
      <c r="Q43" s="101"/>
      <c r="V43" s="653" t="s">
        <v>89</v>
      </c>
      <c r="W43" s="653"/>
      <c r="X43" s="653"/>
      <c r="Y43" s="653"/>
      <c r="Z43" s="653"/>
      <c r="AA43" s="653"/>
      <c r="AB43" s="653"/>
      <c r="AC43" s="653"/>
      <c r="AD43" s="113"/>
    </row>
    <row r="44" spans="1:30" ht="24" customHeight="1" x14ac:dyDescent="0.25">
      <c r="B44" s="62" t="s">
        <v>90</v>
      </c>
      <c r="C44" s="62"/>
      <c r="D44" s="62"/>
      <c r="E44" s="62"/>
      <c r="F44" s="62"/>
      <c r="G44" s="62"/>
      <c r="H44" s="62"/>
      <c r="I44" s="62"/>
      <c r="J44" s="62"/>
      <c r="K44" s="62"/>
      <c r="L44" s="114">
        <f>SUM(L26,L37,L40)</f>
        <v>500916</v>
      </c>
      <c r="O44" s="1"/>
      <c r="V44" s="654" t="s">
        <v>90</v>
      </c>
      <c r="W44" s="654"/>
      <c r="X44" s="654"/>
      <c r="Y44" s="654"/>
      <c r="Z44" s="654"/>
      <c r="AA44" s="654"/>
      <c r="AB44" s="654"/>
      <c r="AC44" s="115">
        <f>SUM(AC26,AC37,AC40)</f>
        <v>0</v>
      </c>
      <c r="AD44" s="9"/>
    </row>
    <row r="45" spans="1:30" ht="30.75" customHeight="1" x14ac:dyDescent="0.25">
      <c r="B45" s="99" t="s">
        <v>91</v>
      </c>
      <c r="C45" s="99"/>
      <c r="D45" s="99"/>
      <c r="E45" s="99"/>
      <c r="F45" s="99"/>
      <c r="G45" s="99"/>
      <c r="H45" s="99"/>
      <c r="I45" s="99"/>
      <c r="J45" s="99"/>
      <c r="K45" s="99"/>
      <c r="L45" s="99"/>
      <c r="M45" s="116"/>
      <c r="O45" s="1"/>
      <c r="V45" s="639" t="s">
        <v>91</v>
      </c>
      <c r="W45" s="639"/>
      <c r="X45" s="639"/>
      <c r="Y45" s="639"/>
      <c r="Z45" s="639"/>
      <c r="AA45" s="639"/>
      <c r="AB45" s="639"/>
      <c r="AC45" s="639"/>
      <c r="AD45" s="117"/>
    </row>
    <row r="46" spans="1:30" ht="18.75" customHeight="1" x14ac:dyDescent="0.25">
      <c r="B46" s="1"/>
      <c r="C46" s="118" t="s">
        <v>92</v>
      </c>
      <c r="D46" s="118"/>
      <c r="E46" s="118"/>
      <c r="F46" s="118"/>
      <c r="G46" s="118" t="s">
        <v>93</v>
      </c>
      <c r="H46" s="119"/>
      <c r="I46" s="120" t="s">
        <v>94</v>
      </c>
      <c r="J46" s="121"/>
      <c r="K46" s="121"/>
      <c r="L46" s="121"/>
      <c r="M46" s="122"/>
      <c r="O46" s="1"/>
      <c r="V46" s="9"/>
      <c r="W46" s="123" t="s">
        <v>92</v>
      </c>
      <c r="X46" s="655" t="s">
        <v>95</v>
      </c>
      <c r="Y46" s="655"/>
      <c r="Z46" s="656" t="s">
        <v>94</v>
      </c>
      <c r="AA46" s="656"/>
      <c r="AB46" s="656"/>
      <c r="AC46" s="656"/>
      <c r="AD46" s="124"/>
    </row>
    <row r="47" spans="1:30" ht="18.75" customHeight="1" x14ac:dyDescent="0.25">
      <c r="B47" s="107" t="s">
        <v>96</v>
      </c>
      <c r="C47" s="125">
        <f>K10+K11+K16+K19+K22</f>
        <v>120.87730000000001</v>
      </c>
      <c r="D47" s="125"/>
      <c r="E47" s="125"/>
      <c r="F47" s="125"/>
      <c r="G47" s="126">
        <f>K7</f>
        <v>1.0326</v>
      </c>
      <c r="H47" s="126"/>
      <c r="I47" s="127">
        <v>1316.85</v>
      </c>
      <c r="J47" s="128" t="s">
        <v>97</v>
      </c>
      <c r="K47" s="129">
        <f>ROUND(C47*G47*I47,0)</f>
        <v>164366</v>
      </c>
      <c r="L47" s="130"/>
      <c r="O47" s="1"/>
      <c r="V47" s="110" t="s">
        <v>96</v>
      </c>
      <c r="W47" s="131">
        <f>AB10+AB11+AB16+AB19+AB22</f>
        <v>0</v>
      </c>
      <c r="X47" s="647">
        <f>AB7</f>
        <v>1.0326</v>
      </c>
      <c r="Y47" s="647"/>
      <c r="Z47" s="132">
        <f>+I47</f>
        <v>1316.85</v>
      </c>
      <c r="AA47" s="133" t="s">
        <v>97</v>
      </c>
      <c r="AB47" s="134">
        <f>ROUND(W47*X47*Z47,0)</f>
        <v>0</v>
      </c>
      <c r="AC47" s="135"/>
      <c r="AD47" s="9"/>
    </row>
    <row r="48" spans="1:30" ht="18" customHeight="1" x14ac:dyDescent="0.25">
      <c r="B48" s="136" t="s">
        <v>74</v>
      </c>
      <c r="C48" s="125">
        <f>K12+K13+K17+K20+K23</f>
        <v>0</v>
      </c>
      <c r="D48" s="125"/>
      <c r="E48" s="125"/>
      <c r="F48" s="125"/>
      <c r="G48" s="126">
        <f>K7</f>
        <v>1.0326</v>
      </c>
      <c r="H48" s="126"/>
      <c r="I48" s="127">
        <v>898.23</v>
      </c>
      <c r="J48" s="128" t="s">
        <v>97</v>
      </c>
      <c r="K48" s="129">
        <f>ROUND(C48*G48*I48,0)</f>
        <v>0</v>
      </c>
      <c r="L48" s="62"/>
      <c r="O48" s="1"/>
      <c r="V48" s="137" t="s">
        <v>74</v>
      </c>
      <c r="W48" s="131">
        <f>AB12+AB13+AB17+AB20+AB23</f>
        <v>0</v>
      </c>
      <c r="X48" s="647">
        <f>AB7</f>
        <v>1.0326</v>
      </c>
      <c r="Y48" s="647"/>
      <c r="Z48" s="132">
        <f>+I48</f>
        <v>898.23</v>
      </c>
      <c r="AA48" s="133" t="s">
        <v>97</v>
      </c>
      <c r="AB48" s="134">
        <f>ROUND(W48*X48*Z48,0)</f>
        <v>0</v>
      </c>
      <c r="AC48" s="138"/>
      <c r="AD48" s="9"/>
    </row>
    <row r="49" spans="2:30" ht="19.5" customHeight="1" thickBot="1" x14ac:dyDescent="0.3">
      <c r="B49" s="139" t="s">
        <v>78</v>
      </c>
      <c r="C49" s="140">
        <f>K14+K15+K18+K21+K24+K25</f>
        <v>0</v>
      </c>
      <c r="D49" s="125"/>
      <c r="E49" s="125"/>
      <c r="F49" s="125"/>
      <c r="G49" s="126">
        <f>K7</f>
        <v>1.0326</v>
      </c>
      <c r="H49" s="126"/>
      <c r="I49" s="127">
        <v>900.39</v>
      </c>
      <c r="J49" s="128" t="s">
        <v>97</v>
      </c>
      <c r="K49" s="129">
        <f>ROUND(C49*G49*I49,0)</f>
        <v>0</v>
      </c>
      <c r="L49" s="62"/>
      <c r="M49" s="112"/>
      <c r="N49" s="141"/>
      <c r="O49" s="142"/>
      <c r="P49" s="101"/>
      <c r="Q49" s="143"/>
      <c r="V49" s="144" t="s">
        <v>78</v>
      </c>
      <c r="W49" s="145">
        <f>AB14+AB15+AB18+AB21+AB24+AB25</f>
        <v>0</v>
      </c>
      <c r="X49" s="647">
        <f>AB7</f>
        <v>1.0326</v>
      </c>
      <c r="Y49" s="647"/>
      <c r="Z49" s="132">
        <f>+I49</f>
        <v>900.39</v>
      </c>
      <c r="AA49" s="133" t="s">
        <v>97</v>
      </c>
      <c r="AB49" s="134">
        <f>ROUND(W49*X49*Z49,0)</f>
        <v>0</v>
      </c>
      <c r="AC49" s="138"/>
      <c r="AD49" s="113"/>
    </row>
    <row r="50" spans="2:30" ht="24" customHeight="1" thickBot="1" x14ac:dyDescent="0.3">
      <c r="B50" s="146" t="s">
        <v>98</v>
      </c>
      <c r="C50" s="147">
        <f>SUM(C47:C49)</f>
        <v>120.87730000000001</v>
      </c>
      <c r="D50" s="148"/>
      <c r="E50" s="149"/>
      <c r="F50" s="149"/>
      <c r="G50" s="150" t="s">
        <v>99</v>
      </c>
      <c r="H50" s="150"/>
      <c r="I50" s="150"/>
      <c r="J50" s="150"/>
      <c r="K50" s="150"/>
      <c r="L50" s="50">
        <f>IF(B2=75,0,K49+K48+K47)</f>
        <v>164366</v>
      </c>
      <c r="N50" s="3"/>
      <c r="O50" s="1"/>
      <c r="V50" s="151" t="s">
        <v>98</v>
      </c>
      <c r="W50" s="152">
        <f>SUM(W47:W49)</f>
        <v>0</v>
      </c>
      <c r="X50" s="648" t="s">
        <v>99</v>
      </c>
      <c r="Y50" s="649"/>
      <c r="Z50" s="649"/>
      <c r="AA50" s="649"/>
      <c r="AB50" s="649"/>
      <c r="AC50" s="56">
        <f>IF(V2=75,0,AB49+AB48+AB47)</f>
        <v>0</v>
      </c>
      <c r="AD50" s="9"/>
    </row>
    <row r="51" spans="2:30" ht="19.5" customHeight="1" x14ac:dyDescent="0.25">
      <c r="B51" s="153" t="s">
        <v>100</v>
      </c>
      <c r="C51" s="153"/>
      <c r="D51" s="153"/>
      <c r="E51" s="153"/>
      <c r="F51" s="153"/>
      <c r="G51" s="153"/>
      <c r="H51" s="153"/>
      <c r="I51" s="153"/>
      <c r="J51" s="153"/>
      <c r="K51" s="153"/>
      <c r="L51" s="153"/>
      <c r="M51" s="141"/>
      <c r="N51" s="101"/>
      <c r="O51" s="1"/>
      <c r="V51" s="650" t="s">
        <v>100</v>
      </c>
      <c r="W51" s="650"/>
      <c r="X51" s="650"/>
      <c r="Y51" s="650"/>
      <c r="Z51" s="650"/>
      <c r="AA51" s="650"/>
      <c r="AB51" s="650"/>
      <c r="AC51" s="650"/>
      <c r="AD51" s="154"/>
    </row>
    <row r="52" spans="2:30" ht="27.75" customHeight="1" x14ac:dyDescent="0.25">
      <c r="B52" s="13" t="s">
        <v>101</v>
      </c>
      <c r="C52" s="13"/>
      <c r="D52" s="13"/>
      <c r="E52" s="13"/>
      <c r="F52" s="13"/>
      <c r="G52" s="13"/>
      <c r="H52" s="13"/>
      <c r="I52" s="13"/>
      <c r="J52" s="13"/>
      <c r="K52" s="13"/>
      <c r="L52" s="13"/>
      <c r="O52" s="1"/>
      <c r="V52" s="651" t="s">
        <v>101</v>
      </c>
      <c r="W52" s="651"/>
      <c r="X52" s="651"/>
      <c r="Y52" s="651"/>
      <c r="Z52" s="651"/>
      <c r="AA52" s="651"/>
      <c r="AB52" s="651"/>
      <c r="AC52" s="651"/>
      <c r="AD52" s="9"/>
    </row>
    <row r="53" spans="2:30" x14ac:dyDescent="0.25">
      <c r="B53" s="13" t="s">
        <v>102</v>
      </c>
      <c r="C53" s="13"/>
      <c r="D53" s="13"/>
      <c r="E53" s="13"/>
      <c r="F53" s="13"/>
      <c r="G53" s="155">
        <f>K26</f>
        <v>120.87730000000001</v>
      </c>
      <c r="H53" s="57" t="s">
        <v>103</v>
      </c>
      <c r="I53" s="57"/>
      <c r="J53" s="156">
        <v>197823.77</v>
      </c>
      <c r="K53" s="156"/>
      <c r="L53" s="156"/>
      <c r="N53" s="3"/>
      <c r="O53" s="1"/>
      <c r="V53" s="657" t="s">
        <v>102</v>
      </c>
      <c r="W53" s="657"/>
      <c r="X53" s="157">
        <f>AB26</f>
        <v>0</v>
      </c>
      <c r="Y53" s="658" t="s">
        <v>103</v>
      </c>
      <c r="Z53" s="658"/>
      <c r="AA53" s="659">
        <f>+J53</f>
        <v>197823.77</v>
      </c>
      <c r="AB53" s="659"/>
      <c r="AC53" s="659"/>
      <c r="AD53" s="9"/>
    </row>
    <row r="54" spans="2:30" x14ac:dyDescent="0.25">
      <c r="B54" s="13" t="s">
        <v>104</v>
      </c>
      <c r="C54" s="13"/>
      <c r="D54" s="13"/>
      <c r="E54" s="13"/>
      <c r="F54" s="13"/>
      <c r="G54" s="13"/>
      <c r="H54" s="13"/>
      <c r="I54" s="13"/>
      <c r="J54" s="13"/>
      <c r="K54" s="158">
        <f>ROUND(G53/J53,6)</f>
        <v>6.11E-4</v>
      </c>
      <c r="L54" s="158"/>
      <c r="N54" s="101"/>
      <c r="O54" s="1"/>
      <c r="V54" s="657" t="s">
        <v>104</v>
      </c>
      <c r="W54" s="657"/>
      <c r="X54" s="657"/>
      <c r="Y54" s="657"/>
      <c r="Z54" s="657"/>
      <c r="AA54" s="657"/>
      <c r="AB54" s="660">
        <f>ROUND(X53/AA53,6)</f>
        <v>0</v>
      </c>
      <c r="AC54" s="660"/>
      <c r="AD54" s="9"/>
    </row>
    <row r="55" spans="2:30" ht="24" customHeight="1" x14ac:dyDescent="0.25">
      <c r="B55" s="13" t="s">
        <v>105</v>
      </c>
      <c r="C55" s="13"/>
      <c r="D55" s="13"/>
      <c r="E55" s="13"/>
      <c r="F55" s="13"/>
      <c r="G55" s="13"/>
      <c r="H55" s="13"/>
      <c r="I55" s="13"/>
      <c r="J55" s="13"/>
      <c r="K55" s="13"/>
      <c r="L55" s="13"/>
      <c r="O55" s="1"/>
      <c r="V55" s="651" t="s">
        <v>105</v>
      </c>
      <c r="W55" s="651"/>
      <c r="X55" s="651"/>
      <c r="Y55" s="651"/>
      <c r="Z55" s="651"/>
      <c r="AA55" s="651"/>
      <c r="AB55" s="651"/>
      <c r="AC55" s="651"/>
      <c r="AD55" s="9"/>
    </row>
    <row r="56" spans="2:30" x14ac:dyDescent="0.25">
      <c r="B56" s="13" t="s">
        <v>106</v>
      </c>
      <c r="C56" s="13"/>
      <c r="D56" s="13"/>
      <c r="E56" s="13"/>
      <c r="F56" s="13"/>
      <c r="G56" s="159">
        <f>G26</f>
        <v>107.39999999999999</v>
      </c>
      <c r="H56" s="57" t="s">
        <v>107</v>
      </c>
      <c r="I56" s="57"/>
      <c r="J56" s="156">
        <f>+G40</f>
        <v>180284.81</v>
      </c>
      <c r="K56" s="156"/>
      <c r="L56" s="156"/>
      <c r="O56" s="1"/>
      <c r="V56" s="657" t="s">
        <v>106</v>
      </c>
      <c r="W56" s="657"/>
      <c r="X56" s="160">
        <f>X26</f>
        <v>0</v>
      </c>
      <c r="Y56" s="658" t="s">
        <v>107</v>
      </c>
      <c r="Z56" s="658"/>
      <c r="AA56" s="659">
        <f>+J56</f>
        <v>180284.81</v>
      </c>
      <c r="AB56" s="659"/>
      <c r="AC56" s="659"/>
      <c r="AD56" s="9"/>
    </row>
    <row r="57" spans="2:30" x14ac:dyDescent="0.25">
      <c r="B57" s="13" t="s">
        <v>108</v>
      </c>
      <c r="C57" s="13"/>
      <c r="D57" s="13"/>
      <c r="E57" s="13"/>
      <c r="F57" s="13"/>
      <c r="G57" s="13"/>
      <c r="H57" s="13"/>
      <c r="I57" s="13"/>
      <c r="J57" s="13"/>
      <c r="K57" s="158">
        <f>ROUND(G56/J56,6)</f>
        <v>5.9599999999999996E-4</v>
      </c>
      <c r="L57" s="158"/>
      <c r="O57" s="1"/>
      <c r="V57" s="657" t="s">
        <v>108</v>
      </c>
      <c r="W57" s="657"/>
      <c r="X57" s="657"/>
      <c r="Y57" s="657"/>
      <c r="Z57" s="657"/>
      <c r="AA57" s="657"/>
      <c r="AB57" s="660">
        <f>ROUND(X56/AA56,6)</f>
        <v>0</v>
      </c>
      <c r="AC57" s="660"/>
      <c r="AD57" s="9"/>
    </row>
    <row r="58" spans="2:30" ht="20.25" customHeight="1" x14ac:dyDescent="0.25">
      <c r="B58" s="161" t="s">
        <v>109</v>
      </c>
      <c r="C58" s="161"/>
      <c r="D58" s="161"/>
      <c r="E58" s="161"/>
      <c r="F58" s="161"/>
      <c r="G58" s="161"/>
      <c r="H58" s="161"/>
      <c r="I58" s="161"/>
      <c r="J58" s="161"/>
      <c r="K58" s="161"/>
      <c r="L58" s="161"/>
      <c r="N58" s="18"/>
      <c r="O58" s="18"/>
      <c r="V58" s="629" t="s">
        <v>110</v>
      </c>
      <c r="W58" s="629"/>
      <c r="X58" s="629"/>
      <c r="Y58" s="661">
        <f>X65+X64+X62+X61+X60</f>
        <v>4123852</v>
      </c>
      <c r="Z58" s="661"/>
      <c r="AA58" s="162" t="s">
        <v>111</v>
      </c>
      <c r="AB58" s="163">
        <f>AB54</f>
        <v>0</v>
      </c>
      <c r="AC58" s="56">
        <f>ROUND(Y58*AB58,0)</f>
        <v>0</v>
      </c>
      <c r="AD58" s="9"/>
    </row>
    <row r="59" spans="2:30" x14ac:dyDescent="0.25">
      <c r="B59" s="62" t="s">
        <v>110</v>
      </c>
      <c r="C59" s="62"/>
      <c r="D59" s="62"/>
      <c r="E59" s="62"/>
      <c r="F59" s="62"/>
      <c r="G59" s="62"/>
      <c r="H59" s="164" t="s">
        <v>22</v>
      </c>
      <c r="I59" s="129">
        <v>4123852</v>
      </c>
      <c r="J59" s="165" t="s">
        <v>111</v>
      </c>
      <c r="K59" s="166">
        <f>K54</f>
        <v>6.11E-4</v>
      </c>
      <c r="L59" s="50">
        <f>ROUND(I59*K59,0)</f>
        <v>2520</v>
      </c>
      <c r="O59" s="1"/>
      <c r="P59" s="165"/>
      <c r="Q59" s="165"/>
      <c r="V59" s="662" t="s">
        <v>112</v>
      </c>
      <c r="W59" s="662"/>
      <c r="X59" s="662"/>
      <c r="Y59" s="662"/>
      <c r="Z59" s="662"/>
      <c r="AA59" s="662"/>
      <c r="AB59" s="662"/>
      <c r="AC59" s="662"/>
      <c r="AD59" s="9"/>
    </row>
    <row r="60" spans="2:30" x14ac:dyDescent="0.25">
      <c r="B60" s="62" t="s">
        <v>112</v>
      </c>
      <c r="C60" s="62"/>
      <c r="D60" s="62"/>
      <c r="E60" s="62"/>
      <c r="F60" s="62"/>
      <c r="G60" s="62"/>
      <c r="H60" s="62"/>
      <c r="I60" s="62"/>
      <c r="J60" s="62"/>
      <c r="K60" s="62"/>
      <c r="L60" s="62"/>
      <c r="O60" s="1"/>
      <c r="P60" s="165"/>
      <c r="Q60" s="165"/>
      <c r="V60" s="663" t="s">
        <v>113</v>
      </c>
      <c r="W60" s="663"/>
      <c r="X60" s="664">
        <f>+G61</f>
        <v>0</v>
      </c>
      <c r="Y60" s="664"/>
      <c r="Z60" s="664"/>
      <c r="AA60" s="664"/>
      <c r="AB60" s="664"/>
      <c r="AC60" s="664"/>
      <c r="AD60" s="9"/>
    </row>
    <row r="61" spans="2:30" ht="15" customHeight="1" x14ac:dyDescent="0.25">
      <c r="B61" s="167" t="s">
        <v>113</v>
      </c>
      <c r="C61" s="62"/>
      <c r="D61" s="62"/>
      <c r="E61" s="62"/>
      <c r="F61" s="62"/>
      <c r="G61" s="168">
        <v>0</v>
      </c>
      <c r="H61" s="168"/>
      <c r="I61" s="168"/>
      <c r="J61" s="168"/>
      <c r="K61" s="168"/>
      <c r="L61" s="168"/>
      <c r="O61" s="1"/>
      <c r="P61" s="165"/>
      <c r="Q61" s="165"/>
      <c r="V61" s="663" t="s">
        <v>114</v>
      </c>
      <c r="W61" s="663"/>
      <c r="X61" s="664">
        <f>+G62</f>
        <v>0</v>
      </c>
      <c r="Y61" s="664"/>
      <c r="Z61" s="664"/>
      <c r="AA61" s="664"/>
      <c r="AB61" s="664"/>
      <c r="AC61" s="664"/>
      <c r="AD61" s="9"/>
    </row>
    <row r="62" spans="2:30" ht="13.5" customHeight="1" x14ac:dyDescent="0.25">
      <c r="B62" s="167" t="s">
        <v>114</v>
      </c>
      <c r="C62" s="62"/>
      <c r="D62" s="62"/>
      <c r="E62" s="62"/>
      <c r="F62" s="62"/>
      <c r="G62" s="168">
        <v>0</v>
      </c>
      <c r="H62" s="168"/>
      <c r="I62" s="168"/>
      <c r="J62" s="168"/>
      <c r="K62" s="168"/>
      <c r="L62" s="168"/>
      <c r="N62" s="165"/>
      <c r="O62" s="165"/>
      <c r="P62" s="165"/>
      <c r="Q62" s="165"/>
      <c r="V62" s="663" t="s">
        <v>115</v>
      </c>
      <c r="W62" s="663"/>
      <c r="X62" s="664">
        <v>0</v>
      </c>
      <c r="Y62" s="664"/>
      <c r="Z62" s="664"/>
      <c r="AA62" s="664"/>
      <c r="AB62" s="664"/>
      <c r="AC62" s="664"/>
      <c r="AD62" s="9"/>
    </row>
    <row r="63" spans="2:30" ht="13.5" hidden="1" customHeight="1" x14ac:dyDescent="0.25">
      <c r="B63" s="62" t="s">
        <v>115</v>
      </c>
      <c r="C63" s="62"/>
      <c r="D63" s="62"/>
      <c r="E63" s="62"/>
      <c r="F63" s="62"/>
      <c r="G63" s="168">
        <v>0</v>
      </c>
      <c r="H63" s="168"/>
      <c r="I63" s="168"/>
      <c r="J63" s="168"/>
      <c r="K63" s="168"/>
      <c r="L63" s="168"/>
      <c r="O63" s="1"/>
      <c r="P63" s="165"/>
      <c r="Q63" s="165"/>
      <c r="V63" s="662" t="s">
        <v>116</v>
      </c>
      <c r="W63" s="662"/>
      <c r="X63" s="662"/>
      <c r="Y63" s="662"/>
      <c r="Z63" s="662"/>
      <c r="AA63" s="662"/>
      <c r="AB63" s="662"/>
      <c r="AC63" s="662"/>
      <c r="AD63" s="117"/>
    </row>
    <row r="64" spans="2:30" ht="13.5" customHeight="1" x14ac:dyDescent="0.25">
      <c r="B64" s="62" t="s">
        <v>116</v>
      </c>
      <c r="C64" s="62"/>
      <c r="D64" s="62"/>
      <c r="E64" s="62"/>
      <c r="F64" s="62"/>
      <c r="G64" s="62"/>
      <c r="H64" s="62"/>
      <c r="I64" s="62"/>
      <c r="J64" s="62"/>
      <c r="K64" s="62"/>
      <c r="L64" s="62"/>
      <c r="M64" s="116"/>
      <c r="N64" s="18"/>
      <c r="O64" s="1"/>
      <c r="V64" s="663" t="s">
        <v>117</v>
      </c>
      <c r="W64" s="663"/>
      <c r="X64" s="664">
        <f>+G65</f>
        <v>4123852</v>
      </c>
      <c r="Y64" s="664"/>
      <c r="Z64" s="664"/>
      <c r="AA64" s="664"/>
      <c r="AB64" s="664"/>
      <c r="AC64" s="664"/>
      <c r="AD64" s="9"/>
    </row>
    <row r="65" spans="1:30" ht="12.75" customHeight="1" x14ac:dyDescent="0.25">
      <c r="B65" s="167" t="s">
        <v>117</v>
      </c>
      <c r="C65" s="62"/>
      <c r="D65" s="62"/>
      <c r="E65" s="62"/>
      <c r="F65" s="62"/>
      <c r="G65" s="168">
        <f>+I59</f>
        <v>4123852</v>
      </c>
      <c r="H65" s="168"/>
      <c r="I65" s="168"/>
      <c r="J65" s="168"/>
      <c r="K65" s="168"/>
      <c r="L65" s="168"/>
      <c r="O65" s="1"/>
      <c r="V65" s="663" t="s">
        <v>118</v>
      </c>
      <c r="W65" s="663"/>
      <c r="X65" s="664">
        <f>+G66</f>
        <v>0</v>
      </c>
      <c r="Y65" s="664"/>
      <c r="Z65" s="664"/>
      <c r="AA65" s="664"/>
      <c r="AB65" s="664"/>
      <c r="AC65" s="664"/>
      <c r="AD65" s="20"/>
    </row>
    <row r="66" spans="1:30" ht="15" customHeight="1" x14ac:dyDescent="0.25">
      <c r="B66" s="167" t="s">
        <v>118</v>
      </c>
      <c r="C66" s="62"/>
      <c r="D66" s="62"/>
      <c r="E66" s="62"/>
      <c r="F66" s="62"/>
      <c r="G66" s="168">
        <v>0</v>
      </c>
      <c r="H66" s="168"/>
      <c r="I66" s="168"/>
      <c r="J66" s="168"/>
      <c r="K66" s="168"/>
      <c r="L66" s="168"/>
      <c r="M66" s="18"/>
      <c r="N66" s="3"/>
      <c r="O66" s="169"/>
      <c r="P66" s="169"/>
      <c r="Q66" s="169"/>
      <c r="V66" s="651" t="s">
        <v>119</v>
      </c>
      <c r="W66" s="651"/>
      <c r="X66" s="651"/>
      <c r="Y66" s="661">
        <f>+I67</f>
        <v>96774526</v>
      </c>
      <c r="Z66" s="661"/>
      <c r="AA66" s="162" t="s">
        <v>111</v>
      </c>
      <c r="AB66" s="163">
        <f>AB54</f>
        <v>0</v>
      </c>
      <c r="AC66" s="56">
        <f>ROUND(Y66*AB66,0)</f>
        <v>0</v>
      </c>
      <c r="AD66" s="9"/>
    </row>
    <row r="67" spans="1:30" ht="20.25" customHeight="1" x14ac:dyDescent="0.25">
      <c r="B67" s="13" t="s">
        <v>119</v>
      </c>
      <c r="C67" s="13"/>
      <c r="D67" s="13"/>
      <c r="E67" s="13"/>
      <c r="F67" s="13"/>
      <c r="H67" s="164" t="s">
        <v>25</v>
      </c>
      <c r="I67" s="129">
        <v>96774526</v>
      </c>
      <c r="J67" s="165" t="s">
        <v>111</v>
      </c>
      <c r="K67" s="166">
        <f>K54</f>
        <v>6.11E-4</v>
      </c>
      <c r="L67" s="50">
        <f>ROUND(I67*K67,0)</f>
        <v>59129</v>
      </c>
      <c r="O67" s="1"/>
      <c r="V67" s="651" t="s">
        <v>120</v>
      </c>
      <c r="W67" s="651"/>
      <c r="X67" s="651"/>
      <c r="Y67" s="651"/>
      <c r="Z67" s="651"/>
      <c r="AA67" s="651"/>
      <c r="AB67" s="651"/>
      <c r="AC67" s="651"/>
      <c r="AD67" s="9"/>
    </row>
    <row r="68" spans="1:30" ht="20.25" customHeight="1" x14ac:dyDescent="0.25">
      <c r="B68" s="13" t="s">
        <v>120</v>
      </c>
      <c r="C68" s="13"/>
      <c r="D68" s="13"/>
      <c r="E68" s="13"/>
      <c r="F68" s="13"/>
      <c r="H68" s="13"/>
      <c r="I68" s="13"/>
      <c r="J68" s="82"/>
      <c r="K68" s="13"/>
      <c r="L68" s="13"/>
      <c r="O68" s="1"/>
      <c r="V68" s="667" t="s">
        <v>121</v>
      </c>
      <c r="W68" s="667"/>
      <c r="X68" s="667"/>
      <c r="Y68" s="661">
        <f>+I69</f>
        <v>0</v>
      </c>
      <c r="Z68" s="661"/>
      <c r="AA68" s="162" t="s">
        <v>111</v>
      </c>
      <c r="AB68" s="163">
        <f>AB57</f>
        <v>0</v>
      </c>
      <c r="AC68" s="56">
        <f>ROUND(Y68*AB68,0)</f>
        <v>0</v>
      </c>
      <c r="AD68" s="9"/>
    </row>
    <row r="69" spans="1:30" ht="15" customHeight="1" x14ac:dyDescent="0.25">
      <c r="B69" s="170" t="s">
        <v>121</v>
      </c>
      <c r="C69" s="13"/>
      <c r="D69" s="13"/>
      <c r="E69" s="13"/>
      <c r="F69" s="13"/>
      <c r="H69" s="164" t="s">
        <v>23</v>
      </c>
      <c r="I69" s="129">
        <v>0</v>
      </c>
      <c r="J69" s="165" t="s">
        <v>111</v>
      </c>
      <c r="K69" s="166">
        <f>K57</f>
        <v>5.9599999999999996E-4</v>
      </c>
      <c r="L69" s="50">
        <f>ROUND(I69*K69,0)</f>
        <v>0</v>
      </c>
      <c r="O69" s="1"/>
      <c r="V69" s="651" t="s">
        <v>122</v>
      </c>
      <c r="W69" s="651"/>
      <c r="X69" s="651"/>
      <c r="Y69" s="668">
        <f>+I70</f>
        <v>-3460775</v>
      </c>
      <c r="Z69" s="668"/>
      <c r="AA69" s="162" t="s">
        <v>111</v>
      </c>
      <c r="AB69" s="163">
        <f>AB54</f>
        <v>0</v>
      </c>
      <c r="AC69" s="56">
        <f>ROUND(Y69*AB69,0)</f>
        <v>0</v>
      </c>
      <c r="AD69" s="9"/>
    </row>
    <row r="70" spans="1:30" ht="20.25" customHeight="1" x14ac:dyDescent="0.25">
      <c r="B70" s="13" t="s">
        <v>122</v>
      </c>
      <c r="C70" s="13"/>
      <c r="D70" s="13"/>
      <c r="E70" s="13"/>
      <c r="F70" s="13"/>
      <c r="H70" s="164" t="s">
        <v>22</v>
      </c>
      <c r="I70" s="129">
        <v>-3460775</v>
      </c>
      <c r="J70" s="165" t="s">
        <v>111</v>
      </c>
      <c r="K70" s="166">
        <f>K54</f>
        <v>6.11E-4</v>
      </c>
      <c r="L70" s="50">
        <f>ROUND(I70*K70,0)</f>
        <v>-2115</v>
      </c>
      <c r="O70" s="1"/>
      <c r="V70" s="651" t="s">
        <v>123</v>
      </c>
      <c r="W70" s="651"/>
      <c r="X70" s="651"/>
      <c r="Y70" s="665">
        <f>+I71</f>
        <v>1874788</v>
      </c>
      <c r="Z70" s="665"/>
      <c r="AA70" s="162" t="s">
        <v>111</v>
      </c>
      <c r="AB70" s="163">
        <f>AB54</f>
        <v>0</v>
      </c>
      <c r="AC70" s="56">
        <f>ROUND(Y70*AB70,0)</f>
        <v>0</v>
      </c>
      <c r="AD70" s="9"/>
    </row>
    <row r="71" spans="1:30" ht="20.25" customHeight="1" x14ac:dyDescent="0.25">
      <c r="B71" s="13" t="s">
        <v>123</v>
      </c>
      <c r="C71" s="13"/>
      <c r="D71" s="13"/>
      <c r="E71" s="13"/>
      <c r="F71" s="13"/>
      <c r="H71" s="164" t="s">
        <v>22</v>
      </c>
      <c r="I71" s="129">
        <v>1874788</v>
      </c>
      <c r="J71" s="165" t="s">
        <v>111</v>
      </c>
      <c r="K71" s="166">
        <f>K54</f>
        <v>6.11E-4</v>
      </c>
      <c r="L71" s="50">
        <f>ROUND(I71*K71,0)</f>
        <v>1145</v>
      </c>
      <c r="O71" s="1"/>
      <c r="V71" s="651" t="s">
        <v>124</v>
      </c>
      <c r="W71" s="651"/>
      <c r="X71" s="651"/>
      <c r="Y71" s="665">
        <f>+I72</f>
        <v>14223298</v>
      </c>
      <c r="Z71" s="665"/>
      <c r="AA71" s="162" t="s">
        <v>111</v>
      </c>
      <c r="AB71" s="163">
        <f>AB57</f>
        <v>0</v>
      </c>
      <c r="AC71" s="56">
        <f>ROUND(Y71*AB71,0)</f>
        <v>0</v>
      </c>
      <c r="AD71" s="9"/>
    </row>
    <row r="72" spans="1:30" ht="21" customHeight="1" x14ac:dyDescent="0.25">
      <c r="B72" s="13" t="s">
        <v>124</v>
      </c>
      <c r="C72" s="13"/>
      <c r="D72" s="13"/>
      <c r="E72" s="13"/>
      <c r="F72" s="13"/>
      <c r="H72" s="164" t="s">
        <v>23</v>
      </c>
      <c r="I72" s="171">
        <v>14223298</v>
      </c>
      <c r="J72" s="165" t="s">
        <v>111</v>
      </c>
      <c r="K72" s="166">
        <f>K57</f>
        <v>5.9599999999999996E-4</v>
      </c>
      <c r="L72" s="50">
        <f>ROUND(I72*K72,0)</f>
        <v>8477</v>
      </c>
      <c r="O72" s="1"/>
      <c r="V72" s="623" t="s">
        <v>125</v>
      </c>
      <c r="W72" s="623"/>
      <c r="X72" s="623"/>
      <c r="Y72" s="623"/>
      <c r="Z72" s="623"/>
      <c r="AA72" s="623"/>
      <c r="AB72" s="623"/>
      <c r="AC72" s="60"/>
      <c r="AD72" s="9"/>
    </row>
    <row r="73" spans="1:30" ht="17.25" customHeight="1" x14ac:dyDescent="0.25">
      <c r="B73" s="13" t="s">
        <v>125</v>
      </c>
      <c r="C73" s="13"/>
      <c r="D73" s="13"/>
      <c r="E73" s="13"/>
      <c r="F73" s="13"/>
      <c r="H73" s="13"/>
      <c r="I73" s="13"/>
      <c r="J73" s="82"/>
      <c r="K73" s="13"/>
      <c r="L73" s="59"/>
      <c r="O73" s="1"/>
      <c r="V73" s="651" t="s">
        <v>126</v>
      </c>
      <c r="W73" s="651"/>
      <c r="X73" s="651"/>
      <c r="Y73" s="651"/>
      <c r="Z73" s="651"/>
      <c r="AA73" s="651"/>
      <c r="AB73" s="651"/>
      <c r="AC73" s="651"/>
      <c r="AD73" s="9"/>
    </row>
    <row r="74" spans="1:30" ht="31.5" x14ac:dyDescent="0.25">
      <c r="B74" s="13" t="s">
        <v>126</v>
      </c>
      <c r="C74" s="13"/>
      <c r="D74" s="27" t="s">
        <v>13</v>
      </c>
      <c r="E74" s="27" t="s">
        <v>14</v>
      </c>
      <c r="F74" s="27"/>
      <c r="H74" s="164" t="s">
        <v>26</v>
      </c>
      <c r="I74" s="172"/>
      <c r="J74" s="164"/>
      <c r="K74" s="172"/>
      <c r="L74" s="112"/>
      <c r="O74" s="1"/>
      <c r="V74" s="666" t="s">
        <v>127</v>
      </c>
      <c r="W74" s="666"/>
      <c r="X74" s="173" t="s">
        <v>128</v>
      </c>
      <c r="Y74" s="174"/>
      <c r="Z74" s="175">
        <f>+I75</f>
        <v>27.5</v>
      </c>
      <c r="AA74" s="176" t="s">
        <v>129</v>
      </c>
      <c r="AB74" s="177">
        <f>+K75</f>
        <v>361</v>
      </c>
      <c r="AC74" s="56">
        <f>ROUND(AB74*Z74,0)</f>
        <v>9928</v>
      </c>
      <c r="AD74" s="9"/>
    </row>
    <row r="75" spans="1:30" ht="19.5" customHeight="1" x14ac:dyDescent="0.25">
      <c r="A75" s="1" t="s">
        <v>130</v>
      </c>
      <c r="B75" s="178" t="s">
        <v>127</v>
      </c>
      <c r="C75" s="179" t="s">
        <v>128</v>
      </c>
      <c r="D75" s="178">
        <v>32</v>
      </c>
      <c r="E75" s="178">
        <v>23</v>
      </c>
      <c r="F75" s="178">
        <v>0</v>
      </c>
      <c r="G75" s="180">
        <f>IF(E75=0,D75,E75)</f>
        <v>23</v>
      </c>
      <c r="H75" s="181"/>
      <c r="I75" s="182">
        <f>AVERAGE(G75,D75)</f>
        <v>27.5</v>
      </c>
      <c r="J75" s="183" t="s">
        <v>129</v>
      </c>
      <c r="K75" s="184">
        <v>361</v>
      </c>
      <c r="L75" s="50">
        <f>ROUND(K75*I75,0)</f>
        <v>9928</v>
      </c>
      <c r="N75" s="1">
        <v>7802</v>
      </c>
      <c r="O75" s="1">
        <v>0</v>
      </c>
      <c r="V75" s="666" t="s">
        <v>127</v>
      </c>
      <c r="W75" s="666"/>
      <c r="X75" s="173" t="s">
        <v>131</v>
      </c>
      <c r="Y75" s="185"/>
      <c r="Z75" s="186">
        <f>+I76</f>
        <v>0</v>
      </c>
      <c r="AA75" s="176" t="s">
        <v>129</v>
      </c>
      <c r="AB75" s="187">
        <f>+K76</f>
        <v>1358</v>
      </c>
      <c r="AC75" s="56">
        <f>ROUND(AB75*Z75,0)</f>
        <v>0</v>
      </c>
      <c r="AD75" s="9"/>
    </row>
    <row r="76" spans="1:30" ht="19.5" customHeight="1" x14ac:dyDescent="0.25">
      <c r="A76" s="1" t="s">
        <v>132</v>
      </c>
      <c r="B76" s="178" t="s">
        <v>127</v>
      </c>
      <c r="C76" s="179" t="s">
        <v>131</v>
      </c>
      <c r="D76" s="178">
        <v>0</v>
      </c>
      <c r="E76" s="178">
        <v>0</v>
      </c>
      <c r="F76" s="178">
        <v>0</v>
      </c>
      <c r="G76" s="180">
        <f>IF(E76=0,D76,E76)</f>
        <v>0</v>
      </c>
      <c r="H76" s="181"/>
      <c r="I76" s="182">
        <f>AVERAGE(G76,D76)</f>
        <v>0</v>
      </c>
      <c r="J76" s="183" t="s">
        <v>129</v>
      </c>
      <c r="K76" s="188">
        <v>1358</v>
      </c>
      <c r="L76" s="50">
        <f>ROUND(K76*I76,0)</f>
        <v>0</v>
      </c>
      <c r="N76" s="1">
        <v>7802</v>
      </c>
      <c r="O76" s="1">
        <v>110</v>
      </c>
      <c r="V76" s="651" t="s">
        <v>133</v>
      </c>
      <c r="W76" s="651"/>
      <c r="X76" s="651"/>
      <c r="Y76" s="661">
        <f>+I77</f>
        <v>33305823</v>
      </c>
      <c r="Z76" s="661"/>
      <c r="AA76" s="176" t="s">
        <v>129</v>
      </c>
      <c r="AB76" s="163">
        <f>AB54</f>
        <v>0</v>
      </c>
      <c r="AC76" s="56">
        <f>ROUND(Y76*AB76,0)</f>
        <v>0</v>
      </c>
      <c r="AD76" s="9"/>
    </row>
    <row r="77" spans="1:30" ht="26.25" customHeight="1" x14ac:dyDescent="0.25">
      <c r="B77" s="13" t="s">
        <v>133</v>
      </c>
      <c r="C77" s="13"/>
      <c r="D77" s="13"/>
      <c r="E77" s="13"/>
      <c r="F77" s="13"/>
      <c r="H77" s="164" t="s">
        <v>134</v>
      </c>
      <c r="I77" s="189">
        <v>33305823</v>
      </c>
      <c r="J77" s="165" t="s">
        <v>111</v>
      </c>
      <c r="K77" s="166">
        <f>K54</f>
        <v>6.11E-4</v>
      </c>
      <c r="L77" s="50">
        <f>ROUND(I77*K77,0)</f>
        <v>20350</v>
      </c>
      <c r="O77" s="1"/>
      <c r="V77" s="651" t="str">
        <f>+B78</f>
        <v>15.  Additional Allocation (WFTE share)</v>
      </c>
      <c r="W77" s="651"/>
      <c r="X77" s="651"/>
      <c r="Y77" s="661">
        <f>+I78</f>
        <v>680688</v>
      </c>
      <c r="Z77" s="661"/>
      <c r="AA77" s="176" t="s">
        <v>129</v>
      </c>
      <c r="AB77" s="163">
        <f>AB54</f>
        <v>0</v>
      </c>
      <c r="AC77" s="56">
        <f>ROUND(Y77*AB77,0)</f>
        <v>0</v>
      </c>
      <c r="AD77" s="9"/>
    </row>
    <row r="78" spans="1:30" ht="26.25" customHeight="1" x14ac:dyDescent="0.25">
      <c r="B78" s="669" t="s">
        <v>135</v>
      </c>
      <c r="C78" s="669"/>
      <c r="D78" s="669"/>
      <c r="E78" s="13"/>
      <c r="F78" s="13"/>
      <c r="H78" s="164" t="s">
        <v>136</v>
      </c>
      <c r="I78" s="190">
        <v>680688</v>
      </c>
      <c r="J78" s="165" t="s">
        <v>111</v>
      </c>
      <c r="K78" s="166">
        <f>K54</f>
        <v>6.11E-4</v>
      </c>
      <c r="L78" s="50">
        <f>ROUND(I78*K78,0)</f>
        <v>416</v>
      </c>
      <c r="O78" s="1"/>
      <c r="V78" s="651" t="str">
        <f t="shared" ref="V78:V79" si="11">+B79</f>
        <v>16.  Florida Teachers Lead Program Stipend</v>
      </c>
      <c r="W78" s="651"/>
      <c r="X78" s="651"/>
      <c r="Y78" s="191"/>
      <c r="Z78" s="191"/>
      <c r="AA78" s="191"/>
      <c r="AB78" s="191"/>
      <c r="AC78" s="134"/>
      <c r="AD78" s="9"/>
    </row>
    <row r="79" spans="1:30" ht="21" customHeight="1" x14ac:dyDescent="0.25">
      <c r="B79" s="669" t="s">
        <v>137</v>
      </c>
      <c r="C79" s="669"/>
      <c r="D79" s="669"/>
      <c r="E79" s="13"/>
      <c r="F79" s="13"/>
      <c r="H79" s="164"/>
      <c r="I79" s="172"/>
      <c r="J79" s="172"/>
      <c r="K79" s="172"/>
      <c r="L79" s="129"/>
      <c r="N79" s="192"/>
      <c r="O79" s="1"/>
      <c r="Q79" s="164"/>
      <c r="V79" s="651" t="str">
        <f t="shared" si="11"/>
        <v>17.  Food Service Allocation</v>
      </c>
      <c r="W79" s="651"/>
      <c r="X79" s="651"/>
      <c r="Y79" s="191"/>
      <c r="Z79" s="191"/>
      <c r="AA79" s="191"/>
      <c r="AB79" s="191"/>
      <c r="AC79" s="193"/>
      <c r="AD79" s="9"/>
    </row>
    <row r="80" spans="1:30" ht="21" customHeight="1" x14ac:dyDescent="0.25">
      <c r="B80" s="669" t="s">
        <v>138</v>
      </c>
      <c r="C80" s="669"/>
      <c r="D80" s="669"/>
      <c r="E80" s="13"/>
      <c r="F80" s="13"/>
      <c r="H80" s="194" t="s">
        <v>139</v>
      </c>
      <c r="I80" s="195"/>
      <c r="J80" s="195"/>
      <c r="K80" s="195"/>
      <c r="L80" s="196"/>
      <c r="N80" s="197"/>
      <c r="O80" s="1"/>
      <c r="Q80" s="164"/>
      <c r="V80" s="191"/>
      <c r="W80" s="191"/>
      <c r="X80" s="191"/>
      <c r="Y80" s="191"/>
      <c r="Z80" s="191"/>
      <c r="AA80" s="191"/>
      <c r="AB80" s="191"/>
      <c r="AC80" s="193"/>
      <c r="AD80" s="9"/>
    </row>
    <row r="81" spans="1:30" ht="21" customHeight="1" thickBot="1" x14ac:dyDescent="0.3">
      <c r="B81" s="13"/>
      <c r="C81" s="13"/>
      <c r="D81" s="13"/>
      <c r="E81" s="13"/>
      <c r="F81" s="13"/>
      <c r="G81" s="13"/>
      <c r="H81" s="13"/>
      <c r="I81" s="13"/>
      <c r="J81" s="13"/>
      <c r="K81" s="13"/>
      <c r="L81" s="196"/>
      <c r="M81" s="198"/>
      <c r="N81" s="197"/>
      <c r="O81" s="1"/>
      <c r="Q81" s="164"/>
      <c r="V81" s="191" t="s">
        <v>140</v>
      </c>
      <c r="W81" s="191"/>
      <c r="X81" s="191"/>
      <c r="Y81" s="191"/>
      <c r="Z81" s="191"/>
      <c r="AA81" s="191"/>
      <c r="AB81" s="191"/>
      <c r="AC81" s="199">
        <f>SUM(AC44:AC80)</f>
        <v>9928</v>
      </c>
      <c r="AD81" s="200"/>
    </row>
    <row r="82" spans="1:30" ht="22.5" customHeight="1" thickTop="1" thickBot="1" x14ac:dyDescent="0.3">
      <c r="B82" s="13" t="s">
        <v>141</v>
      </c>
      <c r="C82" s="13"/>
      <c r="D82" s="13"/>
      <c r="E82" s="13"/>
      <c r="F82" s="13"/>
      <c r="G82" s="13"/>
      <c r="H82" s="13"/>
      <c r="I82" s="13"/>
      <c r="J82" s="13"/>
      <c r="K82" s="13"/>
      <c r="L82" s="201">
        <f>SUM(L44:L81)</f>
        <v>765132</v>
      </c>
      <c r="M82" s="202"/>
      <c r="N82" s="203"/>
      <c r="O82" s="1"/>
      <c r="Q82" s="164"/>
      <c r="V82" s="191"/>
      <c r="W82" s="191"/>
      <c r="X82" s="191"/>
      <c r="Y82" s="191"/>
      <c r="Z82" s="191"/>
      <c r="AA82" s="191"/>
      <c r="AB82" s="191"/>
      <c r="AC82" s="204"/>
      <c r="AD82" s="200"/>
    </row>
    <row r="83" spans="1:30" ht="27.75" customHeight="1" thickTop="1" x14ac:dyDescent="0.25">
      <c r="B83" s="13" t="s">
        <v>142</v>
      </c>
      <c r="C83" s="13"/>
      <c r="D83" s="13"/>
      <c r="E83" s="13"/>
      <c r="F83" s="13"/>
      <c r="G83" s="13"/>
      <c r="H83" s="13"/>
      <c r="I83" s="13"/>
      <c r="J83" s="13"/>
      <c r="K83" s="82" t="s">
        <v>143</v>
      </c>
      <c r="L83" s="205" t="s">
        <v>144</v>
      </c>
      <c r="M83" s="202"/>
      <c r="N83" s="203"/>
      <c r="O83" s="1"/>
      <c r="Q83" s="164"/>
      <c r="V83" s="9" t="s">
        <v>145</v>
      </c>
      <c r="W83" s="9"/>
      <c r="X83" s="9"/>
      <c r="Y83" s="9"/>
      <c r="Z83" s="9"/>
      <c r="AA83" s="9"/>
      <c r="AB83" s="9"/>
      <c r="AC83" s="9"/>
      <c r="AD83" s="206"/>
    </row>
    <row r="84" spans="1:30" ht="18.75" customHeight="1" thickBot="1" x14ac:dyDescent="0.3">
      <c r="B84" s="13" t="s">
        <v>146</v>
      </c>
      <c r="C84" s="13"/>
      <c r="D84" s="13"/>
      <c r="E84" s="13"/>
      <c r="F84" s="13"/>
      <c r="G84" s="13"/>
      <c r="H84" s="13"/>
      <c r="I84" s="13"/>
      <c r="J84" s="13"/>
      <c r="K84" s="207" t="str">
        <f>IF(G26=0,"",IF((G11+G13+SUM(G15:G21))/G26&gt;0.75,1,""))</f>
        <v/>
      </c>
      <c r="L84" s="201">
        <f>'4010'!AC81</f>
        <v>9928</v>
      </c>
      <c r="M84" s="202"/>
      <c r="N84" s="203"/>
      <c r="O84" s="1"/>
      <c r="Q84" s="164"/>
      <c r="V84" s="208" t="s">
        <v>147</v>
      </c>
      <c r="W84" s="208"/>
      <c r="X84" s="208"/>
      <c r="Y84" s="208"/>
      <c r="Z84" s="208"/>
      <c r="AA84" s="208"/>
      <c r="AB84" s="208"/>
      <c r="AC84" s="208"/>
      <c r="AD84" s="9"/>
    </row>
    <row r="85" spans="1:30" ht="18.75" customHeight="1" thickTop="1" x14ac:dyDescent="0.25">
      <c r="B85" s="13"/>
      <c r="C85" s="13"/>
      <c r="D85" s="13"/>
      <c r="E85" s="13"/>
      <c r="F85" s="13"/>
      <c r="G85" s="13"/>
      <c r="H85" s="13"/>
      <c r="I85" s="13"/>
      <c r="J85" s="13"/>
      <c r="M85" s="202"/>
      <c r="N85" s="203"/>
      <c r="O85" s="1"/>
      <c r="Q85" s="164"/>
      <c r="V85" s="208" t="s">
        <v>148</v>
      </c>
      <c r="W85" s="208"/>
      <c r="X85" s="208"/>
      <c r="Y85" s="208"/>
      <c r="Z85" s="208"/>
      <c r="AA85" s="208"/>
      <c r="AB85" s="208"/>
      <c r="AC85" s="208"/>
      <c r="AD85" s="206"/>
    </row>
    <row r="86" spans="1:30" ht="18.75" customHeight="1" x14ac:dyDescent="0.25">
      <c r="B86" s="2" t="s">
        <v>149</v>
      </c>
      <c r="C86" s="13"/>
      <c r="D86" s="13"/>
      <c r="E86" s="13"/>
      <c r="F86" s="13"/>
      <c r="G86" s="13"/>
      <c r="H86" s="13"/>
      <c r="I86" s="13"/>
      <c r="J86" s="209" t="s">
        <v>150</v>
      </c>
      <c r="K86" s="210">
        <f>IF(K84=1,L84,L82)</f>
        <v>765132</v>
      </c>
      <c r="L86" s="211">
        <f>IF(G26=0,0,IF(G26&gt;250,-(((250/G26)*K86)*IF(M86="H",0.02,0.05)),IF(M86="H",-0.02*K86,-0.05*K86)))</f>
        <v>-38256.6</v>
      </c>
      <c r="M86" s="212" t="str">
        <f>IF(B123="2801","H",IF(B123="2911","H",IF(B123="3382","H"," ")))</f>
        <v xml:space="preserve"> </v>
      </c>
      <c r="N86" s="203"/>
      <c r="O86" s="1"/>
      <c r="Q86" s="164"/>
      <c r="V86" s="208" t="s">
        <v>151</v>
      </c>
      <c r="W86" s="208"/>
      <c r="X86" s="208"/>
      <c r="Y86" s="208"/>
      <c r="Z86" s="208"/>
      <c r="AA86" s="208"/>
      <c r="AB86" s="208"/>
      <c r="AC86" s="208"/>
      <c r="AD86" s="206"/>
    </row>
    <row r="87" spans="1:30" ht="18.75" customHeight="1" x14ac:dyDescent="0.25">
      <c r="B87" s="2" t="s">
        <v>152</v>
      </c>
      <c r="C87" s="13"/>
      <c r="D87" s="13"/>
      <c r="E87" s="13"/>
      <c r="F87" s="13"/>
      <c r="G87" s="13"/>
      <c r="H87" s="13"/>
      <c r="I87" s="13"/>
      <c r="J87" s="13"/>
      <c r="K87" s="213"/>
      <c r="L87" s="205">
        <f>L82+L86</f>
        <v>726875.4</v>
      </c>
      <c r="M87" s="202"/>
      <c r="N87" s="203"/>
      <c r="O87" s="1"/>
      <c r="Q87" s="164"/>
      <c r="V87" s="198"/>
      <c r="W87" s="198"/>
      <c r="X87" s="198"/>
      <c r="Y87" s="198"/>
      <c r="Z87" s="198"/>
      <c r="AA87" s="198"/>
      <c r="AB87" s="198"/>
      <c r="AC87" s="198"/>
      <c r="AD87" s="214"/>
    </row>
    <row r="88" spans="1:30" x14ac:dyDescent="0.25">
      <c r="V88" s="198"/>
      <c r="W88" s="198"/>
      <c r="X88" s="198"/>
      <c r="Y88" s="198"/>
      <c r="Z88" s="198"/>
      <c r="AA88" s="198"/>
      <c r="AB88" s="198"/>
      <c r="AC88" s="198"/>
      <c r="AD88" s="215"/>
    </row>
    <row r="89" spans="1:30" ht="18.75" customHeight="1" x14ac:dyDescent="0.25">
      <c r="A89" s="1" t="s">
        <v>153</v>
      </c>
      <c r="B89" s="13" t="s">
        <v>154</v>
      </c>
      <c r="C89" s="13"/>
      <c r="D89" s="13">
        <v>392235</v>
      </c>
      <c r="E89" s="13">
        <v>64983</v>
      </c>
      <c r="F89" s="13">
        <v>645088</v>
      </c>
      <c r="G89" s="13"/>
      <c r="H89" s="13"/>
      <c r="I89" s="13"/>
      <c r="J89" s="13"/>
      <c r="K89" s="213"/>
      <c r="L89" s="84">
        <f>-F89-50863</f>
        <v>-695951</v>
      </c>
      <c r="M89" s="202"/>
      <c r="N89" s="203"/>
      <c r="O89" s="1"/>
      <c r="Q89" s="164"/>
      <c r="V89" s="198">
        <v>2801</v>
      </c>
      <c r="W89" s="198"/>
      <c r="X89" s="198"/>
      <c r="Y89" s="198"/>
      <c r="Z89" s="198"/>
      <c r="AA89" s="198"/>
      <c r="AB89" s="198"/>
      <c r="AC89" s="198"/>
      <c r="AD89" s="214"/>
    </row>
    <row r="90" spans="1:30" ht="18.75" customHeight="1" x14ac:dyDescent="0.25">
      <c r="B90" s="13" t="s">
        <v>155</v>
      </c>
      <c r="C90" s="13"/>
      <c r="D90" s="13"/>
      <c r="E90" s="13"/>
      <c r="F90" s="13"/>
      <c r="G90" s="13"/>
      <c r="H90" s="13"/>
      <c r="I90" s="13"/>
      <c r="J90" s="13"/>
      <c r="K90" s="213"/>
      <c r="L90" s="205">
        <f>L87+L89</f>
        <v>30924.400000000023</v>
      </c>
      <c r="M90" s="202"/>
      <c r="N90" s="203"/>
      <c r="O90" s="1"/>
      <c r="Q90" s="164"/>
      <c r="V90" s="198">
        <v>2911</v>
      </c>
      <c r="W90" s="216"/>
      <c r="X90" s="216"/>
      <c r="Y90" s="216"/>
      <c r="Z90" s="216"/>
      <c r="AA90" s="216"/>
      <c r="AB90" s="216"/>
      <c r="AC90" s="216"/>
      <c r="AD90" s="214"/>
    </row>
    <row r="91" spans="1:30" ht="18.75" customHeight="1" x14ac:dyDescent="0.25">
      <c r="B91" s="13" t="s">
        <v>156</v>
      </c>
      <c r="C91" s="13"/>
      <c r="D91" s="13"/>
      <c r="E91" s="13"/>
      <c r="F91" s="13"/>
      <c r="G91" s="13"/>
      <c r="H91" s="13"/>
      <c r="I91" s="13"/>
      <c r="J91" s="13"/>
      <c r="K91" s="213"/>
      <c r="L91" s="205">
        <v>1</v>
      </c>
      <c r="M91" s="202"/>
      <c r="N91" s="203"/>
      <c r="O91" s="1"/>
      <c r="Q91" s="164"/>
      <c r="V91" s="198">
        <v>3382</v>
      </c>
      <c r="W91" s="216"/>
      <c r="X91" s="216"/>
      <c r="Y91" s="216"/>
      <c r="Z91" s="216"/>
      <c r="AA91" s="216"/>
      <c r="AB91" s="216"/>
      <c r="AC91" s="216"/>
      <c r="AD91" s="214"/>
    </row>
    <row r="92" spans="1:30" ht="18.75" customHeight="1" thickBot="1" x14ac:dyDescent="0.3">
      <c r="B92" s="13" t="s">
        <v>157</v>
      </c>
      <c r="C92" s="13"/>
      <c r="D92" s="13"/>
      <c r="E92" s="13"/>
      <c r="F92" s="13"/>
      <c r="G92" s="13"/>
      <c r="H92" s="13"/>
      <c r="I92" s="13"/>
      <c r="J92" s="13"/>
      <c r="K92" s="213"/>
      <c r="L92" s="217">
        <f>L90/L91</f>
        <v>30924.400000000023</v>
      </c>
      <c r="M92" s="202"/>
      <c r="N92" s="203"/>
      <c r="O92" s="1"/>
      <c r="Q92" s="164"/>
      <c r="V92" s="218"/>
      <c r="W92" s="218"/>
      <c r="X92" s="218"/>
      <c r="Y92" s="218"/>
      <c r="Z92" s="218"/>
      <c r="AA92" s="218"/>
      <c r="AB92" s="218"/>
      <c r="AC92" s="218"/>
      <c r="AD92" s="219"/>
    </row>
    <row r="93" spans="1:30" ht="18.75" customHeight="1" thickTop="1" x14ac:dyDescent="0.25">
      <c r="N93" s="219"/>
      <c r="O93" s="220"/>
      <c r="P93" s="219"/>
      <c r="Q93" s="219"/>
      <c r="V93" s="218"/>
      <c r="W93" s="218"/>
      <c r="X93" s="218"/>
      <c r="Y93" s="218"/>
      <c r="Z93" s="218"/>
      <c r="AA93" s="218"/>
      <c r="AB93" s="218"/>
      <c r="AC93" s="218"/>
      <c r="AD93" s="214"/>
    </row>
    <row r="94" spans="1:30" ht="18.75" customHeight="1" thickBot="1" x14ac:dyDescent="0.3">
      <c r="B94" s="221" t="s">
        <v>158</v>
      </c>
      <c r="C94" s="13"/>
      <c r="D94" s="13"/>
      <c r="E94" s="13"/>
      <c r="G94" s="13"/>
      <c r="H94" s="13"/>
      <c r="I94" s="13"/>
      <c r="J94" s="13"/>
      <c r="L94" s="222">
        <f>IF(M86="H",(K86*0.02)+L86,(K86*0.05)+L86)</f>
        <v>0</v>
      </c>
      <c r="M94" s="202"/>
      <c r="V94" s="223"/>
      <c r="W94" s="223"/>
      <c r="X94" s="223"/>
      <c r="Y94" s="223"/>
      <c r="Z94" s="223"/>
      <c r="AA94" s="223"/>
      <c r="AB94" s="223"/>
      <c r="AC94" s="223"/>
      <c r="AD94" s="214"/>
    </row>
    <row r="95" spans="1:30" ht="21.75" customHeight="1" thickTop="1" x14ac:dyDescent="0.25">
      <c r="B95" s="224" t="s">
        <v>159</v>
      </c>
      <c r="C95" s="224"/>
      <c r="D95" s="224"/>
      <c r="E95" s="224"/>
      <c r="F95" s="224"/>
      <c r="G95" s="224"/>
      <c r="H95" s="224"/>
      <c r="I95" s="224"/>
      <c r="J95" s="224"/>
      <c r="K95" s="224"/>
      <c r="L95" s="224"/>
      <c r="M95" s="219"/>
      <c r="V95" s="223"/>
      <c r="W95" s="223"/>
      <c r="X95" s="223"/>
      <c r="Y95" s="223"/>
      <c r="Z95" s="223"/>
      <c r="AA95" s="223"/>
      <c r="AB95" s="223"/>
      <c r="AC95" s="223"/>
      <c r="AD95" s="214"/>
    </row>
    <row r="96" spans="1:30" x14ac:dyDescent="0.25">
      <c r="B96" s="225"/>
      <c r="V96" s="223"/>
      <c r="W96" s="223"/>
      <c r="X96" s="223"/>
      <c r="Y96" s="223"/>
      <c r="Z96" s="223"/>
      <c r="AA96" s="223"/>
      <c r="AB96" s="223"/>
      <c r="AC96" s="223"/>
      <c r="AD96" s="219"/>
    </row>
    <row r="97" spans="2:30" x14ac:dyDescent="0.25">
      <c r="B97" s="225"/>
      <c r="V97" s="223"/>
      <c r="W97" s="223"/>
      <c r="X97" s="223"/>
      <c r="Y97" s="223"/>
      <c r="Z97" s="223"/>
      <c r="AA97" s="223"/>
      <c r="AB97" s="223"/>
      <c r="AC97" s="223"/>
      <c r="AD97" s="219"/>
    </row>
    <row r="98" spans="2:30" hidden="1" x14ac:dyDescent="0.25">
      <c r="B98" s="226" t="s">
        <v>160</v>
      </c>
      <c r="C98" s="227"/>
      <c r="V98" s="228"/>
      <c r="W98" s="228"/>
      <c r="X98" s="228"/>
      <c r="Y98" s="228"/>
      <c r="Z98" s="228"/>
      <c r="AA98" s="228"/>
      <c r="AB98" s="228"/>
      <c r="AC98" s="228"/>
    </row>
    <row r="99" spans="2:30" hidden="1" x14ac:dyDescent="0.25">
      <c r="B99" s="229"/>
      <c r="C99" s="227"/>
      <c r="V99" s="225"/>
      <c r="W99" s="13"/>
      <c r="X99" s="13"/>
      <c r="Y99" s="13"/>
      <c r="Z99" s="13"/>
      <c r="AA99" s="13"/>
      <c r="AB99" s="13"/>
      <c r="AC99" s="13"/>
    </row>
    <row r="100" spans="2:30" hidden="1" x14ac:dyDescent="0.25">
      <c r="B100" s="230" t="s">
        <v>161</v>
      </c>
      <c r="C100" s="226" t="s">
        <v>162</v>
      </c>
      <c r="V100" s="225"/>
    </row>
    <row r="101" spans="2:30" hidden="1" x14ac:dyDescent="0.25">
      <c r="B101" s="230" t="s">
        <v>163</v>
      </c>
      <c r="C101" s="226" t="s">
        <v>164</v>
      </c>
      <c r="V101" s="225"/>
    </row>
    <row r="102" spans="2:30" hidden="1" x14ac:dyDescent="0.25">
      <c r="B102" s="230" t="s">
        <v>165</v>
      </c>
      <c r="C102" s="226" t="s">
        <v>166</v>
      </c>
      <c r="V102" s="225"/>
      <c r="W102" s="231"/>
      <c r="X102" s="231"/>
      <c r="Y102" s="231"/>
      <c r="Z102" s="231"/>
      <c r="AA102" s="231"/>
      <c r="AB102" s="231"/>
      <c r="AC102" s="231"/>
      <c r="AD102" s="231"/>
    </row>
    <row r="103" spans="2:30" hidden="1" x14ac:dyDescent="0.25">
      <c r="B103" s="230" t="s">
        <v>167</v>
      </c>
      <c r="C103" s="226" t="s">
        <v>168</v>
      </c>
      <c r="V103" s="225"/>
    </row>
    <row r="104" spans="2:30" hidden="1" x14ac:dyDescent="0.25">
      <c r="B104" s="232"/>
      <c r="C104" s="226" t="s">
        <v>169</v>
      </c>
      <c r="V104" s="225"/>
    </row>
    <row r="105" spans="2:30" hidden="1" x14ac:dyDescent="0.25">
      <c r="B105" s="230" t="s">
        <v>170</v>
      </c>
      <c r="C105" s="226" t="s">
        <v>171</v>
      </c>
      <c r="V105" s="225"/>
    </row>
    <row r="106" spans="2:30" hidden="1" x14ac:dyDescent="0.25">
      <c r="B106" s="230" t="s">
        <v>172</v>
      </c>
      <c r="C106" s="226" t="s">
        <v>173</v>
      </c>
      <c r="V106" s="225"/>
    </row>
    <row r="107" spans="2:30" hidden="1" x14ac:dyDescent="0.25">
      <c r="B107" s="230" t="s">
        <v>327</v>
      </c>
      <c r="C107" s="226" t="s">
        <v>175</v>
      </c>
      <c r="V107" s="225"/>
    </row>
    <row r="108" spans="2:30" hidden="1" x14ac:dyDescent="0.25">
      <c r="B108" s="230" t="s">
        <v>176</v>
      </c>
      <c r="C108" s="226" t="s">
        <v>177</v>
      </c>
      <c r="V108" s="225"/>
    </row>
    <row r="109" spans="2:30" hidden="1" x14ac:dyDescent="0.25">
      <c r="B109" s="230" t="s">
        <v>178</v>
      </c>
      <c r="C109" s="226" t="s">
        <v>179</v>
      </c>
      <c r="V109" s="225"/>
    </row>
    <row r="110" spans="2:30" hidden="1" x14ac:dyDescent="0.25">
      <c r="B110" s="232"/>
      <c r="C110" s="226"/>
      <c r="V110" s="225"/>
    </row>
    <row r="111" spans="2:30" hidden="1" x14ac:dyDescent="0.25">
      <c r="B111" s="230" t="s">
        <v>180</v>
      </c>
      <c r="C111" s="226" t="s">
        <v>181</v>
      </c>
      <c r="V111" s="225"/>
    </row>
    <row r="112" spans="2:30" hidden="1" x14ac:dyDescent="0.25">
      <c r="B112" s="230" t="s">
        <v>180</v>
      </c>
      <c r="C112" s="226" t="s">
        <v>182</v>
      </c>
    </row>
    <row r="113" spans="2:3" hidden="1" x14ac:dyDescent="0.25">
      <c r="B113" s="230" t="s">
        <v>183</v>
      </c>
      <c r="C113" s="226" t="s">
        <v>184</v>
      </c>
    </row>
    <row r="114" spans="2:3" hidden="1" x14ac:dyDescent="0.25">
      <c r="B114" s="230" t="s">
        <v>185</v>
      </c>
      <c r="C114" s="226" t="s">
        <v>186</v>
      </c>
    </row>
    <row r="115" spans="2:3" hidden="1" x14ac:dyDescent="0.25">
      <c r="B115" s="230" t="s">
        <v>183</v>
      </c>
      <c r="C115" s="226" t="s">
        <v>187</v>
      </c>
    </row>
    <row r="116" spans="2:3" hidden="1" x14ac:dyDescent="0.25">
      <c r="B116" s="230" t="s">
        <v>188</v>
      </c>
      <c r="C116" s="226" t="s">
        <v>189</v>
      </c>
    </row>
    <row r="117" spans="2:3" hidden="1" x14ac:dyDescent="0.25">
      <c r="B117" s="230" t="s">
        <v>190</v>
      </c>
      <c r="C117" s="226" t="s">
        <v>191</v>
      </c>
    </row>
    <row r="118" spans="2:3" hidden="1" x14ac:dyDescent="0.25">
      <c r="B118" s="232" t="s">
        <v>192</v>
      </c>
      <c r="C118" s="226" t="s">
        <v>193</v>
      </c>
    </row>
    <row r="119" spans="2:3" hidden="1" x14ac:dyDescent="0.25">
      <c r="B119" s="232"/>
      <c r="C119" s="226"/>
    </row>
    <row r="120" spans="2:3" hidden="1" x14ac:dyDescent="0.25">
      <c r="B120" s="230" t="s">
        <v>161</v>
      </c>
      <c r="C120" s="226" t="s">
        <v>194</v>
      </c>
    </row>
    <row r="121" spans="2:3" hidden="1" x14ac:dyDescent="0.25">
      <c r="B121" s="230" t="s">
        <v>195</v>
      </c>
      <c r="C121" s="226" t="s">
        <v>196</v>
      </c>
    </row>
    <row r="122" spans="2:3" hidden="1" x14ac:dyDescent="0.25">
      <c r="B122" s="230" t="s">
        <v>197</v>
      </c>
      <c r="C122" s="226" t="s">
        <v>198</v>
      </c>
    </row>
    <row r="123" spans="2:3" hidden="1" x14ac:dyDescent="0.25">
      <c r="B123" s="230" t="s">
        <v>328</v>
      </c>
      <c r="C123" s="226" t="s">
        <v>200</v>
      </c>
    </row>
    <row r="124" spans="2:3" hidden="1" x14ac:dyDescent="0.25">
      <c r="B124" s="230" t="s">
        <v>329</v>
      </c>
      <c r="C124" s="226" t="s">
        <v>202</v>
      </c>
    </row>
    <row r="125" spans="2:3" hidden="1" x14ac:dyDescent="0.25">
      <c r="B125" s="230" t="s">
        <v>203</v>
      </c>
      <c r="C125" s="226" t="s">
        <v>204</v>
      </c>
    </row>
    <row r="126" spans="2:3" hidden="1" x14ac:dyDescent="0.25">
      <c r="B126" s="230" t="s">
        <v>203</v>
      </c>
      <c r="C126" s="226" t="s">
        <v>205</v>
      </c>
    </row>
    <row r="127" spans="2:3" hidden="1" x14ac:dyDescent="0.25">
      <c r="B127" s="230" t="s">
        <v>203</v>
      </c>
      <c r="C127" s="226" t="s">
        <v>206</v>
      </c>
    </row>
    <row r="128" spans="2:3" hidden="1" x14ac:dyDescent="0.25">
      <c r="B128" s="230" t="s">
        <v>203</v>
      </c>
      <c r="C128" s="226" t="s">
        <v>207</v>
      </c>
    </row>
    <row r="129" spans="2:3" hidden="1" x14ac:dyDescent="0.25">
      <c r="B129" s="230" t="s">
        <v>167</v>
      </c>
      <c r="C129" s="226" t="s">
        <v>208</v>
      </c>
    </row>
    <row r="130" spans="2:3" hidden="1" x14ac:dyDescent="0.25">
      <c r="B130" s="230" t="s">
        <v>209</v>
      </c>
      <c r="C130" s="226" t="s">
        <v>210</v>
      </c>
    </row>
    <row r="131" spans="2:3" hidden="1" x14ac:dyDescent="0.25">
      <c r="B131" s="230" t="s">
        <v>203</v>
      </c>
      <c r="C131" s="226" t="s">
        <v>211</v>
      </c>
    </row>
    <row r="132" spans="2:3" hidden="1" x14ac:dyDescent="0.25">
      <c r="B132" s="226"/>
      <c r="C132" s="226"/>
    </row>
    <row r="133" spans="2:3" hidden="1" x14ac:dyDescent="0.25">
      <c r="B133" s="226"/>
      <c r="C133" s="226"/>
    </row>
    <row r="134" spans="2:3" hidden="1" x14ac:dyDescent="0.25">
      <c r="B134" s="232"/>
      <c r="C134" s="232"/>
    </row>
    <row r="135" spans="2:3" hidden="1" x14ac:dyDescent="0.25">
      <c r="B135" s="232">
        <f>NvsElapsedTime</f>
        <v>1.15740695036948E-5</v>
      </c>
      <c r="C135" s="232"/>
    </row>
    <row r="136" spans="2:3" hidden="1" x14ac:dyDescent="0.25">
      <c r="B136" s="233">
        <f>NvsEndTime</f>
        <v>41754.488159722197</v>
      </c>
      <c r="C136" s="233" t="s">
        <v>212</v>
      </c>
    </row>
    <row r="137" spans="2:3" x14ac:dyDescent="0.25">
      <c r="B137" s="226"/>
      <c r="C137" s="234"/>
    </row>
    <row r="138" spans="2:3" x14ac:dyDescent="0.25">
      <c r="B138" s="226"/>
      <c r="C138" s="226"/>
    </row>
    <row r="139" spans="2:3" x14ac:dyDescent="0.25">
      <c r="B139" s="226"/>
      <c r="C139" s="226"/>
    </row>
    <row r="140" spans="2:3" x14ac:dyDescent="0.25">
      <c r="B140" s="226"/>
      <c r="C140" s="226"/>
    </row>
    <row r="141" spans="2:3" x14ac:dyDescent="0.25">
      <c r="B141" s="226"/>
      <c r="C141" s="226"/>
    </row>
    <row r="142" spans="2:3" x14ac:dyDescent="0.25">
      <c r="B142" s="226"/>
      <c r="C142" s="226"/>
    </row>
    <row r="143" spans="2:3" x14ac:dyDescent="0.25">
      <c r="B143" s="226"/>
      <c r="C143" s="226"/>
    </row>
    <row r="144" spans="2:3" x14ac:dyDescent="0.25">
      <c r="B144" s="226"/>
      <c r="C144" s="226"/>
    </row>
    <row r="145" spans="2:3" x14ac:dyDescent="0.25">
      <c r="B145" s="226"/>
      <c r="C145" s="226"/>
    </row>
    <row r="146" spans="2:3" x14ac:dyDescent="0.25">
      <c r="B146" s="226"/>
      <c r="C146" s="226"/>
    </row>
    <row r="147" spans="2:3" x14ac:dyDescent="0.25">
      <c r="B147" s="226"/>
      <c r="C147" s="226"/>
    </row>
    <row r="148" spans="2:3" x14ac:dyDescent="0.25">
      <c r="B148" s="226"/>
      <c r="C148" s="226"/>
    </row>
    <row r="149" spans="2:3" x14ac:dyDescent="0.25">
      <c r="B149" s="226"/>
      <c r="C149" s="226"/>
    </row>
    <row r="150" spans="2:3" x14ac:dyDescent="0.25">
      <c r="B150" s="226"/>
      <c r="C150" s="226"/>
    </row>
    <row r="151" spans="2:3" x14ac:dyDescent="0.25">
      <c r="B151" s="226"/>
      <c r="C151" s="226"/>
    </row>
  </sheetData>
  <mergeCells count="151">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9:W9"/>
    <mergeCell ref="X9:Y9"/>
    <mergeCell ref="Z9:AA9"/>
    <mergeCell ref="V10:W10"/>
    <mergeCell ref="X10:Y10"/>
    <mergeCell ref="Z10:AA10"/>
    <mergeCell ref="V7:W7"/>
    <mergeCell ref="X7:Y7"/>
    <mergeCell ref="Z7:AA7"/>
    <mergeCell ref="AB7:AC7"/>
    <mergeCell ref="V8:W8"/>
    <mergeCell ref="X8:Y8"/>
    <mergeCell ref="Z8:AA8"/>
    <mergeCell ref="W2:AC2"/>
    <mergeCell ref="V3:AC3"/>
    <mergeCell ref="V4:AC4"/>
    <mergeCell ref="V5:W5"/>
    <mergeCell ref="X5:Y5"/>
    <mergeCell ref="V6:AC6"/>
  </mergeCells>
  <printOptions horizontalCentered="1"/>
  <pageMargins left="0" right="0" top="0.67" bottom="0.2" header="0.25" footer="0.196850393700787"/>
  <pageSetup scale="83" fitToWidth="2" fitToHeight="2" orientation="portrait" r:id="rId1"/>
  <headerFooter alignWithMargins="0">
    <oddHeader>&amp;L&amp;8&amp;F
&amp;D &amp;T</oddHeader>
    <oddFooter>&amp;C&amp;P</oddFooter>
  </headerFooter>
  <rowBreaks count="1" manualBreakCount="1">
    <brk id="51" max="16383" man="1"/>
  </rowBreaks>
  <legacyDrawing r:id="rId2"/>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pageSetUpPr fitToPage="1"/>
  </sheetPr>
  <dimension ref="A1:AD151"/>
  <sheetViews>
    <sheetView topLeftCell="B2" zoomScale="70" zoomScaleNormal="70" workbookViewId="0">
      <selection activeCell="L71" sqref="L70:L71"/>
    </sheetView>
  </sheetViews>
  <sheetFormatPr defaultColWidth="8.85546875" defaultRowHeight="15.75" x14ac:dyDescent="0.25"/>
  <cols>
    <col min="1" max="1" width="11.28515625" style="1" hidden="1" customWidth="1"/>
    <col min="2" max="2" width="10.28515625" style="2" customWidth="1"/>
    <col min="3" max="3" width="29" style="1" customWidth="1"/>
    <col min="4" max="5" width="12.28515625" style="1" customWidth="1"/>
    <col min="6" max="6" width="12.28515625" style="1" hidden="1" customWidth="1"/>
    <col min="7" max="7" width="16.140625" style="1" customWidth="1"/>
    <col min="8" max="8" width="6.7109375" style="1" customWidth="1"/>
    <col min="9" max="9" width="14.28515625" style="1" customWidth="1"/>
    <col min="10" max="10" width="12.85546875" style="1" customWidth="1"/>
    <col min="11" max="11" width="16.140625" style="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28515625" style="1" customWidth="1"/>
    <col min="18" max="18" width="8.85546875" style="1"/>
    <col min="19" max="21" width="0" style="1" hidden="1" customWidth="1"/>
    <col min="22" max="23" width="8.85546875" style="1"/>
    <col min="24" max="24" width="12.7109375" style="1" customWidth="1"/>
    <col min="25" max="27" width="8.85546875" style="1"/>
    <col min="28" max="28" width="13.140625" style="1" bestFit="1" customWidth="1"/>
    <col min="29" max="16384" width="8.85546875" style="1"/>
  </cols>
  <sheetData>
    <row r="1" spans="1:30" ht="15.6"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7"/>
      <c r="N2" s="3"/>
      <c r="O2" s="1"/>
      <c r="V2" s="8">
        <f>'4012'!B2</f>
        <v>50</v>
      </c>
      <c r="W2" s="606" t="s">
        <v>4</v>
      </c>
      <c r="X2" s="607"/>
      <c r="Y2" s="608"/>
      <c r="Z2" s="608"/>
      <c r="AA2" s="608"/>
      <c r="AB2" s="608"/>
      <c r="AC2" s="608"/>
      <c r="AD2" s="9"/>
    </row>
    <row r="3" spans="1:30" ht="20.25" x14ac:dyDescent="0.3">
      <c r="B3" s="10" t="str">
        <f>"Revenue Estimate Worksheet for "&amp;B124</f>
        <v>Revenue Estimate Worksheet for Somerset Acad Canyons Md Sch</v>
      </c>
      <c r="C3" s="11"/>
      <c r="D3" s="11"/>
      <c r="E3" s="11"/>
      <c r="F3" s="11"/>
      <c r="G3" s="11"/>
      <c r="H3" s="11"/>
      <c r="I3" s="11"/>
      <c r="J3" s="11"/>
      <c r="K3" s="11"/>
      <c r="L3" s="11"/>
      <c r="M3" s="10"/>
      <c r="N3" s="10"/>
      <c r="O3" s="10"/>
      <c r="P3" s="10"/>
      <c r="Q3" s="10"/>
      <c r="V3" s="609" t="s">
        <v>5</v>
      </c>
      <c r="W3" s="609"/>
      <c r="X3" s="609"/>
      <c r="Y3" s="609"/>
      <c r="Z3" s="609"/>
      <c r="AA3" s="609"/>
      <c r="AB3" s="609"/>
      <c r="AC3" s="609"/>
      <c r="AD3" s="12"/>
    </row>
    <row r="4" spans="1:30" ht="18.75" x14ac:dyDescent="0.3">
      <c r="B4" s="2" t="s">
        <v>6</v>
      </c>
      <c r="C4" s="13"/>
      <c r="D4" s="13"/>
      <c r="E4" s="13"/>
      <c r="F4" s="13"/>
      <c r="G4" s="13"/>
      <c r="H4" s="13"/>
      <c r="I4" s="13"/>
      <c r="J4" s="13"/>
      <c r="K4" s="13"/>
      <c r="L4" s="13"/>
      <c r="M4" s="14"/>
      <c r="N4" s="14"/>
      <c r="O4" s="14"/>
      <c r="P4" s="14"/>
      <c r="Q4" s="14"/>
      <c r="V4" s="610" t="str">
        <f>+Based_on_the_Second_Calculation_of_the_FEFP_2010_11</f>
        <v>Based on the Fourth Calculation of the FEFP 2013-14</v>
      </c>
      <c r="W4" s="610"/>
      <c r="X4" s="610"/>
      <c r="Y4" s="610"/>
      <c r="Z4" s="610"/>
      <c r="AA4" s="610"/>
      <c r="AB4" s="610"/>
      <c r="AC4" s="610"/>
      <c r="AD4" s="15"/>
    </row>
    <row r="5" spans="1:30" ht="18.75" customHeight="1" x14ac:dyDescent="0.25">
      <c r="B5" s="16" t="s">
        <v>7</v>
      </c>
      <c r="C5" s="16"/>
      <c r="D5" s="16"/>
      <c r="E5" s="16"/>
      <c r="F5" s="16"/>
      <c r="G5" s="17" t="s">
        <v>8</v>
      </c>
      <c r="H5" s="17"/>
      <c r="I5" s="17"/>
      <c r="J5" s="17"/>
      <c r="K5" s="17"/>
      <c r="L5" s="17"/>
      <c r="M5" s="18"/>
      <c r="N5" s="18"/>
      <c r="O5" s="18"/>
      <c r="P5" s="18"/>
      <c r="Q5" s="18"/>
      <c r="V5" s="611" t="s">
        <v>7</v>
      </c>
      <c r="W5" s="611"/>
      <c r="X5" s="612" t="s">
        <v>8</v>
      </c>
      <c r="Y5" s="612"/>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613" t="s">
        <v>9</v>
      </c>
      <c r="W6" s="613"/>
      <c r="X6" s="613"/>
      <c r="Y6" s="613"/>
      <c r="Z6" s="613"/>
      <c r="AA6" s="613"/>
      <c r="AB6" s="613"/>
      <c r="AC6" s="613"/>
      <c r="AD6" s="22"/>
    </row>
    <row r="7" spans="1:30" ht="18" customHeight="1" x14ac:dyDescent="0.25">
      <c r="B7" s="23" t="s">
        <v>10</v>
      </c>
      <c r="C7" s="23"/>
      <c r="D7" s="23"/>
      <c r="E7" s="23"/>
      <c r="F7" s="23"/>
      <c r="G7" s="24">
        <v>3752.3</v>
      </c>
      <c r="H7" s="24"/>
      <c r="I7" s="23" t="s">
        <v>11</v>
      </c>
      <c r="J7" s="23"/>
      <c r="K7" s="25">
        <v>1.0326</v>
      </c>
      <c r="L7" s="25"/>
      <c r="O7" s="1"/>
      <c r="V7" s="620" t="s">
        <v>10</v>
      </c>
      <c r="W7" s="620"/>
      <c r="X7" s="621">
        <f>'4012'!G7</f>
        <v>3752.3</v>
      </c>
      <c r="Y7" s="621"/>
      <c r="Z7" s="622" t="s">
        <v>11</v>
      </c>
      <c r="AA7" s="622"/>
      <c r="AB7" s="602">
        <f>+K7</f>
        <v>1.0326</v>
      </c>
      <c r="AC7" s="602"/>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603" t="s">
        <v>12</v>
      </c>
      <c r="W8" s="603"/>
      <c r="X8" s="604" t="s">
        <v>15</v>
      </c>
      <c r="Y8" s="604"/>
      <c r="Z8" s="605" t="s">
        <v>16</v>
      </c>
      <c r="AA8" s="605"/>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614" t="s">
        <v>22</v>
      </c>
      <c r="W9" s="614"/>
      <c r="X9" s="615" t="s">
        <v>23</v>
      </c>
      <c r="Y9" s="615"/>
      <c r="Z9" s="616" t="s">
        <v>24</v>
      </c>
      <c r="AA9" s="616"/>
      <c r="AB9" s="43" t="s">
        <v>25</v>
      </c>
      <c r="AC9" s="44" t="s">
        <v>26</v>
      </c>
      <c r="AD9" s="9"/>
    </row>
    <row r="10" spans="1:30" x14ac:dyDescent="0.25">
      <c r="A10" s="1" t="s">
        <v>27</v>
      </c>
      <c r="B10" s="45" t="s">
        <v>28</v>
      </c>
      <c r="C10" s="45"/>
      <c r="D10" s="45">
        <v>0</v>
      </c>
      <c r="E10" s="45">
        <v>0</v>
      </c>
      <c r="F10" s="45">
        <v>0</v>
      </c>
      <c r="G10" s="46">
        <f>D10+E10</f>
        <v>0</v>
      </c>
      <c r="H10" s="47"/>
      <c r="I10" s="48">
        <v>1.125</v>
      </c>
      <c r="J10" s="48"/>
      <c r="K10" s="49">
        <f>ROUND(G10*I10,4)</f>
        <v>0</v>
      </c>
      <c r="L10" s="50">
        <f>ROUND(ROUND(K10*$G$7,4)*($K$7),0)</f>
        <v>0</v>
      </c>
      <c r="N10" s="51">
        <v>5101</v>
      </c>
      <c r="O10" s="52">
        <v>101</v>
      </c>
      <c r="P10" s="53"/>
      <c r="Q10" s="54"/>
      <c r="V10" s="617" t="s">
        <v>28</v>
      </c>
      <c r="W10" s="617"/>
      <c r="X10" s="618">
        <f>IF('4012'!K$84=1,'4012'!G10,0)</f>
        <v>0</v>
      </c>
      <c r="Y10" s="618"/>
      <c r="Z10" s="619">
        <v>1</v>
      </c>
      <c r="AA10" s="619"/>
      <c r="AB10" s="55">
        <f t="shared" ref="AB10:AB25" si="0">ROUND(X10*Z10,4)</f>
        <v>0</v>
      </c>
      <c r="AC10" s="56">
        <f t="shared" ref="AC10:AC25" si="1">ROUND(ROUND(AB10*$X$7,4)*($AB$7),0)</f>
        <v>0</v>
      </c>
      <c r="AD10" s="9">
        <v>1</v>
      </c>
    </row>
    <row r="11" spans="1:30" x14ac:dyDescent="0.25">
      <c r="A11" s="1" t="s">
        <v>29</v>
      </c>
      <c r="B11" s="13" t="s">
        <v>30</v>
      </c>
      <c r="C11" s="13"/>
      <c r="D11" s="13">
        <v>0</v>
      </c>
      <c r="E11" s="13">
        <v>0</v>
      </c>
      <c r="F11" s="13">
        <v>0</v>
      </c>
      <c r="G11" s="46">
        <f t="shared" ref="G11:G25" si="2">D11+E11</f>
        <v>0</v>
      </c>
      <c r="H11" s="47"/>
      <c r="I11" s="57">
        <f>I10</f>
        <v>1.125</v>
      </c>
      <c r="J11" s="57"/>
      <c r="K11" s="49">
        <f t="shared" ref="K11:K25" si="3">ROUND(G11*I11,4)</f>
        <v>0</v>
      </c>
      <c r="L11" s="50">
        <f t="shared" ref="L11:L25" si="4">ROUND(ROUND(K11*$G$7,4)*($K$7),0)</f>
        <v>0</v>
      </c>
      <c r="M11" s="1" t="str">
        <f>IF(ROUND(G11,2)=ROUND(SUM(G28:G30),2)," ","CHECK 2. PK-3 Lines Below")</f>
        <v xml:space="preserve"> </v>
      </c>
      <c r="N11" s="51">
        <v>5101</v>
      </c>
      <c r="O11" s="58" t="s">
        <v>31</v>
      </c>
      <c r="P11" s="53"/>
      <c r="Q11" s="54"/>
      <c r="V11" s="623" t="s">
        <v>30</v>
      </c>
      <c r="W11" s="623"/>
      <c r="X11" s="618">
        <f>IF('4012'!K$84=1,'4012'!G11,0)</f>
        <v>0</v>
      </c>
      <c r="Y11" s="618"/>
      <c r="Z11" s="624">
        <v>1</v>
      </c>
      <c r="AA11" s="624"/>
      <c r="AB11" s="55">
        <f t="shared" si="0"/>
        <v>0</v>
      </c>
      <c r="AC11" s="56">
        <f t="shared" si="1"/>
        <v>0</v>
      </c>
      <c r="AD11" s="9"/>
    </row>
    <row r="12" spans="1:30" x14ac:dyDescent="0.25">
      <c r="A12" s="1" t="s">
        <v>32</v>
      </c>
      <c r="B12" s="13" t="s">
        <v>33</v>
      </c>
      <c r="C12" s="13"/>
      <c r="D12" s="13">
        <v>251.62</v>
      </c>
      <c r="E12" s="13">
        <v>246.78</v>
      </c>
      <c r="F12" s="13">
        <v>316.75</v>
      </c>
      <c r="G12" s="46">
        <f t="shared" si="2"/>
        <v>498.4</v>
      </c>
      <c r="H12" s="47"/>
      <c r="I12" s="57">
        <v>1</v>
      </c>
      <c r="J12" s="57"/>
      <c r="K12" s="49">
        <f t="shared" si="3"/>
        <v>498.4</v>
      </c>
      <c r="L12" s="50">
        <f t="shared" si="4"/>
        <v>1931113</v>
      </c>
      <c r="N12" s="51">
        <v>5102</v>
      </c>
      <c r="O12" s="52">
        <v>102</v>
      </c>
      <c r="P12" s="53"/>
      <c r="Q12" s="54"/>
      <c r="V12" s="623" t="s">
        <v>33</v>
      </c>
      <c r="W12" s="623"/>
      <c r="X12" s="618">
        <f>IF('4012'!K$84=1,'4012'!G12,0)</f>
        <v>0</v>
      </c>
      <c r="Y12" s="618"/>
      <c r="Z12" s="624">
        <v>1</v>
      </c>
      <c r="AA12" s="624"/>
      <c r="AB12" s="55">
        <f t="shared" si="0"/>
        <v>0</v>
      </c>
      <c r="AC12" s="56">
        <f t="shared" si="1"/>
        <v>0</v>
      </c>
      <c r="AD12" s="9"/>
    </row>
    <row r="13" spans="1:30" x14ac:dyDescent="0.25">
      <c r="A13" s="1" t="s">
        <v>34</v>
      </c>
      <c r="B13" s="13" t="s">
        <v>35</v>
      </c>
      <c r="C13" s="13"/>
      <c r="D13" s="13">
        <v>24.35</v>
      </c>
      <c r="E13" s="13">
        <v>26.84</v>
      </c>
      <c r="F13" s="13">
        <v>31.96</v>
      </c>
      <c r="G13" s="46">
        <f t="shared" si="2"/>
        <v>51.19</v>
      </c>
      <c r="H13" s="47"/>
      <c r="I13" s="57">
        <f>I12</f>
        <v>1</v>
      </c>
      <c r="J13" s="57"/>
      <c r="K13" s="49">
        <f t="shared" si="3"/>
        <v>51.19</v>
      </c>
      <c r="L13" s="50">
        <f t="shared" si="4"/>
        <v>198342</v>
      </c>
      <c r="M13" s="1" t="str">
        <f>IF(ROUND(G13,2)=ROUND(SUM(G31:G33),2)," ","CHECK 2. PK-3 Lines Below")</f>
        <v xml:space="preserve"> </v>
      </c>
      <c r="N13" s="51">
        <v>5102</v>
      </c>
      <c r="O13" s="58" t="s">
        <v>36</v>
      </c>
      <c r="P13" s="53"/>
      <c r="Q13" s="54"/>
      <c r="V13" s="623" t="s">
        <v>35</v>
      </c>
      <c r="W13" s="623"/>
      <c r="X13" s="618">
        <f>IF('4012'!K$84=1,'4012'!G13,0)</f>
        <v>0</v>
      </c>
      <c r="Y13" s="618"/>
      <c r="Z13" s="624">
        <v>1</v>
      </c>
      <c r="AA13" s="624"/>
      <c r="AB13" s="55">
        <f t="shared" si="0"/>
        <v>0</v>
      </c>
      <c r="AC13" s="56">
        <f t="shared" si="1"/>
        <v>0</v>
      </c>
      <c r="AD13" s="9"/>
    </row>
    <row r="14" spans="1:30" x14ac:dyDescent="0.25">
      <c r="A14" s="1" t="s">
        <v>37</v>
      </c>
      <c r="B14" s="13" t="s">
        <v>38</v>
      </c>
      <c r="C14" s="13"/>
      <c r="D14" s="13">
        <v>0</v>
      </c>
      <c r="E14" s="13">
        <v>0</v>
      </c>
      <c r="F14" s="13">
        <v>0</v>
      </c>
      <c r="G14" s="46">
        <f t="shared" si="2"/>
        <v>0</v>
      </c>
      <c r="H14" s="47"/>
      <c r="I14" s="57">
        <v>1.0109999999999999</v>
      </c>
      <c r="J14" s="57"/>
      <c r="K14" s="49">
        <f t="shared" si="3"/>
        <v>0</v>
      </c>
      <c r="L14" s="50">
        <f t="shared" si="4"/>
        <v>0</v>
      </c>
      <c r="N14" s="51">
        <v>5103</v>
      </c>
      <c r="O14" s="52">
        <v>103</v>
      </c>
      <c r="P14" s="53"/>
      <c r="Q14" s="54"/>
      <c r="V14" s="623" t="s">
        <v>38</v>
      </c>
      <c r="W14" s="623"/>
      <c r="X14" s="618">
        <f>IF('4012'!K$84=1,'4012'!G14,0)</f>
        <v>0</v>
      </c>
      <c r="Y14" s="618"/>
      <c r="Z14" s="624">
        <v>1</v>
      </c>
      <c r="AA14" s="624"/>
      <c r="AB14" s="55">
        <f t="shared" si="0"/>
        <v>0</v>
      </c>
      <c r="AC14" s="56">
        <f t="shared" si="1"/>
        <v>0</v>
      </c>
      <c r="AD14" s="9"/>
    </row>
    <row r="15" spans="1:30" x14ac:dyDescent="0.25">
      <c r="A15" s="1" t="s">
        <v>39</v>
      </c>
      <c r="B15" s="13" t="s">
        <v>40</v>
      </c>
      <c r="C15" s="13"/>
      <c r="D15" s="13">
        <v>0</v>
      </c>
      <c r="E15" s="13">
        <v>0</v>
      </c>
      <c r="F15" s="13">
        <v>0</v>
      </c>
      <c r="G15" s="46">
        <f t="shared" si="2"/>
        <v>0</v>
      </c>
      <c r="H15" s="47"/>
      <c r="I15" s="57">
        <f>I14</f>
        <v>1.0109999999999999</v>
      </c>
      <c r="J15" s="57"/>
      <c r="K15" s="49">
        <f t="shared" si="3"/>
        <v>0</v>
      </c>
      <c r="L15" s="59">
        <f t="shared" si="4"/>
        <v>0</v>
      </c>
      <c r="M15" s="1" t="str">
        <f>IF(ROUND(G15,2)=ROUND(SUM(G34:G36),2)," ","CHECK 2. PK-3 Lines Below")</f>
        <v xml:space="preserve"> </v>
      </c>
      <c r="N15" s="51">
        <v>5103</v>
      </c>
      <c r="O15" s="58" t="s">
        <v>41</v>
      </c>
      <c r="P15" s="53"/>
      <c r="Q15" s="54"/>
      <c r="V15" s="623" t="s">
        <v>40</v>
      </c>
      <c r="W15" s="623"/>
      <c r="X15" s="618">
        <f>IF('4012'!K$84=1,'4012'!G15,0)</f>
        <v>0</v>
      </c>
      <c r="Y15" s="618"/>
      <c r="Z15" s="624">
        <v>1</v>
      </c>
      <c r="AA15" s="624"/>
      <c r="AB15" s="55">
        <f t="shared" si="0"/>
        <v>0</v>
      </c>
      <c r="AC15" s="60">
        <f t="shared" si="1"/>
        <v>0</v>
      </c>
      <c r="AD15" s="9"/>
    </row>
    <row r="16" spans="1:30" x14ac:dyDescent="0.25">
      <c r="A16" s="1" t="s">
        <v>42</v>
      </c>
      <c r="B16" s="13" t="s">
        <v>43</v>
      </c>
      <c r="C16" s="13"/>
      <c r="D16" s="13">
        <v>0</v>
      </c>
      <c r="E16" s="13">
        <v>0</v>
      </c>
      <c r="F16" s="13">
        <v>0</v>
      </c>
      <c r="G16" s="46">
        <f t="shared" si="2"/>
        <v>0</v>
      </c>
      <c r="H16" s="47"/>
      <c r="I16" s="57">
        <v>3.5579999999999998</v>
      </c>
      <c r="J16" s="57"/>
      <c r="K16" s="49">
        <f t="shared" si="3"/>
        <v>0</v>
      </c>
      <c r="L16" s="50">
        <f t="shared" si="4"/>
        <v>0</v>
      </c>
      <c r="N16" s="51">
        <v>5101</v>
      </c>
      <c r="O16" s="53">
        <v>254</v>
      </c>
      <c r="P16" s="53"/>
      <c r="Q16" s="54"/>
      <c r="V16" s="623" t="s">
        <v>43</v>
      </c>
      <c r="W16" s="623"/>
      <c r="X16" s="618">
        <f>IF('4012'!K$84=1,'4012'!G16,0)</f>
        <v>0</v>
      </c>
      <c r="Y16" s="618"/>
      <c r="Z16" s="624">
        <v>1</v>
      </c>
      <c r="AA16" s="624"/>
      <c r="AB16" s="55">
        <f t="shared" si="0"/>
        <v>0</v>
      </c>
      <c r="AC16" s="56">
        <f t="shared" si="1"/>
        <v>0</v>
      </c>
      <c r="AD16" s="9"/>
    </row>
    <row r="17" spans="1:30" x14ac:dyDescent="0.25">
      <c r="A17" s="1" t="s">
        <v>44</v>
      </c>
      <c r="B17" s="13" t="s">
        <v>45</v>
      </c>
      <c r="C17" s="13"/>
      <c r="D17" s="13">
        <v>0</v>
      </c>
      <c r="E17" s="13">
        <v>0</v>
      </c>
      <c r="F17" s="13">
        <v>0</v>
      </c>
      <c r="G17" s="46">
        <f t="shared" si="2"/>
        <v>0</v>
      </c>
      <c r="H17" s="47"/>
      <c r="I17" s="57">
        <f>I16</f>
        <v>3.5579999999999998</v>
      </c>
      <c r="J17" s="57"/>
      <c r="K17" s="49">
        <f t="shared" si="3"/>
        <v>0</v>
      </c>
      <c r="L17" s="50">
        <f t="shared" si="4"/>
        <v>0</v>
      </c>
      <c r="N17" s="51">
        <v>5102</v>
      </c>
      <c r="O17" s="54">
        <v>254</v>
      </c>
      <c r="P17" s="53"/>
      <c r="Q17" s="54"/>
      <c r="V17" s="623" t="s">
        <v>45</v>
      </c>
      <c r="W17" s="623"/>
      <c r="X17" s="618">
        <f>IF('4012'!K$84=1,'4012'!G17,0)</f>
        <v>0</v>
      </c>
      <c r="Y17" s="618"/>
      <c r="Z17" s="624">
        <v>1</v>
      </c>
      <c r="AA17" s="624"/>
      <c r="AB17" s="55">
        <f t="shared" si="0"/>
        <v>0</v>
      </c>
      <c r="AC17" s="56">
        <f t="shared" si="1"/>
        <v>0</v>
      </c>
      <c r="AD17" s="9"/>
    </row>
    <row r="18" spans="1:30" x14ac:dyDescent="0.25">
      <c r="A18" s="1" t="s">
        <v>46</v>
      </c>
      <c r="B18" s="13" t="s">
        <v>47</v>
      </c>
      <c r="C18" s="13"/>
      <c r="D18" s="13">
        <v>0</v>
      </c>
      <c r="E18" s="13">
        <v>0</v>
      </c>
      <c r="F18" s="13">
        <v>0</v>
      </c>
      <c r="G18" s="46">
        <f t="shared" si="2"/>
        <v>0</v>
      </c>
      <c r="H18" s="47"/>
      <c r="I18" s="57">
        <f>I17</f>
        <v>3.5579999999999998</v>
      </c>
      <c r="J18" s="57"/>
      <c r="K18" s="49">
        <f t="shared" si="3"/>
        <v>0</v>
      </c>
      <c r="L18" s="50">
        <f t="shared" si="4"/>
        <v>0</v>
      </c>
      <c r="N18" s="51">
        <v>5103</v>
      </c>
      <c r="O18" s="54">
        <v>254</v>
      </c>
      <c r="P18" s="53"/>
      <c r="Q18" s="54"/>
      <c r="V18" s="623" t="s">
        <v>47</v>
      </c>
      <c r="W18" s="623"/>
      <c r="X18" s="618">
        <f>IF('4012'!K$84=1,'4012'!G18,0)</f>
        <v>0</v>
      </c>
      <c r="Y18" s="618"/>
      <c r="Z18" s="624">
        <v>1</v>
      </c>
      <c r="AA18" s="624"/>
      <c r="AB18" s="55">
        <f t="shared" si="0"/>
        <v>0</v>
      </c>
      <c r="AC18" s="56">
        <f t="shared" si="1"/>
        <v>0</v>
      </c>
      <c r="AD18" s="9"/>
    </row>
    <row r="19" spans="1:30" ht="15" customHeight="1" x14ac:dyDescent="0.25">
      <c r="A19" s="1" t="s">
        <v>48</v>
      </c>
      <c r="B19" s="13" t="s">
        <v>49</v>
      </c>
      <c r="C19" s="13"/>
      <c r="D19" s="13">
        <v>0</v>
      </c>
      <c r="E19" s="13">
        <v>0</v>
      </c>
      <c r="F19" s="13">
        <v>0</v>
      </c>
      <c r="G19" s="46">
        <f t="shared" si="2"/>
        <v>0</v>
      </c>
      <c r="H19" s="47"/>
      <c r="I19" s="57">
        <v>5.0890000000000004</v>
      </c>
      <c r="J19" s="57"/>
      <c r="K19" s="49">
        <f t="shared" si="3"/>
        <v>0</v>
      </c>
      <c r="L19" s="50">
        <f t="shared" si="4"/>
        <v>0</v>
      </c>
      <c r="N19" s="51">
        <v>5101</v>
      </c>
      <c r="O19" s="53">
        <v>255</v>
      </c>
      <c r="P19" s="53"/>
      <c r="Q19" s="54"/>
      <c r="V19" s="623" t="s">
        <v>49</v>
      </c>
      <c r="W19" s="623"/>
      <c r="X19" s="618">
        <f>IF('4012'!K$84=1,'4012'!G19,0)</f>
        <v>0</v>
      </c>
      <c r="Y19" s="618"/>
      <c r="Z19" s="624">
        <v>1</v>
      </c>
      <c r="AA19" s="624"/>
      <c r="AB19" s="55">
        <f t="shared" si="0"/>
        <v>0</v>
      </c>
      <c r="AC19" s="56">
        <f t="shared" si="1"/>
        <v>0</v>
      </c>
      <c r="AD19" s="9"/>
    </row>
    <row r="20" spans="1:30" ht="15" customHeight="1" x14ac:dyDescent="0.25">
      <c r="A20" s="1" t="s">
        <v>50</v>
      </c>
      <c r="B20" s="13" t="s">
        <v>51</v>
      </c>
      <c r="C20" s="13"/>
      <c r="D20" s="13">
        <v>0</v>
      </c>
      <c r="E20" s="13">
        <v>0</v>
      </c>
      <c r="F20" s="13">
        <v>0</v>
      </c>
      <c r="G20" s="46">
        <f t="shared" si="2"/>
        <v>0</v>
      </c>
      <c r="H20" s="47"/>
      <c r="I20" s="57">
        <f>I19</f>
        <v>5.0890000000000004</v>
      </c>
      <c r="J20" s="57"/>
      <c r="K20" s="49">
        <f t="shared" si="3"/>
        <v>0</v>
      </c>
      <c r="L20" s="50">
        <f t="shared" si="4"/>
        <v>0</v>
      </c>
      <c r="N20" s="51">
        <v>5102</v>
      </c>
      <c r="O20" s="54">
        <v>255</v>
      </c>
      <c r="P20" s="53"/>
      <c r="Q20" s="54"/>
      <c r="V20" s="623" t="s">
        <v>51</v>
      </c>
      <c r="W20" s="623"/>
      <c r="X20" s="618">
        <f>IF('4012'!K$84=1,'4012'!G20,0)</f>
        <v>0</v>
      </c>
      <c r="Y20" s="618"/>
      <c r="Z20" s="624">
        <v>1</v>
      </c>
      <c r="AA20" s="624"/>
      <c r="AB20" s="55">
        <f t="shared" si="0"/>
        <v>0</v>
      </c>
      <c r="AC20" s="56">
        <f t="shared" si="1"/>
        <v>0</v>
      </c>
      <c r="AD20" s="9"/>
    </row>
    <row r="21" spans="1:30" ht="15" customHeight="1" x14ac:dyDescent="0.25">
      <c r="A21" s="1" t="s">
        <v>52</v>
      </c>
      <c r="B21" s="13" t="s">
        <v>53</v>
      </c>
      <c r="C21" s="13"/>
      <c r="D21" s="13">
        <v>0</v>
      </c>
      <c r="E21" s="13">
        <v>0</v>
      </c>
      <c r="F21" s="13">
        <v>0</v>
      </c>
      <c r="G21" s="46">
        <f t="shared" si="2"/>
        <v>0</v>
      </c>
      <c r="H21" s="47"/>
      <c r="I21" s="57">
        <f>I20</f>
        <v>5.0890000000000004</v>
      </c>
      <c r="J21" s="57"/>
      <c r="K21" s="49">
        <f t="shared" si="3"/>
        <v>0</v>
      </c>
      <c r="L21" s="50">
        <f t="shared" si="4"/>
        <v>0</v>
      </c>
      <c r="N21" s="51">
        <v>5103</v>
      </c>
      <c r="O21" s="54">
        <v>255</v>
      </c>
      <c r="P21" s="53"/>
      <c r="Q21" s="54"/>
      <c r="V21" s="623" t="s">
        <v>53</v>
      </c>
      <c r="W21" s="623"/>
      <c r="X21" s="618">
        <f>IF('4012'!K$84=1,'4012'!G21,0)</f>
        <v>0</v>
      </c>
      <c r="Y21" s="618"/>
      <c r="Z21" s="624">
        <v>1</v>
      </c>
      <c r="AA21" s="624"/>
      <c r="AB21" s="55">
        <f t="shared" si="0"/>
        <v>0</v>
      </c>
      <c r="AC21" s="56">
        <f t="shared" si="1"/>
        <v>0</v>
      </c>
      <c r="AD21" s="9"/>
    </row>
    <row r="22" spans="1:30" x14ac:dyDescent="0.25">
      <c r="A22" s="1" t="s">
        <v>54</v>
      </c>
      <c r="B22" s="13" t="s">
        <v>55</v>
      </c>
      <c r="C22" s="13"/>
      <c r="D22" s="13">
        <v>0</v>
      </c>
      <c r="E22" s="13">
        <v>0</v>
      </c>
      <c r="F22" s="13">
        <v>0.36</v>
      </c>
      <c r="G22" s="46">
        <f t="shared" si="2"/>
        <v>0</v>
      </c>
      <c r="H22" s="47"/>
      <c r="I22" s="57">
        <v>1.145</v>
      </c>
      <c r="J22" s="57"/>
      <c r="K22" s="49">
        <f t="shared" si="3"/>
        <v>0</v>
      </c>
      <c r="L22" s="50">
        <f t="shared" si="4"/>
        <v>0</v>
      </c>
      <c r="N22" s="51">
        <v>5101</v>
      </c>
      <c r="O22" s="52">
        <v>130</v>
      </c>
      <c r="P22" s="53"/>
      <c r="Q22" s="54"/>
      <c r="V22" s="623" t="s">
        <v>55</v>
      </c>
      <c r="W22" s="623"/>
      <c r="X22" s="618">
        <f>IF('4012'!K$84=1,'4012'!G22,0)</f>
        <v>0</v>
      </c>
      <c r="Y22" s="618"/>
      <c r="Z22" s="624">
        <v>1</v>
      </c>
      <c r="AA22" s="624"/>
      <c r="AB22" s="55">
        <f t="shared" si="0"/>
        <v>0</v>
      </c>
      <c r="AC22" s="56">
        <f t="shared" si="1"/>
        <v>0</v>
      </c>
      <c r="AD22" s="9"/>
    </row>
    <row r="23" spans="1:30" x14ac:dyDescent="0.25">
      <c r="A23" s="1" t="s">
        <v>56</v>
      </c>
      <c r="B23" s="13" t="s">
        <v>57</v>
      </c>
      <c r="C23" s="13"/>
      <c r="D23" s="13">
        <v>0.28999999999999998</v>
      </c>
      <c r="E23" s="13">
        <v>0.36</v>
      </c>
      <c r="F23" s="13">
        <v>0</v>
      </c>
      <c r="G23" s="46">
        <f t="shared" si="2"/>
        <v>0.64999999999999991</v>
      </c>
      <c r="H23" s="47"/>
      <c r="I23" s="57">
        <f>I22</f>
        <v>1.145</v>
      </c>
      <c r="J23" s="57"/>
      <c r="K23" s="49">
        <f t="shared" si="3"/>
        <v>0.74429999999999996</v>
      </c>
      <c r="L23" s="50">
        <f t="shared" si="4"/>
        <v>2884</v>
      </c>
      <c r="N23" s="51">
        <v>5102</v>
      </c>
      <c r="O23" s="52">
        <v>130</v>
      </c>
      <c r="P23" s="53"/>
      <c r="Q23" s="54"/>
      <c r="V23" s="623" t="s">
        <v>57</v>
      </c>
      <c r="W23" s="623"/>
      <c r="X23" s="618">
        <f>IF('4012'!K$84=1,'4012'!G23,0)</f>
        <v>0</v>
      </c>
      <c r="Y23" s="618"/>
      <c r="Z23" s="624">
        <v>1</v>
      </c>
      <c r="AA23" s="624"/>
      <c r="AB23" s="55">
        <f t="shared" si="0"/>
        <v>0</v>
      </c>
      <c r="AC23" s="56">
        <f t="shared" si="1"/>
        <v>0</v>
      </c>
      <c r="AD23" s="9"/>
    </row>
    <row r="24" spans="1:30" x14ac:dyDescent="0.25">
      <c r="A24" s="1" t="s">
        <v>58</v>
      </c>
      <c r="B24" s="13" t="s">
        <v>59</v>
      </c>
      <c r="C24" s="13"/>
      <c r="D24" s="13">
        <v>0</v>
      </c>
      <c r="E24" s="13">
        <v>0</v>
      </c>
      <c r="F24" s="13">
        <v>0</v>
      </c>
      <c r="G24" s="46">
        <f t="shared" si="2"/>
        <v>0</v>
      </c>
      <c r="H24" s="47"/>
      <c r="I24" s="57">
        <f>I23</f>
        <v>1.145</v>
      </c>
      <c r="J24" s="57"/>
      <c r="K24" s="49">
        <f t="shared" si="3"/>
        <v>0</v>
      </c>
      <c r="L24" s="50">
        <f t="shared" si="4"/>
        <v>0</v>
      </c>
      <c r="N24" s="51">
        <v>5103</v>
      </c>
      <c r="O24" s="52">
        <v>130</v>
      </c>
      <c r="P24" s="53"/>
      <c r="Q24" s="54"/>
      <c r="V24" s="623" t="s">
        <v>59</v>
      </c>
      <c r="W24" s="623"/>
      <c r="X24" s="618">
        <f>IF('4012'!K$84=1,'4012'!G24,0)</f>
        <v>0</v>
      </c>
      <c r="Y24" s="618"/>
      <c r="Z24" s="624">
        <v>1</v>
      </c>
      <c r="AA24" s="624"/>
      <c r="AB24" s="55">
        <f t="shared" si="0"/>
        <v>0</v>
      </c>
      <c r="AC24" s="56">
        <f t="shared" si="1"/>
        <v>0</v>
      </c>
      <c r="AD24" s="9"/>
    </row>
    <row r="25" spans="1:30" ht="16.5" thickBot="1" x14ac:dyDescent="0.3">
      <c r="A25" s="1" t="s">
        <v>60</v>
      </c>
      <c r="B25" s="13" t="s">
        <v>61</v>
      </c>
      <c r="C25" s="13"/>
      <c r="D25" s="13">
        <v>0</v>
      </c>
      <c r="E25" s="13">
        <v>0</v>
      </c>
      <c r="F25" s="13">
        <v>0</v>
      </c>
      <c r="G25" s="46">
        <f t="shared" si="2"/>
        <v>0</v>
      </c>
      <c r="H25" s="47"/>
      <c r="I25" s="57">
        <v>1.0109999999999999</v>
      </c>
      <c r="J25" s="57"/>
      <c r="K25" s="49">
        <f t="shared" si="3"/>
        <v>0</v>
      </c>
      <c r="L25" s="50">
        <f t="shared" si="4"/>
        <v>0</v>
      </c>
      <c r="N25" s="51">
        <v>5310</v>
      </c>
      <c r="O25" s="52">
        <v>300</v>
      </c>
      <c r="P25" s="53"/>
      <c r="Q25" s="54"/>
      <c r="V25" s="623" t="s">
        <v>61</v>
      </c>
      <c r="W25" s="623"/>
      <c r="X25" s="618">
        <f>IF('4012'!K$84=1,'4012'!G25,0)</f>
        <v>0</v>
      </c>
      <c r="Y25" s="618"/>
      <c r="Z25" s="624">
        <v>1</v>
      </c>
      <c r="AA25" s="624"/>
      <c r="AB25" s="55">
        <f t="shared" si="0"/>
        <v>0</v>
      </c>
      <c r="AC25" s="56">
        <f t="shared" si="1"/>
        <v>0</v>
      </c>
      <c r="AD25" s="9"/>
    </row>
    <row r="26" spans="1:30" ht="20.25" customHeight="1" thickBot="1" x14ac:dyDescent="0.3">
      <c r="B26" s="62" t="s">
        <v>62</v>
      </c>
      <c r="C26" s="62"/>
      <c r="D26" s="63">
        <f t="shared" ref="D26:E26" si="5">SUM(D10:D25)</f>
        <v>276.26000000000005</v>
      </c>
      <c r="E26" s="63">
        <f t="shared" si="5"/>
        <v>273.98</v>
      </c>
      <c r="F26" s="63"/>
      <c r="G26" s="63">
        <f>SUM(G10:G25)</f>
        <v>550.2399999999999</v>
      </c>
      <c r="H26" s="64"/>
      <c r="I26" s="64"/>
      <c r="J26" s="65"/>
      <c r="K26" s="66">
        <f>SUM(K10:K25)</f>
        <v>550.33429999999987</v>
      </c>
      <c r="L26" s="67">
        <f>SUM(L10:L25)</f>
        <v>2132339</v>
      </c>
      <c r="N26" s="54"/>
      <c r="O26" s="68"/>
      <c r="P26" s="54"/>
      <c r="Q26" s="54"/>
      <c r="V26" s="625" t="s">
        <v>62</v>
      </c>
      <c r="W26" s="625"/>
      <c r="X26" s="626">
        <f>SUM(X10:X25)</f>
        <v>0</v>
      </c>
      <c r="Y26" s="626"/>
      <c r="Z26" s="627"/>
      <c r="AA26" s="628"/>
      <c r="AB26" s="69">
        <f>SUM(AB10:AB25)</f>
        <v>0</v>
      </c>
      <c r="AC26" s="70">
        <f>SUM(AC10:AC25)</f>
        <v>0</v>
      </c>
      <c r="AD26" s="9"/>
    </row>
    <row r="27" spans="1:30" ht="51.75" customHeight="1" x14ac:dyDescent="0.25">
      <c r="B27" s="62" t="s">
        <v>63</v>
      </c>
      <c r="C27" s="62"/>
      <c r="D27" s="71" t="s">
        <v>13</v>
      </c>
      <c r="E27" s="71" t="s">
        <v>14</v>
      </c>
      <c r="F27" s="27"/>
      <c r="G27" s="72" t="s">
        <v>64</v>
      </c>
      <c r="H27" s="73"/>
      <c r="I27" s="74" t="s">
        <v>65</v>
      </c>
      <c r="J27" s="74" t="s">
        <v>66</v>
      </c>
      <c r="K27" s="75" t="s">
        <v>67</v>
      </c>
      <c r="N27" s="54"/>
      <c r="O27" s="68"/>
      <c r="P27" s="54"/>
      <c r="Q27" s="54"/>
      <c r="V27" s="629" t="s">
        <v>63</v>
      </c>
      <c r="W27" s="629"/>
      <c r="X27" s="630" t="s">
        <v>64</v>
      </c>
      <c r="Y27" s="630"/>
      <c r="Z27" s="76" t="s">
        <v>65</v>
      </c>
      <c r="AA27" s="77" t="s">
        <v>66</v>
      </c>
      <c r="AB27" s="78" t="s">
        <v>67</v>
      </c>
      <c r="AC27" s="9"/>
      <c r="AD27" s="9"/>
    </row>
    <row r="28" spans="1:30" ht="15.75" customHeight="1" x14ac:dyDescent="0.25">
      <c r="A28" s="1" t="s">
        <v>68</v>
      </c>
      <c r="B28" s="631" t="s">
        <v>69</v>
      </c>
      <c r="C28" s="632"/>
      <c r="D28" s="13">
        <v>0</v>
      </c>
      <c r="E28" s="13">
        <v>0</v>
      </c>
      <c r="F28" s="79">
        <v>0</v>
      </c>
      <c r="G28" s="46">
        <f t="shared" ref="G28:G36" si="6">D28+E28</f>
        <v>0</v>
      </c>
      <c r="H28" s="80"/>
      <c r="I28" s="81" t="s">
        <v>70</v>
      </c>
      <c r="J28" s="82">
        <v>251</v>
      </c>
      <c r="K28" s="83">
        <v>1047</v>
      </c>
      <c r="L28" s="84">
        <f>ROUND(G28*K28,0)</f>
        <v>0</v>
      </c>
      <c r="N28" s="85">
        <v>5101</v>
      </c>
      <c r="O28" s="54">
        <v>251</v>
      </c>
      <c r="P28" s="86"/>
      <c r="Q28" s="87"/>
      <c r="V28" s="637" t="s">
        <v>69</v>
      </c>
      <c r="W28" s="637"/>
      <c r="X28" s="638"/>
      <c r="Y28" s="638"/>
      <c r="Z28" s="88" t="s">
        <v>70</v>
      </c>
      <c r="AA28" s="89">
        <v>251</v>
      </c>
      <c r="AB28" s="90">
        <f>+K28</f>
        <v>1047</v>
      </c>
      <c r="AC28" s="91">
        <f t="shared" ref="AC28:AC36" si="7">ROUND(X28*AB28,0)</f>
        <v>0</v>
      </c>
      <c r="AD28" s="9"/>
    </row>
    <row r="29" spans="1:30" x14ac:dyDescent="0.25">
      <c r="A29" s="1" t="s">
        <v>71</v>
      </c>
      <c r="B29" s="633"/>
      <c r="C29" s="634"/>
      <c r="D29" s="13">
        <v>0</v>
      </c>
      <c r="E29" s="13">
        <v>0</v>
      </c>
      <c r="F29" s="92">
        <v>0</v>
      </c>
      <c r="G29" s="46">
        <f t="shared" si="6"/>
        <v>0</v>
      </c>
      <c r="H29" s="80"/>
      <c r="I29" s="82" t="s">
        <v>70</v>
      </c>
      <c r="J29" s="82">
        <v>252</v>
      </c>
      <c r="K29" s="83">
        <v>3380</v>
      </c>
      <c r="L29" s="84">
        <f t="shared" ref="L29:L36" si="8">ROUND(G29*K29,0)</f>
        <v>0</v>
      </c>
      <c r="N29" s="85">
        <v>5101</v>
      </c>
      <c r="O29" s="54">
        <v>252</v>
      </c>
      <c r="P29" s="86"/>
      <c r="Q29" s="87"/>
      <c r="V29" s="637"/>
      <c r="W29" s="637"/>
      <c r="X29" s="638"/>
      <c r="Y29" s="638"/>
      <c r="Z29" s="89" t="s">
        <v>70</v>
      </c>
      <c r="AA29" s="89">
        <v>252</v>
      </c>
      <c r="AB29" s="90">
        <f t="shared" ref="AB29:AB36" si="9">+K29</f>
        <v>3380</v>
      </c>
      <c r="AC29" s="91">
        <f t="shared" si="7"/>
        <v>0</v>
      </c>
      <c r="AD29" s="9"/>
    </row>
    <row r="30" spans="1:30" x14ac:dyDescent="0.25">
      <c r="A30" s="1" t="s">
        <v>72</v>
      </c>
      <c r="B30" s="633"/>
      <c r="C30" s="634"/>
      <c r="D30" s="13">
        <v>0</v>
      </c>
      <c r="E30" s="13">
        <v>0</v>
      </c>
      <c r="F30" s="92">
        <v>0</v>
      </c>
      <c r="G30" s="46">
        <f t="shared" si="6"/>
        <v>0</v>
      </c>
      <c r="H30" s="80"/>
      <c r="I30" s="82" t="s">
        <v>70</v>
      </c>
      <c r="J30" s="82">
        <v>253</v>
      </c>
      <c r="K30" s="83">
        <v>6896</v>
      </c>
      <c r="L30" s="84">
        <f t="shared" si="8"/>
        <v>0</v>
      </c>
      <c r="N30" s="85">
        <v>5101</v>
      </c>
      <c r="O30" s="54">
        <v>253</v>
      </c>
      <c r="P30" s="86"/>
      <c r="Q30" s="68"/>
      <c r="V30" s="637"/>
      <c r="W30" s="637"/>
      <c r="X30" s="638"/>
      <c r="Y30" s="638"/>
      <c r="Z30" s="89" t="s">
        <v>70</v>
      </c>
      <c r="AA30" s="89">
        <v>253</v>
      </c>
      <c r="AB30" s="90">
        <f t="shared" si="9"/>
        <v>6896</v>
      </c>
      <c r="AC30" s="91">
        <f t="shared" si="7"/>
        <v>0</v>
      </c>
      <c r="AD30" s="9"/>
    </row>
    <row r="31" spans="1:30" x14ac:dyDescent="0.25">
      <c r="A31" s="1" t="s">
        <v>73</v>
      </c>
      <c r="B31" s="633"/>
      <c r="C31" s="634"/>
      <c r="D31" s="13">
        <v>21.85</v>
      </c>
      <c r="E31" s="13">
        <v>23.33</v>
      </c>
      <c r="F31" s="92">
        <v>0</v>
      </c>
      <c r="G31" s="46">
        <f t="shared" si="6"/>
        <v>45.18</v>
      </c>
      <c r="H31" s="80"/>
      <c r="I31" s="93" t="s">
        <v>74</v>
      </c>
      <c r="J31" s="82">
        <v>251</v>
      </c>
      <c r="K31" s="83">
        <v>1173</v>
      </c>
      <c r="L31" s="84">
        <f t="shared" si="8"/>
        <v>52996</v>
      </c>
      <c r="N31" s="85">
        <v>5102</v>
      </c>
      <c r="O31" s="54">
        <v>251</v>
      </c>
      <c r="P31" s="86"/>
      <c r="Q31" s="68"/>
      <c r="V31" s="637"/>
      <c r="W31" s="637"/>
      <c r="X31" s="638"/>
      <c r="Y31" s="638"/>
      <c r="Z31" s="94" t="s">
        <v>74</v>
      </c>
      <c r="AA31" s="89">
        <v>251</v>
      </c>
      <c r="AB31" s="90">
        <f t="shared" si="9"/>
        <v>1173</v>
      </c>
      <c r="AC31" s="91">
        <f t="shared" si="7"/>
        <v>0</v>
      </c>
      <c r="AD31" s="9"/>
    </row>
    <row r="32" spans="1:30" x14ac:dyDescent="0.25">
      <c r="A32" s="1" t="s">
        <v>75</v>
      </c>
      <c r="B32" s="633"/>
      <c r="C32" s="634"/>
      <c r="D32" s="13">
        <v>2.5</v>
      </c>
      <c r="E32" s="13">
        <v>3.01</v>
      </c>
      <c r="F32" s="92">
        <v>0</v>
      </c>
      <c r="G32" s="46">
        <f t="shared" si="6"/>
        <v>5.51</v>
      </c>
      <c r="H32" s="80"/>
      <c r="I32" s="93" t="s">
        <v>74</v>
      </c>
      <c r="J32" s="82">
        <v>252</v>
      </c>
      <c r="K32" s="83">
        <v>3506</v>
      </c>
      <c r="L32" s="84">
        <f t="shared" si="8"/>
        <v>19318</v>
      </c>
      <c r="N32" s="85">
        <v>5102</v>
      </c>
      <c r="O32" s="54">
        <v>252</v>
      </c>
      <c r="P32" s="86"/>
      <c r="Q32" s="54"/>
      <c r="V32" s="637"/>
      <c r="W32" s="637"/>
      <c r="X32" s="638"/>
      <c r="Y32" s="638"/>
      <c r="Z32" s="94" t="s">
        <v>74</v>
      </c>
      <c r="AA32" s="89">
        <v>252</v>
      </c>
      <c r="AB32" s="90">
        <f t="shared" si="9"/>
        <v>3506</v>
      </c>
      <c r="AC32" s="91">
        <f t="shared" si="7"/>
        <v>0</v>
      </c>
      <c r="AD32" s="9"/>
    </row>
    <row r="33" spans="1:30" x14ac:dyDescent="0.25">
      <c r="A33" s="1" t="s">
        <v>76</v>
      </c>
      <c r="B33" s="633"/>
      <c r="C33" s="634"/>
      <c r="D33" s="13">
        <v>0</v>
      </c>
      <c r="E33" s="13">
        <v>0.5</v>
      </c>
      <c r="F33" s="92">
        <v>0</v>
      </c>
      <c r="G33" s="46">
        <f t="shared" si="6"/>
        <v>0.5</v>
      </c>
      <c r="H33" s="80"/>
      <c r="I33" s="93" t="s">
        <v>74</v>
      </c>
      <c r="J33" s="82">
        <v>253</v>
      </c>
      <c r="K33" s="83">
        <v>7023</v>
      </c>
      <c r="L33" s="84">
        <f t="shared" si="8"/>
        <v>3512</v>
      </c>
      <c r="N33" s="85">
        <v>5102</v>
      </c>
      <c r="O33" s="54">
        <v>253</v>
      </c>
      <c r="P33" s="86"/>
      <c r="Q33" s="87"/>
      <c r="V33" s="637"/>
      <c r="W33" s="637"/>
      <c r="X33" s="638"/>
      <c r="Y33" s="638"/>
      <c r="Z33" s="94" t="s">
        <v>74</v>
      </c>
      <c r="AA33" s="89">
        <v>253</v>
      </c>
      <c r="AB33" s="90">
        <f t="shared" si="9"/>
        <v>7023</v>
      </c>
      <c r="AC33" s="91">
        <f t="shared" si="7"/>
        <v>0</v>
      </c>
      <c r="AD33" s="9"/>
    </row>
    <row r="34" spans="1:30" x14ac:dyDescent="0.25">
      <c r="A34" s="1" t="s">
        <v>77</v>
      </c>
      <c r="B34" s="633"/>
      <c r="C34" s="634"/>
      <c r="D34" s="13">
        <v>0</v>
      </c>
      <c r="E34" s="13">
        <v>0</v>
      </c>
      <c r="F34" s="92">
        <v>0</v>
      </c>
      <c r="G34" s="46">
        <f t="shared" si="6"/>
        <v>0</v>
      </c>
      <c r="H34" s="80"/>
      <c r="I34" s="93" t="s">
        <v>78</v>
      </c>
      <c r="J34" s="82">
        <v>251</v>
      </c>
      <c r="K34" s="83">
        <v>835</v>
      </c>
      <c r="L34" s="84">
        <f t="shared" si="8"/>
        <v>0</v>
      </c>
      <c r="N34" s="85">
        <v>5103</v>
      </c>
      <c r="O34" s="54">
        <v>251</v>
      </c>
      <c r="P34" s="86"/>
      <c r="Q34" s="87"/>
      <c r="V34" s="637"/>
      <c r="W34" s="637"/>
      <c r="X34" s="638"/>
      <c r="Y34" s="638"/>
      <c r="Z34" s="94" t="s">
        <v>78</v>
      </c>
      <c r="AA34" s="89">
        <v>251</v>
      </c>
      <c r="AB34" s="90">
        <f t="shared" si="9"/>
        <v>835</v>
      </c>
      <c r="AC34" s="91">
        <f t="shared" si="7"/>
        <v>0</v>
      </c>
      <c r="AD34" s="9"/>
    </row>
    <row r="35" spans="1:30" x14ac:dyDescent="0.25">
      <c r="A35" s="1" t="s">
        <v>79</v>
      </c>
      <c r="B35" s="633"/>
      <c r="C35" s="634"/>
      <c r="D35" s="13">
        <v>0</v>
      </c>
      <c r="E35" s="13">
        <v>0</v>
      </c>
      <c r="F35" s="92">
        <v>0</v>
      </c>
      <c r="G35" s="46">
        <f t="shared" si="6"/>
        <v>0</v>
      </c>
      <c r="H35" s="80"/>
      <c r="I35" s="93" t="s">
        <v>78</v>
      </c>
      <c r="J35" s="82">
        <v>252</v>
      </c>
      <c r="K35" s="83">
        <v>3168</v>
      </c>
      <c r="L35" s="84">
        <f t="shared" si="8"/>
        <v>0</v>
      </c>
      <c r="N35" s="85">
        <v>5103</v>
      </c>
      <c r="O35" s="54">
        <v>252</v>
      </c>
      <c r="P35" s="86"/>
      <c r="Q35" s="95"/>
      <c r="V35" s="637"/>
      <c r="W35" s="637"/>
      <c r="X35" s="638"/>
      <c r="Y35" s="638"/>
      <c r="Z35" s="94" t="s">
        <v>78</v>
      </c>
      <c r="AA35" s="89">
        <v>252</v>
      </c>
      <c r="AB35" s="90">
        <f t="shared" si="9"/>
        <v>3168</v>
      </c>
      <c r="AC35" s="91">
        <f t="shared" si="7"/>
        <v>0</v>
      </c>
      <c r="AD35" s="9"/>
    </row>
    <row r="36" spans="1:30" ht="16.5" thickBot="1" x14ac:dyDescent="0.3">
      <c r="A36" s="1" t="s">
        <v>80</v>
      </c>
      <c r="B36" s="635"/>
      <c r="C36" s="636"/>
      <c r="D36" s="13">
        <v>0</v>
      </c>
      <c r="E36" s="13">
        <v>0</v>
      </c>
      <c r="F36" s="92">
        <v>0</v>
      </c>
      <c r="G36" s="46">
        <f t="shared" si="6"/>
        <v>0</v>
      </c>
      <c r="H36" s="80"/>
      <c r="I36" s="93" t="s">
        <v>78</v>
      </c>
      <c r="J36" s="82">
        <v>253</v>
      </c>
      <c r="K36" s="83">
        <v>6685</v>
      </c>
      <c r="L36" s="96">
        <f t="shared" si="8"/>
        <v>0</v>
      </c>
      <c r="N36" s="85">
        <v>5103</v>
      </c>
      <c r="O36" s="54">
        <v>253</v>
      </c>
      <c r="P36" s="86"/>
      <c r="Q36" s="97"/>
      <c r="V36" s="637"/>
      <c r="W36" s="637"/>
      <c r="X36" s="645"/>
      <c r="Y36" s="645"/>
      <c r="Z36" s="94" t="s">
        <v>78</v>
      </c>
      <c r="AA36" s="89">
        <v>253</v>
      </c>
      <c r="AB36" s="90">
        <f t="shared" si="9"/>
        <v>6685</v>
      </c>
      <c r="AC36" s="98">
        <f t="shared" si="7"/>
        <v>0</v>
      </c>
      <c r="AD36" s="9"/>
    </row>
    <row r="37" spans="1:30" ht="18.75" customHeight="1" x14ac:dyDescent="0.25">
      <c r="B37" s="13" t="s">
        <v>81</v>
      </c>
      <c r="C37" s="13"/>
      <c r="D37" s="63">
        <f t="shared" ref="D37:E37" si="10">SUM(D28:D36)</f>
        <v>24.35</v>
      </c>
      <c r="E37" s="63">
        <f t="shared" si="10"/>
        <v>26.839999999999996</v>
      </c>
      <c r="F37" s="63"/>
      <c r="G37" s="63">
        <f>SUM(G28:G36)</f>
        <v>51.19</v>
      </c>
      <c r="H37" s="64"/>
      <c r="I37" s="13" t="s">
        <v>82</v>
      </c>
      <c r="J37" s="13"/>
      <c r="K37" s="13"/>
      <c r="L37" s="50">
        <f>SUM(L28:L36)</f>
        <v>75826</v>
      </c>
      <c r="N37" s="54"/>
      <c r="O37" s="68"/>
      <c r="P37" s="54"/>
      <c r="Q37" s="54"/>
      <c r="V37" s="646" t="s">
        <v>81</v>
      </c>
      <c r="W37" s="646"/>
      <c r="X37" s="626">
        <f>SUM(X28:X36)</f>
        <v>0</v>
      </c>
      <c r="Y37" s="626"/>
      <c r="Z37" s="646" t="s">
        <v>82</v>
      </c>
      <c r="AA37" s="646"/>
      <c r="AB37" s="646"/>
      <c r="AC37" s="56">
        <f>SUM(AC28:AC36)</f>
        <v>0</v>
      </c>
      <c r="AD37" s="9"/>
    </row>
    <row r="38" spans="1:30" ht="30.75" customHeight="1" x14ac:dyDescent="0.25">
      <c r="B38" s="99" t="s">
        <v>83</v>
      </c>
      <c r="C38" s="99"/>
      <c r="D38" s="99"/>
      <c r="E38" s="99"/>
      <c r="F38" s="99"/>
      <c r="G38" s="99"/>
      <c r="H38" s="100"/>
      <c r="I38" s="99"/>
      <c r="J38" s="99"/>
      <c r="K38" s="99"/>
      <c r="L38" s="99"/>
      <c r="M38" s="101"/>
      <c r="N38" s="54"/>
      <c r="O38" s="68"/>
      <c r="P38" s="54"/>
      <c r="Q38" s="54"/>
      <c r="V38" s="639" t="s">
        <v>83</v>
      </c>
      <c r="W38" s="639"/>
      <c r="X38" s="639"/>
      <c r="Y38" s="639"/>
      <c r="Z38" s="639"/>
      <c r="AA38" s="639"/>
      <c r="AB38" s="639"/>
      <c r="AC38" s="639"/>
      <c r="AD38" s="102"/>
    </row>
    <row r="39" spans="1:30" ht="15.75" customHeight="1" x14ac:dyDescent="0.25">
      <c r="B39" s="103" t="s">
        <v>84</v>
      </c>
      <c r="C39" s="103"/>
      <c r="D39" s="103"/>
      <c r="E39" s="103"/>
      <c r="F39" s="103"/>
      <c r="G39" s="104">
        <v>34389540</v>
      </c>
      <c r="H39" s="104"/>
      <c r="I39" s="13" t="s">
        <v>85</v>
      </c>
      <c r="J39" s="13"/>
      <c r="K39" s="13"/>
      <c r="L39" s="13"/>
      <c r="O39" s="1"/>
      <c r="V39" s="640" t="s">
        <v>84</v>
      </c>
      <c r="W39" s="640"/>
      <c r="X39" s="641">
        <f>+G39</f>
        <v>34389540</v>
      </c>
      <c r="Y39" s="641"/>
      <c r="Z39" s="642" t="s">
        <v>85</v>
      </c>
      <c r="AA39" s="642"/>
      <c r="AB39" s="642"/>
      <c r="AC39" s="642"/>
      <c r="AD39" s="9"/>
    </row>
    <row r="40" spans="1:30" ht="15.75" customHeight="1" x14ac:dyDescent="0.25">
      <c r="B40" s="105" t="s">
        <v>86</v>
      </c>
      <c r="C40" s="105"/>
      <c r="D40" s="105"/>
      <c r="E40" s="105"/>
      <c r="F40" s="105"/>
      <c r="G40" s="106">
        <v>180284.81</v>
      </c>
      <c r="H40" s="106"/>
      <c r="I40" s="106"/>
      <c r="J40" s="106"/>
      <c r="K40" s="50">
        <f>ROUND(G39/G40,0)</f>
        <v>191</v>
      </c>
      <c r="L40" s="50">
        <f>ROUND(K40*$G$26,0)</f>
        <v>105096</v>
      </c>
      <c r="N40" s="107"/>
      <c r="O40" s="107"/>
      <c r="P40" s="107"/>
      <c r="Q40" s="107"/>
      <c r="V40" s="643" t="s">
        <v>86</v>
      </c>
      <c r="W40" s="643"/>
      <c r="X40" s="644">
        <f>+G40</f>
        <v>180284.81</v>
      </c>
      <c r="Y40" s="644"/>
      <c r="Z40" s="644"/>
      <c r="AA40" s="644"/>
      <c r="AB40" s="56">
        <f>ROUND(X39/X40,0)</f>
        <v>191</v>
      </c>
      <c r="AC40" s="56">
        <f>ROUND(AB40*$X$26,0)</f>
        <v>0</v>
      </c>
      <c r="AD40" s="9"/>
    </row>
    <row r="41" spans="1:30" ht="15.75" customHeight="1" x14ac:dyDescent="0.25">
      <c r="B41" s="108" t="s">
        <v>87</v>
      </c>
      <c r="C41" s="108"/>
      <c r="D41" s="108"/>
      <c r="E41" s="108"/>
      <c r="F41" s="108"/>
      <c r="G41" s="108"/>
      <c r="H41" s="108"/>
      <c r="I41" s="108"/>
      <c r="J41" s="108"/>
      <c r="K41" s="108"/>
      <c r="L41" s="108"/>
      <c r="N41" s="101"/>
      <c r="O41" s="109"/>
      <c r="P41" s="101"/>
      <c r="Q41" s="101"/>
      <c r="V41" s="652" t="s">
        <v>87</v>
      </c>
      <c r="W41" s="652"/>
      <c r="X41" s="652"/>
      <c r="Y41" s="652"/>
      <c r="Z41" s="652"/>
      <c r="AA41" s="652"/>
      <c r="AB41" s="652"/>
      <c r="AC41" s="652"/>
      <c r="AD41" s="9"/>
    </row>
    <row r="42" spans="1:30" ht="28.5" customHeight="1" x14ac:dyDescent="0.25">
      <c r="B42" s="99" t="s">
        <v>88</v>
      </c>
      <c r="C42" s="99"/>
      <c r="D42" s="99"/>
      <c r="E42" s="99"/>
      <c r="F42" s="99"/>
      <c r="G42" s="99"/>
      <c r="H42" s="99"/>
      <c r="I42" s="99"/>
      <c r="J42" s="99"/>
      <c r="K42" s="99"/>
      <c r="L42" s="99"/>
      <c r="M42" s="107"/>
      <c r="O42" s="1"/>
      <c r="V42" s="639" t="s">
        <v>88</v>
      </c>
      <c r="W42" s="639"/>
      <c r="X42" s="639"/>
      <c r="Y42" s="639"/>
      <c r="Z42" s="639"/>
      <c r="AA42" s="639"/>
      <c r="AB42" s="639"/>
      <c r="AC42" s="639"/>
      <c r="AD42" s="110"/>
    </row>
    <row r="43" spans="1:30" x14ac:dyDescent="0.25">
      <c r="B43" s="111" t="s">
        <v>89</v>
      </c>
      <c r="C43" s="111"/>
      <c r="D43" s="111"/>
      <c r="E43" s="111"/>
      <c r="F43" s="111"/>
      <c r="G43" s="111"/>
      <c r="H43" s="111"/>
      <c r="I43" s="111"/>
      <c r="J43" s="111"/>
      <c r="K43" s="111"/>
      <c r="L43" s="111"/>
      <c r="M43" s="112"/>
      <c r="N43" s="101"/>
      <c r="O43" s="101"/>
      <c r="P43" s="101"/>
      <c r="Q43" s="101"/>
      <c r="V43" s="653" t="s">
        <v>89</v>
      </c>
      <c r="W43" s="653"/>
      <c r="X43" s="653"/>
      <c r="Y43" s="653"/>
      <c r="Z43" s="653"/>
      <c r="AA43" s="653"/>
      <c r="AB43" s="653"/>
      <c r="AC43" s="653"/>
      <c r="AD43" s="113"/>
    </row>
    <row r="44" spans="1:30" ht="24" customHeight="1" x14ac:dyDescent="0.25">
      <c r="B44" s="62" t="s">
        <v>90</v>
      </c>
      <c r="C44" s="62"/>
      <c r="D44" s="62"/>
      <c r="E44" s="62"/>
      <c r="F44" s="62"/>
      <c r="G44" s="62"/>
      <c r="H44" s="62"/>
      <c r="I44" s="62"/>
      <c r="J44" s="62"/>
      <c r="K44" s="62"/>
      <c r="L44" s="114">
        <f>SUM(L26,L37,L40)</f>
        <v>2313261</v>
      </c>
      <c r="O44" s="1"/>
      <c r="V44" s="654" t="s">
        <v>90</v>
      </c>
      <c r="W44" s="654"/>
      <c r="X44" s="654"/>
      <c r="Y44" s="654"/>
      <c r="Z44" s="654"/>
      <c r="AA44" s="654"/>
      <c r="AB44" s="654"/>
      <c r="AC44" s="115">
        <f>SUM(AC26,AC37,AC40)</f>
        <v>0</v>
      </c>
      <c r="AD44" s="9"/>
    </row>
    <row r="45" spans="1:30" ht="30.75" customHeight="1" x14ac:dyDescent="0.25">
      <c r="B45" s="99" t="s">
        <v>91</v>
      </c>
      <c r="C45" s="99"/>
      <c r="D45" s="99"/>
      <c r="E45" s="99"/>
      <c r="F45" s="99"/>
      <c r="G45" s="99"/>
      <c r="H45" s="99"/>
      <c r="I45" s="99"/>
      <c r="J45" s="99"/>
      <c r="K45" s="99"/>
      <c r="L45" s="99"/>
      <c r="M45" s="116"/>
      <c r="O45" s="1"/>
      <c r="V45" s="639" t="s">
        <v>91</v>
      </c>
      <c r="W45" s="639"/>
      <c r="X45" s="639"/>
      <c r="Y45" s="639"/>
      <c r="Z45" s="639"/>
      <c r="AA45" s="639"/>
      <c r="AB45" s="639"/>
      <c r="AC45" s="639"/>
      <c r="AD45" s="117"/>
    </row>
    <row r="46" spans="1:30" ht="18.75" customHeight="1" x14ac:dyDescent="0.25">
      <c r="B46" s="1"/>
      <c r="C46" s="118" t="s">
        <v>92</v>
      </c>
      <c r="D46" s="118"/>
      <c r="E46" s="118"/>
      <c r="F46" s="118"/>
      <c r="G46" s="118" t="s">
        <v>93</v>
      </c>
      <c r="H46" s="119"/>
      <c r="I46" s="120" t="s">
        <v>94</v>
      </c>
      <c r="J46" s="121"/>
      <c r="K46" s="121"/>
      <c r="L46" s="121"/>
      <c r="M46" s="122"/>
      <c r="O46" s="1"/>
      <c r="V46" s="9"/>
      <c r="W46" s="123" t="s">
        <v>92</v>
      </c>
      <c r="X46" s="655" t="s">
        <v>95</v>
      </c>
      <c r="Y46" s="655"/>
      <c r="Z46" s="656" t="s">
        <v>94</v>
      </c>
      <c r="AA46" s="656"/>
      <c r="AB46" s="656"/>
      <c r="AC46" s="656"/>
      <c r="AD46" s="124"/>
    </row>
    <row r="47" spans="1:30" ht="18.75" customHeight="1" x14ac:dyDescent="0.25">
      <c r="B47" s="107" t="s">
        <v>96</v>
      </c>
      <c r="C47" s="125">
        <f>K10+K11+K16+K19+K22</f>
        <v>0</v>
      </c>
      <c r="D47" s="125"/>
      <c r="E47" s="125"/>
      <c r="F47" s="125"/>
      <c r="G47" s="126">
        <f>K7</f>
        <v>1.0326</v>
      </c>
      <c r="H47" s="126"/>
      <c r="I47" s="127">
        <v>1316.85</v>
      </c>
      <c r="J47" s="128" t="s">
        <v>97</v>
      </c>
      <c r="K47" s="129">
        <f>ROUND(C47*G47*I47,0)</f>
        <v>0</v>
      </c>
      <c r="L47" s="130"/>
      <c r="O47" s="1"/>
      <c r="V47" s="110" t="s">
        <v>96</v>
      </c>
      <c r="W47" s="131">
        <f>AB10+AB11+AB16+AB19+AB22</f>
        <v>0</v>
      </c>
      <c r="X47" s="647">
        <f>AB7</f>
        <v>1.0326</v>
      </c>
      <c r="Y47" s="647"/>
      <c r="Z47" s="132">
        <f>+I47</f>
        <v>1316.85</v>
      </c>
      <c r="AA47" s="133" t="s">
        <v>97</v>
      </c>
      <c r="AB47" s="134">
        <f>ROUND(W47*X47*Z47,0)</f>
        <v>0</v>
      </c>
      <c r="AC47" s="135"/>
      <c r="AD47" s="9"/>
    </row>
    <row r="48" spans="1:30" ht="18" customHeight="1" x14ac:dyDescent="0.25">
      <c r="B48" s="136" t="s">
        <v>74</v>
      </c>
      <c r="C48" s="125">
        <f>K12+K13+K17+K20+K23</f>
        <v>550.33429999999987</v>
      </c>
      <c r="D48" s="125"/>
      <c r="E48" s="125"/>
      <c r="F48" s="125"/>
      <c r="G48" s="126">
        <f>K7</f>
        <v>1.0326</v>
      </c>
      <c r="H48" s="126"/>
      <c r="I48" s="127">
        <v>898.23</v>
      </c>
      <c r="J48" s="128" t="s">
        <v>97</v>
      </c>
      <c r="K48" s="129">
        <f>ROUND(C48*G48*I48,0)</f>
        <v>510442</v>
      </c>
      <c r="L48" s="62"/>
      <c r="O48" s="1"/>
      <c r="V48" s="137" t="s">
        <v>74</v>
      </c>
      <c r="W48" s="131">
        <f>AB12+AB13+AB17+AB20+AB23</f>
        <v>0</v>
      </c>
      <c r="X48" s="647">
        <f>AB7</f>
        <v>1.0326</v>
      </c>
      <c r="Y48" s="647"/>
      <c r="Z48" s="132">
        <f>+I48</f>
        <v>898.23</v>
      </c>
      <c r="AA48" s="133" t="s">
        <v>97</v>
      </c>
      <c r="AB48" s="134">
        <f>ROUND(W48*X48*Z48,0)</f>
        <v>0</v>
      </c>
      <c r="AC48" s="138"/>
      <c r="AD48" s="9"/>
    </row>
    <row r="49" spans="2:30" ht="19.5" customHeight="1" thickBot="1" x14ac:dyDescent="0.3">
      <c r="B49" s="139" t="s">
        <v>78</v>
      </c>
      <c r="C49" s="140">
        <f>K14+K15+K18+K21+K24+K25</f>
        <v>0</v>
      </c>
      <c r="D49" s="125"/>
      <c r="E49" s="125"/>
      <c r="F49" s="125"/>
      <c r="G49" s="126">
        <f>K7</f>
        <v>1.0326</v>
      </c>
      <c r="H49" s="126"/>
      <c r="I49" s="127">
        <v>900.39</v>
      </c>
      <c r="J49" s="128" t="s">
        <v>97</v>
      </c>
      <c r="K49" s="129">
        <f>ROUND(C49*G49*I49,0)</f>
        <v>0</v>
      </c>
      <c r="L49" s="62"/>
      <c r="M49" s="112"/>
      <c r="N49" s="141"/>
      <c r="O49" s="142"/>
      <c r="P49" s="101"/>
      <c r="Q49" s="143"/>
      <c r="V49" s="144" t="s">
        <v>78</v>
      </c>
      <c r="W49" s="145">
        <f>AB14+AB15+AB18+AB21+AB24+AB25</f>
        <v>0</v>
      </c>
      <c r="X49" s="647">
        <f>AB7</f>
        <v>1.0326</v>
      </c>
      <c r="Y49" s="647"/>
      <c r="Z49" s="132">
        <f>+I49</f>
        <v>900.39</v>
      </c>
      <c r="AA49" s="133" t="s">
        <v>97</v>
      </c>
      <c r="AB49" s="134">
        <f>ROUND(W49*X49*Z49,0)</f>
        <v>0</v>
      </c>
      <c r="AC49" s="138"/>
      <c r="AD49" s="113"/>
    </row>
    <row r="50" spans="2:30" ht="24" customHeight="1" thickBot="1" x14ac:dyDescent="0.3">
      <c r="B50" s="146" t="s">
        <v>98</v>
      </c>
      <c r="C50" s="147">
        <f>SUM(C47:C49)</f>
        <v>550.33429999999987</v>
      </c>
      <c r="D50" s="148"/>
      <c r="E50" s="149"/>
      <c r="F50" s="149"/>
      <c r="G50" s="150" t="s">
        <v>99</v>
      </c>
      <c r="H50" s="150"/>
      <c r="I50" s="150"/>
      <c r="J50" s="150"/>
      <c r="K50" s="150"/>
      <c r="L50" s="50">
        <f>IF(B2=75,0,K49+K48+K47)</f>
        <v>510442</v>
      </c>
      <c r="N50" s="3"/>
      <c r="O50" s="1"/>
      <c r="V50" s="151" t="s">
        <v>98</v>
      </c>
      <c r="W50" s="152">
        <f>SUM(W47:W49)</f>
        <v>0</v>
      </c>
      <c r="X50" s="648" t="s">
        <v>99</v>
      </c>
      <c r="Y50" s="649"/>
      <c r="Z50" s="649"/>
      <c r="AA50" s="649"/>
      <c r="AB50" s="649"/>
      <c r="AC50" s="56">
        <f>IF(V2=75,0,AB49+AB48+AB47)</f>
        <v>0</v>
      </c>
      <c r="AD50" s="9"/>
    </row>
    <row r="51" spans="2:30" ht="19.5" customHeight="1" x14ac:dyDescent="0.25">
      <c r="B51" s="153" t="s">
        <v>100</v>
      </c>
      <c r="C51" s="153"/>
      <c r="D51" s="153"/>
      <c r="E51" s="153"/>
      <c r="F51" s="153"/>
      <c r="G51" s="153"/>
      <c r="H51" s="153"/>
      <c r="I51" s="153"/>
      <c r="J51" s="153"/>
      <c r="K51" s="153"/>
      <c r="L51" s="153"/>
      <c r="M51" s="141"/>
      <c r="N51" s="101"/>
      <c r="O51" s="1"/>
      <c r="V51" s="650" t="s">
        <v>100</v>
      </c>
      <c r="W51" s="650"/>
      <c r="X51" s="650"/>
      <c r="Y51" s="650"/>
      <c r="Z51" s="650"/>
      <c r="AA51" s="650"/>
      <c r="AB51" s="650"/>
      <c r="AC51" s="650"/>
      <c r="AD51" s="154"/>
    </row>
    <row r="52" spans="2:30" ht="27.75" customHeight="1" x14ac:dyDescent="0.25">
      <c r="B52" s="13" t="s">
        <v>101</v>
      </c>
      <c r="C52" s="13"/>
      <c r="D52" s="13"/>
      <c r="E52" s="13"/>
      <c r="F52" s="13"/>
      <c r="G52" s="13"/>
      <c r="H52" s="13"/>
      <c r="I52" s="13"/>
      <c r="J52" s="13"/>
      <c r="K52" s="13"/>
      <c r="L52" s="13"/>
      <c r="O52" s="1"/>
      <c r="V52" s="651" t="s">
        <v>101</v>
      </c>
      <c r="W52" s="651"/>
      <c r="X52" s="651"/>
      <c r="Y52" s="651"/>
      <c r="Z52" s="651"/>
      <c r="AA52" s="651"/>
      <c r="AB52" s="651"/>
      <c r="AC52" s="651"/>
      <c r="AD52" s="9"/>
    </row>
    <row r="53" spans="2:30" x14ac:dyDescent="0.25">
      <c r="B53" s="13" t="s">
        <v>102</v>
      </c>
      <c r="C53" s="13"/>
      <c r="D53" s="13"/>
      <c r="E53" s="13"/>
      <c r="F53" s="13"/>
      <c r="G53" s="155">
        <f>K26</f>
        <v>550.33429999999987</v>
      </c>
      <c r="H53" s="57" t="s">
        <v>103</v>
      </c>
      <c r="I53" s="57"/>
      <c r="J53" s="156">
        <v>197823.77</v>
      </c>
      <c r="K53" s="156"/>
      <c r="L53" s="156"/>
      <c r="N53" s="3"/>
      <c r="O53" s="1"/>
      <c r="V53" s="657" t="s">
        <v>102</v>
      </c>
      <c r="W53" s="657"/>
      <c r="X53" s="157">
        <f>AB26</f>
        <v>0</v>
      </c>
      <c r="Y53" s="658" t="s">
        <v>103</v>
      </c>
      <c r="Z53" s="658"/>
      <c r="AA53" s="659">
        <f>+J53</f>
        <v>197823.77</v>
      </c>
      <c r="AB53" s="659"/>
      <c r="AC53" s="659"/>
      <c r="AD53" s="9"/>
    </row>
    <row r="54" spans="2:30" x14ac:dyDescent="0.25">
      <c r="B54" s="13" t="s">
        <v>104</v>
      </c>
      <c r="C54" s="13"/>
      <c r="D54" s="13"/>
      <c r="E54" s="13"/>
      <c r="F54" s="13"/>
      <c r="G54" s="13"/>
      <c r="H54" s="13"/>
      <c r="I54" s="13"/>
      <c r="J54" s="13"/>
      <c r="K54" s="158">
        <f>ROUND(G53/J53,6)</f>
        <v>2.7820000000000002E-3</v>
      </c>
      <c r="L54" s="158"/>
      <c r="N54" s="101"/>
      <c r="O54" s="1"/>
      <c r="V54" s="657" t="s">
        <v>104</v>
      </c>
      <c r="W54" s="657"/>
      <c r="X54" s="657"/>
      <c r="Y54" s="657"/>
      <c r="Z54" s="657"/>
      <c r="AA54" s="657"/>
      <c r="AB54" s="660">
        <f>ROUND(X53/AA53,6)</f>
        <v>0</v>
      </c>
      <c r="AC54" s="660"/>
      <c r="AD54" s="9"/>
    </row>
    <row r="55" spans="2:30" ht="24" customHeight="1" x14ac:dyDescent="0.25">
      <c r="B55" s="13" t="s">
        <v>105</v>
      </c>
      <c r="C55" s="13"/>
      <c r="D55" s="13"/>
      <c r="E55" s="13"/>
      <c r="F55" s="13"/>
      <c r="G55" s="13"/>
      <c r="H55" s="13"/>
      <c r="I55" s="13"/>
      <c r="J55" s="13"/>
      <c r="K55" s="13"/>
      <c r="L55" s="13"/>
      <c r="O55" s="1"/>
      <c r="V55" s="651" t="s">
        <v>105</v>
      </c>
      <c r="W55" s="651"/>
      <c r="X55" s="651"/>
      <c r="Y55" s="651"/>
      <c r="Z55" s="651"/>
      <c r="AA55" s="651"/>
      <c r="AB55" s="651"/>
      <c r="AC55" s="651"/>
      <c r="AD55" s="9"/>
    </row>
    <row r="56" spans="2:30" x14ac:dyDescent="0.25">
      <c r="B56" s="13" t="s">
        <v>106</v>
      </c>
      <c r="C56" s="13"/>
      <c r="D56" s="13"/>
      <c r="E56" s="13"/>
      <c r="F56" s="13"/>
      <c r="G56" s="159">
        <f>G26</f>
        <v>550.2399999999999</v>
      </c>
      <c r="H56" s="57" t="s">
        <v>107</v>
      </c>
      <c r="I56" s="57"/>
      <c r="J56" s="156">
        <f>+G40</f>
        <v>180284.81</v>
      </c>
      <c r="K56" s="156"/>
      <c r="L56" s="156"/>
      <c r="O56" s="1"/>
      <c r="V56" s="657" t="s">
        <v>106</v>
      </c>
      <c r="W56" s="657"/>
      <c r="X56" s="160">
        <f>X26</f>
        <v>0</v>
      </c>
      <c r="Y56" s="658" t="s">
        <v>107</v>
      </c>
      <c r="Z56" s="658"/>
      <c r="AA56" s="659">
        <f>+J56</f>
        <v>180284.81</v>
      </c>
      <c r="AB56" s="659"/>
      <c r="AC56" s="659"/>
      <c r="AD56" s="9"/>
    </row>
    <row r="57" spans="2:30" x14ac:dyDescent="0.25">
      <c r="B57" s="13" t="s">
        <v>108</v>
      </c>
      <c r="C57" s="13"/>
      <c r="D57" s="13"/>
      <c r="E57" s="13"/>
      <c r="F57" s="13"/>
      <c r="G57" s="13"/>
      <c r="H57" s="13"/>
      <c r="I57" s="13"/>
      <c r="J57" s="13"/>
      <c r="K57" s="158">
        <f>ROUND(G56/J56,6)</f>
        <v>3.052E-3</v>
      </c>
      <c r="L57" s="158"/>
      <c r="O57" s="1"/>
      <c r="V57" s="657" t="s">
        <v>108</v>
      </c>
      <c r="W57" s="657"/>
      <c r="X57" s="657"/>
      <c r="Y57" s="657"/>
      <c r="Z57" s="657"/>
      <c r="AA57" s="657"/>
      <c r="AB57" s="660">
        <f>ROUND(X56/AA56,6)</f>
        <v>0</v>
      </c>
      <c r="AC57" s="660"/>
      <c r="AD57" s="9"/>
    </row>
    <row r="58" spans="2:30" ht="20.25" customHeight="1" x14ac:dyDescent="0.25">
      <c r="B58" s="161" t="s">
        <v>109</v>
      </c>
      <c r="C58" s="161"/>
      <c r="D58" s="161"/>
      <c r="E58" s="161"/>
      <c r="F58" s="161"/>
      <c r="G58" s="161"/>
      <c r="H58" s="161"/>
      <c r="I58" s="161"/>
      <c r="J58" s="161"/>
      <c r="K58" s="161"/>
      <c r="L58" s="161"/>
      <c r="N58" s="18"/>
      <c r="O58" s="18"/>
      <c r="V58" s="629" t="s">
        <v>110</v>
      </c>
      <c r="W58" s="629"/>
      <c r="X58" s="629"/>
      <c r="Y58" s="661">
        <f>X65+X64+X62+X61+X60</f>
        <v>4123852</v>
      </c>
      <c r="Z58" s="661"/>
      <c r="AA58" s="162" t="s">
        <v>111</v>
      </c>
      <c r="AB58" s="163">
        <f>AB54</f>
        <v>0</v>
      </c>
      <c r="AC58" s="56">
        <f>ROUND(Y58*AB58,0)</f>
        <v>0</v>
      </c>
      <c r="AD58" s="9"/>
    </row>
    <row r="59" spans="2:30" x14ac:dyDescent="0.25">
      <c r="B59" s="62" t="s">
        <v>110</v>
      </c>
      <c r="C59" s="62"/>
      <c r="D59" s="62"/>
      <c r="E59" s="62"/>
      <c r="F59" s="62"/>
      <c r="G59" s="62"/>
      <c r="H59" s="164" t="s">
        <v>22</v>
      </c>
      <c r="I59" s="129">
        <v>4123852</v>
      </c>
      <c r="J59" s="165" t="s">
        <v>111</v>
      </c>
      <c r="K59" s="166">
        <f>K54</f>
        <v>2.7820000000000002E-3</v>
      </c>
      <c r="L59" s="50">
        <f>ROUND(I59*K59,0)</f>
        <v>11473</v>
      </c>
      <c r="O59" s="1"/>
      <c r="P59" s="165"/>
      <c r="Q59" s="165"/>
      <c r="V59" s="662" t="s">
        <v>112</v>
      </c>
      <c r="W59" s="662"/>
      <c r="X59" s="662"/>
      <c r="Y59" s="662"/>
      <c r="Z59" s="662"/>
      <c r="AA59" s="662"/>
      <c r="AB59" s="662"/>
      <c r="AC59" s="662"/>
      <c r="AD59" s="9"/>
    </row>
    <row r="60" spans="2:30" x14ac:dyDescent="0.25">
      <c r="B60" s="62" t="s">
        <v>112</v>
      </c>
      <c r="C60" s="62"/>
      <c r="D60" s="62"/>
      <c r="E60" s="62"/>
      <c r="F60" s="62"/>
      <c r="G60" s="62"/>
      <c r="H60" s="62"/>
      <c r="I60" s="62"/>
      <c r="J60" s="62"/>
      <c r="K60" s="62"/>
      <c r="L60" s="62"/>
      <c r="O60" s="1"/>
      <c r="P60" s="165"/>
      <c r="Q60" s="165"/>
      <c r="V60" s="663" t="s">
        <v>113</v>
      </c>
      <c r="W60" s="663"/>
      <c r="X60" s="664">
        <f>+G61</f>
        <v>0</v>
      </c>
      <c r="Y60" s="664"/>
      <c r="Z60" s="664"/>
      <c r="AA60" s="664"/>
      <c r="AB60" s="664"/>
      <c r="AC60" s="664"/>
      <c r="AD60" s="9"/>
    </row>
    <row r="61" spans="2:30" ht="15" customHeight="1" x14ac:dyDescent="0.25">
      <c r="B61" s="167" t="s">
        <v>113</v>
      </c>
      <c r="C61" s="62"/>
      <c r="D61" s="62"/>
      <c r="E61" s="62"/>
      <c r="F61" s="62"/>
      <c r="G61" s="168">
        <v>0</v>
      </c>
      <c r="H61" s="168"/>
      <c r="I61" s="168"/>
      <c r="J61" s="168"/>
      <c r="K61" s="168"/>
      <c r="L61" s="168"/>
      <c r="O61" s="1"/>
      <c r="P61" s="165"/>
      <c r="Q61" s="165"/>
      <c r="V61" s="663" t="s">
        <v>114</v>
      </c>
      <c r="W61" s="663"/>
      <c r="X61" s="664">
        <f>+G62</f>
        <v>0</v>
      </c>
      <c r="Y61" s="664"/>
      <c r="Z61" s="664"/>
      <c r="AA61" s="664"/>
      <c r="AB61" s="664"/>
      <c r="AC61" s="664"/>
      <c r="AD61" s="9"/>
    </row>
    <row r="62" spans="2:30" ht="13.5" customHeight="1" x14ac:dyDescent="0.25">
      <c r="B62" s="167" t="s">
        <v>114</v>
      </c>
      <c r="C62" s="62"/>
      <c r="D62" s="62"/>
      <c r="E62" s="62"/>
      <c r="F62" s="62"/>
      <c r="G62" s="168">
        <v>0</v>
      </c>
      <c r="H62" s="168"/>
      <c r="I62" s="168"/>
      <c r="J62" s="168"/>
      <c r="K62" s="168"/>
      <c r="L62" s="168"/>
      <c r="N62" s="165"/>
      <c r="O62" s="165"/>
      <c r="P62" s="165"/>
      <c r="Q62" s="165"/>
      <c r="V62" s="663" t="s">
        <v>115</v>
      </c>
      <c r="W62" s="663"/>
      <c r="X62" s="664">
        <v>0</v>
      </c>
      <c r="Y62" s="664"/>
      <c r="Z62" s="664"/>
      <c r="AA62" s="664"/>
      <c r="AB62" s="664"/>
      <c r="AC62" s="664"/>
      <c r="AD62" s="9"/>
    </row>
    <row r="63" spans="2:30" ht="13.5" hidden="1" customHeight="1" x14ac:dyDescent="0.25">
      <c r="B63" s="62" t="s">
        <v>115</v>
      </c>
      <c r="C63" s="62"/>
      <c r="D63" s="62"/>
      <c r="E63" s="62"/>
      <c r="F63" s="62"/>
      <c r="G63" s="168">
        <v>0</v>
      </c>
      <c r="H63" s="168"/>
      <c r="I63" s="168"/>
      <c r="J63" s="168"/>
      <c r="K63" s="168"/>
      <c r="L63" s="168"/>
      <c r="O63" s="1"/>
      <c r="P63" s="165"/>
      <c r="Q63" s="165"/>
      <c r="V63" s="662" t="s">
        <v>116</v>
      </c>
      <c r="W63" s="662"/>
      <c r="X63" s="662"/>
      <c r="Y63" s="662"/>
      <c r="Z63" s="662"/>
      <c r="AA63" s="662"/>
      <c r="AB63" s="662"/>
      <c r="AC63" s="662"/>
      <c r="AD63" s="117"/>
    </row>
    <row r="64" spans="2:30" ht="13.5" customHeight="1" x14ac:dyDescent="0.25">
      <c r="B64" s="62" t="s">
        <v>116</v>
      </c>
      <c r="C64" s="62"/>
      <c r="D64" s="62"/>
      <c r="E64" s="62"/>
      <c r="F64" s="62"/>
      <c r="G64" s="62"/>
      <c r="H64" s="62"/>
      <c r="I64" s="62"/>
      <c r="J64" s="62"/>
      <c r="K64" s="62"/>
      <c r="L64" s="62"/>
      <c r="M64" s="116"/>
      <c r="N64" s="18"/>
      <c r="O64" s="1"/>
      <c r="V64" s="663" t="s">
        <v>117</v>
      </c>
      <c r="W64" s="663"/>
      <c r="X64" s="664">
        <f>+G65</f>
        <v>4123852</v>
      </c>
      <c r="Y64" s="664"/>
      <c r="Z64" s="664"/>
      <c r="AA64" s="664"/>
      <c r="AB64" s="664"/>
      <c r="AC64" s="664"/>
      <c r="AD64" s="9"/>
    </row>
    <row r="65" spans="1:30" ht="12.75" customHeight="1" x14ac:dyDescent="0.25">
      <c r="B65" s="167" t="s">
        <v>117</v>
      </c>
      <c r="C65" s="62"/>
      <c r="D65" s="62"/>
      <c r="E65" s="62"/>
      <c r="F65" s="62"/>
      <c r="G65" s="168">
        <f>+I59</f>
        <v>4123852</v>
      </c>
      <c r="H65" s="168"/>
      <c r="I65" s="168"/>
      <c r="J65" s="168"/>
      <c r="K65" s="168"/>
      <c r="L65" s="168"/>
      <c r="O65" s="1"/>
      <c r="V65" s="663" t="s">
        <v>118</v>
      </c>
      <c r="W65" s="663"/>
      <c r="X65" s="664">
        <f>+G66</f>
        <v>0</v>
      </c>
      <c r="Y65" s="664"/>
      <c r="Z65" s="664"/>
      <c r="AA65" s="664"/>
      <c r="AB65" s="664"/>
      <c r="AC65" s="664"/>
      <c r="AD65" s="20"/>
    </row>
    <row r="66" spans="1:30" ht="15" customHeight="1" x14ac:dyDescent="0.25">
      <c r="B66" s="167" t="s">
        <v>118</v>
      </c>
      <c r="C66" s="62"/>
      <c r="D66" s="62"/>
      <c r="E66" s="62"/>
      <c r="F66" s="62"/>
      <c r="G66" s="168">
        <v>0</v>
      </c>
      <c r="H66" s="168"/>
      <c r="I66" s="168"/>
      <c r="J66" s="168"/>
      <c r="K66" s="168"/>
      <c r="L66" s="168"/>
      <c r="M66" s="18"/>
      <c r="N66" s="3"/>
      <c r="O66" s="169"/>
      <c r="P66" s="169"/>
      <c r="Q66" s="169"/>
      <c r="V66" s="651" t="s">
        <v>119</v>
      </c>
      <c r="W66" s="651"/>
      <c r="X66" s="651"/>
      <c r="Y66" s="661">
        <f>+I67</f>
        <v>96774526</v>
      </c>
      <c r="Z66" s="661"/>
      <c r="AA66" s="162" t="s">
        <v>111</v>
      </c>
      <c r="AB66" s="163">
        <f>AB54</f>
        <v>0</v>
      </c>
      <c r="AC66" s="56">
        <f>ROUND(Y66*AB66,0)</f>
        <v>0</v>
      </c>
      <c r="AD66" s="9"/>
    </row>
    <row r="67" spans="1:30" ht="20.25" customHeight="1" x14ac:dyDescent="0.25">
      <c r="B67" s="13" t="s">
        <v>119</v>
      </c>
      <c r="C67" s="13"/>
      <c r="D67" s="13"/>
      <c r="E67" s="13"/>
      <c r="F67" s="13"/>
      <c r="H67" s="164" t="s">
        <v>25</v>
      </c>
      <c r="I67" s="129">
        <v>96774526</v>
      </c>
      <c r="J67" s="165" t="s">
        <v>111</v>
      </c>
      <c r="K67" s="166">
        <f>K54</f>
        <v>2.7820000000000002E-3</v>
      </c>
      <c r="L67" s="50">
        <f>ROUND(I67*K67,0)</f>
        <v>269227</v>
      </c>
      <c r="O67" s="1"/>
      <c r="V67" s="651" t="s">
        <v>120</v>
      </c>
      <c r="W67" s="651"/>
      <c r="X67" s="651"/>
      <c r="Y67" s="651"/>
      <c r="Z67" s="651"/>
      <c r="AA67" s="651"/>
      <c r="AB67" s="651"/>
      <c r="AC67" s="651"/>
      <c r="AD67" s="9"/>
    </row>
    <row r="68" spans="1:30" ht="20.25" customHeight="1" x14ac:dyDescent="0.25">
      <c r="B68" s="13" t="s">
        <v>120</v>
      </c>
      <c r="C68" s="13"/>
      <c r="D68" s="13"/>
      <c r="E68" s="13"/>
      <c r="F68" s="13"/>
      <c r="H68" s="13"/>
      <c r="I68" s="13"/>
      <c r="J68" s="82"/>
      <c r="K68" s="13"/>
      <c r="L68" s="13"/>
      <c r="O68" s="1"/>
      <c r="V68" s="667" t="s">
        <v>121</v>
      </c>
      <c r="W68" s="667"/>
      <c r="X68" s="667"/>
      <c r="Y68" s="661">
        <f>+I69</f>
        <v>0</v>
      </c>
      <c r="Z68" s="661"/>
      <c r="AA68" s="162" t="s">
        <v>111</v>
      </c>
      <c r="AB68" s="163">
        <f>AB57</f>
        <v>0</v>
      </c>
      <c r="AC68" s="56">
        <f>ROUND(Y68*AB68,0)</f>
        <v>0</v>
      </c>
      <c r="AD68" s="9"/>
    </row>
    <row r="69" spans="1:30" ht="15" customHeight="1" x14ac:dyDescent="0.25">
      <c r="B69" s="170" t="s">
        <v>121</v>
      </c>
      <c r="C69" s="13"/>
      <c r="D69" s="13"/>
      <c r="E69" s="13"/>
      <c r="F69" s="13"/>
      <c r="H69" s="164" t="s">
        <v>23</v>
      </c>
      <c r="I69" s="129">
        <v>0</v>
      </c>
      <c r="J69" s="165" t="s">
        <v>111</v>
      </c>
      <c r="K69" s="166">
        <f>K57</f>
        <v>3.052E-3</v>
      </c>
      <c r="L69" s="50">
        <f>ROUND(I69*K69,0)</f>
        <v>0</v>
      </c>
      <c r="O69" s="1"/>
      <c r="V69" s="651" t="s">
        <v>122</v>
      </c>
      <c r="W69" s="651"/>
      <c r="X69" s="651"/>
      <c r="Y69" s="668">
        <f>+I70</f>
        <v>-3460775</v>
      </c>
      <c r="Z69" s="668"/>
      <c r="AA69" s="162" t="s">
        <v>111</v>
      </c>
      <c r="AB69" s="163">
        <f>AB54</f>
        <v>0</v>
      </c>
      <c r="AC69" s="56">
        <f>ROUND(Y69*AB69,0)</f>
        <v>0</v>
      </c>
      <c r="AD69" s="9"/>
    </row>
    <row r="70" spans="1:30" ht="20.25" customHeight="1" x14ac:dyDescent="0.25">
      <c r="B70" s="13" t="s">
        <v>122</v>
      </c>
      <c r="C70" s="13"/>
      <c r="D70" s="13"/>
      <c r="E70" s="13"/>
      <c r="F70" s="13"/>
      <c r="H70" s="164" t="s">
        <v>22</v>
      </c>
      <c r="I70" s="129">
        <v>-3460775</v>
      </c>
      <c r="J70" s="165" t="s">
        <v>111</v>
      </c>
      <c r="K70" s="166">
        <f>K54</f>
        <v>2.7820000000000002E-3</v>
      </c>
      <c r="L70" s="50">
        <f>ROUND(I70*K70,0)</f>
        <v>-9628</v>
      </c>
      <c r="O70" s="1"/>
      <c r="V70" s="651" t="s">
        <v>123</v>
      </c>
      <c r="W70" s="651"/>
      <c r="X70" s="651"/>
      <c r="Y70" s="665">
        <f>+I71</f>
        <v>1874788</v>
      </c>
      <c r="Z70" s="665"/>
      <c r="AA70" s="162" t="s">
        <v>111</v>
      </c>
      <c r="AB70" s="163">
        <f>AB54</f>
        <v>0</v>
      </c>
      <c r="AC70" s="56">
        <f>ROUND(Y70*AB70,0)</f>
        <v>0</v>
      </c>
      <c r="AD70" s="9"/>
    </row>
    <row r="71" spans="1:30" ht="20.25" customHeight="1" x14ac:dyDescent="0.25">
      <c r="B71" s="13" t="s">
        <v>123</v>
      </c>
      <c r="C71" s="13"/>
      <c r="D71" s="13"/>
      <c r="E71" s="13"/>
      <c r="F71" s="13"/>
      <c r="H71" s="164" t="s">
        <v>22</v>
      </c>
      <c r="I71" s="129">
        <v>1874788</v>
      </c>
      <c r="J71" s="165" t="s">
        <v>111</v>
      </c>
      <c r="K71" s="166">
        <f>K54</f>
        <v>2.7820000000000002E-3</v>
      </c>
      <c r="L71" s="50">
        <f>ROUND(I71*K71,0)</f>
        <v>5216</v>
      </c>
      <c r="O71" s="1"/>
      <c r="V71" s="651" t="s">
        <v>124</v>
      </c>
      <c r="W71" s="651"/>
      <c r="X71" s="651"/>
      <c r="Y71" s="665">
        <f>+I72</f>
        <v>14223298</v>
      </c>
      <c r="Z71" s="665"/>
      <c r="AA71" s="162" t="s">
        <v>111</v>
      </c>
      <c r="AB71" s="163">
        <f>AB57</f>
        <v>0</v>
      </c>
      <c r="AC71" s="56">
        <f>ROUND(Y71*AB71,0)</f>
        <v>0</v>
      </c>
      <c r="AD71" s="9"/>
    </row>
    <row r="72" spans="1:30" ht="21" customHeight="1" x14ac:dyDescent="0.25">
      <c r="B72" s="13" t="s">
        <v>124</v>
      </c>
      <c r="C72" s="13"/>
      <c r="D72" s="13"/>
      <c r="E72" s="13"/>
      <c r="F72" s="13"/>
      <c r="H72" s="164" t="s">
        <v>23</v>
      </c>
      <c r="I72" s="171">
        <v>14223298</v>
      </c>
      <c r="J72" s="165" t="s">
        <v>111</v>
      </c>
      <c r="K72" s="166">
        <f>K57</f>
        <v>3.052E-3</v>
      </c>
      <c r="L72" s="50">
        <f>ROUND(I72*K72,0)</f>
        <v>43410</v>
      </c>
      <c r="O72" s="1"/>
      <c r="V72" s="623" t="s">
        <v>125</v>
      </c>
      <c r="W72" s="623"/>
      <c r="X72" s="623"/>
      <c r="Y72" s="623"/>
      <c r="Z72" s="623"/>
      <c r="AA72" s="623"/>
      <c r="AB72" s="623"/>
      <c r="AC72" s="60"/>
      <c r="AD72" s="9"/>
    </row>
    <row r="73" spans="1:30" ht="17.25" customHeight="1" x14ac:dyDescent="0.25">
      <c r="B73" s="13" t="s">
        <v>125</v>
      </c>
      <c r="C73" s="13"/>
      <c r="D73" s="13"/>
      <c r="E73" s="13"/>
      <c r="F73" s="13"/>
      <c r="H73" s="13"/>
      <c r="I73" s="13"/>
      <c r="J73" s="82"/>
      <c r="K73" s="13"/>
      <c r="L73" s="59"/>
      <c r="O73" s="1"/>
      <c r="V73" s="651" t="s">
        <v>126</v>
      </c>
      <c r="W73" s="651"/>
      <c r="X73" s="651"/>
      <c r="Y73" s="651"/>
      <c r="Z73" s="651"/>
      <c r="AA73" s="651"/>
      <c r="AB73" s="651"/>
      <c r="AC73" s="651"/>
      <c r="AD73" s="9"/>
    </row>
    <row r="74" spans="1:30" ht="31.5" x14ac:dyDescent="0.25">
      <c r="B74" s="13" t="s">
        <v>126</v>
      </c>
      <c r="C74" s="13"/>
      <c r="D74" s="27" t="s">
        <v>13</v>
      </c>
      <c r="E74" s="27" t="s">
        <v>14</v>
      </c>
      <c r="F74" s="27"/>
      <c r="H74" s="164" t="s">
        <v>26</v>
      </c>
      <c r="I74" s="172"/>
      <c r="J74" s="164"/>
      <c r="K74" s="172"/>
      <c r="L74" s="112"/>
      <c r="O74" s="1"/>
      <c r="V74" s="666" t="s">
        <v>127</v>
      </c>
      <c r="W74" s="666"/>
      <c r="X74" s="173" t="s">
        <v>128</v>
      </c>
      <c r="Y74" s="174"/>
      <c r="Z74" s="175">
        <f>+I75</f>
        <v>2</v>
      </c>
      <c r="AA74" s="176" t="s">
        <v>129</v>
      </c>
      <c r="AB74" s="177">
        <f>+K75</f>
        <v>361</v>
      </c>
      <c r="AC74" s="56">
        <f>ROUND(AB74*Z74,0)</f>
        <v>722</v>
      </c>
      <c r="AD74" s="9"/>
    </row>
    <row r="75" spans="1:30" ht="19.5" customHeight="1" x14ac:dyDescent="0.25">
      <c r="A75" s="1" t="s">
        <v>130</v>
      </c>
      <c r="B75" s="178" t="s">
        <v>127</v>
      </c>
      <c r="C75" s="179" t="s">
        <v>128</v>
      </c>
      <c r="D75" s="178">
        <v>2</v>
      </c>
      <c r="E75" s="178">
        <v>2</v>
      </c>
      <c r="F75" s="178">
        <v>0</v>
      </c>
      <c r="G75" s="180">
        <f>IF(E75=0,D75,E75)</f>
        <v>2</v>
      </c>
      <c r="H75" s="181"/>
      <c r="I75" s="182">
        <f>AVERAGE(G75,D75)</f>
        <v>2</v>
      </c>
      <c r="J75" s="183" t="s">
        <v>129</v>
      </c>
      <c r="K75" s="184">
        <v>361</v>
      </c>
      <c r="L75" s="50">
        <f>ROUND(K75*I75,0)</f>
        <v>722</v>
      </c>
      <c r="N75" s="1">
        <v>7802</v>
      </c>
      <c r="O75" s="1">
        <v>0</v>
      </c>
      <c r="V75" s="666" t="s">
        <v>127</v>
      </c>
      <c r="W75" s="666"/>
      <c r="X75" s="173" t="s">
        <v>131</v>
      </c>
      <c r="Y75" s="185"/>
      <c r="Z75" s="186">
        <f>+I76</f>
        <v>0</v>
      </c>
      <c r="AA75" s="176" t="s">
        <v>129</v>
      </c>
      <c r="AB75" s="187">
        <f>+K76</f>
        <v>1358</v>
      </c>
      <c r="AC75" s="56">
        <f>ROUND(AB75*Z75,0)</f>
        <v>0</v>
      </c>
      <c r="AD75" s="9"/>
    </row>
    <row r="76" spans="1:30" ht="19.5" customHeight="1" x14ac:dyDescent="0.25">
      <c r="A76" s="1" t="s">
        <v>132</v>
      </c>
      <c r="B76" s="178" t="s">
        <v>127</v>
      </c>
      <c r="C76" s="179" t="s">
        <v>131</v>
      </c>
      <c r="D76" s="178">
        <v>0</v>
      </c>
      <c r="E76" s="178">
        <v>0</v>
      </c>
      <c r="F76" s="178">
        <v>0</v>
      </c>
      <c r="G76" s="180">
        <f>IF(E76=0,D76,E76)</f>
        <v>0</v>
      </c>
      <c r="H76" s="181"/>
      <c r="I76" s="182">
        <f>AVERAGE(G76,D76)</f>
        <v>0</v>
      </c>
      <c r="J76" s="183" t="s">
        <v>129</v>
      </c>
      <c r="K76" s="188">
        <v>1358</v>
      </c>
      <c r="L76" s="50">
        <f>ROUND(K76*I76,0)</f>
        <v>0</v>
      </c>
      <c r="N76" s="1">
        <v>7802</v>
      </c>
      <c r="O76" s="1">
        <v>110</v>
      </c>
      <c r="V76" s="651" t="s">
        <v>133</v>
      </c>
      <c r="W76" s="651"/>
      <c r="X76" s="651"/>
      <c r="Y76" s="661">
        <f>+I77</f>
        <v>33305823</v>
      </c>
      <c r="Z76" s="661"/>
      <c r="AA76" s="176" t="s">
        <v>129</v>
      </c>
      <c r="AB76" s="163">
        <f>AB54</f>
        <v>0</v>
      </c>
      <c r="AC76" s="56">
        <f>ROUND(Y76*AB76,0)</f>
        <v>0</v>
      </c>
      <c r="AD76" s="9"/>
    </row>
    <row r="77" spans="1:30" ht="26.25" customHeight="1" x14ac:dyDescent="0.25">
      <c r="B77" s="13" t="s">
        <v>133</v>
      </c>
      <c r="C77" s="13"/>
      <c r="D77" s="13"/>
      <c r="E77" s="13"/>
      <c r="F77" s="13"/>
      <c r="H77" s="164" t="s">
        <v>134</v>
      </c>
      <c r="I77" s="189">
        <v>33305823</v>
      </c>
      <c r="J77" s="165" t="s">
        <v>111</v>
      </c>
      <c r="K77" s="166">
        <f>K54</f>
        <v>2.7820000000000002E-3</v>
      </c>
      <c r="L77" s="50">
        <f>ROUND(I77*K77,0)</f>
        <v>92657</v>
      </c>
      <c r="O77" s="1"/>
      <c r="V77" s="651" t="str">
        <f>+B78</f>
        <v>15.  Additional Allocation (WFTE share)</v>
      </c>
      <c r="W77" s="651"/>
      <c r="X77" s="651"/>
      <c r="Y77" s="661">
        <f>+I78</f>
        <v>680688</v>
      </c>
      <c r="Z77" s="661"/>
      <c r="AA77" s="176" t="s">
        <v>129</v>
      </c>
      <c r="AB77" s="163">
        <f>AB54</f>
        <v>0</v>
      </c>
      <c r="AC77" s="56">
        <f>ROUND(Y77*AB77,0)</f>
        <v>0</v>
      </c>
      <c r="AD77" s="9"/>
    </row>
    <row r="78" spans="1:30" ht="26.25" customHeight="1" x14ac:dyDescent="0.25">
      <c r="B78" s="669" t="s">
        <v>135</v>
      </c>
      <c r="C78" s="669"/>
      <c r="D78" s="669"/>
      <c r="E78" s="13"/>
      <c r="F78" s="13"/>
      <c r="H78" s="164" t="s">
        <v>136</v>
      </c>
      <c r="I78" s="190">
        <v>680688</v>
      </c>
      <c r="J78" s="165" t="s">
        <v>111</v>
      </c>
      <c r="K78" s="166">
        <f>K54</f>
        <v>2.7820000000000002E-3</v>
      </c>
      <c r="L78" s="50">
        <f>ROUND(I78*K78,0)</f>
        <v>1894</v>
      </c>
      <c r="O78" s="1"/>
      <c r="V78" s="651" t="str">
        <f t="shared" ref="V78:V79" si="11">+B79</f>
        <v>16.  Florida Teachers Lead Program Stipend</v>
      </c>
      <c r="W78" s="651"/>
      <c r="X78" s="651"/>
      <c r="Y78" s="191"/>
      <c r="Z78" s="191"/>
      <c r="AA78" s="191"/>
      <c r="AB78" s="191"/>
      <c r="AC78" s="134"/>
      <c r="AD78" s="9"/>
    </row>
    <row r="79" spans="1:30" ht="21" customHeight="1" x14ac:dyDescent="0.25">
      <c r="B79" s="669" t="s">
        <v>137</v>
      </c>
      <c r="C79" s="669"/>
      <c r="D79" s="669"/>
      <c r="E79" s="13"/>
      <c r="F79" s="13"/>
      <c r="H79" s="164"/>
      <c r="I79" s="172"/>
      <c r="J79" s="172"/>
      <c r="K79" s="172"/>
      <c r="L79" s="129"/>
      <c r="N79" s="192"/>
      <c r="O79" s="1"/>
      <c r="Q79" s="164"/>
      <c r="V79" s="651" t="str">
        <f t="shared" si="11"/>
        <v>17.  Food Service Allocation</v>
      </c>
      <c r="W79" s="651"/>
      <c r="X79" s="651"/>
      <c r="Y79" s="191"/>
      <c r="Z79" s="191"/>
      <c r="AA79" s="191"/>
      <c r="AB79" s="191"/>
      <c r="AC79" s="193"/>
      <c r="AD79" s="9"/>
    </row>
    <row r="80" spans="1:30" ht="21" customHeight="1" x14ac:dyDescent="0.25">
      <c r="B80" s="669" t="s">
        <v>138</v>
      </c>
      <c r="C80" s="669"/>
      <c r="D80" s="669"/>
      <c r="E80" s="13"/>
      <c r="F80" s="13"/>
      <c r="H80" s="194" t="s">
        <v>139</v>
      </c>
      <c r="I80" s="195"/>
      <c r="J80" s="195"/>
      <c r="K80" s="195"/>
      <c r="L80" s="196"/>
      <c r="N80" s="197"/>
      <c r="O80" s="1"/>
      <c r="Q80" s="164"/>
      <c r="V80" s="191"/>
      <c r="W80" s="191"/>
      <c r="X80" s="191"/>
      <c r="Y80" s="191"/>
      <c r="Z80" s="191"/>
      <c r="AA80" s="191"/>
      <c r="AB80" s="191"/>
      <c r="AC80" s="193"/>
      <c r="AD80" s="9"/>
    </row>
    <row r="81" spans="1:30" ht="21" customHeight="1" thickBot="1" x14ac:dyDescent="0.3">
      <c r="B81" s="13"/>
      <c r="C81" s="13"/>
      <c r="D81" s="13"/>
      <c r="E81" s="13"/>
      <c r="F81" s="13"/>
      <c r="G81" s="13"/>
      <c r="H81" s="13"/>
      <c r="I81" s="13"/>
      <c r="J81" s="13"/>
      <c r="K81" s="13"/>
      <c r="L81" s="196"/>
      <c r="M81" s="198"/>
      <c r="N81" s="197"/>
      <c r="O81" s="1"/>
      <c r="Q81" s="164"/>
      <c r="V81" s="191" t="s">
        <v>140</v>
      </c>
      <c r="W81" s="191"/>
      <c r="X81" s="191"/>
      <c r="Y81" s="191"/>
      <c r="Z81" s="191"/>
      <c r="AA81" s="191"/>
      <c r="AB81" s="191"/>
      <c r="AC81" s="199">
        <f>SUM(AC44:AC80)</f>
        <v>722</v>
      </c>
      <c r="AD81" s="200"/>
    </row>
    <row r="82" spans="1:30" ht="22.5" customHeight="1" thickTop="1" thickBot="1" x14ac:dyDescent="0.3">
      <c r="B82" s="13" t="s">
        <v>141</v>
      </c>
      <c r="C82" s="13"/>
      <c r="D82" s="13"/>
      <c r="E82" s="13"/>
      <c r="F82" s="13"/>
      <c r="G82" s="13"/>
      <c r="H82" s="13"/>
      <c r="I82" s="13"/>
      <c r="J82" s="13"/>
      <c r="K82" s="13"/>
      <c r="L82" s="201">
        <f>SUM(L44:L81)</f>
        <v>3238674</v>
      </c>
      <c r="M82" s="202"/>
      <c r="N82" s="203"/>
      <c r="O82" s="1"/>
      <c r="Q82" s="164"/>
      <c r="V82" s="191"/>
      <c r="W82" s="191"/>
      <c r="X82" s="191"/>
      <c r="Y82" s="191"/>
      <c r="Z82" s="191"/>
      <c r="AA82" s="191"/>
      <c r="AB82" s="191"/>
      <c r="AC82" s="204"/>
      <c r="AD82" s="200"/>
    </row>
    <row r="83" spans="1:30" ht="27.75" customHeight="1" thickTop="1" x14ac:dyDescent="0.25">
      <c r="B83" s="13" t="s">
        <v>142</v>
      </c>
      <c r="C83" s="13"/>
      <c r="D83" s="13"/>
      <c r="E83" s="13"/>
      <c r="F83" s="13"/>
      <c r="G83" s="13"/>
      <c r="H83" s="13"/>
      <c r="I83" s="13"/>
      <c r="J83" s="13"/>
      <c r="K83" s="82" t="s">
        <v>143</v>
      </c>
      <c r="L83" s="205" t="s">
        <v>144</v>
      </c>
      <c r="M83" s="202"/>
      <c r="N83" s="203"/>
      <c r="O83" s="1"/>
      <c r="Q83" s="164"/>
      <c r="V83" s="9" t="s">
        <v>145</v>
      </c>
      <c r="W83" s="9"/>
      <c r="X83" s="9"/>
      <c r="Y83" s="9"/>
      <c r="Z83" s="9"/>
      <c r="AA83" s="9"/>
      <c r="AB83" s="9"/>
      <c r="AC83" s="9"/>
      <c r="AD83" s="206"/>
    </row>
    <row r="84" spans="1:30" ht="18.75" customHeight="1" thickBot="1" x14ac:dyDescent="0.3">
      <c r="B84" s="13" t="s">
        <v>146</v>
      </c>
      <c r="C84" s="13"/>
      <c r="D84" s="13"/>
      <c r="E84" s="13"/>
      <c r="F84" s="13"/>
      <c r="G84" s="13"/>
      <c r="H84" s="13"/>
      <c r="I84" s="13"/>
      <c r="J84" s="13"/>
      <c r="K84" s="207" t="str">
        <f>IF(G26=0,"",IF((G11+G13+SUM(G15:G21))/G26&gt;0.75,1,""))</f>
        <v/>
      </c>
      <c r="L84" s="201">
        <f>'4012'!AC81</f>
        <v>722</v>
      </c>
      <c r="M84" s="202"/>
      <c r="N84" s="203"/>
      <c r="O84" s="1"/>
      <c r="Q84" s="164"/>
      <c r="V84" s="208" t="s">
        <v>147</v>
      </c>
      <c r="W84" s="208"/>
      <c r="X84" s="208"/>
      <c r="Y84" s="208"/>
      <c r="Z84" s="208"/>
      <c r="AA84" s="208"/>
      <c r="AB84" s="208"/>
      <c r="AC84" s="208"/>
      <c r="AD84" s="9"/>
    </row>
    <row r="85" spans="1:30" ht="18.75" customHeight="1" thickTop="1" x14ac:dyDescent="0.25">
      <c r="B85" s="13"/>
      <c r="C85" s="13"/>
      <c r="D85" s="13"/>
      <c r="E85" s="13"/>
      <c r="F85" s="13"/>
      <c r="G85" s="13"/>
      <c r="H85" s="13"/>
      <c r="I85" s="13"/>
      <c r="J85" s="13"/>
      <c r="M85" s="202"/>
      <c r="N85" s="203"/>
      <c r="O85" s="1"/>
      <c r="Q85" s="164"/>
      <c r="V85" s="208" t="s">
        <v>148</v>
      </c>
      <c r="W85" s="208"/>
      <c r="X85" s="208"/>
      <c r="Y85" s="208"/>
      <c r="Z85" s="208"/>
      <c r="AA85" s="208"/>
      <c r="AB85" s="208"/>
      <c r="AC85" s="208"/>
      <c r="AD85" s="206"/>
    </row>
    <row r="86" spans="1:30" ht="18.75" customHeight="1" x14ac:dyDescent="0.25">
      <c r="B86" s="2" t="s">
        <v>149</v>
      </c>
      <c r="C86" s="13"/>
      <c r="D86" s="13"/>
      <c r="E86" s="13"/>
      <c r="F86" s="13"/>
      <c r="G86" s="13"/>
      <c r="H86" s="13"/>
      <c r="I86" s="13"/>
      <c r="J86" s="209" t="s">
        <v>150</v>
      </c>
      <c r="K86" s="210">
        <f>IF(K84=1,L84,L82)</f>
        <v>3238674</v>
      </c>
      <c r="L86" s="211">
        <f>IF(G26=0,0,IF(G26&gt;250,-(((250/G26)*K86)*IF(M86="H",0.02,0.05)),IF(M86="H",-0.02*K86,-0.05*K86)))</f>
        <v>-73574.122201221297</v>
      </c>
      <c r="M86" s="212" t="str">
        <f>IF(B123="2801","H",IF(B123="2911","H",IF(B123="3382","H"," ")))</f>
        <v xml:space="preserve"> </v>
      </c>
      <c r="N86" s="203"/>
      <c r="O86" s="1"/>
      <c r="Q86" s="164"/>
      <c r="V86" s="208" t="s">
        <v>151</v>
      </c>
      <c r="W86" s="208"/>
      <c r="X86" s="208"/>
      <c r="Y86" s="208"/>
      <c r="Z86" s="208"/>
      <c r="AA86" s="208"/>
      <c r="AB86" s="208"/>
      <c r="AC86" s="208"/>
      <c r="AD86" s="206"/>
    </row>
    <row r="87" spans="1:30" ht="18.75" customHeight="1" x14ac:dyDescent="0.25">
      <c r="B87" s="2" t="s">
        <v>152</v>
      </c>
      <c r="C87" s="13"/>
      <c r="D87" s="13"/>
      <c r="E87" s="13"/>
      <c r="F87" s="13"/>
      <c r="G87" s="13"/>
      <c r="H87" s="13"/>
      <c r="I87" s="13"/>
      <c r="J87" s="13"/>
      <c r="K87" s="213"/>
      <c r="L87" s="205">
        <f>L82+L86</f>
        <v>3165099.8777987789</v>
      </c>
      <c r="M87" s="202"/>
      <c r="N87" s="203"/>
      <c r="O87" s="1"/>
      <c r="Q87" s="164"/>
      <c r="V87" s="198"/>
      <c r="W87" s="198"/>
      <c r="X87" s="198"/>
      <c r="Y87" s="198"/>
      <c r="Z87" s="198"/>
      <c r="AA87" s="198"/>
      <c r="AB87" s="198"/>
      <c r="AC87" s="198"/>
      <c r="AD87" s="214"/>
    </row>
    <row r="88" spans="1:30" x14ac:dyDescent="0.25">
      <c r="V88" s="198"/>
      <c r="W88" s="198"/>
      <c r="X88" s="198"/>
      <c r="Y88" s="198"/>
      <c r="Z88" s="198"/>
      <c r="AA88" s="198"/>
      <c r="AB88" s="198"/>
      <c r="AC88" s="198"/>
      <c r="AD88" s="215"/>
    </row>
    <row r="89" spans="1:30" ht="18.75" customHeight="1" x14ac:dyDescent="0.25">
      <c r="A89" s="1" t="s">
        <v>153</v>
      </c>
      <c r="B89" s="13" t="s">
        <v>154</v>
      </c>
      <c r="C89" s="13"/>
      <c r="D89" s="13">
        <v>1612970</v>
      </c>
      <c r="E89" s="13">
        <v>260983</v>
      </c>
      <c r="F89" s="13">
        <v>2656902</v>
      </c>
      <c r="G89" s="13"/>
      <c r="H89" s="13"/>
      <c r="I89" s="13"/>
      <c r="J89" s="13"/>
      <c r="K89" s="213"/>
      <c r="L89" s="84">
        <f>-F89-254099</f>
        <v>-2911001</v>
      </c>
      <c r="M89" s="202"/>
      <c r="N89" s="203"/>
      <c r="O89" s="1"/>
      <c r="Q89" s="164"/>
      <c r="V89" s="198">
        <v>2801</v>
      </c>
      <c r="W89" s="198"/>
      <c r="X89" s="198"/>
      <c r="Y89" s="198"/>
      <c r="Z89" s="198"/>
      <c r="AA89" s="198"/>
      <c r="AB89" s="198"/>
      <c r="AC89" s="198"/>
      <c r="AD89" s="214"/>
    </row>
    <row r="90" spans="1:30" ht="18.75" customHeight="1" x14ac:dyDescent="0.25">
      <c r="B90" s="13" t="s">
        <v>155</v>
      </c>
      <c r="C90" s="13"/>
      <c r="D90" s="13"/>
      <c r="E90" s="13"/>
      <c r="F90" s="13"/>
      <c r="G90" s="13"/>
      <c r="H90" s="13"/>
      <c r="I90" s="13"/>
      <c r="J90" s="13"/>
      <c r="K90" s="213"/>
      <c r="L90" s="205">
        <f>L87+L89</f>
        <v>254098.87779877894</v>
      </c>
      <c r="M90" s="202"/>
      <c r="N90" s="203"/>
      <c r="O90" s="1"/>
      <c r="Q90" s="164"/>
      <c r="V90" s="198">
        <v>2911</v>
      </c>
      <c r="W90" s="216"/>
      <c r="X90" s="216"/>
      <c r="Y90" s="216"/>
      <c r="Z90" s="216"/>
      <c r="AA90" s="216"/>
      <c r="AB90" s="216"/>
      <c r="AC90" s="216"/>
      <c r="AD90" s="214"/>
    </row>
    <row r="91" spans="1:30" ht="18.75" customHeight="1" x14ac:dyDescent="0.25">
      <c r="B91" s="13" t="s">
        <v>156</v>
      </c>
      <c r="C91" s="13"/>
      <c r="D91" s="13"/>
      <c r="E91" s="13"/>
      <c r="F91" s="13"/>
      <c r="G91" s="13"/>
      <c r="H91" s="13"/>
      <c r="I91" s="13"/>
      <c r="J91" s="13"/>
      <c r="K91" s="213"/>
      <c r="L91" s="205">
        <v>1</v>
      </c>
      <c r="M91" s="202"/>
      <c r="N91" s="203"/>
      <c r="O91" s="1"/>
      <c r="Q91" s="164"/>
      <c r="V91" s="198">
        <v>3382</v>
      </c>
      <c r="W91" s="216"/>
      <c r="X91" s="216"/>
      <c r="Y91" s="216"/>
      <c r="Z91" s="216"/>
      <c r="AA91" s="216"/>
      <c r="AB91" s="216"/>
      <c r="AC91" s="216"/>
      <c r="AD91" s="214"/>
    </row>
    <row r="92" spans="1:30" ht="18.75" customHeight="1" thickBot="1" x14ac:dyDescent="0.3">
      <c r="B92" s="13" t="s">
        <v>157</v>
      </c>
      <c r="C92" s="13"/>
      <c r="D92" s="13"/>
      <c r="E92" s="13"/>
      <c r="F92" s="13"/>
      <c r="G92" s="13"/>
      <c r="H92" s="13"/>
      <c r="I92" s="13"/>
      <c r="J92" s="13"/>
      <c r="K92" s="213"/>
      <c r="L92" s="217">
        <f>L90/L91</f>
        <v>254098.87779877894</v>
      </c>
      <c r="M92" s="202"/>
      <c r="N92" s="203"/>
      <c r="O92" s="1"/>
      <c r="Q92" s="164"/>
      <c r="V92" s="218"/>
      <c r="W92" s="218"/>
      <c r="X92" s="218"/>
      <c r="Y92" s="218"/>
      <c r="Z92" s="218"/>
      <c r="AA92" s="218"/>
      <c r="AB92" s="218"/>
      <c r="AC92" s="218"/>
      <c r="AD92" s="219"/>
    </row>
    <row r="93" spans="1:30" ht="18.75" customHeight="1" thickTop="1" x14ac:dyDescent="0.25">
      <c r="N93" s="219"/>
      <c r="O93" s="220"/>
      <c r="P93" s="219"/>
      <c r="Q93" s="219"/>
      <c r="V93" s="218"/>
      <c r="W93" s="218"/>
      <c r="X93" s="218"/>
      <c r="Y93" s="218"/>
      <c r="Z93" s="218"/>
      <c r="AA93" s="218"/>
      <c r="AB93" s="218"/>
      <c r="AC93" s="218"/>
      <c r="AD93" s="214"/>
    </row>
    <row r="94" spans="1:30" ht="18.75" customHeight="1" thickBot="1" x14ac:dyDescent="0.3">
      <c r="B94" s="221" t="s">
        <v>158</v>
      </c>
      <c r="C94" s="13"/>
      <c r="D94" s="13"/>
      <c r="E94" s="13"/>
      <c r="G94" s="13"/>
      <c r="H94" s="13"/>
      <c r="I94" s="13"/>
      <c r="J94" s="13"/>
      <c r="L94" s="222">
        <f>IF(M86="H",(K86*0.02)+L86,(K86*0.05)+L86)</f>
        <v>88359.577798778715</v>
      </c>
      <c r="M94" s="202"/>
      <c r="V94" s="223"/>
      <c r="W94" s="223"/>
      <c r="X94" s="223"/>
      <c r="Y94" s="223"/>
      <c r="Z94" s="223"/>
      <c r="AA94" s="223"/>
      <c r="AB94" s="223"/>
      <c r="AC94" s="223"/>
      <c r="AD94" s="214"/>
    </row>
    <row r="95" spans="1:30" ht="21.75" customHeight="1" thickTop="1" x14ac:dyDescent="0.25">
      <c r="B95" s="224" t="s">
        <v>159</v>
      </c>
      <c r="C95" s="224"/>
      <c r="D95" s="224"/>
      <c r="E95" s="224"/>
      <c r="F95" s="224"/>
      <c r="G95" s="224"/>
      <c r="H95" s="224"/>
      <c r="I95" s="224"/>
      <c r="J95" s="224"/>
      <c r="K95" s="224"/>
      <c r="L95" s="224"/>
      <c r="M95" s="219"/>
      <c r="V95" s="223"/>
      <c r="W95" s="223"/>
      <c r="X95" s="223"/>
      <c r="Y95" s="223"/>
      <c r="Z95" s="223"/>
      <c r="AA95" s="223"/>
      <c r="AB95" s="223"/>
      <c r="AC95" s="223"/>
      <c r="AD95" s="214"/>
    </row>
    <row r="96" spans="1:30" x14ac:dyDescent="0.25">
      <c r="B96" s="225"/>
      <c r="V96" s="223"/>
      <c r="W96" s="223"/>
      <c r="X96" s="223"/>
      <c r="Y96" s="223"/>
      <c r="Z96" s="223"/>
      <c r="AA96" s="223"/>
      <c r="AB96" s="223"/>
      <c r="AC96" s="223"/>
      <c r="AD96" s="219"/>
    </row>
    <row r="97" spans="2:30" x14ac:dyDescent="0.25">
      <c r="B97" s="225"/>
      <c r="V97" s="223"/>
      <c r="W97" s="223"/>
      <c r="X97" s="223"/>
      <c r="Y97" s="223"/>
      <c r="Z97" s="223"/>
      <c r="AA97" s="223"/>
      <c r="AB97" s="223"/>
      <c r="AC97" s="223"/>
      <c r="AD97" s="219"/>
    </row>
    <row r="98" spans="2:30" hidden="1" x14ac:dyDescent="0.25">
      <c r="B98" s="226" t="s">
        <v>160</v>
      </c>
      <c r="C98" s="227"/>
      <c r="V98" s="228"/>
      <c r="W98" s="228"/>
      <c r="X98" s="228"/>
      <c r="Y98" s="228"/>
      <c r="Z98" s="228"/>
      <c r="AA98" s="228"/>
      <c r="AB98" s="228"/>
      <c r="AC98" s="228"/>
    </row>
    <row r="99" spans="2:30" hidden="1" x14ac:dyDescent="0.25">
      <c r="B99" s="229"/>
      <c r="C99" s="227"/>
      <c r="V99" s="225"/>
      <c r="W99" s="13"/>
      <c r="X99" s="13"/>
      <c r="Y99" s="13"/>
      <c r="Z99" s="13"/>
      <c r="AA99" s="13"/>
      <c r="AB99" s="13"/>
      <c r="AC99" s="13"/>
    </row>
    <row r="100" spans="2:30" hidden="1" x14ac:dyDescent="0.25">
      <c r="B100" s="230" t="s">
        <v>161</v>
      </c>
      <c r="C100" s="226" t="s">
        <v>162</v>
      </c>
      <c r="V100" s="225"/>
    </row>
    <row r="101" spans="2:30" hidden="1" x14ac:dyDescent="0.25">
      <c r="B101" s="230" t="s">
        <v>163</v>
      </c>
      <c r="C101" s="226" t="s">
        <v>164</v>
      </c>
      <c r="V101" s="225"/>
    </row>
    <row r="102" spans="2:30" hidden="1" x14ac:dyDescent="0.25">
      <c r="B102" s="230" t="s">
        <v>165</v>
      </c>
      <c r="C102" s="226" t="s">
        <v>166</v>
      </c>
      <c r="V102" s="225"/>
      <c r="W102" s="231"/>
      <c r="X102" s="231"/>
      <c r="Y102" s="231"/>
      <c r="Z102" s="231"/>
      <c r="AA102" s="231"/>
      <c r="AB102" s="231"/>
      <c r="AC102" s="231"/>
      <c r="AD102" s="231"/>
    </row>
    <row r="103" spans="2:30" hidden="1" x14ac:dyDescent="0.25">
      <c r="B103" s="230" t="s">
        <v>167</v>
      </c>
      <c r="C103" s="226" t="s">
        <v>168</v>
      </c>
      <c r="V103" s="225"/>
    </row>
    <row r="104" spans="2:30" hidden="1" x14ac:dyDescent="0.25">
      <c r="B104" s="232"/>
      <c r="C104" s="226" t="s">
        <v>169</v>
      </c>
      <c r="V104" s="225"/>
    </row>
    <row r="105" spans="2:30" hidden="1" x14ac:dyDescent="0.25">
      <c r="B105" s="230" t="s">
        <v>170</v>
      </c>
      <c r="C105" s="226" t="s">
        <v>171</v>
      </c>
      <c r="V105" s="225"/>
    </row>
    <row r="106" spans="2:30" hidden="1" x14ac:dyDescent="0.25">
      <c r="B106" s="230" t="s">
        <v>172</v>
      </c>
      <c r="C106" s="226" t="s">
        <v>173</v>
      </c>
      <c r="V106" s="225"/>
    </row>
    <row r="107" spans="2:30" hidden="1" x14ac:dyDescent="0.25">
      <c r="B107" s="230" t="s">
        <v>330</v>
      </c>
      <c r="C107" s="226" t="s">
        <v>175</v>
      </c>
      <c r="V107" s="225"/>
    </row>
    <row r="108" spans="2:30" hidden="1" x14ac:dyDescent="0.25">
      <c r="B108" s="230" t="s">
        <v>176</v>
      </c>
      <c r="C108" s="226" t="s">
        <v>177</v>
      </c>
      <c r="V108" s="225"/>
    </row>
    <row r="109" spans="2:30" hidden="1" x14ac:dyDescent="0.25">
      <c r="B109" s="230" t="s">
        <v>178</v>
      </c>
      <c r="C109" s="226" t="s">
        <v>179</v>
      </c>
      <c r="V109" s="225"/>
    </row>
    <row r="110" spans="2:30" hidden="1" x14ac:dyDescent="0.25">
      <c r="B110" s="232"/>
      <c r="C110" s="226"/>
      <c r="V110" s="225"/>
    </row>
    <row r="111" spans="2:30" hidden="1" x14ac:dyDescent="0.25">
      <c r="B111" s="230" t="s">
        <v>180</v>
      </c>
      <c r="C111" s="226" t="s">
        <v>181</v>
      </c>
      <c r="V111" s="225"/>
    </row>
    <row r="112" spans="2:30" hidden="1" x14ac:dyDescent="0.25">
      <c r="B112" s="230" t="s">
        <v>180</v>
      </c>
      <c r="C112" s="226" t="s">
        <v>182</v>
      </c>
    </row>
    <row r="113" spans="2:3" hidden="1" x14ac:dyDescent="0.25">
      <c r="B113" s="230" t="s">
        <v>183</v>
      </c>
      <c r="C113" s="226" t="s">
        <v>184</v>
      </c>
    </row>
    <row r="114" spans="2:3" hidden="1" x14ac:dyDescent="0.25">
      <c r="B114" s="230" t="s">
        <v>185</v>
      </c>
      <c r="C114" s="226" t="s">
        <v>186</v>
      </c>
    </row>
    <row r="115" spans="2:3" hidden="1" x14ac:dyDescent="0.25">
      <c r="B115" s="230" t="s">
        <v>183</v>
      </c>
      <c r="C115" s="226" t="s">
        <v>187</v>
      </c>
    </row>
    <row r="116" spans="2:3" hidden="1" x14ac:dyDescent="0.25">
      <c r="B116" s="230" t="s">
        <v>188</v>
      </c>
      <c r="C116" s="226" t="s">
        <v>189</v>
      </c>
    </row>
    <row r="117" spans="2:3" hidden="1" x14ac:dyDescent="0.25">
      <c r="B117" s="230" t="s">
        <v>190</v>
      </c>
      <c r="C117" s="226" t="s">
        <v>191</v>
      </c>
    </row>
    <row r="118" spans="2:3" hidden="1" x14ac:dyDescent="0.25">
      <c r="B118" s="232" t="s">
        <v>192</v>
      </c>
      <c r="C118" s="226" t="s">
        <v>193</v>
      </c>
    </row>
    <row r="119" spans="2:3" hidden="1" x14ac:dyDescent="0.25">
      <c r="B119" s="232"/>
      <c r="C119" s="226"/>
    </row>
    <row r="120" spans="2:3" hidden="1" x14ac:dyDescent="0.25">
      <c r="B120" s="230" t="s">
        <v>161</v>
      </c>
      <c r="C120" s="226" t="s">
        <v>194</v>
      </c>
    </row>
    <row r="121" spans="2:3" hidden="1" x14ac:dyDescent="0.25">
      <c r="B121" s="230" t="s">
        <v>195</v>
      </c>
      <c r="C121" s="226" t="s">
        <v>196</v>
      </c>
    </row>
    <row r="122" spans="2:3" hidden="1" x14ac:dyDescent="0.25">
      <c r="B122" s="230" t="s">
        <v>197</v>
      </c>
      <c r="C122" s="226" t="s">
        <v>198</v>
      </c>
    </row>
    <row r="123" spans="2:3" hidden="1" x14ac:dyDescent="0.25">
      <c r="B123" s="230" t="s">
        <v>331</v>
      </c>
      <c r="C123" s="226" t="s">
        <v>200</v>
      </c>
    </row>
    <row r="124" spans="2:3" hidden="1" x14ac:dyDescent="0.25">
      <c r="B124" s="230" t="s">
        <v>332</v>
      </c>
      <c r="C124" s="226" t="s">
        <v>202</v>
      </c>
    </row>
    <row r="125" spans="2:3" hidden="1" x14ac:dyDescent="0.25">
      <c r="B125" s="230" t="s">
        <v>203</v>
      </c>
      <c r="C125" s="226" t="s">
        <v>204</v>
      </c>
    </row>
    <row r="126" spans="2:3" hidden="1" x14ac:dyDescent="0.25">
      <c r="B126" s="230" t="s">
        <v>203</v>
      </c>
      <c r="C126" s="226" t="s">
        <v>205</v>
      </c>
    </row>
    <row r="127" spans="2:3" hidden="1" x14ac:dyDescent="0.25">
      <c r="B127" s="230" t="s">
        <v>203</v>
      </c>
      <c r="C127" s="226" t="s">
        <v>206</v>
      </c>
    </row>
    <row r="128" spans="2:3" hidden="1" x14ac:dyDescent="0.25">
      <c r="B128" s="230" t="s">
        <v>203</v>
      </c>
      <c r="C128" s="226" t="s">
        <v>207</v>
      </c>
    </row>
    <row r="129" spans="2:3" hidden="1" x14ac:dyDescent="0.25">
      <c r="B129" s="230" t="s">
        <v>167</v>
      </c>
      <c r="C129" s="226" t="s">
        <v>208</v>
      </c>
    </row>
    <row r="130" spans="2:3" hidden="1" x14ac:dyDescent="0.25">
      <c r="B130" s="230" t="s">
        <v>209</v>
      </c>
      <c r="C130" s="226" t="s">
        <v>210</v>
      </c>
    </row>
    <row r="131" spans="2:3" hidden="1" x14ac:dyDescent="0.25">
      <c r="B131" s="230" t="s">
        <v>203</v>
      </c>
      <c r="C131" s="226" t="s">
        <v>211</v>
      </c>
    </row>
    <row r="132" spans="2:3" hidden="1" x14ac:dyDescent="0.25">
      <c r="B132" s="226"/>
      <c r="C132" s="226"/>
    </row>
    <row r="133" spans="2:3" hidden="1" x14ac:dyDescent="0.25">
      <c r="B133" s="226"/>
      <c r="C133" s="226"/>
    </row>
    <row r="134" spans="2:3" hidden="1" x14ac:dyDescent="0.25">
      <c r="B134" s="232"/>
      <c r="C134" s="232"/>
    </row>
    <row r="135" spans="2:3" hidden="1" x14ac:dyDescent="0.25">
      <c r="B135" s="232">
        <f>NvsElapsedTime</f>
        <v>1.15740767796524E-5</v>
      </c>
      <c r="C135" s="232"/>
    </row>
    <row r="136" spans="2:3" hidden="1" x14ac:dyDescent="0.25">
      <c r="B136" s="233">
        <f>NvsEndTime</f>
        <v>41754.488171296303</v>
      </c>
      <c r="C136" s="233" t="s">
        <v>212</v>
      </c>
    </row>
    <row r="137" spans="2:3" x14ac:dyDescent="0.25">
      <c r="B137" s="226"/>
      <c r="C137" s="234"/>
    </row>
    <row r="138" spans="2:3" x14ac:dyDescent="0.25">
      <c r="B138" s="226"/>
      <c r="C138" s="226"/>
    </row>
    <row r="139" spans="2:3" x14ac:dyDescent="0.25">
      <c r="B139" s="226"/>
      <c r="C139" s="226"/>
    </row>
    <row r="140" spans="2:3" x14ac:dyDescent="0.25">
      <c r="B140" s="226"/>
      <c r="C140" s="226"/>
    </row>
    <row r="141" spans="2:3" x14ac:dyDescent="0.25">
      <c r="B141" s="226"/>
      <c r="C141" s="226"/>
    </row>
    <row r="142" spans="2:3" x14ac:dyDescent="0.25">
      <c r="B142" s="226"/>
      <c r="C142" s="226"/>
    </row>
    <row r="143" spans="2:3" x14ac:dyDescent="0.25">
      <c r="B143" s="226"/>
      <c r="C143" s="226"/>
    </row>
    <row r="144" spans="2:3" x14ac:dyDescent="0.25">
      <c r="B144" s="226"/>
      <c r="C144" s="226"/>
    </row>
    <row r="145" spans="2:3" x14ac:dyDescent="0.25">
      <c r="B145" s="226"/>
      <c r="C145" s="226"/>
    </row>
    <row r="146" spans="2:3" x14ac:dyDescent="0.25">
      <c r="B146" s="226"/>
      <c r="C146" s="226"/>
    </row>
    <row r="147" spans="2:3" x14ac:dyDescent="0.25">
      <c r="B147" s="226"/>
      <c r="C147" s="226"/>
    </row>
    <row r="148" spans="2:3" x14ac:dyDescent="0.25">
      <c r="B148" s="226"/>
      <c r="C148" s="226"/>
    </row>
    <row r="149" spans="2:3" x14ac:dyDescent="0.25">
      <c r="B149" s="226"/>
      <c r="C149" s="226"/>
    </row>
    <row r="150" spans="2:3" x14ac:dyDescent="0.25">
      <c r="B150" s="226"/>
      <c r="C150" s="226"/>
    </row>
    <row r="151" spans="2:3" x14ac:dyDescent="0.25">
      <c r="B151" s="226"/>
      <c r="C151" s="226"/>
    </row>
  </sheetData>
  <mergeCells count="151">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9:W9"/>
    <mergeCell ref="X9:Y9"/>
    <mergeCell ref="Z9:AA9"/>
    <mergeCell ref="V10:W10"/>
    <mergeCell ref="X10:Y10"/>
    <mergeCell ref="Z10:AA10"/>
    <mergeCell ref="V7:W7"/>
    <mergeCell ref="X7:Y7"/>
    <mergeCell ref="Z7:AA7"/>
    <mergeCell ref="AB7:AC7"/>
    <mergeCell ref="V8:W8"/>
    <mergeCell ref="X8:Y8"/>
    <mergeCell ref="Z8:AA8"/>
    <mergeCell ref="W2:AC2"/>
    <mergeCell ref="V3:AC3"/>
    <mergeCell ref="V4:AC4"/>
    <mergeCell ref="V5:W5"/>
    <mergeCell ref="X5:Y5"/>
    <mergeCell ref="V6:AC6"/>
  </mergeCells>
  <printOptions horizontalCentered="1"/>
  <pageMargins left="0" right="0" top="0.67" bottom="0.2" header="0.25" footer="0.196850393700787"/>
  <pageSetup scale="83" fitToWidth="2" fitToHeight="2" orientation="portrait" r:id="rId1"/>
  <headerFooter alignWithMargins="0">
    <oddHeader>&amp;L&amp;8&amp;F
&amp;D &amp;T</oddHeader>
    <oddFooter>&amp;C&amp;P</oddFooter>
  </headerFooter>
  <rowBreaks count="1" manualBreakCount="1">
    <brk id="51" max="16383"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51"/>
  <sheetViews>
    <sheetView topLeftCell="B2" zoomScale="70" zoomScaleNormal="70" workbookViewId="0">
      <selection activeCell="H22" sqref="H22"/>
    </sheetView>
  </sheetViews>
  <sheetFormatPr defaultColWidth="8.85546875" defaultRowHeight="15.75" x14ac:dyDescent="0.25"/>
  <cols>
    <col min="1" max="1" width="11.28515625" style="1" hidden="1" customWidth="1"/>
    <col min="2" max="2" width="10.28515625" style="2" customWidth="1"/>
    <col min="3" max="3" width="29" style="1" customWidth="1"/>
    <col min="4" max="5" width="12.28515625" style="1" customWidth="1"/>
    <col min="6" max="6" width="12.28515625" style="1" hidden="1" customWidth="1"/>
    <col min="7" max="7" width="15.28515625" style="1" customWidth="1"/>
    <col min="8" max="8" width="6.7109375" style="1" customWidth="1"/>
    <col min="9" max="9" width="12.5703125" style="1" customWidth="1"/>
    <col min="10" max="10" width="12.85546875" style="1" customWidth="1"/>
    <col min="11" max="11" width="15.5703125" style="1" bestFit="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28515625" style="1" customWidth="1"/>
    <col min="18" max="18" width="8.85546875" style="1"/>
    <col min="19" max="21" width="0" style="1" hidden="1" customWidth="1"/>
    <col min="22" max="23" width="8.85546875" style="1"/>
    <col min="24" max="24" width="12.7109375" style="1" customWidth="1"/>
    <col min="25" max="27" width="8.85546875" style="1"/>
    <col min="28" max="28" width="13.140625" style="1" bestFit="1" customWidth="1"/>
    <col min="29" max="16384" width="8.85546875" style="1"/>
  </cols>
  <sheetData>
    <row r="1" spans="1:30" ht="15.6"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7"/>
      <c r="N2" s="3"/>
      <c r="O2" s="1"/>
      <c r="V2" s="8">
        <f>'0642 June Final'!B2</f>
        <v>50</v>
      </c>
      <c r="W2" s="606" t="s">
        <v>4</v>
      </c>
      <c r="X2" s="607"/>
      <c r="Y2" s="608"/>
      <c r="Z2" s="608"/>
      <c r="AA2" s="608"/>
      <c r="AB2" s="608"/>
      <c r="AC2" s="608"/>
      <c r="AD2" s="9"/>
    </row>
    <row r="3" spans="1:30" ht="20.25" x14ac:dyDescent="0.3">
      <c r="B3" s="10" t="str">
        <f>"Revenue Estimate Worksheet for "&amp;B124</f>
        <v>Revenue Estimate Worksheet for Day Star Acad of Excellence CS</v>
      </c>
      <c r="C3" s="11"/>
      <c r="D3" s="11"/>
      <c r="E3" s="11"/>
      <c r="F3" s="11"/>
      <c r="G3" s="11"/>
      <c r="H3" s="11"/>
      <c r="I3" s="11"/>
      <c r="J3" s="11"/>
      <c r="K3" s="11"/>
      <c r="L3" s="11"/>
      <c r="M3" s="10"/>
      <c r="N3" s="10"/>
      <c r="O3" s="10"/>
      <c r="P3" s="10"/>
      <c r="Q3" s="10"/>
      <c r="V3" s="609" t="s">
        <v>5</v>
      </c>
      <c r="W3" s="609"/>
      <c r="X3" s="609"/>
      <c r="Y3" s="609"/>
      <c r="Z3" s="609"/>
      <c r="AA3" s="609"/>
      <c r="AB3" s="609"/>
      <c r="AC3" s="609"/>
      <c r="AD3" s="12"/>
    </row>
    <row r="4" spans="1:30" ht="18.75" x14ac:dyDescent="0.3">
      <c r="B4" s="2" t="s">
        <v>6</v>
      </c>
      <c r="C4" s="13"/>
      <c r="D4" s="13"/>
      <c r="E4" s="13"/>
      <c r="F4" s="13"/>
      <c r="G4" s="13"/>
      <c r="H4" s="13"/>
      <c r="I4" s="13"/>
      <c r="J4" s="13"/>
      <c r="K4" s="13"/>
      <c r="L4" s="13"/>
      <c r="M4" s="14"/>
      <c r="N4" s="14"/>
      <c r="O4" s="14"/>
      <c r="P4" s="14"/>
      <c r="Q4" s="14"/>
      <c r="V4" s="610" t="str">
        <f>+Based_on_the_Second_Calculation_of_the_FEFP_2010_11</f>
        <v>Based on the Fourth Calculation of the FEFP 2013-14</v>
      </c>
      <c r="W4" s="610"/>
      <c r="X4" s="610"/>
      <c r="Y4" s="610"/>
      <c r="Z4" s="610"/>
      <c r="AA4" s="610"/>
      <c r="AB4" s="610"/>
      <c r="AC4" s="610"/>
      <c r="AD4" s="15"/>
    </row>
    <row r="5" spans="1:30" ht="18.75" customHeight="1" x14ac:dyDescent="0.25">
      <c r="B5" s="16" t="s">
        <v>7</v>
      </c>
      <c r="C5" s="16"/>
      <c r="D5" s="16"/>
      <c r="E5" s="16"/>
      <c r="F5" s="16"/>
      <c r="G5" s="17" t="s">
        <v>8</v>
      </c>
      <c r="H5" s="17"/>
      <c r="I5" s="17"/>
      <c r="J5" s="17"/>
      <c r="K5" s="17"/>
      <c r="L5" s="17"/>
      <c r="M5" s="18"/>
      <c r="N5" s="18"/>
      <c r="O5" s="18"/>
      <c r="P5" s="18"/>
      <c r="Q5" s="18"/>
      <c r="V5" s="611" t="s">
        <v>7</v>
      </c>
      <c r="W5" s="611"/>
      <c r="X5" s="612" t="s">
        <v>8</v>
      </c>
      <c r="Y5" s="612"/>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613" t="s">
        <v>9</v>
      </c>
      <c r="W6" s="613"/>
      <c r="X6" s="613"/>
      <c r="Y6" s="613"/>
      <c r="Z6" s="613"/>
      <c r="AA6" s="613"/>
      <c r="AB6" s="613"/>
      <c r="AC6" s="613"/>
      <c r="AD6" s="22"/>
    </row>
    <row r="7" spans="1:30" ht="18" customHeight="1" x14ac:dyDescent="0.25">
      <c r="B7" s="23" t="s">
        <v>10</v>
      </c>
      <c r="C7" s="23"/>
      <c r="D7" s="23"/>
      <c r="E7" s="23"/>
      <c r="F7" s="23"/>
      <c r="G7" s="24">
        <v>3752.3</v>
      </c>
      <c r="H7" s="24"/>
      <c r="I7" s="23" t="s">
        <v>11</v>
      </c>
      <c r="J7" s="23"/>
      <c r="K7" s="25">
        <v>1.0326</v>
      </c>
      <c r="L7" s="25"/>
      <c r="O7" s="1"/>
      <c r="V7" s="620" t="s">
        <v>10</v>
      </c>
      <c r="W7" s="620"/>
      <c r="X7" s="621">
        <f>'0642 June Final'!G7</f>
        <v>3752.3</v>
      </c>
      <c r="Y7" s="621"/>
      <c r="Z7" s="622" t="s">
        <v>11</v>
      </c>
      <c r="AA7" s="622"/>
      <c r="AB7" s="602">
        <f>+K7</f>
        <v>1.0326</v>
      </c>
      <c r="AC7" s="602"/>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603" t="s">
        <v>12</v>
      </c>
      <c r="W8" s="603"/>
      <c r="X8" s="604" t="s">
        <v>15</v>
      </c>
      <c r="Y8" s="604"/>
      <c r="Z8" s="605" t="s">
        <v>16</v>
      </c>
      <c r="AA8" s="605"/>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614" t="s">
        <v>22</v>
      </c>
      <c r="W9" s="614"/>
      <c r="X9" s="615" t="s">
        <v>23</v>
      </c>
      <c r="Y9" s="615"/>
      <c r="Z9" s="616" t="s">
        <v>24</v>
      </c>
      <c r="AA9" s="616"/>
      <c r="AB9" s="43" t="s">
        <v>25</v>
      </c>
      <c r="AC9" s="44" t="s">
        <v>26</v>
      </c>
      <c r="AD9" s="9"/>
    </row>
    <row r="10" spans="1:30" x14ac:dyDescent="0.25">
      <c r="A10" s="1" t="s">
        <v>27</v>
      </c>
      <c r="B10" s="45" t="s">
        <v>28</v>
      </c>
      <c r="C10" s="45"/>
      <c r="D10" s="45">
        <v>22.82</v>
      </c>
      <c r="E10" s="45">
        <v>20.62</v>
      </c>
      <c r="F10" s="45">
        <v>26.34</v>
      </c>
      <c r="G10" s="46">
        <f t="shared" ref="G10:G25" si="0">D10+E10</f>
        <v>43.44</v>
      </c>
      <c r="H10" s="47"/>
      <c r="I10" s="48">
        <v>1.125</v>
      </c>
      <c r="J10" s="48"/>
      <c r="K10" s="49">
        <f t="shared" ref="K10:K25" si="1">ROUND(G10*I10,4)</f>
        <v>48.87</v>
      </c>
      <c r="L10" s="50">
        <f t="shared" ref="L10:L25" si="2">ROUND(ROUND(K10*$G$7,4)*($K$7),0)</f>
        <v>189353</v>
      </c>
      <c r="N10" s="51">
        <v>5101</v>
      </c>
      <c r="O10" s="52">
        <v>101</v>
      </c>
      <c r="P10" s="53"/>
      <c r="Q10" s="54"/>
      <c r="V10" s="617" t="s">
        <v>28</v>
      </c>
      <c r="W10" s="617"/>
      <c r="X10" s="618">
        <f>IF('0642 June Final'!K$84=1,'0642 June Final'!G10,0)</f>
        <v>0</v>
      </c>
      <c r="Y10" s="618"/>
      <c r="Z10" s="619">
        <v>1</v>
      </c>
      <c r="AA10" s="619"/>
      <c r="AB10" s="55">
        <f t="shared" ref="AB10:AB25" si="3">ROUND(X10*Z10,4)</f>
        <v>0</v>
      </c>
      <c r="AC10" s="56">
        <f t="shared" ref="AC10:AC25" si="4">ROUND(ROUND(AB10*$X$7,4)*($AB$7),0)</f>
        <v>0</v>
      </c>
      <c r="AD10" s="9">
        <v>1</v>
      </c>
    </row>
    <row r="11" spans="1:30" x14ac:dyDescent="0.25">
      <c r="A11" s="1" t="s">
        <v>29</v>
      </c>
      <c r="B11" s="13" t="s">
        <v>30</v>
      </c>
      <c r="C11" s="13"/>
      <c r="D11" s="13">
        <v>2</v>
      </c>
      <c r="E11" s="13">
        <v>2</v>
      </c>
      <c r="F11" s="13">
        <v>2.41</v>
      </c>
      <c r="G11" s="46">
        <f t="shared" si="0"/>
        <v>4</v>
      </c>
      <c r="H11" s="47"/>
      <c r="I11" s="57">
        <f>I10</f>
        <v>1.125</v>
      </c>
      <c r="J11" s="57"/>
      <c r="K11" s="49">
        <f t="shared" si="1"/>
        <v>4.5</v>
      </c>
      <c r="L11" s="50">
        <f t="shared" si="2"/>
        <v>17436</v>
      </c>
      <c r="M11" s="1" t="str">
        <f>IF(ROUND(G11,2)=ROUND(SUM(G28:G30),2)," ","CHECK 2. PK-3 Lines Below")</f>
        <v xml:space="preserve"> </v>
      </c>
      <c r="N11" s="51">
        <v>5101</v>
      </c>
      <c r="O11" s="58" t="s">
        <v>31</v>
      </c>
      <c r="P11" s="53"/>
      <c r="Q11" s="54"/>
      <c r="V11" s="623" t="s">
        <v>30</v>
      </c>
      <c r="W11" s="623"/>
      <c r="X11" s="618">
        <f>IF('0642 June Final'!K$84=1,'0642 June Final'!G11,0)</f>
        <v>0</v>
      </c>
      <c r="Y11" s="618"/>
      <c r="Z11" s="624">
        <v>1</v>
      </c>
      <c r="AA11" s="624"/>
      <c r="AB11" s="55">
        <f t="shared" si="3"/>
        <v>0</v>
      </c>
      <c r="AC11" s="56">
        <f t="shared" si="4"/>
        <v>0</v>
      </c>
      <c r="AD11" s="9"/>
    </row>
    <row r="12" spans="1:30" x14ac:dyDescent="0.25">
      <c r="A12" s="1" t="s">
        <v>32</v>
      </c>
      <c r="B12" s="13" t="s">
        <v>33</v>
      </c>
      <c r="C12" s="13"/>
      <c r="D12" s="13">
        <v>12.53</v>
      </c>
      <c r="E12" s="13">
        <v>12.39</v>
      </c>
      <c r="F12" s="13">
        <v>14.32</v>
      </c>
      <c r="G12" s="46">
        <f t="shared" si="0"/>
        <v>24.92</v>
      </c>
      <c r="H12" s="47"/>
      <c r="I12" s="57">
        <v>1</v>
      </c>
      <c r="J12" s="57"/>
      <c r="K12" s="49">
        <f t="shared" si="1"/>
        <v>24.92</v>
      </c>
      <c r="L12" s="50">
        <f t="shared" si="2"/>
        <v>96556</v>
      </c>
      <c r="N12" s="51">
        <v>5102</v>
      </c>
      <c r="O12" s="52">
        <v>102</v>
      </c>
      <c r="P12" s="53"/>
      <c r="Q12" s="54"/>
      <c r="V12" s="623" t="s">
        <v>33</v>
      </c>
      <c r="W12" s="623"/>
      <c r="X12" s="618">
        <f>IF('0642 June Final'!K$84=1,'0642 June Final'!G12,0)</f>
        <v>0</v>
      </c>
      <c r="Y12" s="618"/>
      <c r="Z12" s="624">
        <v>1</v>
      </c>
      <c r="AA12" s="624"/>
      <c r="AB12" s="55">
        <f t="shared" si="3"/>
        <v>0</v>
      </c>
      <c r="AC12" s="56">
        <f t="shared" si="4"/>
        <v>0</v>
      </c>
      <c r="AD12" s="9"/>
    </row>
    <row r="13" spans="1:30" x14ac:dyDescent="0.25">
      <c r="A13" s="1" t="s">
        <v>34</v>
      </c>
      <c r="B13" s="13" t="s">
        <v>35</v>
      </c>
      <c r="C13" s="13"/>
      <c r="D13" s="13">
        <v>1</v>
      </c>
      <c r="E13" s="13">
        <v>1</v>
      </c>
      <c r="F13" s="13">
        <v>1.19</v>
      </c>
      <c r="G13" s="46">
        <f t="shared" si="0"/>
        <v>2</v>
      </c>
      <c r="H13" s="47"/>
      <c r="I13" s="57">
        <f>I12</f>
        <v>1</v>
      </c>
      <c r="J13" s="57"/>
      <c r="K13" s="49">
        <f t="shared" si="1"/>
        <v>2</v>
      </c>
      <c r="L13" s="50">
        <f t="shared" si="2"/>
        <v>7749</v>
      </c>
      <c r="M13" s="1" t="str">
        <f>IF(ROUND(G13,2)=ROUND(SUM(G31:G33),2)," ","CHECK 2. PK-3 Lines Below")</f>
        <v xml:space="preserve"> </v>
      </c>
      <c r="N13" s="51">
        <v>5102</v>
      </c>
      <c r="O13" s="58" t="s">
        <v>36</v>
      </c>
      <c r="P13" s="53"/>
      <c r="Q13" s="54"/>
      <c r="V13" s="623" t="s">
        <v>35</v>
      </c>
      <c r="W13" s="623"/>
      <c r="X13" s="618">
        <f>IF('0642 June Final'!K$84=1,'0642 June Final'!G13,0)</f>
        <v>0</v>
      </c>
      <c r="Y13" s="618"/>
      <c r="Z13" s="624">
        <v>1</v>
      </c>
      <c r="AA13" s="624"/>
      <c r="AB13" s="55">
        <f t="shared" si="3"/>
        <v>0</v>
      </c>
      <c r="AC13" s="56">
        <f t="shared" si="4"/>
        <v>0</v>
      </c>
      <c r="AD13" s="9"/>
    </row>
    <row r="14" spans="1:30" x14ac:dyDescent="0.25">
      <c r="A14" s="1" t="s">
        <v>37</v>
      </c>
      <c r="B14" s="13" t="s">
        <v>38</v>
      </c>
      <c r="C14" s="13"/>
      <c r="D14" s="13">
        <v>0</v>
      </c>
      <c r="E14" s="13">
        <v>0</v>
      </c>
      <c r="F14" s="13">
        <v>0</v>
      </c>
      <c r="G14" s="46">
        <f t="shared" si="0"/>
        <v>0</v>
      </c>
      <c r="H14" s="47"/>
      <c r="I14" s="57">
        <v>1.0109999999999999</v>
      </c>
      <c r="J14" s="57"/>
      <c r="K14" s="49">
        <f t="shared" si="1"/>
        <v>0</v>
      </c>
      <c r="L14" s="50">
        <f t="shared" si="2"/>
        <v>0</v>
      </c>
      <c r="N14" s="51">
        <v>5103</v>
      </c>
      <c r="O14" s="52">
        <v>103</v>
      </c>
      <c r="P14" s="53"/>
      <c r="Q14" s="54"/>
      <c r="V14" s="623" t="s">
        <v>38</v>
      </c>
      <c r="W14" s="623"/>
      <c r="X14" s="618">
        <f>IF('0642 June Final'!K$84=1,'0642 June Final'!G14,0)</f>
        <v>0</v>
      </c>
      <c r="Y14" s="618"/>
      <c r="Z14" s="624">
        <v>1</v>
      </c>
      <c r="AA14" s="624"/>
      <c r="AB14" s="55">
        <f t="shared" si="3"/>
        <v>0</v>
      </c>
      <c r="AC14" s="56">
        <f t="shared" si="4"/>
        <v>0</v>
      </c>
      <c r="AD14" s="9"/>
    </row>
    <row r="15" spans="1:30" x14ac:dyDescent="0.25">
      <c r="A15" s="1" t="s">
        <v>39</v>
      </c>
      <c r="B15" s="13" t="s">
        <v>40</v>
      </c>
      <c r="C15" s="13"/>
      <c r="D15" s="13">
        <v>0</v>
      </c>
      <c r="E15" s="13">
        <v>0</v>
      </c>
      <c r="F15" s="13">
        <v>0</v>
      </c>
      <c r="G15" s="46">
        <f t="shared" si="0"/>
        <v>0</v>
      </c>
      <c r="H15" s="47"/>
      <c r="I15" s="57">
        <f>I14</f>
        <v>1.0109999999999999</v>
      </c>
      <c r="J15" s="57"/>
      <c r="K15" s="49">
        <f t="shared" si="1"/>
        <v>0</v>
      </c>
      <c r="L15" s="59">
        <f t="shared" si="2"/>
        <v>0</v>
      </c>
      <c r="M15" s="1" t="str">
        <f>IF(ROUND(G15,2)=ROUND(SUM(G34:G36),2)," ","CHECK 2. PK-3 Lines Below")</f>
        <v xml:space="preserve"> </v>
      </c>
      <c r="N15" s="51">
        <v>5103</v>
      </c>
      <c r="O15" s="58" t="s">
        <v>41</v>
      </c>
      <c r="P15" s="53"/>
      <c r="Q15" s="54"/>
      <c r="V15" s="623" t="s">
        <v>40</v>
      </c>
      <c r="W15" s="623"/>
      <c r="X15" s="618">
        <f>IF('0642 June Final'!K$84=1,'0642 June Final'!G15,0)</f>
        <v>0</v>
      </c>
      <c r="Y15" s="618"/>
      <c r="Z15" s="624">
        <v>1</v>
      </c>
      <c r="AA15" s="624"/>
      <c r="AB15" s="55">
        <f t="shared" si="3"/>
        <v>0</v>
      </c>
      <c r="AC15" s="60">
        <f t="shared" si="4"/>
        <v>0</v>
      </c>
      <c r="AD15" s="9"/>
    </row>
    <row r="16" spans="1:30" x14ac:dyDescent="0.25">
      <c r="A16" s="1" t="s">
        <v>42</v>
      </c>
      <c r="B16" s="13" t="s">
        <v>43</v>
      </c>
      <c r="C16" s="13"/>
      <c r="D16" s="13">
        <v>0</v>
      </c>
      <c r="E16" s="13">
        <v>0</v>
      </c>
      <c r="F16" s="13">
        <v>0</v>
      </c>
      <c r="G16" s="46">
        <f t="shared" si="0"/>
        <v>0</v>
      </c>
      <c r="H16" s="47"/>
      <c r="I16" s="57">
        <v>3.5579999999999998</v>
      </c>
      <c r="J16" s="57"/>
      <c r="K16" s="49">
        <f t="shared" si="1"/>
        <v>0</v>
      </c>
      <c r="L16" s="50">
        <f t="shared" si="2"/>
        <v>0</v>
      </c>
      <c r="N16" s="51">
        <v>5101</v>
      </c>
      <c r="O16" s="53">
        <v>254</v>
      </c>
      <c r="P16" s="53"/>
      <c r="Q16" s="54"/>
      <c r="V16" s="623" t="s">
        <v>43</v>
      </c>
      <c r="W16" s="623"/>
      <c r="X16" s="618">
        <f>IF('0642 June Final'!K$84=1,'0642 June Final'!G16,0)</f>
        <v>0</v>
      </c>
      <c r="Y16" s="618"/>
      <c r="Z16" s="624">
        <v>1</v>
      </c>
      <c r="AA16" s="624"/>
      <c r="AB16" s="55">
        <f t="shared" si="3"/>
        <v>0</v>
      </c>
      <c r="AC16" s="56">
        <f t="shared" si="4"/>
        <v>0</v>
      </c>
      <c r="AD16" s="9"/>
    </row>
    <row r="17" spans="1:30" x14ac:dyDescent="0.25">
      <c r="A17" s="1" t="s">
        <v>44</v>
      </c>
      <c r="B17" s="13" t="s">
        <v>45</v>
      </c>
      <c r="C17" s="13"/>
      <c r="D17" s="13">
        <v>0</v>
      </c>
      <c r="E17" s="13">
        <v>0</v>
      </c>
      <c r="F17" s="13">
        <v>0</v>
      </c>
      <c r="G17" s="46">
        <f t="shared" si="0"/>
        <v>0</v>
      </c>
      <c r="H17" s="47"/>
      <c r="I17" s="57">
        <f>I16</f>
        <v>3.5579999999999998</v>
      </c>
      <c r="J17" s="57"/>
      <c r="K17" s="49">
        <f t="shared" si="1"/>
        <v>0</v>
      </c>
      <c r="L17" s="50">
        <f t="shared" si="2"/>
        <v>0</v>
      </c>
      <c r="N17" s="51">
        <v>5102</v>
      </c>
      <c r="O17" s="54">
        <v>254</v>
      </c>
      <c r="P17" s="53"/>
      <c r="Q17" s="54"/>
      <c r="V17" s="623" t="s">
        <v>45</v>
      </c>
      <c r="W17" s="623"/>
      <c r="X17" s="618">
        <f>IF('0642 June Final'!K$84=1,'0642 June Final'!G17,0)</f>
        <v>0</v>
      </c>
      <c r="Y17" s="618"/>
      <c r="Z17" s="624">
        <v>1</v>
      </c>
      <c r="AA17" s="624"/>
      <c r="AB17" s="55">
        <f t="shared" si="3"/>
        <v>0</v>
      </c>
      <c r="AC17" s="56">
        <f t="shared" si="4"/>
        <v>0</v>
      </c>
      <c r="AD17" s="9"/>
    </row>
    <row r="18" spans="1:30" x14ac:dyDescent="0.25">
      <c r="A18" s="1" t="s">
        <v>46</v>
      </c>
      <c r="B18" s="13" t="s">
        <v>47</v>
      </c>
      <c r="C18" s="13"/>
      <c r="D18" s="13">
        <v>0</v>
      </c>
      <c r="E18" s="13">
        <v>0</v>
      </c>
      <c r="F18" s="13">
        <v>0</v>
      </c>
      <c r="G18" s="46">
        <f t="shared" si="0"/>
        <v>0</v>
      </c>
      <c r="H18" s="47"/>
      <c r="I18" s="57">
        <f>I17</f>
        <v>3.5579999999999998</v>
      </c>
      <c r="J18" s="57"/>
      <c r="K18" s="49">
        <f t="shared" si="1"/>
        <v>0</v>
      </c>
      <c r="L18" s="50">
        <f t="shared" si="2"/>
        <v>0</v>
      </c>
      <c r="N18" s="51">
        <v>5103</v>
      </c>
      <c r="O18" s="54">
        <v>254</v>
      </c>
      <c r="P18" s="53"/>
      <c r="Q18" s="54"/>
      <c r="V18" s="623" t="s">
        <v>47</v>
      </c>
      <c r="W18" s="623"/>
      <c r="X18" s="618">
        <f>IF('0642 June Final'!K$84=1,'0642 June Final'!G18,0)</f>
        <v>0</v>
      </c>
      <c r="Y18" s="618"/>
      <c r="Z18" s="624">
        <v>1</v>
      </c>
      <c r="AA18" s="624"/>
      <c r="AB18" s="55">
        <f t="shared" si="3"/>
        <v>0</v>
      </c>
      <c r="AC18" s="56">
        <f t="shared" si="4"/>
        <v>0</v>
      </c>
      <c r="AD18" s="9"/>
    </row>
    <row r="19" spans="1:30" ht="15" customHeight="1" x14ac:dyDescent="0.25">
      <c r="A19" s="1" t="s">
        <v>48</v>
      </c>
      <c r="B19" s="13" t="s">
        <v>49</v>
      </c>
      <c r="C19" s="13"/>
      <c r="D19" s="13">
        <v>0</v>
      </c>
      <c r="E19" s="13">
        <v>0</v>
      </c>
      <c r="F19" s="13">
        <v>0</v>
      </c>
      <c r="G19" s="46">
        <f t="shared" si="0"/>
        <v>0</v>
      </c>
      <c r="H19" s="47"/>
      <c r="I19" s="57">
        <v>5.0890000000000004</v>
      </c>
      <c r="J19" s="57"/>
      <c r="K19" s="49">
        <f t="shared" si="1"/>
        <v>0</v>
      </c>
      <c r="L19" s="50">
        <f t="shared" si="2"/>
        <v>0</v>
      </c>
      <c r="N19" s="51">
        <v>5101</v>
      </c>
      <c r="O19" s="53">
        <v>255</v>
      </c>
      <c r="P19" s="53"/>
      <c r="Q19" s="54"/>
      <c r="V19" s="623" t="s">
        <v>49</v>
      </c>
      <c r="W19" s="623"/>
      <c r="X19" s="618">
        <f>IF('0642 June Final'!K$84=1,'0642 June Final'!G19,0)</f>
        <v>0</v>
      </c>
      <c r="Y19" s="618"/>
      <c r="Z19" s="624">
        <v>1</v>
      </c>
      <c r="AA19" s="624"/>
      <c r="AB19" s="55">
        <f t="shared" si="3"/>
        <v>0</v>
      </c>
      <c r="AC19" s="56">
        <f t="shared" si="4"/>
        <v>0</v>
      </c>
      <c r="AD19" s="9"/>
    </row>
    <row r="20" spans="1:30" ht="15" customHeight="1" x14ac:dyDescent="0.25">
      <c r="A20" s="1" t="s">
        <v>50</v>
      </c>
      <c r="B20" s="13" t="s">
        <v>51</v>
      </c>
      <c r="C20" s="13"/>
      <c r="D20" s="13">
        <v>0</v>
      </c>
      <c r="E20" s="13">
        <v>0</v>
      </c>
      <c r="F20" s="13">
        <v>0</v>
      </c>
      <c r="G20" s="46">
        <f t="shared" si="0"/>
        <v>0</v>
      </c>
      <c r="H20" s="47"/>
      <c r="I20" s="57">
        <f>I19</f>
        <v>5.0890000000000004</v>
      </c>
      <c r="J20" s="57"/>
      <c r="K20" s="49">
        <f t="shared" si="1"/>
        <v>0</v>
      </c>
      <c r="L20" s="50">
        <f t="shared" si="2"/>
        <v>0</v>
      </c>
      <c r="N20" s="51">
        <v>5102</v>
      </c>
      <c r="O20" s="54">
        <v>255</v>
      </c>
      <c r="P20" s="53"/>
      <c r="Q20" s="54"/>
      <c r="V20" s="623" t="s">
        <v>51</v>
      </c>
      <c r="W20" s="623"/>
      <c r="X20" s="618">
        <f>IF('0642 June Final'!K$84=1,'0642 June Final'!G20,0)</f>
        <v>0</v>
      </c>
      <c r="Y20" s="618"/>
      <c r="Z20" s="624">
        <v>1</v>
      </c>
      <c r="AA20" s="624"/>
      <c r="AB20" s="55">
        <f t="shared" si="3"/>
        <v>0</v>
      </c>
      <c r="AC20" s="56">
        <f t="shared" si="4"/>
        <v>0</v>
      </c>
      <c r="AD20" s="9"/>
    </row>
    <row r="21" spans="1:30" ht="15" customHeight="1" x14ac:dyDescent="0.25">
      <c r="A21" s="1" t="s">
        <v>52</v>
      </c>
      <c r="B21" s="13" t="s">
        <v>53</v>
      </c>
      <c r="C21" s="13"/>
      <c r="D21" s="13">
        <v>0</v>
      </c>
      <c r="E21" s="13">
        <v>0</v>
      </c>
      <c r="F21" s="13">
        <v>0</v>
      </c>
      <c r="G21" s="46">
        <f t="shared" si="0"/>
        <v>0</v>
      </c>
      <c r="H21" s="47"/>
      <c r="I21" s="57">
        <f>I20</f>
        <v>5.0890000000000004</v>
      </c>
      <c r="J21" s="57"/>
      <c r="K21" s="49">
        <f t="shared" si="1"/>
        <v>0</v>
      </c>
      <c r="L21" s="50">
        <f t="shared" si="2"/>
        <v>0</v>
      </c>
      <c r="N21" s="51">
        <v>5103</v>
      </c>
      <c r="O21" s="54">
        <v>255</v>
      </c>
      <c r="P21" s="53"/>
      <c r="Q21" s="54"/>
      <c r="V21" s="623" t="s">
        <v>53</v>
      </c>
      <c r="W21" s="623"/>
      <c r="X21" s="618">
        <f>IF('0642 June Final'!K$84=1,'0642 June Final'!G21,0)</f>
        <v>0</v>
      </c>
      <c r="Y21" s="618"/>
      <c r="Z21" s="624">
        <v>1</v>
      </c>
      <c r="AA21" s="624"/>
      <c r="AB21" s="55">
        <f t="shared" si="3"/>
        <v>0</v>
      </c>
      <c r="AC21" s="56">
        <f t="shared" si="4"/>
        <v>0</v>
      </c>
      <c r="AD21" s="9"/>
    </row>
    <row r="22" spans="1:30" x14ac:dyDescent="0.25">
      <c r="A22" s="1" t="s">
        <v>54</v>
      </c>
      <c r="B22" s="13" t="s">
        <v>55</v>
      </c>
      <c r="C22" s="13"/>
      <c r="D22" s="13">
        <v>3</v>
      </c>
      <c r="E22" s="13">
        <v>3.36</v>
      </c>
      <c r="F22" s="13">
        <v>4</v>
      </c>
      <c r="G22" s="46">
        <f t="shared" si="0"/>
        <v>6.3599999999999994</v>
      </c>
      <c r="H22" s="47"/>
      <c r="I22" s="57">
        <v>1.145</v>
      </c>
      <c r="J22" s="57"/>
      <c r="K22" s="49">
        <f t="shared" si="1"/>
        <v>7.2821999999999996</v>
      </c>
      <c r="L22" s="50">
        <f t="shared" si="2"/>
        <v>28216</v>
      </c>
      <c r="N22" s="51">
        <v>5101</v>
      </c>
      <c r="O22" s="52">
        <v>130</v>
      </c>
      <c r="P22" s="53"/>
      <c r="Q22" s="54"/>
      <c r="V22" s="623" t="s">
        <v>55</v>
      </c>
      <c r="W22" s="623"/>
      <c r="X22" s="618">
        <f>IF('0642 June Final'!K$84=1,'0642 June Final'!G22,0)</f>
        <v>0</v>
      </c>
      <c r="Y22" s="618"/>
      <c r="Z22" s="624">
        <v>1</v>
      </c>
      <c r="AA22" s="624"/>
      <c r="AB22" s="55">
        <f t="shared" si="3"/>
        <v>0</v>
      </c>
      <c r="AC22" s="56">
        <f t="shared" si="4"/>
        <v>0</v>
      </c>
      <c r="AD22" s="9"/>
    </row>
    <row r="23" spans="1:30" x14ac:dyDescent="0.25">
      <c r="A23" s="1" t="s">
        <v>56</v>
      </c>
      <c r="B23" s="13" t="s">
        <v>57</v>
      </c>
      <c r="C23" s="13"/>
      <c r="D23" s="13">
        <v>0.44</v>
      </c>
      <c r="E23" s="13">
        <v>0.8</v>
      </c>
      <c r="F23" s="13">
        <v>0</v>
      </c>
      <c r="G23" s="46">
        <f t="shared" si="0"/>
        <v>1.24</v>
      </c>
      <c r="H23" s="47"/>
      <c r="I23" s="57">
        <f>I22</f>
        <v>1.145</v>
      </c>
      <c r="J23" s="57"/>
      <c r="K23" s="49">
        <f t="shared" si="1"/>
        <v>1.4198</v>
      </c>
      <c r="L23" s="50">
        <f t="shared" si="2"/>
        <v>5501</v>
      </c>
      <c r="N23" s="51">
        <v>5102</v>
      </c>
      <c r="O23" s="52">
        <v>130</v>
      </c>
      <c r="P23" s="53"/>
      <c r="Q23" s="54"/>
      <c r="V23" s="623" t="s">
        <v>57</v>
      </c>
      <c r="W23" s="623"/>
      <c r="X23" s="618">
        <f>IF('0642 June Final'!K$84=1,'0642 June Final'!G23,0)</f>
        <v>0</v>
      </c>
      <c r="Y23" s="618"/>
      <c r="Z23" s="624">
        <v>1</v>
      </c>
      <c r="AA23" s="624"/>
      <c r="AB23" s="55">
        <f t="shared" si="3"/>
        <v>0</v>
      </c>
      <c r="AC23" s="56">
        <f t="shared" si="4"/>
        <v>0</v>
      </c>
      <c r="AD23" s="9"/>
    </row>
    <row r="24" spans="1:30" x14ac:dyDescent="0.25">
      <c r="A24" s="1" t="s">
        <v>58</v>
      </c>
      <c r="B24" s="13" t="s">
        <v>59</v>
      </c>
      <c r="C24" s="13"/>
      <c r="D24" s="13">
        <v>0</v>
      </c>
      <c r="E24" s="13">
        <v>0</v>
      </c>
      <c r="F24" s="13">
        <v>0</v>
      </c>
      <c r="G24" s="46">
        <f t="shared" si="0"/>
        <v>0</v>
      </c>
      <c r="H24" s="47"/>
      <c r="I24" s="57">
        <f>I23</f>
        <v>1.145</v>
      </c>
      <c r="J24" s="57"/>
      <c r="K24" s="49">
        <f t="shared" si="1"/>
        <v>0</v>
      </c>
      <c r="L24" s="50">
        <f t="shared" si="2"/>
        <v>0</v>
      </c>
      <c r="N24" s="51">
        <v>5103</v>
      </c>
      <c r="O24" s="52">
        <v>130</v>
      </c>
      <c r="P24" s="53"/>
      <c r="Q24" s="54"/>
      <c r="V24" s="623" t="s">
        <v>59</v>
      </c>
      <c r="W24" s="623"/>
      <c r="X24" s="618">
        <f>IF('0642 June Final'!K$84=1,'0642 June Final'!G24,0)</f>
        <v>0</v>
      </c>
      <c r="Y24" s="618"/>
      <c r="Z24" s="624">
        <v>1</v>
      </c>
      <c r="AA24" s="624"/>
      <c r="AB24" s="55">
        <f t="shared" si="3"/>
        <v>0</v>
      </c>
      <c r="AC24" s="56">
        <f t="shared" si="4"/>
        <v>0</v>
      </c>
      <c r="AD24" s="9"/>
    </row>
    <row r="25" spans="1:30" ht="16.5" thickBot="1" x14ac:dyDescent="0.3">
      <c r="A25" s="1" t="s">
        <v>60</v>
      </c>
      <c r="B25" s="13" t="s">
        <v>61</v>
      </c>
      <c r="C25" s="13"/>
      <c r="D25" s="13">
        <v>0</v>
      </c>
      <c r="E25" s="13">
        <v>0</v>
      </c>
      <c r="F25" s="13">
        <v>0</v>
      </c>
      <c r="G25" s="46">
        <f t="shared" si="0"/>
        <v>0</v>
      </c>
      <c r="H25" s="47"/>
      <c r="I25" s="57">
        <v>1.0109999999999999</v>
      </c>
      <c r="J25" s="57"/>
      <c r="K25" s="49">
        <f t="shared" si="1"/>
        <v>0</v>
      </c>
      <c r="L25" s="50">
        <f t="shared" si="2"/>
        <v>0</v>
      </c>
      <c r="N25" s="51">
        <v>5310</v>
      </c>
      <c r="O25" s="52">
        <v>300</v>
      </c>
      <c r="P25" s="53"/>
      <c r="Q25" s="54"/>
      <c r="V25" s="623" t="s">
        <v>61</v>
      </c>
      <c r="W25" s="623"/>
      <c r="X25" s="618">
        <f>IF('0642 June Final'!K$84=1,'0642 June Final'!G25,0)</f>
        <v>0</v>
      </c>
      <c r="Y25" s="618"/>
      <c r="Z25" s="624">
        <v>1</v>
      </c>
      <c r="AA25" s="624"/>
      <c r="AB25" s="55">
        <f t="shared" si="3"/>
        <v>0</v>
      </c>
      <c r="AC25" s="56">
        <f t="shared" si="4"/>
        <v>0</v>
      </c>
      <c r="AD25" s="9"/>
    </row>
    <row r="26" spans="1:30" ht="20.25" customHeight="1" thickBot="1" x14ac:dyDescent="0.3">
      <c r="B26" s="62" t="s">
        <v>62</v>
      </c>
      <c r="C26" s="62"/>
      <c r="D26" s="63">
        <f>SUM(D10:D25)</f>
        <v>41.79</v>
      </c>
      <c r="E26" s="63">
        <f>SUM(E10:E25)</f>
        <v>40.17</v>
      </c>
      <c r="F26" s="63"/>
      <c r="G26" s="63">
        <f>SUM(G10:G25)</f>
        <v>81.96</v>
      </c>
      <c r="H26" s="64"/>
      <c r="I26" s="64"/>
      <c r="J26" s="65"/>
      <c r="K26" s="66">
        <f>SUM(K10:K25)</f>
        <v>88.99199999999999</v>
      </c>
      <c r="L26" s="67">
        <f>SUM(L10:L25)</f>
        <v>344811</v>
      </c>
      <c r="N26" s="54"/>
      <c r="O26" s="68"/>
      <c r="P26" s="54"/>
      <c r="Q26" s="54"/>
      <c r="V26" s="625" t="s">
        <v>62</v>
      </c>
      <c r="W26" s="625"/>
      <c r="X26" s="626">
        <f>SUM(X10:X25)</f>
        <v>0</v>
      </c>
      <c r="Y26" s="626"/>
      <c r="Z26" s="627"/>
      <c r="AA26" s="628"/>
      <c r="AB26" s="69">
        <f>SUM(AB10:AB25)</f>
        <v>0</v>
      </c>
      <c r="AC26" s="70">
        <f>SUM(AC10:AC25)</f>
        <v>0</v>
      </c>
      <c r="AD26" s="9"/>
    </row>
    <row r="27" spans="1:30" ht="51.75" customHeight="1" x14ac:dyDescent="0.25">
      <c r="B27" s="62" t="s">
        <v>63</v>
      </c>
      <c r="C27" s="62"/>
      <c r="D27" s="71" t="s">
        <v>13</v>
      </c>
      <c r="E27" s="71" t="s">
        <v>14</v>
      </c>
      <c r="F27" s="27"/>
      <c r="G27" s="72" t="s">
        <v>64</v>
      </c>
      <c r="H27" s="73"/>
      <c r="I27" s="74" t="s">
        <v>65</v>
      </c>
      <c r="J27" s="74" t="s">
        <v>66</v>
      </c>
      <c r="K27" s="75" t="s">
        <v>67</v>
      </c>
      <c r="N27" s="54"/>
      <c r="O27" s="68"/>
      <c r="P27" s="54"/>
      <c r="Q27" s="54"/>
      <c r="V27" s="629" t="s">
        <v>63</v>
      </c>
      <c r="W27" s="629"/>
      <c r="X27" s="630" t="s">
        <v>64</v>
      </c>
      <c r="Y27" s="630"/>
      <c r="Z27" s="76" t="s">
        <v>65</v>
      </c>
      <c r="AA27" s="77" t="s">
        <v>66</v>
      </c>
      <c r="AB27" s="78" t="s">
        <v>67</v>
      </c>
      <c r="AC27" s="9"/>
      <c r="AD27" s="9"/>
    </row>
    <row r="28" spans="1:30" ht="15.75" customHeight="1" x14ac:dyDescent="0.25">
      <c r="A28" s="1" t="s">
        <v>68</v>
      </c>
      <c r="B28" s="631" t="s">
        <v>69</v>
      </c>
      <c r="C28" s="632"/>
      <c r="D28" s="13">
        <v>2</v>
      </c>
      <c r="E28" s="13">
        <v>2</v>
      </c>
      <c r="F28" s="79">
        <v>3</v>
      </c>
      <c r="G28" s="46">
        <f t="shared" ref="G28:G36" si="5">D28+E28</f>
        <v>4</v>
      </c>
      <c r="H28" s="80"/>
      <c r="I28" s="81" t="s">
        <v>70</v>
      </c>
      <c r="J28" s="82">
        <v>251</v>
      </c>
      <c r="K28" s="83">
        <v>1047</v>
      </c>
      <c r="L28" s="84">
        <f t="shared" ref="L28:L36" si="6">ROUND(G28*K28,0)</f>
        <v>4188</v>
      </c>
      <c r="N28" s="337">
        <v>5101</v>
      </c>
      <c r="O28" s="54">
        <v>251</v>
      </c>
      <c r="P28" s="86"/>
      <c r="Q28" s="87"/>
      <c r="V28" s="637" t="s">
        <v>69</v>
      </c>
      <c r="W28" s="637"/>
      <c r="X28" s="638"/>
      <c r="Y28" s="638"/>
      <c r="Z28" s="88" t="s">
        <v>70</v>
      </c>
      <c r="AA28" s="330">
        <v>251</v>
      </c>
      <c r="AB28" s="90">
        <f t="shared" ref="AB28:AB36" si="7">+K28</f>
        <v>1047</v>
      </c>
      <c r="AC28" s="91">
        <f t="shared" ref="AC28:AC36" si="8">ROUND(X28*AB28,0)</f>
        <v>0</v>
      </c>
      <c r="AD28" s="9"/>
    </row>
    <row r="29" spans="1:30" x14ac:dyDescent="0.25">
      <c r="A29" s="1" t="s">
        <v>71</v>
      </c>
      <c r="B29" s="633"/>
      <c r="C29" s="634"/>
      <c r="D29" s="13">
        <v>0</v>
      </c>
      <c r="E29" s="13">
        <v>0</v>
      </c>
      <c r="F29" s="92">
        <v>0</v>
      </c>
      <c r="G29" s="46">
        <f t="shared" si="5"/>
        <v>0</v>
      </c>
      <c r="H29" s="80"/>
      <c r="I29" s="82" t="s">
        <v>70</v>
      </c>
      <c r="J29" s="82">
        <v>252</v>
      </c>
      <c r="K29" s="83">
        <v>3380</v>
      </c>
      <c r="L29" s="84">
        <f t="shared" si="6"/>
        <v>0</v>
      </c>
      <c r="N29" s="337">
        <v>5101</v>
      </c>
      <c r="O29" s="54">
        <v>252</v>
      </c>
      <c r="P29" s="86"/>
      <c r="Q29" s="87"/>
      <c r="V29" s="637"/>
      <c r="W29" s="637"/>
      <c r="X29" s="638"/>
      <c r="Y29" s="638"/>
      <c r="Z29" s="330" t="s">
        <v>70</v>
      </c>
      <c r="AA29" s="330">
        <v>252</v>
      </c>
      <c r="AB29" s="90">
        <f t="shared" si="7"/>
        <v>3380</v>
      </c>
      <c r="AC29" s="91">
        <f t="shared" si="8"/>
        <v>0</v>
      </c>
      <c r="AD29" s="9"/>
    </row>
    <row r="30" spans="1:30" x14ac:dyDescent="0.25">
      <c r="A30" s="1" t="s">
        <v>72</v>
      </c>
      <c r="B30" s="633"/>
      <c r="C30" s="634"/>
      <c r="D30" s="13">
        <v>0</v>
      </c>
      <c r="E30" s="13">
        <v>0</v>
      </c>
      <c r="F30" s="92">
        <v>0</v>
      </c>
      <c r="G30" s="46">
        <f t="shared" si="5"/>
        <v>0</v>
      </c>
      <c r="H30" s="80"/>
      <c r="I30" s="82" t="s">
        <v>70</v>
      </c>
      <c r="J30" s="82">
        <v>253</v>
      </c>
      <c r="K30" s="83">
        <v>6896</v>
      </c>
      <c r="L30" s="84">
        <f t="shared" si="6"/>
        <v>0</v>
      </c>
      <c r="N30" s="337">
        <v>5101</v>
      </c>
      <c r="O30" s="54">
        <v>253</v>
      </c>
      <c r="P30" s="86"/>
      <c r="Q30" s="68"/>
      <c r="V30" s="637"/>
      <c r="W30" s="637"/>
      <c r="X30" s="638"/>
      <c r="Y30" s="638"/>
      <c r="Z30" s="330" t="s">
        <v>70</v>
      </c>
      <c r="AA30" s="330">
        <v>253</v>
      </c>
      <c r="AB30" s="90">
        <f t="shared" si="7"/>
        <v>6896</v>
      </c>
      <c r="AC30" s="91">
        <f t="shared" si="8"/>
        <v>0</v>
      </c>
      <c r="AD30" s="9"/>
    </row>
    <row r="31" spans="1:30" x14ac:dyDescent="0.25">
      <c r="A31" s="1" t="s">
        <v>73</v>
      </c>
      <c r="B31" s="633"/>
      <c r="C31" s="634"/>
      <c r="D31" s="13">
        <v>1</v>
      </c>
      <c r="E31" s="13">
        <v>1</v>
      </c>
      <c r="F31" s="92">
        <v>2</v>
      </c>
      <c r="G31" s="46">
        <f t="shared" si="5"/>
        <v>2</v>
      </c>
      <c r="H31" s="80"/>
      <c r="I31" s="93" t="s">
        <v>74</v>
      </c>
      <c r="J31" s="82">
        <v>251</v>
      </c>
      <c r="K31" s="83">
        <v>1173</v>
      </c>
      <c r="L31" s="84">
        <f t="shared" si="6"/>
        <v>2346</v>
      </c>
      <c r="N31" s="337">
        <v>5102</v>
      </c>
      <c r="O31" s="54">
        <v>251</v>
      </c>
      <c r="P31" s="86"/>
      <c r="Q31" s="68"/>
      <c r="V31" s="637"/>
      <c r="W31" s="637"/>
      <c r="X31" s="638"/>
      <c r="Y31" s="638"/>
      <c r="Z31" s="94" t="s">
        <v>74</v>
      </c>
      <c r="AA31" s="330">
        <v>251</v>
      </c>
      <c r="AB31" s="90">
        <f t="shared" si="7"/>
        <v>1173</v>
      </c>
      <c r="AC31" s="91">
        <f t="shared" si="8"/>
        <v>0</v>
      </c>
      <c r="AD31" s="9"/>
    </row>
    <row r="32" spans="1:30" x14ac:dyDescent="0.25">
      <c r="A32" s="1" t="s">
        <v>75</v>
      </c>
      <c r="B32" s="633"/>
      <c r="C32" s="634"/>
      <c r="D32" s="13">
        <v>0</v>
      </c>
      <c r="E32" s="13">
        <v>0</v>
      </c>
      <c r="F32" s="92">
        <v>0</v>
      </c>
      <c r="G32" s="46">
        <f t="shared" si="5"/>
        <v>0</v>
      </c>
      <c r="H32" s="80"/>
      <c r="I32" s="93" t="s">
        <v>74</v>
      </c>
      <c r="J32" s="82">
        <v>252</v>
      </c>
      <c r="K32" s="83">
        <v>3506</v>
      </c>
      <c r="L32" s="84">
        <f t="shared" si="6"/>
        <v>0</v>
      </c>
      <c r="N32" s="337">
        <v>5102</v>
      </c>
      <c r="O32" s="54">
        <v>252</v>
      </c>
      <c r="P32" s="86"/>
      <c r="Q32" s="54"/>
      <c r="V32" s="637"/>
      <c r="W32" s="637"/>
      <c r="X32" s="638"/>
      <c r="Y32" s="638"/>
      <c r="Z32" s="94" t="s">
        <v>74</v>
      </c>
      <c r="AA32" s="330">
        <v>252</v>
      </c>
      <c r="AB32" s="90">
        <f t="shared" si="7"/>
        <v>3506</v>
      </c>
      <c r="AC32" s="91">
        <f t="shared" si="8"/>
        <v>0</v>
      </c>
      <c r="AD32" s="9"/>
    </row>
    <row r="33" spans="1:30" x14ac:dyDescent="0.25">
      <c r="A33" s="1" t="s">
        <v>76</v>
      </c>
      <c r="B33" s="633"/>
      <c r="C33" s="634"/>
      <c r="D33" s="13">
        <v>0</v>
      </c>
      <c r="E33" s="13">
        <v>0</v>
      </c>
      <c r="F33" s="92">
        <v>0</v>
      </c>
      <c r="G33" s="46">
        <f t="shared" si="5"/>
        <v>0</v>
      </c>
      <c r="H33" s="80"/>
      <c r="I33" s="93" t="s">
        <v>74</v>
      </c>
      <c r="J33" s="82">
        <v>253</v>
      </c>
      <c r="K33" s="83">
        <v>7023</v>
      </c>
      <c r="L33" s="84">
        <f t="shared" si="6"/>
        <v>0</v>
      </c>
      <c r="N33" s="337">
        <v>5102</v>
      </c>
      <c r="O33" s="54">
        <v>253</v>
      </c>
      <c r="P33" s="86"/>
      <c r="Q33" s="87"/>
      <c r="V33" s="637"/>
      <c r="W33" s="637"/>
      <c r="X33" s="638"/>
      <c r="Y33" s="638"/>
      <c r="Z33" s="94" t="s">
        <v>74</v>
      </c>
      <c r="AA33" s="330">
        <v>253</v>
      </c>
      <c r="AB33" s="90">
        <f t="shared" si="7"/>
        <v>7023</v>
      </c>
      <c r="AC33" s="91">
        <f t="shared" si="8"/>
        <v>0</v>
      </c>
      <c r="AD33" s="9"/>
    </row>
    <row r="34" spans="1:30" x14ac:dyDescent="0.25">
      <c r="A34" s="1" t="s">
        <v>77</v>
      </c>
      <c r="B34" s="633"/>
      <c r="C34" s="634"/>
      <c r="D34" s="13">
        <v>0</v>
      </c>
      <c r="E34" s="13">
        <v>0</v>
      </c>
      <c r="F34" s="92">
        <v>0</v>
      </c>
      <c r="G34" s="46">
        <f t="shared" si="5"/>
        <v>0</v>
      </c>
      <c r="H34" s="80"/>
      <c r="I34" s="93" t="s">
        <v>78</v>
      </c>
      <c r="J34" s="82">
        <v>251</v>
      </c>
      <c r="K34" s="83">
        <v>835</v>
      </c>
      <c r="L34" s="84">
        <f t="shared" si="6"/>
        <v>0</v>
      </c>
      <c r="N34" s="337">
        <v>5103</v>
      </c>
      <c r="O34" s="54">
        <v>251</v>
      </c>
      <c r="P34" s="86"/>
      <c r="Q34" s="87"/>
      <c r="V34" s="637"/>
      <c r="W34" s="637"/>
      <c r="X34" s="638"/>
      <c r="Y34" s="638"/>
      <c r="Z34" s="94" t="s">
        <v>78</v>
      </c>
      <c r="AA34" s="330">
        <v>251</v>
      </c>
      <c r="AB34" s="90">
        <f t="shared" si="7"/>
        <v>835</v>
      </c>
      <c r="AC34" s="91">
        <f t="shared" si="8"/>
        <v>0</v>
      </c>
      <c r="AD34" s="9"/>
    </row>
    <row r="35" spans="1:30" x14ac:dyDescent="0.25">
      <c r="A35" s="1" t="s">
        <v>79</v>
      </c>
      <c r="B35" s="633"/>
      <c r="C35" s="634"/>
      <c r="D35" s="13">
        <v>0</v>
      </c>
      <c r="E35" s="13">
        <v>0</v>
      </c>
      <c r="F35" s="92">
        <v>0</v>
      </c>
      <c r="G35" s="46">
        <f t="shared" si="5"/>
        <v>0</v>
      </c>
      <c r="H35" s="80"/>
      <c r="I35" s="93" t="s">
        <v>78</v>
      </c>
      <c r="J35" s="82">
        <v>252</v>
      </c>
      <c r="K35" s="83">
        <v>3168</v>
      </c>
      <c r="L35" s="84">
        <f t="shared" si="6"/>
        <v>0</v>
      </c>
      <c r="N35" s="337">
        <v>5103</v>
      </c>
      <c r="O35" s="54">
        <v>252</v>
      </c>
      <c r="P35" s="86"/>
      <c r="Q35" s="95"/>
      <c r="V35" s="637"/>
      <c r="W35" s="637"/>
      <c r="X35" s="638"/>
      <c r="Y35" s="638"/>
      <c r="Z35" s="94" t="s">
        <v>78</v>
      </c>
      <c r="AA35" s="330">
        <v>252</v>
      </c>
      <c r="AB35" s="90">
        <f t="shared" si="7"/>
        <v>3168</v>
      </c>
      <c r="AC35" s="91">
        <f t="shared" si="8"/>
        <v>0</v>
      </c>
      <c r="AD35" s="9"/>
    </row>
    <row r="36" spans="1:30" ht="16.5" thickBot="1" x14ac:dyDescent="0.3">
      <c r="A36" s="1" t="s">
        <v>80</v>
      </c>
      <c r="B36" s="635"/>
      <c r="C36" s="636"/>
      <c r="D36" s="13">
        <v>0</v>
      </c>
      <c r="E36" s="13">
        <v>0</v>
      </c>
      <c r="F36" s="92">
        <v>0</v>
      </c>
      <c r="G36" s="46">
        <f t="shared" si="5"/>
        <v>0</v>
      </c>
      <c r="H36" s="80"/>
      <c r="I36" s="93" t="s">
        <v>78</v>
      </c>
      <c r="J36" s="82">
        <v>253</v>
      </c>
      <c r="K36" s="83">
        <v>6685</v>
      </c>
      <c r="L36" s="96">
        <f t="shared" si="6"/>
        <v>0</v>
      </c>
      <c r="N36" s="337">
        <v>5103</v>
      </c>
      <c r="O36" s="54">
        <v>253</v>
      </c>
      <c r="P36" s="86"/>
      <c r="Q36" s="97"/>
      <c r="V36" s="637"/>
      <c r="W36" s="637"/>
      <c r="X36" s="645"/>
      <c r="Y36" s="645"/>
      <c r="Z36" s="94" t="s">
        <v>78</v>
      </c>
      <c r="AA36" s="330">
        <v>253</v>
      </c>
      <c r="AB36" s="90">
        <f t="shared" si="7"/>
        <v>6685</v>
      </c>
      <c r="AC36" s="98">
        <f t="shared" si="8"/>
        <v>0</v>
      </c>
      <c r="AD36" s="9"/>
    </row>
    <row r="37" spans="1:30" ht="18.75" customHeight="1" x14ac:dyDescent="0.25">
      <c r="B37" s="13" t="s">
        <v>81</v>
      </c>
      <c r="C37" s="13"/>
      <c r="D37" s="63">
        <f>SUM(D28:D36)</f>
        <v>3</v>
      </c>
      <c r="E37" s="63">
        <f>SUM(E28:E36)</f>
        <v>3</v>
      </c>
      <c r="F37" s="63"/>
      <c r="G37" s="63">
        <f>SUM(G28:G36)</f>
        <v>6</v>
      </c>
      <c r="H37" s="64"/>
      <c r="I37" s="13" t="s">
        <v>82</v>
      </c>
      <c r="J37" s="13"/>
      <c r="K37" s="13"/>
      <c r="L37" s="50">
        <f>SUM(L28:L36)</f>
        <v>6534</v>
      </c>
      <c r="N37" s="54"/>
      <c r="O37" s="68"/>
      <c r="P37" s="54"/>
      <c r="Q37" s="54"/>
      <c r="V37" s="646" t="s">
        <v>81</v>
      </c>
      <c r="W37" s="646"/>
      <c r="X37" s="626">
        <f>SUM(X28:X36)</f>
        <v>0</v>
      </c>
      <c r="Y37" s="626"/>
      <c r="Z37" s="646" t="s">
        <v>82</v>
      </c>
      <c r="AA37" s="646"/>
      <c r="AB37" s="646"/>
      <c r="AC37" s="56">
        <f>SUM(AC28:AC36)</f>
        <v>0</v>
      </c>
      <c r="AD37" s="9"/>
    </row>
    <row r="38" spans="1:30" ht="30.75" customHeight="1" x14ac:dyDescent="0.25">
      <c r="B38" s="99" t="s">
        <v>83</v>
      </c>
      <c r="C38" s="99"/>
      <c r="D38" s="99"/>
      <c r="E38" s="99"/>
      <c r="F38" s="99"/>
      <c r="G38" s="99"/>
      <c r="H38" s="100"/>
      <c r="I38" s="99"/>
      <c r="J38" s="99"/>
      <c r="K38" s="99"/>
      <c r="L38" s="99"/>
      <c r="M38" s="101"/>
      <c r="N38" s="54"/>
      <c r="O38" s="68"/>
      <c r="P38" s="54"/>
      <c r="Q38" s="54"/>
      <c r="V38" s="639" t="s">
        <v>83</v>
      </c>
      <c r="W38" s="639"/>
      <c r="X38" s="639"/>
      <c r="Y38" s="639"/>
      <c r="Z38" s="639"/>
      <c r="AA38" s="639"/>
      <c r="AB38" s="639"/>
      <c r="AC38" s="639"/>
      <c r="AD38" s="102"/>
    </row>
    <row r="39" spans="1:30" ht="15.75" customHeight="1" x14ac:dyDescent="0.25">
      <c r="B39" s="103" t="s">
        <v>84</v>
      </c>
      <c r="C39" s="103"/>
      <c r="D39" s="103"/>
      <c r="E39" s="103"/>
      <c r="F39" s="103"/>
      <c r="G39" s="104">
        <v>34389540</v>
      </c>
      <c r="H39" s="104"/>
      <c r="I39" s="13" t="s">
        <v>85</v>
      </c>
      <c r="J39" s="13"/>
      <c r="K39" s="13"/>
      <c r="L39" s="13"/>
      <c r="O39" s="1"/>
      <c r="V39" s="640" t="s">
        <v>84</v>
      </c>
      <c r="W39" s="640"/>
      <c r="X39" s="641">
        <f>+G39</f>
        <v>34389540</v>
      </c>
      <c r="Y39" s="641"/>
      <c r="Z39" s="642" t="s">
        <v>85</v>
      </c>
      <c r="AA39" s="642"/>
      <c r="AB39" s="642"/>
      <c r="AC39" s="642"/>
      <c r="AD39" s="9"/>
    </row>
    <row r="40" spans="1:30" ht="15.75" customHeight="1" x14ac:dyDescent="0.25">
      <c r="B40" s="105" t="s">
        <v>86</v>
      </c>
      <c r="C40" s="105"/>
      <c r="D40" s="105"/>
      <c r="E40" s="105"/>
      <c r="F40" s="105"/>
      <c r="G40" s="106">
        <v>180284.81</v>
      </c>
      <c r="H40" s="106"/>
      <c r="I40" s="106"/>
      <c r="J40" s="106"/>
      <c r="K40" s="50">
        <f>ROUND(G39/G40,0)</f>
        <v>191</v>
      </c>
      <c r="L40" s="50">
        <f>ROUND(K40*$G$26,0)</f>
        <v>15654</v>
      </c>
      <c r="N40" s="107"/>
      <c r="O40" s="107"/>
      <c r="P40" s="107"/>
      <c r="Q40" s="107"/>
      <c r="V40" s="643" t="s">
        <v>86</v>
      </c>
      <c r="W40" s="643"/>
      <c r="X40" s="644">
        <f>+G40</f>
        <v>180284.81</v>
      </c>
      <c r="Y40" s="644"/>
      <c r="Z40" s="644"/>
      <c r="AA40" s="644"/>
      <c r="AB40" s="56">
        <f>ROUND(X39/X40,0)</f>
        <v>191</v>
      </c>
      <c r="AC40" s="56">
        <f>ROUND(AB40*$X$26,0)</f>
        <v>0</v>
      </c>
      <c r="AD40" s="9"/>
    </row>
    <row r="41" spans="1:30" ht="15.75" customHeight="1" x14ac:dyDescent="0.25">
      <c r="B41" s="108" t="s">
        <v>87</v>
      </c>
      <c r="C41" s="108"/>
      <c r="D41" s="108"/>
      <c r="E41" s="108"/>
      <c r="F41" s="108"/>
      <c r="G41" s="108"/>
      <c r="H41" s="108"/>
      <c r="I41" s="108"/>
      <c r="J41" s="108"/>
      <c r="K41" s="108"/>
      <c r="L41" s="108"/>
      <c r="N41" s="101"/>
      <c r="O41" s="109"/>
      <c r="P41" s="101"/>
      <c r="Q41" s="101"/>
      <c r="V41" s="652" t="s">
        <v>87</v>
      </c>
      <c r="W41" s="652"/>
      <c r="X41" s="652"/>
      <c r="Y41" s="652"/>
      <c r="Z41" s="652"/>
      <c r="AA41" s="652"/>
      <c r="AB41" s="652"/>
      <c r="AC41" s="652"/>
      <c r="AD41" s="9"/>
    </row>
    <row r="42" spans="1:30" ht="28.5" customHeight="1" x14ac:dyDescent="0.25">
      <c r="B42" s="99" t="s">
        <v>88</v>
      </c>
      <c r="C42" s="99"/>
      <c r="D42" s="99"/>
      <c r="E42" s="99"/>
      <c r="F42" s="99"/>
      <c r="G42" s="99"/>
      <c r="H42" s="99"/>
      <c r="I42" s="99"/>
      <c r="J42" s="99"/>
      <c r="K42" s="99"/>
      <c r="L42" s="99"/>
      <c r="M42" s="107"/>
      <c r="O42" s="1"/>
      <c r="V42" s="639" t="s">
        <v>88</v>
      </c>
      <c r="W42" s="639"/>
      <c r="X42" s="639"/>
      <c r="Y42" s="639"/>
      <c r="Z42" s="639"/>
      <c r="AA42" s="639"/>
      <c r="AB42" s="639"/>
      <c r="AC42" s="639"/>
      <c r="AD42" s="334"/>
    </row>
    <row r="43" spans="1:30" x14ac:dyDescent="0.25">
      <c r="B43" s="111" t="s">
        <v>89</v>
      </c>
      <c r="C43" s="111"/>
      <c r="D43" s="111"/>
      <c r="E43" s="111"/>
      <c r="F43" s="111"/>
      <c r="G43" s="111"/>
      <c r="H43" s="111"/>
      <c r="I43" s="111"/>
      <c r="J43" s="111"/>
      <c r="K43" s="111"/>
      <c r="L43" s="111"/>
      <c r="M43" s="112"/>
      <c r="N43" s="101"/>
      <c r="O43" s="101"/>
      <c r="P43" s="101"/>
      <c r="Q43" s="101"/>
      <c r="V43" s="653" t="s">
        <v>89</v>
      </c>
      <c r="W43" s="653"/>
      <c r="X43" s="653"/>
      <c r="Y43" s="653"/>
      <c r="Z43" s="653"/>
      <c r="AA43" s="653"/>
      <c r="AB43" s="653"/>
      <c r="AC43" s="653"/>
      <c r="AD43" s="113"/>
    </row>
    <row r="44" spans="1:30" ht="24" customHeight="1" x14ac:dyDescent="0.25">
      <c r="B44" s="62" t="s">
        <v>90</v>
      </c>
      <c r="C44" s="62"/>
      <c r="D44" s="62"/>
      <c r="E44" s="62"/>
      <c r="F44" s="62"/>
      <c r="G44" s="62"/>
      <c r="H44" s="62"/>
      <c r="I44" s="62"/>
      <c r="J44" s="62"/>
      <c r="K44" s="62"/>
      <c r="L44" s="114">
        <f>SUM(L26,L37,L40)</f>
        <v>366999</v>
      </c>
      <c r="O44" s="1"/>
      <c r="V44" s="654" t="s">
        <v>90</v>
      </c>
      <c r="W44" s="654"/>
      <c r="X44" s="654"/>
      <c r="Y44" s="654"/>
      <c r="Z44" s="654"/>
      <c r="AA44" s="654"/>
      <c r="AB44" s="654"/>
      <c r="AC44" s="115">
        <f>SUM(AC26,AC37,AC40)</f>
        <v>0</v>
      </c>
      <c r="AD44" s="9"/>
    </row>
    <row r="45" spans="1:30" ht="30.75" customHeight="1" x14ac:dyDescent="0.25">
      <c r="B45" s="99" t="s">
        <v>91</v>
      </c>
      <c r="C45" s="99"/>
      <c r="D45" s="99"/>
      <c r="E45" s="99"/>
      <c r="F45" s="99"/>
      <c r="G45" s="99"/>
      <c r="H45" s="99"/>
      <c r="I45" s="99"/>
      <c r="J45" s="99"/>
      <c r="K45" s="99"/>
      <c r="L45" s="99"/>
      <c r="M45" s="116"/>
      <c r="O45" s="1"/>
      <c r="V45" s="639" t="s">
        <v>91</v>
      </c>
      <c r="W45" s="639"/>
      <c r="X45" s="639"/>
      <c r="Y45" s="639"/>
      <c r="Z45" s="639"/>
      <c r="AA45" s="639"/>
      <c r="AB45" s="639"/>
      <c r="AC45" s="639"/>
      <c r="AD45" s="333"/>
    </row>
    <row r="46" spans="1:30" ht="18.75" customHeight="1" x14ac:dyDescent="0.25">
      <c r="B46" s="1"/>
      <c r="C46" s="118" t="s">
        <v>92</v>
      </c>
      <c r="D46" s="118"/>
      <c r="E46" s="118"/>
      <c r="F46" s="118"/>
      <c r="G46" s="118" t="s">
        <v>93</v>
      </c>
      <c r="H46" s="119"/>
      <c r="I46" s="120" t="s">
        <v>94</v>
      </c>
      <c r="J46" s="121"/>
      <c r="K46" s="121"/>
      <c r="L46" s="121"/>
      <c r="M46" s="122"/>
      <c r="O46" s="1"/>
      <c r="V46" s="9"/>
      <c r="W46" s="336" t="s">
        <v>92</v>
      </c>
      <c r="X46" s="655" t="s">
        <v>95</v>
      </c>
      <c r="Y46" s="655"/>
      <c r="Z46" s="656" t="s">
        <v>94</v>
      </c>
      <c r="AA46" s="656"/>
      <c r="AB46" s="656"/>
      <c r="AC46" s="656"/>
      <c r="AD46" s="124"/>
    </row>
    <row r="47" spans="1:30" ht="18.75" customHeight="1" x14ac:dyDescent="0.25">
      <c r="B47" s="107" t="s">
        <v>96</v>
      </c>
      <c r="C47" s="125">
        <f>K10+K11+K16+K19+K22</f>
        <v>60.652199999999993</v>
      </c>
      <c r="D47" s="125"/>
      <c r="E47" s="125"/>
      <c r="F47" s="125"/>
      <c r="G47" s="126">
        <f>K7</f>
        <v>1.0326</v>
      </c>
      <c r="H47" s="126"/>
      <c r="I47" s="127">
        <v>1316.85</v>
      </c>
      <c r="J47" s="128" t="s">
        <v>97</v>
      </c>
      <c r="K47" s="129">
        <f>ROUND(C47*G47*I47,0)</f>
        <v>82474</v>
      </c>
      <c r="L47" s="130"/>
      <c r="O47" s="1"/>
      <c r="V47" s="334" t="s">
        <v>96</v>
      </c>
      <c r="W47" s="131">
        <f>AB10+AB11+AB16+AB19+AB22</f>
        <v>0</v>
      </c>
      <c r="X47" s="647">
        <f>AB7</f>
        <v>1.0326</v>
      </c>
      <c r="Y47" s="647"/>
      <c r="Z47" s="132">
        <f>+I47</f>
        <v>1316.85</v>
      </c>
      <c r="AA47" s="133" t="s">
        <v>97</v>
      </c>
      <c r="AB47" s="134">
        <f>ROUND(W47*X47*Z47,0)</f>
        <v>0</v>
      </c>
      <c r="AC47" s="135"/>
      <c r="AD47" s="9"/>
    </row>
    <row r="48" spans="1:30" ht="18" customHeight="1" x14ac:dyDescent="0.25">
      <c r="B48" s="136" t="s">
        <v>74</v>
      </c>
      <c r="C48" s="125">
        <f>K12+K13+K17+K20+K23</f>
        <v>28.3398</v>
      </c>
      <c r="D48" s="125"/>
      <c r="E48" s="125"/>
      <c r="F48" s="125"/>
      <c r="G48" s="126">
        <f>K7</f>
        <v>1.0326</v>
      </c>
      <c r="H48" s="126"/>
      <c r="I48" s="127">
        <v>898.23</v>
      </c>
      <c r="J48" s="128" t="s">
        <v>97</v>
      </c>
      <c r="K48" s="129">
        <f>ROUND(C48*G48*I48,0)</f>
        <v>26286</v>
      </c>
      <c r="L48" s="62"/>
      <c r="O48" s="1"/>
      <c r="V48" s="137" t="s">
        <v>74</v>
      </c>
      <c r="W48" s="131">
        <f>AB12+AB13+AB17+AB20+AB23</f>
        <v>0</v>
      </c>
      <c r="X48" s="647">
        <f>AB7</f>
        <v>1.0326</v>
      </c>
      <c r="Y48" s="647"/>
      <c r="Z48" s="132">
        <f>+I48</f>
        <v>898.23</v>
      </c>
      <c r="AA48" s="133" t="s">
        <v>97</v>
      </c>
      <c r="AB48" s="134">
        <f>ROUND(W48*X48*Z48,0)</f>
        <v>0</v>
      </c>
      <c r="AC48" s="138"/>
      <c r="AD48" s="9"/>
    </row>
    <row r="49" spans="2:30" ht="19.5" customHeight="1" thickBot="1" x14ac:dyDescent="0.3">
      <c r="B49" s="139" t="s">
        <v>78</v>
      </c>
      <c r="C49" s="140">
        <f>K14+K15+K18+K21+K24+K25</f>
        <v>0</v>
      </c>
      <c r="D49" s="125"/>
      <c r="E49" s="125"/>
      <c r="F49" s="125"/>
      <c r="G49" s="126">
        <f>K7</f>
        <v>1.0326</v>
      </c>
      <c r="H49" s="126"/>
      <c r="I49" s="127">
        <v>900.39</v>
      </c>
      <c r="J49" s="128" t="s">
        <v>97</v>
      </c>
      <c r="K49" s="129">
        <f>ROUND(C49*G49*I49,0)</f>
        <v>0</v>
      </c>
      <c r="L49" s="62"/>
      <c r="M49" s="112"/>
      <c r="N49" s="141"/>
      <c r="O49" s="142"/>
      <c r="P49" s="101"/>
      <c r="Q49" s="143"/>
      <c r="V49" s="144" t="s">
        <v>78</v>
      </c>
      <c r="W49" s="145">
        <f>AB14+AB15+AB18+AB21+AB24+AB25</f>
        <v>0</v>
      </c>
      <c r="X49" s="647">
        <f>AB7</f>
        <v>1.0326</v>
      </c>
      <c r="Y49" s="647"/>
      <c r="Z49" s="132">
        <f>+I49</f>
        <v>900.39</v>
      </c>
      <c r="AA49" s="133" t="s">
        <v>97</v>
      </c>
      <c r="AB49" s="134">
        <f>ROUND(W49*X49*Z49,0)</f>
        <v>0</v>
      </c>
      <c r="AC49" s="138"/>
      <c r="AD49" s="113"/>
    </row>
    <row r="50" spans="2:30" ht="24" customHeight="1" thickBot="1" x14ac:dyDescent="0.3">
      <c r="B50" s="146" t="s">
        <v>98</v>
      </c>
      <c r="C50" s="147">
        <f>SUM(C47:C49)</f>
        <v>88.99199999999999</v>
      </c>
      <c r="D50" s="148"/>
      <c r="E50" s="149"/>
      <c r="F50" s="149"/>
      <c r="G50" s="150" t="s">
        <v>99</v>
      </c>
      <c r="H50" s="150"/>
      <c r="I50" s="150"/>
      <c r="J50" s="150"/>
      <c r="K50" s="150"/>
      <c r="L50" s="50">
        <f>IF(B2=75,0,K49+K48+K47)</f>
        <v>108760</v>
      </c>
      <c r="N50" s="3"/>
      <c r="O50" s="1"/>
      <c r="V50" s="335" t="s">
        <v>98</v>
      </c>
      <c r="W50" s="152">
        <f>SUM(W47:W49)</f>
        <v>0</v>
      </c>
      <c r="X50" s="648" t="s">
        <v>99</v>
      </c>
      <c r="Y50" s="649"/>
      <c r="Z50" s="649"/>
      <c r="AA50" s="649"/>
      <c r="AB50" s="649"/>
      <c r="AC50" s="56">
        <f>IF(V2=75,0,AB49+AB48+AB47)</f>
        <v>0</v>
      </c>
      <c r="AD50" s="9"/>
    </row>
    <row r="51" spans="2:30" ht="19.5" customHeight="1" x14ac:dyDescent="0.25">
      <c r="B51" s="153" t="s">
        <v>100</v>
      </c>
      <c r="C51" s="153"/>
      <c r="D51" s="153"/>
      <c r="E51" s="153"/>
      <c r="F51" s="153"/>
      <c r="G51" s="153"/>
      <c r="H51" s="153"/>
      <c r="I51" s="153"/>
      <c r="J51" s="153"/>
      <c r="K51" s="153"/>
      <c r="L51" s="153"/>
      <c r="M51" s="141"/>
      <c r="N51" s="101"/>
      <c r="O51" s="1"/>
      <c r="V51" s="650" t="s">
        <v>100</v>
      </c>
      <c r="W51" s="650"/>
      <c r="X51" s="650"/>
      <c r="Y51" s="650"/>
      <c r="Z51" s="650"/>
      <c r="AA51" s="650"/>
      <c r="AB51" s="650"/>
      <c r="AC51" s="650"/>
      <c r="AD51" s="154"/>
    </row>
    <row r="52" spans="2:30" ht="27.75" customHeight="1" x14ac:dyDescent="0.25">
      <c r="B52" s="13" t="s">
        <v>101</v>
      </c>
      <c r="C52" s="13"/>
      <c r="D52" s="13"/>
      <c r="E52" s="13"/>
      <c r="F52" s="13"/>
      <c r="G52" s="13"/>
      <c r="H52" s="13"/>
      <c r="I52" s="13"/>
      <c r="J52" s="13"/>
      <c r="K52" s="13"/>
      <c r="L52" s="13"/>
      <c r="O52" s="1"/>
      <c r="V52" s="651" t="s">
        <v>101</v>
      </c>
      <c r="W52" s="651"/>
      <c r="X52" s="651"/>
      <c r="Y52" s="651"/>
      <c r="Z52" s="651"/>
      <c r="AA52" s="651"/>
      <c r="AB52" s="651"/>
      <c r="AC52" s="651"/>
      <c r="AD52" s="9"/>
    </row>
    <row r="53" spans="2:30" x14ac:dyDescent="0.25">
      <c r="B53" s="13" t="s">
        <v>102</v>
      </c>
      <c r="C53" s="13"/>
      <c r="D53" s="13"/>
      <c r="E53" s="13"/>
      <c r="F53" s="13"/>
      <c r="G53" s="155">
        <f>K26</f>
        <v>88.99199999999999</v>
      </c>
      <c r="H53" s="57" t="s">
        <v>103</v>
      </c>
      <c r="I53" s="57"/>
      <c r="J53" s="156">
        <v>197823.77</v>
      </c>
      <c r="K53" s="156"/>
      <c r="L53" s="156"/>
      <c r="N53" s="3"/>
      <c r="O53" s="1"/>
      <c r="V53" s="657" t="s">
        <v>102</v>
      </c>
      <c r="W53" s="657"/>
      <c r="X53" s="157">
        <f>AB26</f>
        <v>0</v>
      </c>
      <c r="Y53" s="658" t="s">
        <v>103</v>
      </c>
      <c r="Z53" s="658"/>
      <c r="AA53" s="659">
        <f>+J53</f>
        <v>197823.77</v>
      </c>
      <c r="AB53" s="659"/>
      <c r="AC53" s="659"/>
      <c r="AD53" s="9"/>
    </row>
    <row r="54" spans="2:30" x14ac:dyDescent="0.25">
      <c r="B54" s="13" t="s">
        <v>104</v>
      </c>
      <c r="C54" s="13"/>
      <c r="D54" s="13"/>
      <c r="E54" s="13"/>
      <c r="F54" s="13"/>
      <c r="G54" s="13"/>
      <c r="H54" s="13"/>
      <c r="I54" s="13"/>
      <c r="J54" s="13"/>
      <c r="K54" s="158">
        <f>ROUND(G53/J53,6)</f>
        <v>4.4999999999999999E-4</v>
      </c>
      <c r="L54" s="158"/>
      <c r="N54" s="101"/>
      <c r="O54" s="1"/>
      <c r="V54" s="657" t="s">
        <v>104</v>
      </c>
      <c r="W54" s="657"/>
      <c r="X54" s="657"/>
      <c r="Y54" s="657"/>
      <c r="Z54" s="657"/>
      <c r="AA54" s="657"/>
      <c r="AB54" s="660">
        <f>ROUND(X53/AA53,6)</f>
        <v>0</v>
      </c>
      <c r="AC54" s="660"/>
      <c r="AD54" s="9"/>
    </row>
    <row r="55" spans="2:30" ht="24" customHeight="1" x14ac:dyDescent="0.25">
      <c r="B55" s="13" t="s">
        <v>105</v>
      </c>
      <c r="C55" s="13"/>
      <c r="D55" s="13"/>
      <c r="E55" s="13"/>
      <c r="F55" s="13"/>
      <c r="G55" s="13"/>
      <c r="H55" s="13"/>
      <c r="I55" s="13"/>
      <c r="J55" s="13"/>
      <c r="K55" s="13"/>
      <c r="L55" s="13"/>
      <c r="O55" s="1"/>
      <c r="V55" s="651" t="s">
        <v>105</v>
      </c>
      <c r="W55" s="651"/>
      <c r="X55" s="651"/>
      <c r="Y55" s="651"/>
      <c r="Z55" s="651"/>
      <c r="AA55" s="651"/>
      <c r="AB55" s="651"/>
      <c r="AC55" s="651"/>
      <c r="AD55" s="9"/>
    </row>
    <row r="56" spans="2:30" x14ac:dyDescent="0.25">
      <c r="B56" s="13" t="s">
        <v>106</v>
      </c>
      <c r="C56" s="13"/>
      <c r="D56" s="13"/>
      <c r="E56" s="13"/>
      <c r="F56" s="13"/>
      <c r="G56" s="159">
        <f>G26</f>
        <v>81.96</v>
      </c>
      <c r="H56" s="57" t="s">
        <v>107</v>
      </c>
      <c r="I56" s="57"/>
      <c r="J56" s="156">
        <f>+G40</f>
        <v>180284.81</v>
      </c>
      <c r="K56" s="156"/>
      <c r="L56" s="156"/>
      <c r="O56" s="1"/>
      <c r="V56" s="657" t="s">
        <v>106</v>
      </c>
      <c r="W56" s="657"/>
      <c r="X56" s="160">
        <f>X26</f>
        <v>0</v>
      </c>
      <c r="Y56" s="658" t="s">
        <v>107</v>
      </c>
      <c r="Z56" s="658"/>
      <c r="AA56" s="659">
        <f>+J56</f>
        <v>180284.81</v>
      </c>
      <c r="AB56" s="659"/>
      <c r="AC56" s="659"/>
      <c r="AD56" s="9"/>
    </row>
    <row r="57" spans="2:30" x14ac:dyDescent="0.25">
      <c r="B57" s="13" t="s">
        <v>108</v>
      </c>
      <c r="C57" s="13"/>
      <c r="D57" s="13"/>
      <c r="E57" s="13"/>
      <c r="F57" s="13"/>
      <c r="G57" s="13"/>
      <c r="H57" s="13"/>
      <c r="I57" s="13"/>
      <c r="J57" s="13"/>
      <c r="K57" s="158">
        <f>ROUND(G56/J56,6)</f>
        <v>4.55E-4</v>
      </c>
      <c r="L57" s="158"/>
      <c r="O57" s="1"/>
      <c r="V57" s="657" t="s">
        <v>108</v>
      </c>
      <c r="W57" s="657"/>
      <c r="X57" s="657"/>
      <c r="Y57" s="657"/>
      <c r="Z57" s="657"/>
      <c r="AA57" s="657"/>
      <c r="AB57" s="660">
        <f>ROUND(X56/AA56,6)</f>
        <v>0</v>
      </c>
      <c r="AC57" s="660"/>
      <c r="AD57" s="9"/>
    </row>
    <row r="58" spans="2:30" ht="20.25" customHeight="1" x14ac:dyDescent="0.25">
      <c r="B58" s="161" t="s">
        <v>109</v>
      </c>
      <c r="C58" s="161"/>
      <c r="D58" s="161"/>
      <c r="E58" s="161"/>
      <c r="F58" s="161"/>
      <c r="G58" s="161"/>
      <c r="H58" s="161"/>
      <c r="I58" s="161"/>
      <c r="J58" s="161"/>
      <c r="K58" s="161"/>
      <c r="L58" s="161"/>
      <c r="N58" s="18"/>
      <c r="O58" s="18"/>
      <c r="V58" s="629" t="s">
        <v>110</v>
      </c>
      <c r="W58" s="629"/>
      <c r="X58" s="629"/>
      <c r="Y58" s="661">
        <f>X65+X64+X62+X61+X60</f>
        <v>4123852</v>
      </c>
      <c r="Z58" s="661"/>
      <c r="AA58" s="332" t="s">
        <v>111</v>
      </c>
      <c r="AB58" s="163">
        <f>AB54</f>
        <v>0</v>
      </c>
      <c r="AC58" s="56">
        <f>ROUND(Y58*AB58,0)</f>
        <v>0</v>
      </c>
      <c r="AD58" s="9"/>
    </row>
    <row r="59" spans="2:30" x14ac:dyDescent="0.25">
      <c r="B59" s="62" t="s">
        <v>110</v>
      </c>
      <c r="C59" s="62"/>
      <c r="D59" s="62"/>
      <c r="E59" s="62"/>
      <c r="F59" s="62"/>
      <c r="G59" s="62"/>
      <c r="H59" s="164" t="s">
        <v>22</v>
      </c>
      <c r="I59" s="129">
        <v>4123852</v>
      </c>
      <c r="J59" s="165" t="s">
        <v>111</v>
      </c>
      <c r="K59" s="166">
        <f>K54</f>
        <v>4.4999999999999999E-4</v>
      </c>
      <c r="L59" s="50">
        <f>ROUND(I59*K59,0)</f>
        <v>1856</v>
      </c>
      <c r="O59" s="1"/>
      <c r="P59" s="165"/>
      <c r="Q59" s="165"/>
      <c r="V59" s="662" t="s">
        <v>112</v>
      </c>
      <c r="W59" s="662"/>
      <c r="X59" s="662"/>
      <c r="Y59" s="662"/>
      <c r="Z59" s="662"/>
      <c r="AA59" s="662"/>
      <c r="AB59" s="662"/>
      <c r="AC59" s="662"/>
      <c r="AD59" s="9"/>
    </row>
    <row r="60" spans="2:30" x14ac:dyDescent="0.25">
      <c r="B60" s="62" t="s">
        <v>112</v>
      </c>
      <c r="C60" s="62"/>
      <c r="D60" s="62"/>
      <c r="E60" s="62"/>
      <c r="F60" s="62"/>
      <c r="G60" s="62"/>
      <c r="H60" s="62"/>
      <c r="I60" s="62"/>
      <c r="J60" s="62"/>
      <c r="K60" s="62"/>
      <c r="L60" s="62"/>
      <c r="O60" s="1"/>
      <c r="P60" s="165"/>
      <c r="Q60" s="165"/>
      <c r="V60" s="663" t="s">
        <v>113</v>
      </c>
      <c r="W60" s="663"/>
      <c r="X60" s="664">
        <f>+G61</f>
        <v>0</v>
      </c>
      <c r="Y60" s="664"/>
      <c r="Z60" s="664"/>
      <c r="AA60" s="664"/>
      <c r="AB60" s="664"/>
      <c r="AC60" s="664"/>
      <c r="AD60" s="9"/>
    </row>
    <row r="61" spans="2:30" ht="15" customHeight="1" x14ac:dyDescent="0.25">
      <c r="B61" s="167" t="s">
        <v>113</v>
      </c>
      <c r="C61" s="62"/>
      <c r="D61" s="62"/>
      <c r="E61" s="62"/>
      <c r="F61" s="62"/>
      <c r="G61" s="168">
        <v>0</v>
      </c>
      <c r="H61" s="168"/>
      <c r="I61" s="168"/>
      <c r="J61" s="168"/>
      <c r="K61" s="168"/>
      <c r="L61" s="168"/>
      <c r="O61" s="1"/>
      <c r="P61" s="165"/>
      <c r="Q61" s="165"/>
      <c r="V61" s="663" t="s">
        <v>114</v>
      </c>
      <c r="W61" s="663"/>
      <c r="X61" s="664">
        <f>+G62</f>
        <v>0</v>
      </c>
      <c r="Y61" s="664"/>
      <c r="Z61" s="664"/>
      <c r="AA61" s="664"/>
      <c r="AB61" s="664"/>
      <c r="AC61" s="664"/>
      <c r="AD61" s="9"/>
    </row>
    <row r="62" spans="2:30" ht="13.5" customHeight="1" x14ac:dyDescent="0.25">
      <c r="B62" s="167" t="s">
        <v>114</v>
      </c>
      <c r="C62" s="62"/>
      <c r="D62" s="62"/>
      <c r="E62" s="62"/>
      <c r="F62" s="62"/>
      <c r="G62" s="168">
        <v>0</v>
      </c>
      <c r="H62" s="168"/>
      <c r="I62" s="168"/>
      <c r="J62" s="168"/>
      <c r="K62" s="168"/>
      <c r="L62" s="168"/>
      <c r="N62" s="165"/>
      <c r="O62" s="165"/>
      <c r="P62" s="165"/>
      <c r="Q62" s="165"/>
      <c r="V62" s="663" t="s">
        <v>115</v>
      </c>
      <c r="W62" s="663"/>
      <c r="X62" s="664">
        <v>0</v>
      </c>
      <c r="Y62" s="664"/>
      <c r="Z62" s="664"/>
      <c r="AA62" s="664"/>
      <c r="AB62" s="664"/>
      <c r="AC62" s="664"/>
      <c r="AD62" s="9"/>
    </row>
    <row r="63" spans="2:30" ht="13.5" hidden="1" customHeight="1" x14ac:dyDescent="0.25">
      <c r="B63" s="62" t="s">
        <v>115</v>
      </c>
      <c r="C63" s="62"/>
      <c r="D63" s="62"/>
      <c r="E63" s="62"/>
      <c r="F63" s="62"/>
      <c r="G63" s="168">
        <v>0</v>
      </c>
      <c r="H63" s="168"/>
      <c r="I63" s="168"/>
      <c r="J63" s="168"/>
      <c r="K63" s="168"/>
      <c r="L63" s="168"/>
      <c r="O63" s="1"/>
      <c r="P63" s="165"/>
      <c r="Q63" s="165"/>
      <c r="V63" s="662" t="s">
        <v>116</v>
      </c>
      <c r="W63" s="662"/>
      <c r="X63" s="662"/>
      <c r="Y63" s="662"/>
      <c r="Z63" s="662"/>
      <c r="AA63" s="662"/>
      <c r="AB63" s="662"/>
      <c r="AC63" s="662"/>
      <c r="AD63" s="333"/>
    </row>
    <row r="64" spans="2:30" ht="13.5" customHeight="1" x14ac:dyDescent="0.25">
      <c r="B64" s="62" t="s">
        <v>116</v>
      </c>
      <c r="C64" s="62"/>
      <c r="D64" s="62"/>
      <c r="E64" s="62"/>
      <c r="F64" s="62"/>
      <c r="G64" s="62"/>
      <c r="H64" s="62"/>
      <c r="I64" s="62"/>
      <c r="J64" s="62"/>
      <c r="K64" s="62"/>
      <c r="L64" s="62"/>
      <c r="M64" s="116"/>
      <c r="N64" s="18"/>
      <c r="O64" s="1"/>
      <c r="V64" s="663" t="s">
        <v>117</v>
      </c>
      <c r="W64" s="663"/>
      <c r="X64" s="664">
        <f>+G65</f>
        <v>4123852</v>
      </c>
      <c r="Y64" s="664"/>
      <c r="Z64" s="664"/>
      <c r="AA64" s="664"/>
      <c r="AB64" s="664"/>
      <c r="AC64" s="664"/>
      <c r="AD64" s="9"/>
    </row>
    <row r="65" spans="1:30" ht="12.75" customHeight="1" x14ac:dyDescent="0.25">
      <c r="B65" s="167" t="s">
        <v>117</v>
      </c>
      <c r="C65" s="62"/>
      <c r="D65" s="62"/>
      <c r="E65" s="62"/>
      <c r="F65" s="62"/>
      <c r="G65" s="168">
        <f>+I59</f>
        <v>4123852</v>
      </c>
      <c r="H65" s="168"/>
      <c r="I65" s="168"/>
      <c r="J65" s="168"/>
      <c r="K65" s="168"/>
      <c r="L65" s="168"/>
      <c r="O65" s="1"/>
      <c r="V65" s="663" t="s">
        <v>118</v>
      </c>
      <c r="W65" s="663"/>
      <c r="X65" s="664">
        <f>+G66</f>
        <v>0</v>
      </c>
      <c r="Y65" s="664"/>
      <c r="Z65" s="664"/>
      <c r="AA65" s="664"/>
      <c r="AB65" s="664"/>
      <c r="AC65" s="664"/>
      <c r="AD65" s="20"/>
    </row>
    <row r="66" spans="1:30" ht="15" customHeight="1" x14ac:dyDescent="0.25">
      <c r="B66" s="167" t="s">
        <v>118</v>
      </c>
      <c r="C66" s="62"/>
      <c r="D66" s="62"/>
      <c r="E66" s="62"/>
      <c r="F66" s="62"/>
      <c r="G66" s="168">
        <v>0</v>
      </c>
      <c r="H66" s="168"/>
      <c r="I66" s="168"/>
      <c r="J66" s="168"/>
      <c r="K66" s="168"/>
      <c r="L66" s="168"/>
      <c r="M66" s="18"/>
      <c r="N66" s="3"/>
      <c r="O66" s="169"/>
      <c r="P66" s="169"/>
      <c r="Q66" s="169"/>
      <c r="V66" s="651" t="s">
        <v>119</v>
      </c>
      <c r="W66" s="651"/>
      <c r="X66" s="651"/>
      <c r="Y66" s="661">
        <f>+I67</f>
        <v>96774526</v>
      </c>
      <c r="Z66" s="661"/>
      <c r="AA66" s="332" t="s">
        <v>111</v>
      </c>
      <c r="AB66" s="163">
        <f>AB54</f>
        <v>0</v>
      </c>
      <c r="AC66" s="56">
        <f>ROUND(Y66*AB66,0)</f>
        <v>0</v>
      </c>
      <c r="AD66" s="9"/>
    </row>
    <row r="67" spans="1:30" ht="20.25" customHeight="1" x14ac:dyDescent="0.25">
      <c r="B67" s="13" t="s">
        <v>119</v>
      </c>
      <c r="C67" s="13"/>
      <c r="D67" s="13"/>
      <c r="E67" s="13"/>
      <c r="F67" s="13"/>
      <c r="H67" s="164" t="s">
        <v>25</v>
      </c>
      <c r="I67" s="129">
        <v>96774526</v>
      </c>
      <c r="J67" s="165" t="s">
        <v>111</v>
      </c>
      <c r="K67" s="166">
        <f>K54</f>
        <v>4.4999999999999999E-4</v>
      </c>
      <c r="L67" s="50">
        <f>ROUND(I67*K67,0)</f>
        <v>43549</v>
      </c>
      <c r="O67" s="1"/>
      <c r="V67" s="651" t="s">
        <v>120</v>
      </c>
      <c r="W67" s="651"/>
      <c r="X67" s="651"/>
      <c r="Y67" s="651"/>
      <c r="Z67" s="651"/>
      <c r="AA67" s="651"/>
      <c r="AB67" s="651"/>
      <c r="AC67" s="651"/>
      <c r="AD67" s="9"/>
    </row>
    <row r="68" spans="1:30" ht="20.25" customHeight="1" x14ac:dyDescent="0.25">
      <c r="B68" s="13" t="s">
        <v>120</v>
      </c>
      <c r="C68" s="13"/>
      <c r="D68" s="13"/>
      <c r="E68" s="13"/>
      <c r="F68" s="13"/>
      <c r="H68" s="13"/>
      <c r="I68" s="13"/>
      <c r="J68" s="82"/>
      <c r="K68" s="13"/>
      <c r="L68" s="13"/>
      <c r="O68" s="1"/>
      <c r="V68" s="667" t="s">
        <v>121</v>
      </c>
      <c r="W68" s="667"/>
      <c r="X68" s="667"/>
      <c r="Y68" s="661">
        <f>+I69</f>
        <v>0</v>
      </c>
      <c r="Z68" s="661"/>
      <c r="AA68" s="332" t="s">
        <v>111</v>
      </c>
      <c r="AB68" s="163">
        <f>AB57</f>
        <v>0</v>
      </c>
      <c r="AC68" s="56">
        <f>ROUND(Y68*AB68,0)</f>
        <v>0</v>
      </c>
      <c r="AD68" s="9"/>
    </row>
    <row r="69" spans="1:30" ht="15" customHeight="1" x14ac:dyDescent="0.25">
      <c r="B69" s="170" t="s">
        <v>121</v>
      </c>
      <c r="C69" s="13"/>
      <c r="D69" s="13"/>
      <c r="E69" s="13"/>
      <c r="F69" s="13"/>
      <c r="H69" s="164" t="s">
        <v>23</v>
      </c>
      <c r="I69" s="129">
        <v>0</v>
      </c>
      <c r="J69" s="165" t="s">
        <v>111</v>
      </c>
      <c r="K69" s="166">
        <f>K57</f>
        <v>4.55E-4</v>
      </c>
      <c r="L69" s="50">
        <f>ROUND(I69*K69,0)</f>
        <v>0</v>
      </c>
      <c r="O69" s="1"/>
      <c r="V69" s="651" t="s">
        <v>122</v>
      </c>
      <c r="W69" s="651"/>
      <c r="X69" s="651"/>
      <c r="Y69" s="668">
        <f>+I70</f>
        <v>-3460775</v>
      </c>
      <c r="Z69" s="668"/>
      <c r="AA69" s="332" t="s">
        <v>111</v>
      </c>
      <c r="AB69" s="163">
        <f>AB54</f>
        <v>0</v>
      </c>
      <c r="AC69" s="56">
        <f>ROUND(Y69*AB69,0)</f>
        <v>0</v>
      </c>
      <c r="AD69" s="9"/>
    </row>
    <row r="70" spans="1:30" ht="20.25" customHeight="1" x14ac:dyDescent="0.25">
      <c r="B70" s="13" t="s">
        <v>122</v>
      </c>
      <c r="C70" s="13"/>
      <c r="D70" s="13"/>
      <c r="E70" s="13"/>
      <c r="F70" s="13"/>
      <c r="H70" s="164" t="s">
        <v>22</v>
      </c>
      <c r="I70" s="129">
        <v>-3460775</v>
      </c>
      <c r="J70" s="165" t="s">
        <v>111</v>
      </c>
      <c r="K70" s="166">
        <f>K54</f>
        <v>4.4999999999999999E-4</v>
      </c>
      <c r="L70" s="50">
        <f>ROUND(I70*K70,0)</f>
        <v>-1557</v>
      </c>
      <c r="O70" s="1"/>
      <c r="V70" s="651" t="s">
        <v>123</v>
      </c>
      <c r="W70" s="651"/>
      <c r="X70" s="651"/>
      <c r="Y70" s="665">
        <f>+I71</f>
        <v>1874788</v>
      </c>
      <c r="Z70" s="665"/>
      <c r="AA70" s="332" t="s">
        <v>111</v>
      </c>
      <c r="AB70" s="163">
        <f>AB54</f>
        <v>0</v>
      </c>
      <c r="AC70" s="56">
        <f>ROUND(Y70*AB70,0)</f>
        <v>0</v>
      </c>
      <c r="AD70" s="9"/>
    </row>
    <row r="71" spans="1:30" ht="20.25" customHeight="1" x14ac:dyDescent="0.25">
      <c r="B71" s="13" t="s">
        <v>123</v>
      </c>
      <c r="C71" s="13"/>
      <c r="D71" s="13"/>
      <c r="E71" s="13"/>
      <c r="F71" s="13"/>
      <c r="H71" s="164" t="s">
        <v>22</v>
      </c>
      <c r="I71" s="129">
        <v>1874788</v>
      </c>
      <c r="J71" s="165" t="s">
        <v>111</v>
      </c>
      <c r="K71" s="166">
        <f>K54</f>
        <v>4.4999999999999999E-4</v>
      </c>
      <c r="L71" s="50">
        <f>ROUND(I71*K71,0)</f>
        <v>844</v>
      </c>
      <c r="O71" s="1"/>
      <c r="V71" s="651" t="s">
        <v>124</v>
      </c>
      <c r="W71" s="651"/>
      <c r="X71" s="651"/>
      <c r="Y71" s="665">
        <f>+I72</f>
        <v>14223298</v>
      </c>
      <c r="Z71" s="665"/>
      <c r="AA71" s="332" t="s">
        <v>111</v>
      </c>
      <c r="AB71" s="163">
        <f>AB57</f>
        <v>0</v>
      </c>
      <c r="AC71" s="56">
        <f>ROUND(Y71*AB71,0)</f>
        <v>0</v>
      </c>
      <c r="AD71" s="9"/>
    </row>
    <row r="72" spans="1:30" ht="21" customHeight="1" x14ac:dyDescent="0.25">
      <c r="B72" s="13" t="s">
        <v>124</v>
      </c>
      <c r="C72" s="13"/>
      <c r="D72" s="13"/>
      <c r="E72" s="13"/>
      <c r="F72" s="13"/>
      <c r="H72" s="164" t="s">
        <v>23</v>
      </c>
      <c r="I72" s="171">
        <v>14223298</v>
      </c>
      <c r="J72" s="165" t="s">
        <v>111</v>
      </c>
      <c r="K72" s="166">
        <f>K57</f>
        <v>4.55E-4</v>
      </c>
      <c r="L72" s="50">
        <f>ROUND(I72*K72,0)</f>
        <v>6472</v>
      </c>
      <c r="O72" s="1"/>
      <c r="V72" s="623" t="s">
        <v>125</v>
      </c>
      <c r="W72" s="623"/>
      <c r="X72" s="623"/>
      <c r="Y72" s="623"/>
      <c r="Z72" s="623"/>
      <c r="AA72" s="623"/>
      <c r="AB72" s="623"/>
      <c r="AC72" s="60"/>
      <c r="AD72" s="9"/>
    </row>
    <row r="73" spans="1:30" ht="17.25" customHeight="1" x14ac:dyDescent="0.25">
      <c r="B73" s="13" t="s">
        <v>125</v>
      </c>
      <c r="C73" s="13"/>
      <c r="D73" s="13"/>
      <c r="E73" s="13"/>
      <c r="F73" s="13"/>
      <c r="H73" s="13"/>
      <c r="I73" s="13"/>
      <c r="J73" s="82"/>
      <c r="K73" s="13"/>
      <c r="L73" s="59"/>
      <c r="O73" s="1"/>
      <c r="V73" s="651" t="s">
        <v>126</v>
      </c>
      <c r="W73" s="651"/>
      <c r="X73" s="651"/>
      <c r="Y73" s="651"/>
      <c r="Z73" s="651"/>
      <c r="AA73" s="651"/>
      <c r="AB73" s="651"/>
      <c r="AC73" s="651"/>
      <c r="AD73" s="9"/>
    </row>
    <row r="74" spans="1:30" ht="31.5" x14ac:dyDescent="0.25">
      <c r="B74" s="13" t="s">
        <v>126</v>
      </c>
      <c r="C74" s="13"/>
      <c r="D74" s="27" t="s">
        <v>13</v>
      </c>
      <c r="E74" s="27" t="s">
        <v>14</v>
      </c>
      <c r="F74" s="27"/>
      <c r="H74" s="164" t="s">
        <v>26</v>
      </c>
      <c r="I74" s="172"/>
      <c r="J74" s="164"/>
      <c r="K74" s="172"/>
      <c r="L74" s="112"/>
      <c r="O74" s="1"/>
      <c r="V74" s="666" t="s">
        <v>127</v>
      </c>
      <c r="W74" s="666"/>
      <c r="X74" s="173" t="s">
        <v>128</v>
      </c>
      <c r="Y74" s="174"/>
      <c r="Z74" s="175">
        <f>+I75</f>
        <v>28</v>
      </c>
      <c r="AA74" s="331" t="s">
        <v>129</v>
      </c>
      <c r="AB74" s="177">
        <f>+K75</f>
        <v>361</v>
      </c>
      <c r="AC74" s="56">
        <f>ROUND(AB74*Z74,0)</f>
        <v>10108</v>
      </c>
      <c r="AD74" s="9"/>
    </row>
    <row r="75" spans="1:30" ht="19.5" customHeight="1" x14ac:dyDescent="0.25">
      <c r="A75" s="1" t="s">
        <v>130</v>
      </c>
      <c r="B75" s="178" t="s">
        <v>127</v>
      </c>
      <c r="C75" s="179" t="s">
        <v>128</v>
      </c>
      <c r="D75" s="178">
        <v>31</v>
      </c>
      <c r="E75" s="178">
        <v>25</v>
      </c>
      <c r="F75" s="178">
        <v>0</v>
      </c>
      <c r="G75" s="180">
        <f>IF(E75=0,D75,E75)</f>
        <v>25</v>
      </c>
      <c r="H75" s="181"/>
      <c r="I75" s="182">
        <f>AVERAGE(G75,D75)</f>
        <v>28</v>
      </c>
      <c r="J75" s="183" t="s">
        <v>129</v>
      </c>
      <c r="K75" s="184">
        <v>361</v>
      </c>
      <c r="L75" s="50">
        <f>ROUND(K75*I75,0)</f>
        <v>10108</v>
      </c>
      <c r="N75" s="1">
        <v>7802</v>
      </c>
      <c r="O75" s="1">
        <v>0</v>
      </c>
      <c r="V75" s="666" t="s">
        <v>127</v>
      </c>
      <c r="W75" s="666"/>
      <c r="X75" s="173" t="s">
        <v>131</v>
      </c>
      <c r="Y75" s="185"/>
      <c r="Z75" s="186">
        <f>+I76</f>
        <v>0</v>
      </c>
      <c r="AA75" s="331" t="s">
        <v>129</v>
      </c>
      <c r="AB75" s="187">
        <f>+K76</f>
        <v>1358</v>
      </c>
      <c r="AC75" s="56">
        <f>ROUND(AB75*Z75,0)</f>
        <v>0</v>
      </c>
      <c r="AD75" s="9"/>
    </row>
    <row r="76" spans="1:30" ht="19.5" customHeight="1" x14ac:dyDescent="0.25">
      <c r="A76" s="1" t="s">
        <v>132</v>
      </c>
      <c r="B76" s="178" t="s">
        <v>127</v>
      </c>
      <c r="C76" s="179" t="s">
        <v>131</v>
      </c>
      <c r="D76" s="178">
        <v>0</v>
      </c>
      <c r="E76" s="178">
        <v>0</v>
      </c>
      <c r="F76" s="178">
        <v>0</v>
      </c>
      <c r="G76" s="180">
        <f>IF(E76=0,D76,E76)</f>
        <v>0</v>
      </c>
      <c r="H76" s="181"/>
      <c r="I76" s="182">
        <f>AVERAGE(G76,D76)</f>
        <v>0</v>
      </c>
      <c r="J76" s="183" t="s">
        <v>129</v>
      </c>
      <c r="K76" s="188">
        <v>1358</v>
      </c>
      <c r="L76" s="50">
        <f>ROUND(K76*I76,0)</f>
        <v>0</v>
      </c>
      <c r="N76" s="1">
        <v>7802</v>
      </c>
      <c r="O76" s="1">
        <v>110</v>
      </c>
      <c r="V76" s="651" t="s">
        <v>133</v>
      </c>
      <c r="W76" s="651"/>
      <c r="X76" s="651"/>
      <c r="Y76" s="661">
        <f>+I77</f>
        <v>33305823</v>
      </c>
      <c r="Z76" s="661"/>
      <c r="AA76" s="331" t="s">
        <v>129</v>
      </c>
      <c r="AB76" s="163">
        <f>AB54</f>
        <v>0</v>
      </c>
      <c r="AC76" s="56">
        <f>ROUND(Y76*AB76,0)</f>
        <v>0</v>
      </c>
      <c r="AD76" s="9"/>
    </row>
    <row r="77" spans="1:30" ht="26.25" customHeight="1" x14ac:dyDescent="0.25">
      <c r="B77" s="13" t="s">
        <v>133</v>
      </c>
      <c r="C77" s="13"/>
      <c r="D77" s="13"/>
      <c r="E77" s="13"/>
      <c r="F77" s="13"/>
      <c r="H77" s="164" t="s">
        <v>134</v>
      </c>
      <c r="I77" s="189">
        <v>33305823</v>
      </c>
      <c r="J77" s="165" t="s">
        <v>111</v>
      </c>
      <c r="K77" s="166">
        <f>K54</f>
        <v>4.4999999999999999E-4</v>
      </c>
      <c r="L77" s="50">
        <f>ROUND(I77*K77,0)</f>
        <v>14988</v>
      </c>
      <c r="O77" s="1"/>
      <c r="V77" s="651" t="str">
        <f>+B78</f>
        <v>15.  Additional Allocation (WFTE share)</v>
      </c>
      <c r="W77" s="651"/>
      <c r="X77" s="651"/>
      <c r="Y77" s="661">
        <f>+I78</f>
        <v>680688</v>
      </c>
      <c r="Z77" s="661"/>
      <c r="AA77" s="331" t="s">
        <v>129</v>
      </c>
      <c r="AB77" s="163">
        <f>AB54</f>
        <v>0</v>
      </c>
      <c r="AC77" s="56">
        <f>ROUND(Y77*AB77,0)</f>
        <v>0</v>
      </c>
      <c r="AD77" s="9"/>
    </row>
    <row r="78" spans="1:30" ht="26.25" customHeight="1" x14ac:dyDescent="0.25">
      <c r="B78" s="669" t="s">
        <v>135</v>
      </c>
      <c r="C78" s="669"/>
      <c r="D78" s="669"/>
      <c r="E78" s="13"/>
      <c r="F78" s="13"/>
      <c r="H78" s="164" t="s">
        <v>136</v>
      </c>
      <c r="I78" s="190">
        <v>680688</v>
      </c>
      <c r="J78" s="165" t="s">
        <v>111</v>
      </c>
      <c r="K78" s="166">
        <f>K54</f>
        <v>4.4999999999999999E-4</v>
      </c>
      <c r="L78" s="50">
        <f>ROUND(I78*K78,0)</f>
        <v>306</v>
      </c>
      <c r="O78" s="1"/>
      <c r="V78" s="651" t="str">
        <f>+B79</f>
        <v>16.  Florida Teachers Lead Program Stipend</v>
      </c>
      <c r="W78" s="651"/>
      <c r="X78" s="651"/>
      <c r="Y78" s="191"/>
      <c r="Z78" s="191"/>
      <c r="AA78" s="191"/>
      <c r="AB78" s="191"/>
      <c r="AC78" s="134"/>
      <c r="AD78" s="9"/>
    </row>
    <row r="79" spans="1:30" ht="21" customHeight="1" x14ac:dyDescent="0.25">
      <c r="B79" s="669" t="s">
        <v>137</v>
      </c>
      <c r="C79" s="669"/>
      <c r="D79" s="669"/>
      <c r="E79" s="13"/>
      <c r="F79" s="13"/>
      <c r="H79" s="164"/>
      <c r="I79" s="172"/>
      <c r="J79" s="172"/>
      <c r="K79" s="172"/>
      <c r="L79" s="129"/>
      <c r="N79" s="192"/>
      <c r="O79" s="1"/>
      <c r="Q79" s="164"/>
      <c r="V79" s="651" t="str">
        <f>+B80</f>
        <v>17.  Food Service Allocation</v>
      </c>
      <c r="W79" s="651"/>
      <c r="X79" s="651"/>
      <c r="Y79" s="191"/>
      <c r="Z79" s="191"/>
      <c r="AA79" s="191"/>
      <c r="AB79" s="191"/>
      <c r="AC79" s="193"/>
      <c r="AD79" s="9"/>
    </row>
    <row r="80" spans="1:30" ht="21" customHeight="1" x14ac:dyDescent="0.25">
      <c r="B80" s="669" t="s">
        <v>138</v>
      </c>
      <c r="C80" s="669"/>
      <c r="D80" s="669"/>
      <c r="E80" s="13"/>
      <c r="F80" s="13"/>
      <c r="H80" s="194" t="s">
        <v>139</v>
      </c>
      <c r="I80" s="195"/>
      <c r="J80" s="195"/>
      <c r="K80" s="195"/>
      <c r="L80" s="196"/>
      <c r="N80" s="197"/>
      <c r="O80" s="1"/>
      <c r="Q80" s="164"/>
      <c r="V80" s="191"/>
      <c r="W80" s="191"/>
      <c r="X80" s="191"/>
      <c r="Y80" s="191"/>
      <c r="Z80" s="191"/>
      <c r="AA80" s="191"/>
      <c r="AB80" s="191"/>
      <c r="AC80" s="193"/>
      <c r="AD80" s="9"/>
    </row>
    <row r="81" spans="1:30" ht="21" customHeight="1" thickBot="1" x14ac:dyDescent="0.3">
      <c r="B81" s="13"/>
      <c r="C81" s="13"/>
      <c r="D81" s="13"/>
      <c r="E81" s="13"/>
      <c r="F81" s="13"/>
      <c r="G81" s="13"/>
      <c r="H81" s="13"/>
      <c r="I81" s="13"/>
      <c r="J81" s="13"/>
      <c r="K81" s="13"/>
      <c r="L81" s="196"/>
      <c r="M81" s="198"/>
      <c r="N81" s="197"/>
      <c r="O81" s="1"/>
      <c r="Q81" s="164"/>
      <c r="V81" s="191" t="s">
        <v>140</v>
      </c>
      <c r="W81" s="191"/>
      <c r="X81" s="191"/>
      <c r="Y81" s="191"/>
      <c r="Z81" s="191"/>
      <c r="AA81" s="191"/>
      <c r="AB81" s="191"/>
      <c r="AC81" s="199">
        <f>SUM(AC44:AC80)</f>
        <v>10108</v>
      </c>
      <c r="AD81" s="200"/>
    </row>
    <row r="82" spans="1:30" ht="22.5" customHeight="1" thickTop="1" thickBot="1" x14ac:dyDescent="0.3">
      <c r="B82" s="13" t="s">
        <v>141</v>
      </c>
      <c r="C82" s="13"/>
      <c r="D82" s="13"/>
      <c r="E82" s="13"/>
      <c r="F82" s="13"/>
      <c r="G82" s="13"/>
      <c r="H82" s="13"/>
      <c r="I82" s="13"/>
      <c r="J82" s="13"/>
      <c r="K82" s="13"/>
      <c r="L82" s="201">
        <f>SUM(L44:L81)</f>
        <v>552325</v>
      </c>
      <c r="M82" s="202"/>
      <c r="N82" s="203"/>
      <c r="O82" s="1"/>
      <c r="Q82" s="164"/>
      <c r="V82" s="191"/>
      <c r="W82" s="191"/>
      <c r="X82" s="191"/>
      <c r="Y82" s="191"/>
      <c r="Z82" s="191"/>
      <c r="AA82" s="191"/>
      <c r="AB82" s="191"/>
      <c r="AC82" s="204"/>
      <c r="AD82" s="200"/>
    </row>
    <row r="83" spans="1:30" ht="27.75" customHeight="1" thickTop="1" x14ac:dyDescent="0.25">
      <c r="B83" s="13" t="s">
        <v>142</v>
      </c>
      <c r="C83" s="13"/>
      <c r="D83" s="13"/>
      <c r="E83" s="13"/>
      <c r="F83" s="13"/>
      <c r="G83" s="13"/>
      <c r="H83" s="13"/>
      <c r="I83" s="13"/>
      <c r="J83" s="13"/>
      <c r="K83" s="82" t="s">
        <v>143</v>
      </c>
      <c r="L83" s="205" t="s">
        <v>144</v>
      </c>
      <c r="M83" s="202"/>
      <c r="N83" s="203"/>
      <c r="O83" s="1"/>
      <c r="Q83" s="164"/>
      <c r="V83" s="9" t="s">
        <v>145</v>
      </c>
      <c r="W83" s="9"/>
      <c r="X83" s="9"/>
      <c r="Y83" s="9"/>
      <c r="Z83" s="9"/>
      <c r="AA83" s="9"/>
      <c r="AB83" s="9"/>
      <c r="AC83" s="9"/>
      <c r="AD83" s="206"/>
    </row>
    <row r="84" spans="1:30" ht="18.75" customHeight="1" thickBot="1" x14ac:dyDescent="0.3">
      <c r="B84" s="13" t="s">
        <v>146</v>
      </c>
      <c r="C84" s="13"/>
      <c r="D84" s="13"/>
      <c r="E84" s="13"/>
      <c r="F84" s="13"/>
      <c r="G84" s="13"/>
      <c r="H84" s="13"/>
      <c r="I84" s="13"/>
      <c r="J84" s="13"/>
      <c r="K84" s="207" t="str">
        <f>IF(G26=0,"",IF((G11+G13+SUM(G15:G21))/G26&gt;0.75,1,""))</f>
        <v/>
      </c>
      <c r="L84" s="201">
        <f>'0642 June Final'!AC81</f>
        <v>10108</v>
      </c>
      <c r="M84" s="202"/>
      <c r="N84" s="203"/>
      <c r="O84" s="1"/>
      <c r="Q84" s="164"/>
      <c r="V84" s="208" t="s">
        <v>147</v>
      </c>
      <c r="W84" s="208"/>
      <c r="X84" s="208"/>
      <c r="Y84" s="208"/>
      <c r="Z84" s="208"/>
      <c r="AA84" s="208"/>
      <c r="AB84" s="208"/>
      <c r="AC84" s="208"/>
      <c r="AD84" s="9"/>
    </row>
    <row r="85" spans="1:30" ht="18.75" customHeight="1" thickTop="1" x14ac:dyDescent="0.25">
      <c r="B85" s="13"/>
      <c r="C85" s="13"/>
      <c r="D85" s="13"/>
      <c r="E85" s="13"/>
      <c r="F85" s="13"/>
      <c r="G85" s="13"/>
      <c r="H85" s="13"/>
      <c r="I85" s="13"/>
      <c r="J85" s="13"/>
      <c r="M85" s="202"/>
      <c r="N85" s="203"/>
      <c r="O85" s="1"/>
      <c r="Q85" s="164"/>
      <c r="V85" s="208" t="s">
        <v>148</v>
      </c>
      <c r="W85" s="208"/>
      <c r="X85" s="208"/>
      <c r="Y85" s="208"/>
      <c r="Z85" s="208"/>
      <c r="AA85" s="208"/>
      <c r="AB85" s="208"/>
      <c r="AC85" s="208"/>
      <c r="AD85" s="206"/>
    </row>
    <row r="86" spans="1:30" ht="18.75" customHeight="1" x14ac:dyDescent="0.25">
      <c r="B86" s="2" t="s">
        <v>149</v>
      </c>
      <c r="C86" s="13"/>
      <c r="D86" s="13"/>
      <c r="E86" s="13"/>
      <c r="F86" s="13"/>
      <c r="G86" s="13"/>
      <c r="H86" s="13"/>
      <c r="I86" s="13"/>
      <c r="J86" s="209" t="s">
        <v>150</v>
      </c>
      <c r="K86" s="210">
        <f>IF(K84=1,L84,L82)</f>
        <v>552325</v>
      </c>
      <c r="L86" s="211">
        <f>IF(G26=0,0,IF(G26&gt;250,-(((250/G26)*K86)*IF(M86="H",0.02,0.05)),IF(M86="H",-0.02*K86,-0.05*K86)))</f>
        <v>-27616.25</v>
      </c>
      <c r="M86" s="212" t="str">
        <f>IF(B123="2801","H",IF(B123="2911","H",IF(B123="3382","H"," ")))</f>
        <v xml:space="preserve"> </v>
      </c>
      <c r="N86" s="203"/>
      <c r="O86" s="1"/>
      <c r="Q86" s="164"/>
      <c r="V86" s="208" t="s">
        <v>151</v>
      </c>
      <c r="W86" s="208"/>
      <c r="X86" s="208"/>
      <c r="Y86" s="208"/>
      <c r="Z86" s="208"/>
      <c r="AA86" s="208"/>
      <c r="AB86" s="208"/>
      <c r="AC86" s="208"/>
      <c r="AD86" s="206"/>
    </row>
    <row r="87" spans="1:30" ht="18.75" customHeight="1" x14ac:dyDescent="0.25">
      <c r="B87" s="2" t="s">
        <v>152</v>
      </c>
      <c r="C87" s="13"/>
      <c r="D87" s="13"/>
      <c r="E87" s="13"/>
      <c r="F87" s="13"/>
      <c r="G87" s="13"/>
      <c r="H87" s="13"/>
      <c r="I87" s="13"/>
      <c r="J87" s="13"/>
      <c r="K87" s="213"/>
      <c r="L87" s="205">
        <f>L82+L86</f>
        <v>524708.75</v>
      </c>
      <c r="M87" s="202"/>
      <c r="N87" s="203"/>
      <c r="O87" s="1"/>
      <c r="Q87" s="164"/>
      <c r="V87" s="198"/>
      <c r="W87" s="198"/>
      <c r="X87" s="198"/>
      <c r="Y87" s="198"/>
      <c r="Z87" s="198"/>
      <c r="AA87" s="198"/>
      <c r="AB87" s="198"/>
      <c r="AC87" s="198"/>
      <c r="AD87" s="214"/>
    </row>
    <row r="88" spans="1:30" x14ac:dyDescent="0.25">
      <c r="V88" s="198"/>
      <c r="W88" s="198"/>
      <c r="X88" s="198"/>
      <c r="Y88" s="198"/>
      <c r="Z88" s="198"/>
      <c r="AA88" s="198"/>
      <c r="AB88" s="198"/>
      <c r="AC88" s="198"/>
      <c r="AD88" s="215"/>
    </row>
    <row r="89" spans="1:30" ht="18.75" customHeight="1" x14ac:dyDescent="0.25">
      <c r="A89" s="1" t="s">
        <v>153</v>
      </c>
      <c r="B89" s="13" t="s">
        <v>154</v>
      </c>
      <c r="C89" s="13"/>
      <c r="D89" s="13">
        <v>302480</v>
      </c>
      <c r="E89" s="13">
        <v>39794</v>
      </c>
      <c r="F89" s="13">
        <v>461659</v>
      </c>
      <c r="G89" s="13"/>
      <c r="H89" s="13"/>
      <c r="I89" s="13"/>
      <c r="J89" s="13"/>
      <c r="K89" s="213"/>
      <c r="L89" s="84">
        <v>-525291.1</v>
      </c>
      <c r="M89" s="202"/>
      <c r="N89" s="203"/>
      <c r="O89" s="1"/>
      <c r="Q89" s="164"/>
      <c r="V89" s="198">
        <v>2801</v>
      </c>
      <c r="W89" s="198"/>
      <c r="X89" s="198"/>
      <c r="Y89" s="198"/>
      <c r="Z89" s="198"/>
      <c r="AA89" s="198"/>
      <c r="AB89" s="198"/>
      <c r="AC89" s="198"/>
      <c r="AD89" s="214"/>
    </row>
    <row r="90" spans="1:30" ht="18.75" customHeight="1" x14ac:dyDescent="0.25">
      <c r="B90" s="13" t="s">
        <v>155</v>
      </c>
      <c r="C90" s="13"/>
      <c r="D90" s="13"/>
      <c r="E90" s="13"/>
      <c r="F90" s="13"/>
      <c r="G90" s="13"/>
      <c r="H90" s="13"/>
      <c r="I90" s="13"/>
      <c r="J90" s="13"/>
      <c r="K90" s="213"/>
      <c r="L90" s="205">
        <f>L87+L89</f>
        <v>-582.34999999997672</v>
      </c>
      <c r="M90" s="202"/>
      <c r="N90" s="203"/>
      <c r="O90" s="1"/>
      <c r="Q90" s="164"/>
      <c r="V90" s="198">
        <v>2911</v>
      </c>
      <c r="W90" s="216"/>
      <c r="X90" s="216"/>
      <c r="Y90" s="216"/>
      <c r="Z90" s="216"/>
      <c r="AA90" s="216"/>
      <c r="AB90" s="216"/>
      <c r="AC90" s="216"/>
      <c r="AD90" s="214"/>
    </row>
    <row r="91" spans="1:30" ht="18.75" customHeight="1" x14ac:dyDescent="0.25">
      <c r="B91" s="13" t="s">
        <v>156</v>
      </c>
      <c r="C91" s="13"/>
      <c r="D91" s="13"/>
      <c r="E91" s="13"/>
      <c r="F91" s="13"/>
      <c r="G91" s="13"/>
      <c r="H91" s="13"/>
      <c r="I91" s="13"/>
      <c r="J91" s="13"/>
      <c r="K91" s="213"/>
      <c r="L91" s="205">
        <v>1</v>
      </c>
      <c r="M91" s="202"/>
      <c r="N91" s="203"/>
      <c r="O91" s="1"/>
      <c r="Q91" s="164"/>
      <c r="V91" s="198">
        <v>3382</v>
      </c>
      <c r="W91" s="216"/>
      <c r="X91" s="216"/>
      <c r="Y91" s="216"/>
      <c r="Z91" s="216"/>
      <c r="AA91" s="216"/>
      <c r="AB91" s="216"/>
      <c r="AC91" s="216"/>
      <c r="AD91" s="214"/>
    </row>
    <row r="92" spans="1:30" ht="18.75" customHeight="1" thickBot="1" x14ac:dyDescent="0.3">
      <c r="B92" s="13" t="s">
        <v>434</v>
      </c>
      <c r="C92" s="13"/>
      <c r="D92" s="13"/>
      <c r="E92" s="13"/>
      <c r="F92" s="13"/>
      <c r="G92" s="13"/>
      <c r="H92" s="13"/>
      <c r="I92" s="13"/>
      <c r="J92" s="13"/>
      <c r="K92" s="213"/>
      <c r="L92" s="217">
        <f>L90/L91</f>
        <v>-582.34999999997672</v>
      </c>
      <c r="M92" s="202"/>
      <c r="N92" s="203"/>
      <c r="O92" s="1"/>
      <c r="Q92" s="164"/>
      <c r="V92" s="218"/>
      <c r="W92" s="218"/>
      <c r="X92" s="218"/>
      <c r="Y92" s="218"/>
      <c r="Z92" s="218"/>
      <c r="AA92" s="218"/>
      <c r="AB92" s="218"/>
      <c r="AC92" s="218"/>
      <c r="AD92" s="219"/>
    </row>
    <row r="93" spans="1:30" ht="18.75" customHeight="1" thickTop="1" x14ac:dyDescent="0.25">
      <c r="N93" s="219"/>
      <c r="O93" s="220"/>
      <c r="P93" s="219"/>
      <c r="Q93" s="219"/>
      <c r="V93" s="218"/>
      <c r="W93" s="218"/>
      <c r="X93" s="218"/>
      <c r="Y93" s="218"/>
      <c r="Z93" s="218"/>
      <c r="AA93" s="218"/>
      <c r="AB93" s="218"/>
      <c r="AC93" s="218"/>
      <c r="AD93" s="214"/>
    </row>
    <row r="94" spans="1:30" ht="18.75" customHeight="1" thickBot="1" x14ac:dyDescent="0.3">
      <c r="B94" s="221" t="s">
        <v>158</v>
      </c>
      <c r="C94" s="13"/>
      <c r="D94" s="13"/>
      <c r="E94" s="13"/>
      <c r="G94" s="13"/>
      <c r="H94" s="13"/>
      <c r="I94" s="13"/>
      <c r="J94" s="13"/>
      <c r="L94" s="222">
        <f>IF(M86="H",(K86*0.02)+L86,(K86*0.05)+L86)</f>
        <v>0</v>
      </c>
      <c r="M94" s="202"/>
      <c r="V94" s="223"/>
      <c r="W94" s="223"/>
      <c r="X94" s="223"/>
      <c r="Y94" s="223"/>
      <c r="Z94" s="223"/>
      <c r="AA94" s="223"/>
      <c r="AB94" s="223"/>
      <c r="AC94" s="223"/>
      <c r="AD94" s="214"/>
    </row>
    <row r="95" spans="1:30" ht="21.75" customHeight="1" thickTop="1" x14ac:dyDescent="0.25">
      <c r="B95" s="224" t="s">
        <v>159</v>
      </c>
      <c r="C95" s="224"/>
      <c r="D95" s="224"/>
      <c r="E95" s="224"/>
      <c r="F95" s="224"/>
      <c r="G95" s="224"/>
      <c r="H95" s="224"/>
      <c r="I95" s="224"/>
      <c r="J95" s="224"/>
      <c r="K95" s="224"/>
      <c r="L95" s="224"/>
      <c r="M95" s="219"/>
      <c r="V95" s="223"/>
      <c r="W95" s="223"/>
      <c r="X95" s="223"/>
      <c r="Y95" s="223"/>
      <c r="Z95" s="223"/>
      <c r="AA95" s="223"/>
      <c r="AB95" s="223"/>
      <c r="AC95" s="223"/>
      <c r="AD95" s="214"/>
    </row>
    <row r="96" spans="1:30" x14ac:dyDescent="0.25">
      <c r="B96" s="225"/>
      <c r="V96" s="223"/>
      <c r="W96" s="223"/>
      <c r="X96" s="223"/>
      <c r="Y96" s="223"/>
      <c r="Z96" s="223"/>
      <c r="AA96" s="223"/>
      <c r="AB96" s="223"/>
      <c r="AC96" s="223"/>
      <c r="AD96" s="219"/>
    </row>
    <row r="97" spans="2:30" x14ac:dyDescent="0.25">
      <c r="B97" s="225"/>
      <c r="V97" s="223"/>
      <c r="W97" s="223"/>
      <c r="X97" s="223"/>
      <c r="Y97" s="223"/>
      <c r="Z97" s="223"/>
      <c r="AA97" s="223"/>
      <c r="AB97" s="223"/>
      <c r="AC97" s="223"/>
      <c r="AD97" s="219"/>
    </row>
    <row r="98" spans="2:30" hidden="1" x14ac:dyDescent="0.25">
      <c r="B98" s="226" t="s">
        <v>160</v>
      </c>
      <c r="C98" s="227"/>
      <c r="V98" s="228"/>
      <c r="W98" s="228"/>
      <c r="X98" s="228"/>
      <c r="Y98" s="228"/>
      <c r="Z98" s="228"/>
      <c r="AA98" s="228"/>
      <c r="AB98" s="228"/>
      <c r="AC98" s="228"/>
    </row>
    <row r="99" spans="2:30" hidden="1" x14ac:dyDescent="0.25">
      <c r="B99" s="229"/>
      <c r="C99" s="227"/>
      <c r="V99" s="225"/>
      <c r="W99" s="13"/>
      <c r="X99" s="13"/>
      <c r="Y99" s="13"/>
      <c r="Z99" s="13"/>
      <c r="AA99" s="13"/>
      <c r="AB99" s="13"/>
      <c r="AC99" s="13"/>
    </row>
    <row r="100" spans="2:30" hidden="1" x14ac:dyDescent="0.25">
      <c r="B100" s="230" t="s">
        <v>161</v>
      </c>
      <c r="C100" s="226" t="s">
        <v>162</v>
      </c>
      <c r="V100" s="225"/>
    </row>
    <row r="101" spans="2:30" hidden="1" x14ac:dyDescent="0.25">
      <c r="B101" s="230" t="s">
        <v>163</v>
      </c>
      <c r="C101" s="226" t="s">
        <v>164</v>
      </c>
      <c r="V101" s="225"/>
    </row>
    <row r="102" spans="2:30" hidden="1" x14ac:dyDescent="0.25">
      <c r="B102" s="230" t="s">
        <v>165</v>
      </c>
      <c r="C102" s="226" t="s">
        <v>166</v>
      </c>
      <c r="V102" s="225"/>
      <c r="W102" s="231"/>
      <c r="X102" s="231"/>
      <c r="Y102" s="231"/>
      <c r="Z102" s="231"/>
      <c r="AA102" s="231"/>
      <c r="AB102" s="231"/>
      <c r="AC102" s="231"/>
      <c r="AD102" s="231"/>
    </row>
    <row r="103" spans="2:30" hidden="1" x14ac:dyDescent="0.25">
      <c r="B103" s="230" t="s">
        <v>167</v>
      </c>
      <c r="C103" s="226" t="s">
        <v>168</v>
      </c>
      <c r="V103" s="225"/>
    </row>
    <row r="104" spans="2:30" hidden="1" x14ac:dyDescent="0.25">
      <c r="B104" s="232"/>
      <c r="C104" s="226" t="s">
        <v>169</v>
      </c>
      <c r="V104" s="225"/>
    </row>
    <row r="105" spans="2:30" hidden="1" x14ac:dyDescent="0.25">
      <c r="B105" s="230" t="s">
        <v>170</v>
      </c>
      <c r="C105" s="226" t="s">
        <v>171</v>
      </c>
      <c r="V105" s="225"/>
    </row>
    <row r="106" spans="2:30" hidden="1" x14ac:dyDescent="0.25">
      <c r="B106" s="230" t="s">
        <v>172</v>
      </c>
      <c r="C106" s="226" t="s">
        <v>173</v>
      </c>
      <c r="V106" s="225"/>
    </row>
    <row r="107" spans="2:30" hidden="1" x14ac:dyDescent="0.25">
      <c r="B107" s="230" t="s">
        <v>213</v>
      </c>
      <c r="C107" s="226" t="s">
        <v>175</v>
      </c>
      <c r="V107" s="225"/>
    </row>
    <row r="108" spans="2:30" hidden="1" x14ac:dyDescent="0.25">
      <c r="B108" s="230" t="s">
        <v>176</v>
      </c>
      <c r="C108" s="226" t="s">
        <v>177</v>
      </c>
      <c r="V108" s="225"/>
    </row>
    <row r="109" spans="2:30" hidden="1" x14ac:dyDescent="0.25">
      <c r="B109" s="230" t="s">
        <v>178</v>
      </c>
      <c r="C109" s="226" t="s">
        <v>179</v>
      </c>
      <c r="V109" s="225"/>
    </row>
    <row r="110" spans="2:30" hidden="1" x14ac:dyDescent="0.25">
      <c r="B110" s="232"/>
      <c r="C110" s="226"/>
      <c r="V110" s="225"/>
    </row>
    <row r="111" spans="2:30" hidden="1" x14ac:dyDescent="0.25">
      <c r="B111" s="230" t="s">
        <v>180</v>
      </c>
      <c r="C111" s="226" t="s">
        <v>181</v>
      </c>
      <c r="V111" s="225"/>
    </row>
    <row r="112" spans="2:30" hidden="1" x14ac:dyDescent="0.25">
      <c r="B112" s="230" t="s">
        <v>180</v>
      </c>
      <c r="C112" s="226" t="s">
        <v>182</v>
      </c>
    </row>
    <row r="113" spans="2:3" hidden="1" x14ac:dyDescent="0.25">
      <c r="B113" s="230" t="s">
        <v>183</v>
      </c>
      <c r="C113" s="226" t="s">
        <v>184</v>
      </c>
    </row>
    <row r="114" spans="2:3" hidden="1" x14ac:dyDescent="0.25">
      <c r="B114" s="230" t="s">
        <v>185</v>
      </c>
      <c r="C114" s="226" t="s">
        <v>186</v>
      </c>
    </row>
    <row r="115" spans="2:3" hidden="1" x14ac:dyDescent="0.25">
      <c r="B115" s="230" t="s">
        <v>183</v>
      </c>
      <c r="C115" s="226" t="s">
        <v>187</v>
      </c>
    </row>
    <row r="116" spans="2:3" hidden="1" x14ac:dyDescent="0.25">
      <c r="B116" s="230" t="s">
        <v>188</v>
      </c>
      <c r="C116" s="226" t="s">
        <v>189</v>
      </c>
    </row>
    <row r="117" spans="2:3" hidden="1" x14ac:dyDescent="0.25">
      <c r="B117" s="230" t="s">
        <v>190</v>
      </c>
      <c r="C117" s="226" t="s">
        <v>191</v>
      </c>
    </row>
    <row r="118" spans="2:3" hidden="1" x14ac:dyDescent="0.25">
      <c r="B118" s="232" t="s">
        <v>192</v>
      </c>
      <c r="C118" s="226" t="s">
        <v>193</v>
      </c>
    </row>
    <row r="119" spans="2:3" hidden="1" x14ac:dyDescent="0.25">
      <c r="B119" s="232"/>
      <c r="C119" s="226"/>
    </row>
    <row r="120" spans="2:3" hidden="1" x14ac:dyDescent="0.25">
      <c r="B120" s="230" t="s">
        <v>161</v>
      </c>
      <c r="C120" s="226" t="s">
        <v>194</v>
      </c>
    </row>
    <row r="121" spans="2:3" hidden="1" x14ac:dyDescent="0.25">
      <c r="B121" s="230" t="s">
        <v>195</v>
      </c>
      <c r="C121" s="226" t="s">
        <v>196</v>
      </c>
    </row>
    <row r="122" spans="2:3" hidden="1" x14ac:dyDescent="0.25">
      <c r="B122" s="230" t="s">
        <v>197</v>
      </c>
      <c r="C122" s="226" t="s">
        <v>198</v>
      </c>
    </row>
    <row r="123" spans="2:3" hidden="1" x14ac:dyDescent="0.25">
      <c r="B123" s="230" t="s">
        <v>214</v>
      </c>
      <c r="C123" s="226" t="s">
        <v>200</v>
      </c>
    </row>
    <row r="124" spans="2:3" hidden="1" x14ac:dyDescent="0.25">
      <c r="B124" s="230" t="s">
        <v>215</v>
      </c>
      <c r="C124" s="226" t="s">
        <v>202</v>
      </c>
    </row>
    <row r="125" spans="2:3" hidden="1" x14ac:dyDescent="0.25">
      <c r="B125" s="230" t="s">
        <v>203</v>
      </c>
      <c r="C125" s="226" t="s">
        <v>204</v>
      </c>
    </row>
    <row r="126" spans="2:3" hidden="1" x14ac:dyDescent="0.25">
      <c r="B126" s="230" t="s">
        <v>203</v>
      </c>
      <c r="C126" s="226" t="s">
        <v>205</v>
      </c>
    </row>
    <row r="127" spans="2:3" hidden="1" x14ac:dyDescent="0.25">
      <c r="B127" s="230" t="s">
        <v>203</v>
      </c>
      <c r="C127" s="226" t="s">
        <v>206</v>
      </c>
    </row>
    <row r="128" spans="2:3" hidden="1" x14ac:dyDescent="0.25">
      <c r="B128" s="230" t="s">
        <v>203</v>
      </c>
      <c r="C128" s="226" t="s">
        <v>207</v>
      </c>
    </row>
    <row r="129" spans="2:3" hidden="1" x14ac:dyDescent="0.25">
      <c r="B129" s="230" t="s">
        <v>167</v>
      </c>
      <c r="C129" s="226" t="s">
        <v>208</v>
      </c>
    </row>
    <row r="130" spans="2:3" hidden="1" x14ac:dyDescent="0.25">
      <c r="B130" s="230" t="s">
        <v>209</v>
      </c>
      <c r="C130" s="226" t="s">
        <v>210</v>
      </c>
    </row>
    <row r="131" spans="2:3" hidden="1" x14ac:dyDescent="0.25">
      <c r="B131" s="230" t="s">
        <v>203</v>
      </c>
      <c r="C131" s="226" t="s">
        <v>211</v>
      </c>
    </row>
    <row r="132" spans="2:3" hidden="1" x14ac:dyDescent="0.25">
      <c r="B132" s="226"/>
      <c r="C132" s="226"/>
    </row>
    <row r="133" spans="2:3" hidden="1" x14ac:dyDescent="0.25">
      <c r="B133" s="226"/>
      <c r="C133" s="226"/>
    </row>
    <row r="134" spans="2:3" hidden="1" x14ac:dyDescent="0.25">
      <c r="B134" s="232"/>
      <c r="C134" s="232"/>
    </row>
    <row r="135" spans="2:3" hidden="1" x14ac:dyDescent="0.25">
      <c r="B135" s="232">
        <f>NvsElapsedTime</f>
        <v>1.15740767796524E-5</v>
      </c>
      <c r="C135" s="232"/>
    </row>
    <row r="136" spans="2:3" hidden="1" x14ac:dyDescent="0.25">
      <c r="B136" s="233">
        <f>NvsEndTime</f>
        <v>41754.487650463001</v>
      </c>
      <c r="C136" s="233" t="s">
        <v>212</v>
      </c>
    </row>
    <row r="137" spans="2:3" x14ac:dyDescent="0.25">
      <c r="B137" s="226"/>
      <c r="C137" s="234"/>
    </row>
    <row r="138" spans="2:3" x14ac:dyDescent="0.25">
      <c r="B138" s="226"/>
      <c r="C138" s="226"/>
    </row>
    <row r="139" spans="2:3" x14ac:dyDescent="0.25">
      <c r="B139" s="226"/>
      <c r="C139" s="226"/>
    </row>
    <row r="140" spans="2:3" x14ac:dyDescent="0.25">
      <c r="B140" s="226"/>
      <c r="C140" s="226"/>
    </row>
    <row r="141" spans="2:3" x14ac:dyDescent="0.25">
      <c r="B141" s="226"/>
      <c r="C141" s="226"/>
    </row>
    <row r="142" spans="2:3" x14ac:dyDescent="0.25">
      <c r="B142" s="226"/>
      <c r="C142" s="226"/>
    </row>
    <row r="143" spans="2:3" x14ac:dyDescent="0.25">
      <c r="B143" s="226"/>
      <c r="C143" s="226"/>
    </row>
    <row r="144" spans="2:3" x14ac:dyDescent="0.25">
      <c r="B144" s="226"/>
      <c r="C144" s="226"/>
    </row>
    <row r="145" spans="2:3" x14ac:dyDescent="0.25">
      <c r="B145" s="226"/>
      <c r="C145" s="226"/>
    </row>
    <row r="146" spans="2:3" x14ac:dyDescent="0.25">
      <c r="B146" s="226"/>
      <c r="C146" s="226"/>
    </row>
    <row r="147" spans="2:3" x14ac:dyDescent="0.25">
      <c r="B147" s="226"/>
      <c r="C147" s="226"/>
    </row>
    <row r="148" spans="2:3" x14ac:dyDescent="0.25">
      <c r="B148" s="226"/>
      <c r="C148" s="226"/>
    </row>
    <row r="149" spans="2:3" x14ac:dyDescent="0.25">
      <c r="B149" s="226"/>
      <c r="C149" s="226"/>
    </row>
    <row r="150" spans="2:3" x14ac:dyDescent="0.25">
      <c r="B150" s="226"/>
      <c r="C150" s="226"/>
    </row>
    <row r="151" spans="2:3" x14ac:dyDescent="0.25">
      <c r="B151" s="226"/>
      <c r="C151" s="226"/>
    </row>
  </sheetData>
  <mergeCells count="151">
    <mergeCell ref="W2:AC2"/>
    <mergeCell ref="V3:AC3"/>
    <mergeCell ref="V4:AC4"/>
    <mergeCell ref="V5:W5"/>
    <mergeCell ref="X5:Y5"/>
    <mergeCell ref="V6:AC6"/>
    <mergeCell ref="V7:W7"/>
    <mergeCell ref="X7:Y7"/>
    <mergeCell ref="Z7:AA7"/>
    <mergeCell ref="V9:W9"/>
    <mergeCell ref="X9:Y9"/>
    <mergeCell ref="Z9:AA9"/>
    <mergeCell ref="V10:W10"/>
    <mergeCell ref="X10:Y10"/>
    <mergeCell ref="Z10:AA10"/>
    <mergeCell ref="AB7:AC7"/>
    <mergeCell ref="V8:W8"/>
    <mergeCell ref="X8:Y8"/>
    <mergeCell ref="Z8:AA8"/>
    <mergeCell ref="V18:W18"/>
    <mergeCell ref="X18:Y18"/>
    <mergeCell ref="Z18:AA18"/>
    <mergeCell ref="V14:W14"/>
    <mergeCell ref="X14:Y14"/>
    <mergeCell ref="Z14:AA14"/>
    <mergeCell ref="V11:W11"/>
    <mergeCell ref="X11:Y11"/>
    <mergeCell ref="Z11:AA11"/>
    <mergeCell ref="V12:W12"/>
    <mergeCell ref="X12:Y12"/>
    <mergeCell ref="Z12:AA12"/>
    <mergeCell ref="V15:W15"/>
    <mergeCell ref="X15:Y15"/>
    <mergeCell ref="Z15:AA15"/>
    <mergeCell ref="V16:W16"/>
    <mergeCell ref="X16:Y16"/>
    <mergeCell ref="Z16:AA16"/>
    <mergeCell ref="V17:W17"/>
    <mergeCell ref="X17:Y17"/>
    <mergeCell ref="Z17:AA17"/>
    <mergeCell ref="V13:W13"/>
    <mergeCell ref="X13:Y13"/>
    <mergeCell ref="Z13:AA13"/>
    <mergeCell ref="V26:W26"/>
    <mergeCell ref="X26:Y26"/>
    <mergeCell ref="Z26:AA26"/>
    <mergeCell ref="V19:W19"/>
    <mergeCell ref="X19:Y19"/>
    <mergeCell ref="Z19:AA19"/>
    <mergeCell ref="V20:W20"/>
    <mergeCell ref="X20:Y20"/>
    <mergeCell ref="Z20:AA20"/>
    <mergeCell ref="V21:W21"/>
    <mergeCell ref="X21:Y21"/>
    <mergeCell ref="Z21:AA21"/>
    <mergeCell ref="V22:W22"/>
    <mergeCell ref="X22:Y22"/>
    <mergeCell ref="Z22:AA22"/>
    <mergeCell ref="V23:W23"/>
    <mergeCell ref="X23:Y23"/>
    <mergeCell ref="Z23:AA23"/>
    <mergeCell ref="V24:W24"/>
    <mergeCell ref="X24:Y24"/>
    <mergeCell ref="Z24:AA24"/>
    <mergeCell ref="V25:W25"/>
    <mergeCell ref="X25:Y25"/>
    <mergeCell ref="Z25:AA25"/>
    <mergeCell ref="V40:W40"/>
    <mergeCell ref="X40:AA40"/>
    <mergeCell ref="V27:W27"/>
    <mergeCell ref="X27:Y27"/>
    <mergeCell ref="B28:C36"/>
    <mergeCell ref="V28:W36"/>
    <mergeCell ref="X28:Y28"/>
    <mergeCell ref="X29:Y29"/>
    <mergeCell ref="X30:Y30"/>
    <mergeCell ref="X31:Y31"/>
    <mergeCell ref="X32:Y32"/>
    <mergeCell ref="X33:Y33"/>
    <mergeCell ref="X34:Y34"/>
    <mergeCell ref="X35:Y35"/>
    <mergeCell ref="X36:Y36"/>
    <mergeCell ref="V37:W37"/>
    <mergeCell ref="X37:Y37"/>
    <mergeCell ref="Z37:AB37"/>
    <mergeCell ref="V38:AC38"/>
    <mergeCell ref="V39:W39"/>
    <mergeCell ref="X39:Y39"/>
    <mergeCell ref="Z39:AC39"/>
    <mergeCell ref="V57:AA57"/>
    <mergeCell ref="AB57:AC57"/>
    <mergeCell ref="V58:X58"/>
    <mergeCell ref="Y58:Z58"/>
    <mergeCell ref="V41:AC41"/>
    <mergeCell ref="V42:AC42"/>
    <mergeCell ref="V43:AC43"/>
    <mergeCell ref="V44:AB44"/>
    <mergeCell ref="V45:AC45"/>
    <mergeCell ref="X46:Y46"/>
    <mergeCell ref="Z46:AC46"/>
    <mergeCell ref="X47:Y47"/>
    <mergeCell ref="X48:Y48"/>
    <mergeCell ref="X49:Y49"/>
    <mergeCell ref="X50:AB50"/>
    <mergeCell ref="V51:AC51"/>
    <mergeCell ref="V52:AC52"/>
    <mergeCell ref="V53:W53"/>
    <mergeCell ref="Y53:Z53"/>
    <mergeCell ref="AA53:AC53"/>
    <mergeCell ref="V54:AA54"/>
    <mergeCell ref="AB54:AC54"/>
    <mergeCell ref="V55:AC55"/>
    <mergeCell ref="V56:W56"/>
    <mergeCell ref="Y56:Z56"/>
    <mergeCell ref="AA56:AC56"/>
    <mergeCell ref="V72:AB72"/>
    <mergeCell ref="V73:AC73"/>
    <mergeCell ref="V74:W74"/>
    <mergeCell ref="V75:W75"/>
    <mergeCell ref="V59:AC59"/>
    <mergeCell ref="V60:W60"/>
    <mergeCell ref="X60:AC60"/>
    <mergeCell ref="V61:W61"/>
    <mergeCell ref="X61:AC61"/>
    <mergeCell ref="V62:W62"/>
    <mergeCell ref="X62:AC62"/>
    <mergeCell ref="V63:AC63"/>
    <mergeCell ref="V64:W64"/>
    <mergeCell ref="X64:AC64"/>
    <mergeCell ref="V65:W65"/>
    <mergeCell ref="X65:AC65"/>
    <mergeCell ref="V66:X66"/>
    <mergeCell ref="Y66:Z66"/>
    <mergeCell ref="V67:AC67"/>
    <mergeCell ref="V68:X68"/>
    <mergeCell ref="Y68:Z68"/>
    <mergeCell ref="V69:X69"/>
    <mergeCell ref="Y69:Z69"/>
    <mergeCell ref="V70:X70"/>
    <mergeCell ref="Y70:Z70"/>
    <mergeCell ref="V71:X71"/>
    <mergeCell ref="Y71:Z71"/>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pageSetUpPr fitToPage="1"/>
  </sheetPr>
  <dimension ref="A1:AD151"/>
  <sheetViews>
    <sheetView topLeftCell="B2" zoomScale="70" zoomScaleNormal="70" workbookViewId="0">
      <selection activeCell="L71" sqref="L70:L71"/>
    </sheetView>
  </sheetViews>
  <sheetFormatPr defaultColWidth="8.85546875" defaultRowHeight="15.75" x14ac:dyDescent="0.25"/>
  <cols>
    <col min="1" max="1" width="11.28515625" style="1" hidden="1" customWidth="1"/>
    <col min="2" max="2" width="10.28515625" style="2" customWidth="1"/>
    <col min="3" max="3" width="29" style="1" customWidth="1"/>
    <col min="4" max="5" width="12.28515625" style="1" customWidth="1"/>
    <col min="6" max="6" width="12.28515625" style="1" hidden="1" customWidth="1"/>
    <col min="7" max="7" width="16.140625" style="1" customWidth="1"/>
    <col min="8" max="8" width="6.7109375" style="1" customWidth="1"/>
    <col min="9" max="9" width="14.28515625" style="1" customWidth="1"/>
    <col min="10" max="10" width="12.85546875" style="1" customWidth="1"/>
    <col min="11" max="11" width="16.140625" style="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28515625" style="1" customWidth="1"/>
    <col min="18" max="18" width="8.85546875" style="1"/>
    <col min="19" max="21" width="0" style="1" hidden="1" customWidth="1"/>
    <col min="22" max="23" width="8.85546875" style="1"/>
    <col min="24" max="24" width="12.7109375" style="1" customWidth="1"/>
    <col min="25" max="27" width="8.85546875" style="1"/>
    <col min="28" max="28" width="13.140625" style="1" bestFit="1" customWidth="1"/>
    <col min="29" max="16384" width="8.85546875" style="1"/>
  </cols>
  <sheetData>
    <row r="1" spans="1:30" ht="15.6"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7"/>
      <c r="N2" s="3"/>
      <c r="O2" s="1"/>
      <c r="V2" s="8">
        <f>'4013'!B2</f>
        <v>50</v>
      </c>
      <c r="W2" s="606" t="s">
        <v>4</v>
      </c>
      <c r="X2" s="607"/>
      <c r="Y2" s="608"/>
      <c r="Z2" s="608"/>
      <c r="AA2" s="608"/>
      <c r="AB2" s="608"/>
      <c r="AC2" s="608"/>
      <c r="AD2" s="9"/>
    </row>
    <row r="3" spans="1:30" ht="20.25" x14ac:dyDescent="0.3">
      <c r="B3" s="10" t="str">
        <f>"Revenue Estimate Worksheet for "&amp;B124</f>
        <v>Revenue Estimate Worksheet for Somerset Acad Canyons Hg Sch</v>
      </c>
      <c r="C3" s="11"/>
      <c r="D3" s="11"/>
      <c r="E3" s="11"/>
      <c r="F3" s="11"/>
      <c r="G3" s="11"/>
      <c r="H3" s="11"/>
      <c r="I3" s="11"/>
      <c r="J3" s="11"/>
      <c r="K3" s="11"/>
      <c r="L3" s="11"/>
      <c r="M3" s="10"/>
      <c r="N3" s="10"/>
      <c r="O3" s="10"/>
      <c r="P3" s="10"/>
      <c r="Q3" s="10"/>
      <c r="V3" s="609" t="s">
        <v>5</v>
      </c>
      <c r="W3" s="609"/>
      <c r="X3" s="609"/>
      <c r="Y3" s="609"/>
      <c r="Z3" s="609"/>
      <c r="AA3" s="609"/>
      <c r="AB3" s="609"/>
      <c r="AC3" s="609"/>
      <c r="AD3" s="12"/>
    </row>
    <row r="4" spans="1:30" ht="18.75" x14ac:dyDescent="0.3">
      <c r="B4" s="2" t="s">
        <v>6</v>
      </c>
      <c r="C4" s="13"/>
      <c r="D4" s="13"/>
      <c r="E4" s="13"/>
      <c r="F4" s="13"/>
      <c r="G4" s="13"/>
      <c r="H4" s="13"/>
      <c r="I4" s="13"/>
      <c r="J4" s="13"/>
      <c r="K4" s="13"/>
      <c r="L4" s="13"/>
      <c r="M4" s="14"/>
      <c r="N4" s="14"/>
      <c r="O4" s="14"/>
      <c r="P4" s="14"/>
      <c r="Q4" s="14"/>
      <c r="V4" s="610" t="str">
        <f>+Based_on_the_Second_Calculation_of_the_FEFP_2010_11</f>
        <v>Based on the Fourth Calculation of the FEFP 2013-14</v>
      </c>
      <c r="W4" s="610"/>
      <c r="X4" s="610"/>
      <c r="Y4" s="610"/>
      <c r="Z4" s="610"/>
      <c r="AA4" s="610"/>
      <c r="AB4" s="610"/>
      <c r="AC4" s="610"/>
      <c r="AD4" s="15"/>
    </row>
    <row r="5" spans="1:30" ht="18.75" customHeight="1" x14ac:dyDescent="0.25">
      <c r="B5" s="16" t="s">
        <v>7</v>
      </c>
      <c r="C5" s="16"/>
      <c r="D5" s="16"/>
      <c r="E5" s="16"/>
      <c r="F5" s="16"/>
      <c r="G5" s="17" t="s">
        <v>8</v>
      </c>
      <c r="H5" s="17"/>
      <c r="I5" s="17"/>
      <c r="J5" s="17"/>
      <c r="K5" s="17"/>
      <c r="L5" s="17"/>
      <c r="M5" s="18"/>
      <c r="N5" s="18"/>
      <c r="O5" s="18"/>
      <c r="P5" s="18"/>
      <c r="Q5" s="18"/>
      <c r="V5" s="611" t="s">
        <v>7</v>
      </c>
      <c r="W5" s="611"/>
      <c r="X5" s="612" t="s">
        <v>8</v>
      </c>
      <c r="Y5" s="612"/>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613" t="s">
        <v>9</v>
      </c>
      <c r="W6" s="613"/>
      <c r="X6" s="613"/>
      <c r="Y6" s="613"/>
      <c r="Z6" s="613"/>
      <c r="AA6" s="613"/>
      <c r="AB6" s="613"/>
      <c r="AC6" s="613"/>
      <c r="AD6" s="22"/>
    </row>
    <row r="7" spans="1:30" ht="18" customHeight="1" x14ac:dyDescent="0.25">
      <c r="B7" s="23" t="s">
        <v>10</v>
      </c>
      <c r="C7" s="23"/>
      <c r="D7" s="23"/>
      <c r="E7" s="23"/>
      <c r="F7" s="23"/>
      <c r="G7" s="24">
        <v>3752.3</v>
      </c>
      <c r="H7" s="24"/>
      <c r="I7" s="23" t="s">
        <v>11</v>
      </c>
      <c r="J7" s="23"/>
      <c r="K7" s="25">
        <v>1.0326</v>
      </c>
      <c r="L7" s="25"/>
      <c r="O7" s="1"/>
      <c r="V7" s="620" t="s">
        <v>10</v>
      </c>
      <c r="W7" s="620"/>
      <c r="X7" s="621">
        <f>'4013'!G7</f>
        <v>3752.3</v>
      </c>
      <c r="Y7" s="621"/>
      <c r="Z7" s="622" t="s">
        <v>11</v>
      </c>
      <c r="AA7" s="622"/>
      <c r="AB7" s="602">
        <f>+K7</f>
        <v>1.0326</v>
      </c>
      <c r="AC7" s="602"/>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603" t="s">
        <v>12</v>
      </c>
      <c r="W8" s="603"/>
      <c r="X8" s="604" t="s">
        <v>15</v>
      </c>
      <c r="Y8" s="604"/>
      <c r="Z8" s="605" t="s">
        <v>16</v>
      </c>
      <c r="AA8" s="605"/>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614" t="s">
        <v>22</v>
      </c>
      <c r="W9" s="614"/>
      <c r="X9" s="615" t="s">
        <v>23</v>
      </c>
      <c r="Y9" s="615"/>
      <c r="Z9" s="616" t="s">
        <v>24</v>
      </c>
      <c r="AA9" s="616"/>
      <c r="AB9" s="43" t="s">
        <v>25</v>
      </c>
      <c r="AC9" s="44" t="s">
        <v>26</v>
      </c>
      <c r="AD9" s="9"/>
    </row>
    <row r="10" spans="1:30" x14ac:dyDescent="0.25">
      <c r="A10" s="1" t="s">
        <v>27</v>
      </c>
      <c r="B10" s="45" t="s">
        <v>28</v>
      </c>
      <c r="C10" s="45"/>
      <c r="D10" s="45">
        <v>0</v>
      </c>
      <c r="E10" s="45">
        <v>0</v>
      </c>
      <c r="F10" s="45">
        <v>0</v>
      </c>
      <c r="G10" s="46">
        <f>D10+E10</f>
        <v>0</v>
      </c>
      <c r="H10" s="47"/>
      <c r="I10" s="48">
        <v>1.125</v>
      </c>
      <c r="J10" s="48"/>
      <c r="K10" s="49">
        <f>ROUND(G10*I10,4)</f>
        <v>0</v>
      </c>
      <c r="L10" s="50">
        <f>ROUND(ROUND(K10*$G$7,4)*($K$7),0)</f>
        <v>0</v>
      </c>
      <c r="N10" s="51">
        <v>5101</v>
      </c>
      <c r="O10" s="52">
        <v>101</v>
      </c>
      <c r="P10" s="53"/>
      <c r="Q10" s="54"/>
      <c r="V10" s="617" t="s">
        <v>28</v>
      </c>
      <c r="W10" s="617"/>
      <c r="X10" s="618">
        <f>IF('4013'!K$84=1,'4013'!G10,0)</f>
        <v>0</v>
      </c>
      <c r="Y10" s="618"/>
      <c r="Z10" s="619">
        <v>1</v>
      </c>
      <c r="AA10" s="619"/>
      <c r="AB10" s="55">
        <f t="shared" ref="AB10:AB25" si="0">ROUND(X10*Z10,4)</f>
        <v>0</v>
      </c>
      <c r="AC10" s="56">
        <f t="shared" ref="AC10:AC25" si="1">ROUND(ROUND(AB10*$X$7,4)*($AB$7),0)</f>
        <v>0</v>
      </c>
      <c r="AD10" s="9">
        <v>1</v>
      </c>
    </row>
    <row r="11" spans="1:30" x14ac:dyDescent="0.25">
      <c r="A11" s="1" t="s">
        <v>29</v>
      </c>
      <c r="B11" s="13" t="s">
        <v>30</v>
      </c>
      <c r="C11" s="13"/>
      <c r="D11" s="13">
        <v>0</v>
      </c>
      <c r="E11" s="13">
        <v>0</v>
      </c>
      <c r="F11" s="13">
        <v>0</v>
      </c>
      <c r="G11" s="46">
        <f t="shared" ref="G11:G25" si="2">D11+E11</f>
        <v>0</v>
      </c>
      <c r="H11" s="47"/>
      <c r="I11" s="57">
        <f>I10</f>
        <v>1.125</v>
      </c>
      <c r="J11" s="57"/>
      <c r="K11" s="49">
        <f t="shared" ref="K11:K25" si="3">ROUND(G11*I11,4)</f>
        <v>0</v>
      </c>
      <c r="L11" s="50">
        <f t="shared" ref="L11:L25" si="4">ROUND(ROUND(K11*$G$7,4)*($K$7),0)</f>
        <v>0</v>
      </c>
      <c r="M11" s="1" t="str">
        <f>IF(ROUND(G11,2)=ROUND(SUM(G28:G30),2)," ","CHECK 2. PK-3 Lines Below")</f>
        <v xml:space="preserve"> </v>
      </c>
      <c r="N11" s="51">
        <v>5101</v>
      </c>
      <c r="O11" s="58" t="s">
        <v>31</v>
      </c>
      <c r="P11" s="53"/>
      <c r="Q11" s="54"/>
      <c r="V11" s="623" t="s">
        <v>30</v>
      </c>
      <c r="W11" s="623"/>
      <c r="X11" s="618">
        <f>IF('4013'!K$84=1,'4013'!G11,0)</f>
        <v>0</v>
      </c>
      <c r="Y11" s="618"/>
      <c r="Z11" s="624">
        <v>1</v>
      </c>
      <c r="AA11" s="624"/>
      <c r="AB11" s="55">
        <f t="shared" si="0"/>
        <v>0</v>
      </c>
      <c r="AC11" s="56">
        <f t="shared" si="1"/>
        <v>0</v>
      </c>
      <c r="AD11" s="9"/>
    </row>
    <row r="12" spans="1:30" x14ac:dyDescent="0.25">
      <c r="A12" s="1" t="s">
        <v>32</v>
      </c>
      <c r="B12" s="13" t="s">
        <v>33</v>
      </c>
      <c r="C12" s="13"/>
      <c r="D12" s="13">
        <v>0</v>
      </c>
      <c r="E12" s="13">
        <v>0</v>
      </c>
      <c r="F12" s="13">
        <v>0</v>
      </c>
      <c r="G12" s="46">
        <f t="shared" si="2"/>
        <v>0</v>
      </c>
      <c r="H12" s="47"/>
      <c r="I12" s="57">
        <v>1</v>
      </c>
      <c r="J12" s="57"/>
      <c r="K12" s="49">
        <f t="shared" si="3"/>
        <v>0</v>
      </c>
      <c r="L12" s="50">
        <f t="shared" si="4"/>
        <v>0</v>
      </c>
      <c r="N12" s="51">
        <v>5102</v>
      </c>
      <c r="O12" s="52">
        <v>102</v>
      </c>
      <c r="P12" s="53"/>
      <c r="Q12" s="54"/>
      <c r="V12" s="623" t="s">
        <v>33</v>
      </c>
      <c r="W12" s="623"/>
      <c r="X12" s="618">
        <f>IF('4013'!K$84=1,'4013'!G12,0)</f>
        <v>0</v>
      </c>
      <c r="Y12" s="618"/>
      <c r="Z12" s="624">
        <v>1</v>
      </c>
      <c r="AA12" s="624"/>
      <c r="AB12" s="55">
        <f t="shared" si="0"/>
        <v>0</v>
      </c>
      <c r="AC12" s="56">
        <f t="shared" si="1"/>
        <v>0</v>
      </c>
      <c r="AD12" s="9"/>
    </row>
    <row r="13" spans="1:30" x14ac:dyDescent="0.25">
      <c r="A13" s="1" t="s">
        <v>34</v>
      </c>
      <c r="B13" s="13" t="s">
        <v>35</v>
      </c>
      <c r="C13" s="13"/>
      <c r="D13" s="13">
        <v>0</v>
      </c>
      <c r="E13" s="13">
        <v>0</v>
      </c>
      <c r="F13" s="13">
        <v>0</v>
      </c>
      <c r="G13" s="46">
        <f t="shared" si="2"/>
        <v>0</v>
      </c>
      <c r="H13" s="47"/>
      <c r="I13" s="57">
        <f>I12</f>
        <v>1</v>
      </c>
      <c r="J13" s="57"/>
      <c r="K13" s="49">
        <f t="shared" si="3"/>
        <v>0</v>
      </c>
      <c r="L13" s="50">
        <f t="shared" si="4"/>
        <v>0</v>
      </c>
      <c r="M13" s="1" t="str">
        <f>IF(ROUND(G13,2)=ROUND(SUM(G31:G33),2)," ","CHECK 2. PK-3 Lines Below")</f>
        <v xml:space="preserve"> </v>
      </c>
      <c r="N13" s="51">
        <v>5102</v>
      </c>
      <c r="O13" s="58" t="s">
        <v>36</v>
      </c>
      <c r="P13" s="53"/>
      <c r="Q13" s="54"/>
      <c r="V13" s="623" t="s">
        <v>35</v>
      </c>
      <c r="W13" s="623"/>
      <c r="X13" s="618">
        <f>IF('4013'!K$84=1,'4013'!G13,0)</f>
        <v>0</v>
      </c>
      <c r="Y13" s="618"/>
      <c r="Z13" s="624">
        <v>1</v>
      </c>
      <c r="AA13" s="624"/>
      <c r="AB13" s="55">
        <f t="shared" si="0"/>
        <v>0</v>
      </c>
      <c r="AC13" s="56">
        <f t="shared" si="1"/>
        <v>0</v>
      </c>
      <c r="AD13" s="9"/>
    </row>
    <row r="14" spans="1:30" x14ac:dyDescent="0.25">
      <c r="A14" s="1" t="s">
        <v>37</v>
      </c>
      <c r="B14" s="13" t="s">
        <v>38</v>
      </c>
      <c r="C14" s="13"/>
      <c r="D14" s="13">
        <v>48.52</v>
      </c>
      <c r="E14" s="13">
        <v>42.43</v>
      </c>
      <c r="F14" s="13">
        <v>117.32</v>
      </c>
      <c r="G14" s="46">
        <f t="shared" si="2"/>
        <v>90.95</v>
      </c>
      <c r="H14" s="47"/>
      <c r="I14" s="57">
        <v>1.0109999999999999</v>
      </c>
      <c r="J14" s="57"/>
      <c r="K14" s="49">
        <f t="shared" si="3"/>
        <v>91.950500000000005</v>
      </c>
      <c r="L14" s="50">
        <f t="shared" si="4"/>
        <v>356274</v>
      </c>
      <c r="N14" s="51">
        <v>5103</v>
      </c>
      <c r="O14" s="52">
        <v>103</v>
      </c>
      <c r="P14" s="53"/>
      <c r="Q14" s="54"/>
      <c r="V14" s="623" t="s">
        <v>38</v>
      </c>
      <c r="W14" s="623"/>
      <c r="X14" s="618">
        <f>IF('4013'!K$84=1,'4013'!G14,0)</f>
        <v>0</v>
      </c>
      <c r="Y14" s="618"/>
      <c r="Z14" s="624">
        <v>1</v>
      </c>
      <c r="AA14" s="624"/>
      <c r="AB14" s="55">
        <f t="shared" si="0"/>
        <v>0</v>
      </c>
      <c r="AC14" s="56">
        <f t="shared" si="1"/>
        <v>0</v>
      </c>
      <c r="AD14" s="9"/>
    </row>
    <row r="15" spans="1:30" x14ac:dyDescent="0.25">
      <c r="A15" s="1" t="s">
        <v>39</v>
      </c>
      <c r="B15" s="13" t="s">
        <v>40</v>
      </c>
      <c r="C15" s="13"/>
      <c r="D15" s="13">
        <v>8.66</v>
      </c>
      <c r="E15" s="13">
        <v>8.34</v>
      </c>
      <c r="F15" s="13">
        <v>22.39</v>
      </c>
      <c r="G15" s="46">
        <f t="shared" si="2"/>
        <v>17</v>
      </c>
      <c r="H15" s="47"/>
      <c r="I15" s="57">
        <f>I14</f>
        <v>1.0109999999999999</v>
      </c>
      <c r="J15" s="57"/>
      <c r="K15" s="49">
        <f t="shared" si="3"/>
        <v>17.187000000000001</v>
      </c>
      <c r="L15" s="59">
        <f t="shared" si="4"/>
        <v>66593</v>
      </c>
      <c r="M15" s="1" t="str">
        <f>IF(ROUND(G15,2)=ROUND(SUM(G34:G36),2)," ","CHECK 2. PK-3 Lines Below")</f>
        <v xml:space="preserve"> </v>
      </c>
      <c r="N15" s="51">
        <v>5103</v>
      </c>
      <c r="O15" s="58" t="s">
        <v>41</v>
      </c>
      <c r="P15" s="53"/>
      <c r="Q15" s="54"/>
      <c r="V15" s="623" t="s">
        <v>40</v>
      </c>
      <c r="W15" s="623"/>
      <c r="X15" s="618">
        <f>IF('4013'!K$84=1,'4013'!G15,0)</f>
        <v>0</v>
      </c>
      <c r="Y15" s="618"/>
      <c r="Z15" s="624">
        <v>1</v>
      </c>
      <c r="AA15" s="624"/>
      <c r="AB15" s="55">
        <f t="shared" si="0"/>
        <v>0</v>
      </c>
      <c r="AC15" s="60">
        <f t="shared" si="1"/>
        <v>0</v>
      </c>
      <c r="AD15" s="9"/>
    </row>
    <row r="16" spans="1:30" x14ac:dyDescent="0.25">
      <c r="A16" s="1" t="s">
        <v>42</v>
      </c>
      <c r="B16" s="13" t="s">
        <v>43</v>
      </c>
      <c r="C16" s="13"/>
      <c r="D16" s="13">
        <v>0</v>
      </c>
      <c r="E16" s="13">
        <v>0</v>
      </c>
      <c r="F16" s="13">
        <v>0</v>
      </c>
      <c r="G16" s="46">
        <f t="shared" si="2"/>
        <v>0</v>
      </c>
      <c r="H16" s="47"/>
      <c r="I16" s="57">
        <v>3.5579999999999998</v>
      </c>
      <c r="J16" s="57"/>
      <c r="K16" s="49">
        <f t="shared" si="3"/>
        <v>0</v>
      </c>
      <c r="L16" s="50">
        <f t="shared" si="4"/>
        <v>0</v>
      </c>
      <c r="N16" s="51">
        <v>5101</v>
      </c>
      <c r="O16" s="53">
        <v>254</v>
      </c>
      <c r="P16" s="53"/>
      <c r="Q16" s="54"/>
      <c r="V16" s="623" t="s">
        <v>43</v>
      </c>
      <c r="W16" s="623"/>
      <c r="X16" s="618">
        <f>IF('4013'!K$84=1,'4013'!G16,0)</f>
        <v>0</v>
      </c>
      <c r="Y16" s="618"/>
      <c r="Z16" s="624">
        <v>1</v>
      </c>
      <c r="AA16" s="624"/>
      <c r="AB16" s="55">
        <f t="shared" si="0"/>
        <v>0</v>
      </c>
      <c r="AC16" s="56">
        <f t="shared" si="1"/>
        <v>0</v>
      </c>
      <c r="AD16" s="9"/>
    </row>
    <row r="17" spans="1:30" x14ac:dyDescent="0.25">
      <c r="A17" s="1" t="s">
        <v>44</v>
      </c>
      <c r="B17" s="13" t="s">
        <v>45</v>
      </c>
      <c r="C17" s="13"/>
      <c r="D17" s="13">
        <v>0</v>
      </c>
      <c r="E17" s="13">
        <v>0</v>
      </c>
      <c r="F17" s="13">
        <v>0</v>
      </c>
      <c r="G17" s="46">
        <f t="shared" si="2"/>
        <v>0</v>
      </c>
      <c r="H17" s="47"/>
      <c r="I17" s="57">
        <f>I16</f>
        <v>3.5579999999999998</v>
      </c>
      <c r="J17" s="57"/>
      <c r="K17" s="49">
        <f t="shared" si="3"/>
        <v>0</v>
      </c>
      <c r="L17" s="50">
        <f t="shared" si="4"/>
        <v>0</v>
      </c>
      <c r="N17" s="51">
        <v>5102</v>
      </c>
      <c r="O17" s="54">
        <v>254</v>
      </c>
      <c r="P17" s="53"/>
      <c r="Q17" s="54"/>
      <c r="V17" s="623" t="s">
        <v>45</v>
      </c>
      <c r="W17" s="623"/>
      <c r="X17" s="618">
        <f>IF('4013'!K$84=1,'4013'!G17,0)</f>
        <v>0</v>
      </c>
      <c r="Y17" s="618"/>
      <c r="Z17" s="624">
        <v>1</v>
      </c>
      <c r="AA17" s="624"/>
      <c r="AB17" s="55">
        <f t="shared" si="0"/>
        <v>0</v>
      </c>
      <c r="AC17" s="56">
        <f t="shared" si="1"/>
        <v>0</v>
      </c>
      <c r="AD17" s="9"/>
    </row>
    <row r="18" spans="1:30" x14ac:dyDescent="0.25">
      <c r="A18" s="1" t="s">
        <v>46</v>
      </c>
      <c r="B18" s="13" t="s">
        <v>47</v>
      </c>
      <c r="C18" s="13"/>
      <c r="D18" s="13">
        <v>0</v>
      </c>
      <c r="E18" s="13">
        <v>0</v>
      </c>
      <c r="F18" s="13">
        <v>0</v>
      </c>
      <c r="G18" s="46">
        <f t="shared" si="2"/>
        <v>0</v>
      </c>
      <c r="H18" s="47"/>
      <c r="I18" s="57">
        <f>I17</f>
        <v>3.5579999999999998</v>
      </c>
      <c r="J18" s="57"/>
      <c r="K18" s="49">
        <f t="shared" si="3"/>
        <v>0</v>
      </c>
      <c r="L18" s="50">
        <f t="shared" si="4"/>
        <v>0</v>
      </c>
      <c r="N18" s="51">
        <v>5103</v>
      </c>
      <c r="O18" s="54">
        <v>254</v>
      </c>
      <c r="P18" s="53"/>
      <c r="Q18" s="54"/>
      <c r="V18" s="623" t="s">
        <v>47</v>
      </c>
      <c r="W18" s="623"/>
      <c r="X18" s="618">
        <f>IF('4013'!K$84=1,'4013'!G18,0)</f>
        <v>0</v>
      </c>
      <c r="Y18" s="618"/>
      <c r="Z18" s="624">
        <v>1</v>
      </c>
      <c r="AA18" s="624"/>
      <c r="AB18" s="55">
        <f t="shared" si="0"/>
        <v>0</v>
      </c>
      <c r="AC18" s="56">
        <f t="shared" si="1"/>
        <v>0</v>
      </c>
      <c r="AD18" s="9"/>
    </row>
    <row r="19" spans="1:30" ht="15" customHeight="1" x14ac:dyDescent="0.25">
      <c r="A19" s="1" t="s">
        <v>48</v>
      </c>
      <c r="B19" s="13" t="s">
        <v>49</v>
      </c>
      <c r="C19" s="13"/>
      <c r="D19" s="13">
        <v>0</v>
      </c>
      <c r="E19" s="13">
        <v>0</v>
      </c>
      <c r="F19" s="13">
        <v>0</v>
      </c>
      <c r="G19" s="46">
        <f t="shared" si="2"/>
        <v>0</v>
      </c>
      <c r="H19" s="47"/>
      <c r="I19" s="57">
        <v>5.0890000000000004</v>
      </c>
      <c r="J19" s="57"/>
      <c r="K19" s="49">
        <f t="shared" si="3"/>
        <v>0</v>
      </c>
      <c r="L19" s="50">
        <f t="shared" si="4"/>
        <v>0</v>
      </c>
      <c r="N19" s="51">
        <v>5101</v>
      </c>
      <c r="O19" s="53">
        <v>255</v>
      </c>
      <c r="P19" s="53"/>
      <c r="Q19" s="54"/>
      <c r="V19" s="623" t="s">
        <v>49</v>
      </c>
      <c r="W19" s="623"/>
      <c r="X19" s="618">
        <f>IF('4013'!K$84=1,'4013'!G19,0)</f>
        <v>0</v>
      </c>
      <c r="Y19" s="618"/>
      <c r="Z19" s="624">
        <v>1</v>
      </c>
      <c r="AA19" s="624"/>
      <c r="AB19" s="55">
        <f t="shared" si="0"/>
        <v>0</v>
      </c>
      <c r="AC19" s="56">
        <f t="shared" si="1"/>
        <v>0</v>
      </c>
      <c r="AD19" s="9"/>
    </row>
    <row r="20" spans="1:30" ht="15" customHeight="1" x14ac:dyDescent="0.25">
      <c r="A20" s="1" t="s">
        <v>50</v>
      </c>
      <c r="B20" s="13" t="s">
        <v>51</v>
      </c>
      <c r="C20" s="13"/>
      <c r="D20" s="13">
        <v>0</v>
      </c>
      <c r="E20" s="13">
        <v>0</v>
      </c>
      <c r="F20" s="13">
        <v>0</v>
      </c>
      <c r="G20" s="46">
        <f t="shared" si="2"/>
        <v>0</v>
      </c>
      <c r="H20" s="47"/>
      <c r="I20" s="57">
        <f>I19</f>
        <v>5.0890000000000004</v>
      </c>
      <c r="J20" s="57"/>
      <c r="K20" s="49">
        <f t="shared" si="3"/>
        <v>0</v>
      </c>
      <c r="L20" s="50">
        <f t="shared" si="4"/>
        <v>0</v>
      </c>
      <c r="N20" s="51">
        <v>5102</v>
      </c>
      <c r="O20" s="54">
        <v>255</v>
      </c>
      <c r="P20" s="53"/>
      <c r="Q20" s="54"/>
      <c r="V20" s="623" t="s">
        <v>51</v>
      </c>
      <c r="W20" s="623"/>
      <c r="X20" s="618">
        <f>IF('4013'!K$84=1,'4013'!G20,0)</f>
        <v>0</v>
      </c>
      <c r="Y20" s="618"/>
      <c r="Z20" s="624">
        <v>1</v>
      </c>
      <c r="AA20" s="624"/>
      <c r="AB20" s="55">
        <f t="shared" si="0"/>
        <v>0</v>
      </c>
      <c r="AC20" s="56">
        <f t="shared" si="1"/>
        <v>0</v>
      </c>
      <c r="AD20" s="9"/>
    </row>
    <row r="21" spans="1:30" ht="15" customHeight="1" x14ac:dyDescent="0.25">
      <c r="A21" s="1" t="s">
        <v>52</v>
      </c>
      <c r="B21" s="13" t="s">
        <v>53</v>
      </c>
      <c r="C21" s="13"/>
      <c r="D21" s="13">
        <v>0</v>
      </c>
      <c r="E21" s="13">
        <v>0</v>
      </c>
      <c r="F21" s="13">
        <v>0</v>
      </c>
      <c r="G21" s="46">
        <f t="shared" si="2"/>
        <v>0</v>
      </c>
      <c r="H21" s="47"/>
      <c r="I21" s="57">
        <f>I20</f>
        <v>5.0890000000000004</v>
      </c>
      <c r="J21" s="57"/>
      <c r="K21" s="49">
        <f t="shared" si="3"/>
        <v>0</v>
      </c>
      <c r="L21" s="50">
        <f t="shared" si="4"/>
        <v>0</v>
      </c>
      <c r="N21" s="51">
        <v>5103</v>
      </c>
      <c r="O21" s="54">
        <v>255</v>
      </c>
      <c r="P21" s="53"/>
      <c r="Q21" s="54"/>
      <c r="V21" s="623" t="s">
        <v>53</v>
      </c>
      <c r="W21" s="623"/>
      <c r="X21" s="618">
        <f>IF('4013'!K$84=1,'4013'!G21,0)</f>
        <v>0</v>
      </c>
      <c r="Y21" s="618"/>
      <c r="Z21" s="624">
        <v>1</v>
      </c>
      <c r="AA21" s="624"/>
      <c r="AB21" s="55">
        <f t="shared" si="0"/>
        <v>0</v>
      </c>
      <c r="AC21" s="56">
        <f t="shared" si="1"/>
        <v>0</v>
      </c>
      <c r="AD21" s="9"/>
    </row>
    <row r="22" spans="1:30" x14ac:dyDescent="0.25">
      <c r="A22" s="1" t="s">
        <v>54</v>
      </c>
      <c r="B22" s="13" t="s">
        <v>55</v>
      </c>
      <c r="C22" s="13"/>
      <c r="D22" s="13">
        <v>0</v>
      </c>
      <c r="E22" s="13">
        <v>0</v>
      </c>
      <c r="F22" s="13">
        <v>0.77</v>
      </c>
      <c r="G22" s="46">
        <f t="shared" si="2"/>
        <v>0</v>
      </c>
      <c r="H22" s="47"/>
      <c r="I22" s="57">
        <v>1.145</v>
      </c>
      <c r="J22" s="57"/>
      <c r="K22" s="49">
        <f t="shared" si="3"/>
        <v>0</v>
      </c>
      <c r="L22" s="50">
        <f t="shared" si="4"/>
        <v>0</v>
      </c>
      <c r="N22" s="51">
        <v>5101</v>
      </c>
      <c r="O22" s="52">
        <v>130</v>
      </c>
      <c r="P22" s="53"/>
      <c r="Q22" s="54"/>
      <c r="V22" s="623" t="s">
        <v>55</v>
      </c>
      <c r="W22" s="623"/>
      <c r="X22" s="618">
        <f>IF('4013'!K$84=1,'4013'!G22,0)</f>
        <v>0</v>
      </c>
      <c r="Y22" s="618"/>
      <c r="Z22" s="624">
        <v>1</v>
      </c>
      <c r="AA22" s="624"/>
      <c r="AB22" s="55">
        <f t="shared" si="0"/>
        <v>0</v>
      </c>
      <c r="AC22" s="56">
        <f t="shared" si="1"/>
        <v>0</v>
      </c>
      <c r="AD22" s="9"/>
    </row>
    <row r="23" spans="1:30" x14ac:dyDescent="0.25">
      <c r="A23" s="1" t="s">
        <v>56</v>
      </c>
      <c r="B23" s="13" t="s">
        <v>57</v>
      </c>
      <c r="C23" s="13"/>
      <c r="D23" s="13">
        <v>0</v>
      </c>
      <c r="E23" s="13">
        <v>0</v>
      </c>
      <c r="F23" s="13">
        <v>0</v>
      </c>
      <c r="G23" s="46">
        <f t="shared" si="2"/>
        <v>0</v>
      </c>
      <c r="H23" s="47"/>
      <c r="I23" s="57">
        <f>I22</f>
        <v>1.145</v>
      </c>
      <c r="J23" s="57"/>
      <c r="K23" s="49">
        <f t="shared" si="3"/>
        <v>0</v>
      </c>
      <c r="L23" s="50">
        <f t="shared" si="4"/>
        <v>0</v>
      </c>
      <c r="N23" s="51">
        <v>5102</v>
      </c>
      <c r="O23" s="52">
        <v>130</v>
      </c>
      <c r="P23" s="53"/>
      <c r="Q23" s="54"/>
      <c r="V23" s="623" t="s">
        <v>57</v>
      </c>
      <c r="W23" s="623"/>
      <c r="X23" s="618">
        <f>IF('4013'!K$84=1,'4013'!G23,0)</f>
        <v>0</v>
      </c>
      <c r="Y23" s="618"/>
      <c r="Z23" s="624">
        <v>1</v>
      </c>
      <c r="AA23" s="624"/>
      <c r="AB23" s="55">
        <f t="shared" si="0"/>
        <v>0</v>
      </c>
      <c r="AC23" s="56">
        <f t="shared" si="1"/>
        <v>0</v>
      </c>
      <c r="AD23" s="9"/>
    </row>
    <row r="24" spans="1:30" x14ac:dyDescent="0.25">
      <c r="A24" s="1" t="s">
        <v>58</v>
      </c>
      <c r="B24" s="13" t="s">
        <v>59</v>
      </c>
      <c r="C24" s="13"/>
      <c r="D24" s="13">
        <v>0.28999999999999998</v>
      </c>
      <c r="E24" s="13">
        <v>0.28999999999999998</v>
      </c>
      <c r="F24" s="13">
        <v>0</v>
      </c>
      <c r="G24" s="46">
        <f t="shared" si="2"/>
        <v>0.57999999999999996</v>
      </c>
      <c r="H24" s="47"/>
      <c r="I24" s="57">
        <f>I23</f>
        <v>1.145</v>
      </c>
      <c r="J24" s="57"/>
      <c r="K24" s="49">
        <f t="shared" si="3"/>
        <v>0.66410000000000002</v>
      </c>
      <c r="L24" s="50">
        <f t="shared" si="4"/>
        <v>2573</v>
      </c>
      <c r="N24" s="51">
        <v>5103</v>
      </c>
      <c r="O24" s="52">
        <v>130</v>
      </c>
      <c r="P24" s="53"/>
      <c r="Q24" s="54"/>
      <c r="V24" s="623" t="s">
        <v>59</v>
      </c>
      <c r="W24" s="623"/>
      <c r="X24" s="618">
        <f>IF('4013'!K$84=1,'4013'!G24,0)</f>
        <v>0</v>
      </c>
      <c r="Y24" s="618"/>
      <c r="Z24" s="624">
        <v>1</v>
      </c>
      <c r="AA24" s="624"/>
      <c r="AB24" s="55">
        <f t="shared" si="0"/>
        <v>0</v>
      </c>
      <c r="AC24" s="56">
        <f t="shared" si="1"/>
        <v>0</v>
      </c>
      <c r="AD24" s="9"/>
    </row>
    <row r="25" spans="1:30" ht="16.5" thickBot="1" x14ac:dyDescent="0.3">
      <c r="A25" s="1" t="s">
        <v>60</v>
      </c>
      <c r="B25" s="13" t="s">
        <v>61</v>
      </c>
      <c r="C25" s="13"/>
      <c r="D25" s="13">
        <v>3.93</v>
      </c>
      <c r="E25" s="13">
        <v>4.74</v>
      </c>
      <c r="F25" s="13">
        <v>9.57</v>
      </c>
      <c r="G25" s="46">
        <f t="shared" si="2"/>
        <v>8.67</v>
      </c>
      <c r="H25" s="47"/>
      <c r="I25" s="57">
        <v>1.0109999999999999</v>
      </c>
      <c r="J25" s="57"/>
      <c r="K25" s="49">
        <f t="shared" si="3"/>
        <v>8.7653999999999996</v>
      </c>
      <c r="L25" s="50">
        <f t="shared" si="4"/>
        <v>33963</v>
      </c>
      <c r="N25" s="51">
        <v>5310</v>
      </c>
      <c r="O25" s="52">
        <v>300</v>
      </c>
      <c r="P25" s="53"/>
      <c r="Q25" s="54"/>
      <c r="V25" s="623" t="s">
        <v>61</v>
      </c>
      <c r="W25" s="623"/>
      <c r="X25" s="618">
        <f>IF('4013'!K$84=1,'4013'!G25,0)</f>
        <v>0</v>
      </c>
      <c r="Y25" s="618"/>
      <c r="Z25" s="624">
        <v>1</v>
      </c>
      <c r="AA25" s="624"/>
      <c r="AB25" s="55">
        <f t="shared" si="0"/>
        <v>0</v>
      </c>
      <c r="AC25" s="56">
        <f t="shared" si="1"/>
        <v>0</v>
      </c>
      <c r="AD25" s="9"/>
    </row>
    <row r="26" spans="1:30" ht="20.25" customHeight="1" thickBot="1" x14ac:dyDescent="0.3">
      <c r="B26" s="62" t="s">
        <v>62</v>
      </c>
      <c r="C26" s="62"/>
      <c r="D26" s="63">
        <f t="shared" ref="D26:E26" si="5">SUM(D10:D25)</f>
        <v>61.400000000000006</v>
      </c>
      <c r="E26" s="63">
        <f t="shared" si="5"/>
        <v>55.8</v>
      </c>
      <c r="F26" s="63"/>
      <c r="G26" s="63">
        <f>SUM(G10:G25)</f>
        <v>117.2</v>
      </c>
      <c r="H26" s="64"/>
      <c r="I26" s="64"/>
      <c r="J26" s="65"/>
      <c r="K26" s="66">
        <f>SUM(K10:K25)</f>
        <v>118.56700000000001</v>
      </c>
      <c r="L26" s="67">
        <f>SUM(L10:L25)</f>
        <v>459403</v>
      </c>
      <c r="N26" s="54"/>
      <c r="O26" s="68"/>
      <c r="P26" s="54"/>
      <c r="Q26" s="54"/>
      <c r="V26" s="625" t="s">
        <v>62</v>
      </c>
      <c r="W26" s="625"/>
      <c r="X26" s="626">
        <f>SUM(X10:X25)</f>
        <v>0</v>
      </c>
      <c r="Y26" s="626"/>
      <c r="Z26" s="627"/>
      <c r="AA26" s="628"/>
      <c r="AB26" s="69">
        <f>SUM(AB10:AB25)</f>
        <v>0</v>
      </c>
      <c r="AC26" s="70">
        <f>SUM(AC10:AC25)</f>
        <v>0</v>
      </c>
      <c r="AD26" s="9"/>
    </row>
    <row r="27" spans="1:30" ht="51.75" customHeight="1" x14ac:dyDescent="0.25">
      <c r="B27" s="62" t="s">
        <v>63</v>
      </c>
      <c r="C27" s="62"/>
      <c r="D27" s="71" t="s">
        <v>13</v>
      </c>
      <c r="E27" s="71" t="s">
        <v>14</v>
      </c>
      <c r="F27" s="27"/>
      <c r="G27" s="72" t="s">
        <v>64</v>
      </c>
      <c r="H27" s="73"/>
      <c r="I27" s="74" t="s">
        <v>65</v>
      </c>
      <c r="J27" s="74" t="s">
        <v>66</v>
      </c>
      <c r="K27" s="75" t="s">
        <v>67</v>
      </c>
      <c r="N27" s="54"/>
      <c r="O27" s="68"/>
      <c r="P27" s="54"/>
      <c r="Q27" s="54"/>
      <c r="V27" s="629" t="s">
        <v>63</v>
      </c>
      <c r="W27" s="629"/>
      <c r="X27" s="630" t="s">
        <v>64</v>
      </c>
      <c r="Y27" s="630"/>
      <c r="Z27" s="76" t="s">
        <v>65</v>
      </c>
      <c r="AA27" s="77" t="s">
        <v>66</v>
      </c>
      <c r="AB27" s="78" t="s">
        <v>67</v>
      </c>
      <c r="AC27" s="9"/>
      <c r="AD27" s="9"/>
    </row>
    <row r="28" spans="1:30" ht="15.75" customHeight="1" x14ac:dyDescent="0.25">
      <c r="A28" s="1" t="s">
        <v>68</v>
      </c>
      <c r="B28" s="631" t="s">
        <v>69</v>
      </c>
      <c r="C28" s="632"/>
      <c r="D28" s="13">
        <v>0</v>
      </c>
      <c r="E28" s="13">
        <v>0</v>
      </c>
      <c r="F28" s="79">
        <v>0</v>
      </c>
      <c r="G28" s="46">
        <f t="shared" ref="G28:G36" si="6">D28+E28</f>
        <v>0</v>
      </c>
      <c r="H28" s="80"/>
      <c r="I28" s="81" t="s">
        <v>70</v>
      </c>
      <c r="J28" s="82">
        <v>251</v>
      </c>
      <c r="K28" s="83">
        <v>1047</v>
      </c>
      <c r="L28" s="84">
        <f>ROUND(G28*K28,0)</f>
        <v>0</v>
      </c>
      <c r="N28" s="85">
        <v>5101</v>
      </c>
      <c r="O28" s="54">
        <v>251</v>
      </c>
      <c r="P28" s="86"/>
      <c r="Q28" s="87"/>
      <c r="V28" s="637" t="s">
        <v>69</v>
      </c>
      <c r="W28" s="637"/>
      <c r="X28" s="638"/>
      <c r="Y28" s="638"/>
      <c r="Z28" s="88" t="s">
        <v>70</v>
      </c>
      <c r="AA28" s="89">
        <v>251</v>
      </c>
      <c r="AB28" s="90">
        <f>+K28</f>
        <v>1047</v>
      </c>
      <c r="AC28" s="91">
        <f t="shared" ref="AC28:AC36" si="7">ROUND(X28*AB28,0)</f>
        <v>0</v>
      </c>
      <c r="AD28" s="9"/>
    </row>
    <row r="29" spans="1:30" x14ac:dyDescent="0.25">
      <c r="A29" s="1" t="s">
        <v>71</v>
      </c>
      <c r="B29" s="633"/>
      <c r="C29" s="634"/>
      <c r="D29" s="13">
        <v>0</v>
      </c>
      <c r="E29" s="13">
        <v>0</v>
      </c>
      <c r="F29" s="92">
        <v>0</v>
      </c>
      <c r="G29" s="46">
        <f t="shared" si="6"/>
        <v>0</v>
      </c>
      <c r="H29" s="80"/>
      <c r="I29" s="82" t="s">
        <v>70</v>
      </c>
      <c r="J29" s="82">
        <v>252</v>
      </c>
      <c r="K29" s="83">
        <v>3380</v>
      </c>
      <c r="L29" s="84">
        <f t="shared" ref="L29:L36" si="8">ROUND(G29*K29,0)</f>
        <v>0</v>
      </c>
      <c r="N29" s="85">
        <v>5101</v>
      </c>
      <c r="O29" s="54">
        <v>252</v>
      </c>
      <c r="P29" s="86"/>
      <c r="Q29" s="87"/>
      <c r="V29" s="637"/>
      <c r="W29" s="637"/>
      <c r="X29" s="638"/>
      <c r="Y29" s="638"/>
      <c r="Z29" s="89" t="s">
        <v>70</v>
      </c>
      <c r="AA29" s="89">
        <v>252</v>
      </c>
      <c r="AB29" s="90">
        <f t="shared" ref="AB29:AB36" si="9">+K29</f>
        <v>3380</v>
      </c>
      <c r="AC29" s="91">
        <f t="shared" si="7"/>
        <v>0</v>
      </c>
      <c r="AD29" s="9"/>
    </row>
    <row r="30" spans="1:30" x14ac:dyDescent="0.25">
      <c r="A30" s="1" t="s">
        <v>72</v>
      </c>
      <c r="B30" s="633"/>
      <c r="C30" s="634"/>
      <c r="D30" s="13">
        <v>0</v>
      </c>
      <c r="E30" s="13">
        <v>0</v>
      </c>
      <c r="F30" s="92">
        <v>0</v>
      </c>
      <c r="G30" s="46">
        <f t="shared" si="6"/>
        <v>0</v>
      </c>
      <c r="H30" s="80"/>
      <c r="I30" s="82" t="s">
        <v>70</v>
      </c>
      <c r="J30" s="82">
        <v>253</v>
      </c>
      <c r="K30" s="83">
        <v>6896</v>
      </c>
      <c r="L30" s="84">
        <f t="shared" si="8"/>
        <v>0</v>
      </c>
      <c r="N30" s="85">
        <v>5101</v>
      </c>
      <c r="O30" s="54">
        <v>253</v>
      </c>
      <c r="P30" s="86"/>
      <c r="Q30" s="68"/>
      <c r="V30" s="637"/>
      <c r="W30" s="637"/>
      <c r="X30" s="638"/>
      <c r="Y30" s="638"/>
      <c r="Z30" s="89" t="s">
        <v>70</v>
      </c>
      <c r="AA30" s="89">
        <v>253</v>
      </c>
      <c r="AB30" s="90">
        <f t="shared" si="9"/>
        <v>6896</v>
      </c>
      <c r="AC30" s="91">
        <f t="shared" si="7"/>
        <v>0</v>
      </c>
      <c r="AD30" s="9"/>
    </row>
    <row r="31" spans="1:30" x14ac:dyDescent="0.25">
      <c r="A31" s="1" t="s">
        <v>73</v>
      </c>
      <c r="B31" s="633"/>
      <c r="C31" s="634"/>
      <c r="D31" s="13">
        <v>0</v>
      </c>
      <c r="E31" s="13">
        <v>0</v>
      </c>
      <c r="F31" s="92">
        <v>0</v>
      </c>
      <c r="G31" s="46">
        <f t="shared" si="6"/>
        <v>0</v>
      </c>
      <c r="H31" s="80"/>
      <c r="I31" s="93" t="s">
        <v>74</v>
      </c>
      <c r="J31" s="82">
        <v>251</v>
      </c>
      <c r="K31" s="83">
        <v>1173</v>
      </c>
      <c r="L31" s="84">
        <f t="shared" si="8"/>
        <v>0</v>
      </c>
      <c r="N31" s="85">
        <v>5102</v>
      </c>
      <c r="O31" s="54">
        <v>251</v>
      </c>
      <c r="P31" s="86"/>
      <c r="Q31" s="68"/>
      <c r="V31" s="637"/>
      <c r="W31" s="637"/>
      <c r="X31" s="638"/>
      <c r="Y31" s="638"/>
      <c r="Z31" s="94" t="s">
        <v>74</v>
      </c>
      <c r="AA31" s="89">
        <v>251</v>
      </c>
      <c r="AB31" s="90">
        <f t="shared" si="9"/>
        <v>1173</v>
      </c>
      <c r="AC31" s="91">
        <f t="shared" si="7"/>
        <v>0</v>
      </c>
      <c r="AD31" s="9"/>
    </row>
    <row r="32" spans="1:30" x14ac:dyDescent="0.25">
      <c r="A32" s="1" t="s">
        <v>75</v>
      </c>
      <c r="B32" s="633"/>
      <c r="C32" s="634"/>
      <c r="D32" s="13">
        <v>0</v>
      </c>
      <c r="E32" s="13">
        <v>0</v>
      </c>
      <c r="F32" s="92">
        <v>0</v>
      </c>
      <c r="G32" s="46">
        <f t="shared" si="6"/>
        <v>0</v>
      </c>
      <c r="H32" s="80"/>
      <c r="I32" s="93" t="s">
        <v>74</v>
      </c>
      <c r="J32" s="82">
        <v>252</v>
      </c>
      <c r="K32" s="83">
        <v>3506</v>
      </c>
      <c r="L32" s="84">
        <f t="shared" si="8"/>
        <v>0</v>
      </c>
      <c r="N32" s="85">
        <v>5102</v>
      </c>
      <c r="O32" s="54">
        <v>252</v>
      </c>
      <c r="P32" s="86"/>
      <c r="Q32" s="54"/>
      <c r="V32" s="637"/>
      <c r="W32" s="637"/>
      <c r="X32" s="638"/>
      <c r="Y32" s="638"/>
      <c r="Z32" s="94" t="s">
        <v>74</v>
      </c>
      <c r="AA32" s="89">
        <v>252</v>
      </c>
      <c r="AB32" s="90">
        <f t="shared" si="9"/>
        <v>3506</v>
      </c>
      <c r="AC32" s="91">
        <f t="shared" si="7"/>
        <v>0</v>
      </c>
      <c r="AD32" s="9"/>
    </row>
    <row r="33" spans="1:30" x14ac:dyDescent="0.25">
      <c r="A33" s="1" t="s">
        <v>76</v>
      </c>
      <c r="B33" s="633"/>
      <c r="C33" s="634"/>
      <c r="D33" s="13">
        <v>0</v>
      </c>
      <c r="E33" s="13">
        <v>0</v>
      </c>
      <c r="F33" s="92">
        <v>0</v>
      </c>
      <c r="G33" s="46">
        <f t="shared" si="6"/>
        <v>0</v>
      </c>
      <c r="H33" s="80"/>
      <c r="I33" s="93" t="s">
        <v>74</v>
      </c>
      <c r="J33" s="82">
        <v>253</v>
      </c>
      <c r="K33" s="83">
        <v>7023</v>
      </c>
      <c r="L33" s="84">
        <f t="shared" si="8"/>
        <v>0</v>
      </c>
      <c r="N33" s="85">
        <v>5102</v>
      </c>
      <c r="O33" s="54">
        <v>253</v>
      </c>
      <c r="P33" s="86"/>
      <c r="Q33" s="87"/>
      <c r="V33" s="637"/>
      <c r="W33" s="637"/>
      <c r="X33" s="638"/>
      <c r="Y33" s="638"/>
      <c r="Z33" s="94" t="s">
        <v>74</v>
      </c>
      <c r="AA33" s="89">
        <v>253</v>
      </c>
      <c r="AB33" s="90">
        <f t="shared" si="9"/>
        <v>7023</v>
      </c>
      <c r="AC33" s="91">
        <f t="shared" si="7"/>
        <v>0</v>
      </c>
      <c r="AD33" s="9"/>
    </row>
    <row r="34" spans="1:30" x14ac:dyDescent="0.25">
      <c r="A34" s="1" t="s">
        <v>77</v>
      </c>
      <c r="B34" s="633"/>
      <c r="C34" s="634"/>
      <c r="D34" s="13">
        <v>8.66</v>
      </c>
      <c r="E34" s="13">
        <v>8.34</v>
      </c>
      <c r="F34" s="92">
        <v>0</v>
      </c>
      <c r="G34" s="46">
        <f t="shared" si="6"/>
        <v>17</v>
      </c>
      <c r="H34" s="80"/>
      <c r="I34" s="93" t="s">
        <v>78</v>
      </c>
      <c r="J34" s="82">
        <v>251</v>
      </c>
      <c r="K34" s="83">
        <v>835</v>
      </c>
      <c r="L34" s="84">
        <f t="shared" si="8"/>
        <v>14195</v>
      </c>
      <c r="N34" s="85">
        <v>5103</v>
      </c>
      <c r="O34" s="54">
        <v>251</v>
      </c>
      <c r="P34" s="86"/>
      <c r="Q34" s="87"/>
      <c r="V34" s="637"/>
      <c r="W34" s="637"/>
      <c r="X34" s="638"/>
      <c r="Y34" s="638"/>
      <c r="Z34" s="94" t="s">
        <v>78</v>
      </c>
      <c r="AA34" s="89">
        <v>251</v>
      </c>
      <c r="AB34" s="90">
        <f t="shared" si="9"/>
        <v>835</v>
      </c>
      <c r="AC34" s="91">
        <f t="shared" si="7"/>
        <v>0</v>
      </c>
      <c r="AD34" s="9"/>
    </row>
    <row r="35" spans="1:30" x14ac:dyDescent="0.25">
      <c r="A35" s="1" t="s">
        <v>79</v>
      </c>
      <c r="B35" s="633"/>
      <c r="C35" s="634"/>
      <c r="D35" s="13">
        <v>0</v>
      </c>
      <c r="E35" s="13">
        <v>0</v>
      </c>
      <c r="F35" s="92">
        <v>0</v>
      </c>
      <c r="G35" s="46">
        <f t="shared" si="6"/>
        <v>0</v>
      </c>
      <c r="H35" s="80"/>
      <c r="I35" s="93" t="s">
        <v>78</v>
      </c>
      <c r="J35" s="82">
        <v>252</v>
      </c>
      <c r="K35" s="83">
        <v>3168</v>
      </c>
      <c r="L35" s="84">
        <f t="shared" si="8"/>
        <v>0</v>
      </c>
      <c r="N35" s="85">
        <v>5103</v>
      </c>
      <c r="O35" s="54">
        <v>252</v>
      </c>
      <c r="P35" s="86"/>
      <c r="Q35" s="95"/>
      <c r="V35" s="637"/>
      <c r="W35" s="637"/>
      <c r="X35" s="638"/>
      <c r="Y35" s="638"/>
      <c r="Z35" s="94" t="s">
        <v>78</v>
      </c>
      <c r="AA35" s="89">
        <v>252</v>
      </c>
      <c r="AB35" s="90">
        <f t="shared" si="9"/>
        <v>3168</v>
      </c>
      <c r="AC35" s="91">
        <f t="shared" si="7"/>
        <v>0</v>
      </c>
      <c r="AD35" s="9"/>
    </row>
    <row r="36" spans="1:30" ht="16.5" thickBot="1" x14ac:dyDescent="0.3">
      <c r="A36" s="1" t="s">
        <v>80</v>
      </c>
      <c r="B36" s="635"/>
      <c r="C36" s="636"/>
      <c r="D36" s="13">
        <v>0</v>
      </c>
      <c r="E36" s="13">
        <v>0</v>
      </c>
      <c r="F36" s="92">
        <v>0</v>
      </c>
      <c r="G36" s="46">
        <f t="shared" si="6"/>
        <v>0</v>
      </c>
      <c r="H36" s="80"/>
      <c r="I36" s="93" t="s">
        <v>78</v>
      </c>
      <c r="J36" s="82">
        <v>253</v>
      </c>
      <c r="K36" s="83">
        <v>6685</v>
      </c>
      <c r="L36" s="96">
        <f t="shared" si="8"/>
        <v>0</v>
      </c>
      <c r="N36" s="85">
        <v>5103</v>
      </c>
      <c r="O36" s="54">
        <v>253</v>
      </c>
      <c r="P36" s="86"/>
      <c r="Q36" s="97"/>
      <c r="V36" s="637"/>
      <c r="W36" s="637"/>
      <c r="X36" s="645"/>
      <c r="Y36" s="645"/>
      <c r="Z36" s="94" t="s">
        <v>78</v>
      </c>
      <c r="AA36" s="89">
        <v>253</v>
      </c>
      <c r="AB36" s="90">
        <f t="shared" si="9"/>
        <v>6685</v>
      </c>
      <c r="AC36" s="98">
        <f t="shared" si="7"/>
        <v>0</v>
      </c>
      <c r="AD36" s="9"/>
    </row>
    <row r="37" spans="1:30" ht="18.75" customHeight="1" x14ac:dyDescent="0.25">
      <c r="B37" s="13" t="s">
        <v>81</v>
      </c>
      <c r="C37" s="13"/>
      <c r="D37" s="63">
        <f t="shared" ref="D37:E37" si="10">SUM(D28:D36)</f>
        <v>8.66</v>
      </c>
      <c r="E37" s="63">
        <f t="shared" si="10"/>
        <v>8.34</v>
      </c>
      <c r="F37" s="63"/>
      <c r="G37" s="63">
        <f>SUM(G28:G36)</f>
        <v>17</v>
      </c>
      <c r="H37" s="64"/>
      <c r="I37" s="13" t="s">
        <v>82</v>
      </c>
      <c r="J37" s="13"/>
      <c r="K37" s="13"/>
      <c r="L37" s="50">
        <f>SUM(L28:L36)</f>
        <v>14195</v>
      </c>
      <c r="N37" s="54"/>
      <c r="O37" s="68"/>
      <c r="P37" s="54"/>
      <c r="Q37" s="54"/>
      <c r="V37" s="646" t="s">
        <v>81</v>
      </c>
      <c r="W37" s="646"/>
      <c r="X37" s="626">
        <f>SUM(X28:X36)</f>
        <v>0</v>
      </c>
      <c r="Y37" s="626"/>
      <c r="Z37" s="646" t="s">
        <v>82</v>
      </c>
      <c r="AA37" s="646"/>
      <c r="AB37" s="646"/>
      <c r="AC37" s="56">
        <f>SUM(AC28:AC36)</f>
        <v>0</v>
      </c>
      <c r="AD37" s="9"/>
    </row>
    <row r="38" spans="1:30" ht="30.75" customHeight="1" x14ac:dyDescent="0.25">
      <c r="B38" s="99" t="s">
        <v>83</v>
      </c>
      <c r="C38" s="99"/>
      <c r="D38" s="99"/>
      <c r="E38" s="99"/>
      <c r="F38" s="99"/>
      <c r="G38" s="99"/>
      <c r="H38" s="100"/>
      <c r="I38" s="99"/>
      <c r="J38" s="99"/>
      <c r="K38" s="99"/>
      <c r="L38" s="99"/>
      <c r="M38" s="101"/>
      <c r="N38" s="54"/>
      <c r="O38" s="68"/>
      <c r="P38" s="54"/>
      <c r="Q38" s="54"/>
      <c r="V38" s="639" t="s">
        <v>83</v>
      </c>
      <c r="W38" s="639"/>
      <c r="X38" s="639"/>
      <c r="Y38" s="639"/>
      <c r="Z38" s="639"/>
      <c r="AA38" s="639"/>
      <c r="AB38" s="639"/>
      <c r="AC38" s="639"/>
      <c r="AD38" s="102"/>
    </row>
    <row r="39" spans="1:30" ht="15.75" customHeight="1" x14ac:dyDescent="0.25">
      <c r="B39" s="103" t="s">
        <v>84</v>
      </c>
      <c r="C39" s="103"/>
      <c r="D39" s="103"/>
      <c r="E39" s="103"/>
      <c r="F39" s="103"/>
      <c r="G39" s="104">
        <v>34389540</v>
      </c>
      <c r="H39" s="104"/>
      <c r="I39" s="13" t="s">
        <v>85</v>
      </c>
      <c r="J39" s="13"/>
      <c r="K39" s="13"/>
      <c r="L39" s="13"/>
      <c r="O39" s="1"/>
      <c r="V39" s="640" t="s">
        <v>84</v>
      </c>
      <c r="W39" s="640"/>
      <c r="X39" s="641">
        <f>+G39</f>
        <v>34389540</v>
      </c>
      <c r="Y39" s="641"/>
      <c r="Z39" s="642" t="s">
        <v>85</v>
      </c>
      <c r="AA39" s="642"/>
      <c r="AB39" s="642"/>
      <c r="AC39" s="642"/>
      <c r="AD39" s="9"/>
    </row>
    <row r="40" spans="1:30" ht="15.75" customHeight="1" x14ac:dyDescent="0.25">
      <c r="B40" s="105" t="s">
        <v>86</v>
      </c>
      <c r="C40" s="105"/>
      <c r="D40" s="105"/>
      <c r="E40" s="105"/>
      <c r="F40" s="105"/>
      <c r="G40" s="106">
        <v>180284.81</v>
      </c>
      <c r="H40" s="106"/>
      <c r="I40" s="106"/>
      <c r="J40" s="106"/>
      <c r="K40" s="50">
        <f>ROUND(G39/G40,0)</f>
        <v>191</v>
      </c>
      <c r="L40" s="50">
        <f>ROUND(K40*$G$26,0)</f>
        <v>22385</v>
      </c>
      <c r="N40" s="107"/>
      <c r="O40" s="107"/>
      <c r="P40" s="107"/>
      <c r="Q40" s="107"/>
      <c r="V40" s="643" t="s">
        <v>86</v>
      </c>
      <c r="W40" s="643"/>
      <c r="X40" s="644">
        <f>+G40</f>
        <v>180284.81</v>
      </c>
      <c r="Y40" s="644"/>
      <c r="Z40" s="644"/>
      <c r="AA40" s="644"/>
      <c r="AB40" s="56">
        <f>ROUND(X39/X40,0)</f>
        <v>191</v>
      </c>
      <c r="AC40" s="56">
        <f>ROUND(AB40*$X$26,0)</f>
        <v>0</v>
      </c>
      <c r="AD40" s="9"/>
    </row>
    <row r="41" spans="1:30" ht="15.75" customHeight="1" x14ac:dyDescent="0.25">
      <c r="B41" s="108" t="s">
        <v>87</v>
      </c>
      <c r="C41" s="108"/>
      <c r="D41" s="108"/>
      <c r="E41" s="108"/>
      <c r="F41" s="108"/>
      <c r="G41" s="108"/>
      <c r="H41" s="108"/>
      <c r="I41" s="108"/>
      <c r="J41" s="108"/>
      <c r="K41" s="108"/>
      <c r="L41" s="108"/>
      <c r="N41" s="101"/>
      <c r="O41" s="109"/>
      <c r="P41" s="101"/>
      <c r="Q41" s="101"/>
      <c r="V41" s="652" t="s">
        <v>87</v>
      </c>
      <c r="W41" s="652"/>
      <c r="X41" s="652"/>
      <c r="Y41" s="652"/>
      <c r="Z41" s="652"/>
      <c r="AA41" s="652"/>
      <c r="AB41" s="652"/>
      <c r="AC41" s="652"/>
      <c r="AD41" s="9"/>
    </row>
    <row r="42" spans="1:30" ht="28.5" customHeight="1" x14ac:dyDescent="0.25">
      <c r="B42" s="99" t="s">
        <v>88</v>
      </c>
      <c r="C42" s="99"/>
      <c r="D42" s="99"/>
      <c r="E42" s="99"/>
      <c r="F42" s="99"/>
      <c r="G42" s="99"/>
      <c r="H42" s="99"/>
      <c r="I42" s="99"/>
      <c r="J42" s="99"/>
      <c r="K42" s="99"/>
      <c r="L42" s="99"/>
      <c r="M42" s="107"/>
      <c r="O42" s="1"/>
      <c r="V42" s="639" t="s">
        <v>88</v>
      </c>
      <c r="W42" s="639"/>
      <c r="X42" s="639"/>
      <c r="Y42" s="639"/>
      <c r="Z42" s="639"/>
      <c r="AA42" s="639"/>
      <c r="AB42" s="639"/>
      <c r="AC42" s="639"/>
      <c r="AD42" s="110"/>
    </row>
    <row r="43" spans="1:30" x14ac:dyDescent="0.25">
      <c r="B43" s="111" t="s">
        <v>89</v>
      </c>
      <c r="C43" s="111"/>
      <c r="D43" s="111"/>
      <c r="E43" s="111"/>
      <c r="F43" s="111"/>
      <c r="G43" s="111"/>
      <c r="H43" s="111"/>
      <c r="I43" s="111"/>
      <c r="J43" s="111"/>
      <c r="K43" s="111"/>
      <c r="L43" s="111"/>
      <c r="M43" s="112"/>
      <c r="N43" s="101"/>
      <c r="O43" s="101"/>
      <c r="P43" s="101"/>
      <c r="Q43" s="101"/>
      <c r="V43" s="653" t="s">
        <v>89</v>
      </c>
      <c r="W43" s="653"/>
      <c r="X43" s="653"/>
      <c r="Y43" s="653"/>
      <c r="Z43" s="653"/>
      <c r="AA43" s="653"/>
      <c r="AB43" s="653"/>
      <c r="AC43" s="653"/>
      <c r="AD43" s="113"/>
    </row>
    <row r="44" spans="1:30" ht="24" customHeight="1" x14ac:dyDescent="0.25">
      <c r="B44" s="62" t="s">
        <v>90</v>
      </c>
      <c r="C44" s="62"/>
      <c r="D44" s="62"/>
      <c r="E44" s="62"/>
      <c r="F44" s="62"/>
      <c r="G44" s="62"/>
      <c r="H44" s="62"/>
      <c r="I44" s="62"/>
      <c r="J44" s="62"/>
      <c r="K44" s="62"/>
      <c r="L44" s="114">
        <f>SUM(L26,L37,L40)</f>
        <v>495983</v>
      </c>
      <c r="O44" s="1"/>
      <c r="V44" s="654" t="s">
        <v>90</v>
      </c>
      <c r="W44" s="654"/>
      <c r="X44" s="654"/>
      <c r="Y44" s="654"/>
      <c r="Z44" s="654"/>
      <c r="AA44" s="654"/>
      <c r="AB44" s="654"/>
      <c r="AC44" s="115">
        <f>SUM(AC26,AC37,AC40)</f>
        <v>0</v>
      </c>
      <c r="AD44" s="9"/>
    </row>
    <row r="45" spans="1:30" ht="30.75" customHeight="1" x14ac:dyDescent="0.25">
      <c r="B45" s="99" t="s">
        <v>91</v>
      </c>
      <c r="C45" s="99"/>
      <c r="D45" s="99"/>
      <c r="E45" s="99"/>
      <c r="F45" s="99"/>
      <c r="G45" s="99"/>
      <c r="H45" s="99"/>
      <c r="I45" s="99"/>
      <c r="J45" s="99"/>
      <c r="K45" s="99"/>
      <c r="L45" s="99"/>
      <c r="M45" s="116"/>
      <c r="O45" s="1"/>
      <c r="V45" s="639" t="s">
        <v>91</v>
      </c>
      <c r="W45" s="639"/>
      <c r="X45" s="639"/>
      <c r="Y45" s="639"/>
      <c r="Z45" s="639"/>
      <c r="AA45" s="639"/>
      <c r="AB45" s="639"/>
      <c r="AC45" s="639"/>
      <c r="AD45" s="117"/>
    </row>
    <row r="46" spans="1:30" ht="18.75" customHeight="1" x14ac:dyDescent="0.25">
      <c r="B46" s="1"/>
      <c r="C46" s="118" t="s">
        <v>92</v>
      </c>
      <c r="D46" s="118"/>
      <c r="E46" s="118"/>
      <c r="F46" s="118"/>
      <c r="G46" s="118" t="s">
        <v>93</v>
      </c>
      <c r="H46" s="119"/>
      <c r="I46" s="120" t="s">
        <v>94</v>
      </c>
      <c r="J46" s="121"/>
      <c r="K46" s="121"/>
      <c r="L46" s="121"/>
      <c r="M46" s="122"/>
      <c r="O46" s="1"/>
      <c r="V46" s="9"/>
      <c r="W46" s="123" t="s">
        <v>92</v>
      </c>
      <c r="X46" s="655" t="s">
        <v>95</v>
      </c>
      <c r="Y46" s="655"/>
      <c r="Z46" s="656" t="s">
        <v>94</v>
      </c>
      <c r="AA46" s="656"/>
      <c r="AB46" s="656"/>
      <c r="AC46" s="656"/>
      <c r="AD46" s="124"/>
    </row>
    <row r="47" spans="1:30" ht="18.75" customHeight="1" x14ac:dyDescent="0.25">
      <c r="B47" s="107" t="s">
        <v>96</v>
      </c>
      <c r="C47" s="125">
        <f>K10+K11+K16+K19+K22</f>
        <v>0</v>
      </c>
      <c r="D47" s="125"/>
      <c r="E47" s="125"/>
      <c r="F47" s="125"/>
      <c r="G47" s="126">
        <f>K7</f>
        <v>1.0326</v>
      </c>
      <c r="H47" s="126"/>
      <c r="I47" s="127">
        <v>1316.85</v>
      </c>
      <c r="J47" s="128" t="s">
        <v>97</v>
      </c>
      <c r="K47" s="129">
        <f>ROUND(C47*G47*I47,0)</f>
        <v>0</v>
      </c>
      <c r="L47" s="130"/>
      <c r="O47" s="1"/>
      <c r="V47" s="110" t="s">
        <v>96</v>
      </c>
      <c r="W47" s="131">
        <f>AB10+AB11+AB16+AB19+AB22</f>
        <v>0</v>
      </c>
      <c r="X47" s="647">
        <f>AB7</f>
        <v>1.0326</v>
      </c>
      <c r="Y47" s="647"/>
      <c r="Z47" s="132">
        <f>+I47</f>
        <v>1316.85</v>
      </c>
      <c r="AA47" s="133" t="s">
        <v>97</v>
      </c>
      <c r="AB47" s="134">
        <f>ROUND(W47*X47*Z47,0)</f>
        <v>0</v>
      </c>
      <c r="AC47" s="135"/>
      <c r="AD47" s="9"/>
    </row>
    <row r="48" spans="1:30" ht="18" customHeight="1" x14ac:dyDescent="0.25">
      <c r="B48" s="136" t="s">
        <v>74</v>
      </c>
      <c r="C48" s="125">
        <f>K12+K13+K17+K20+K23</f>
        <v>0</v>
      </c>
      <c r="D48" s="125"/>
      <c r="E48" s="125"/>
      <c r="F48" s="125"/>
      <c r="G48" s="126">
        <f>K7</f>
        <v>1.0326</v>
      </c>
      <c r="H48" s="126"/>
      <c r="I48" s="127">
        <v>898.23</v>
      </c>
      <c r="J48" s="128" t="s">
        <v>97</v>
      </c>
      <c r="K48" s="129">
        <f>ROUND(C48*G48*I48,0)</f>
        <v>0</v>
      </c>
      <c r="L48" s="62"/>
      <c r="O48" s="1"/>
      <c r="V48" s="137" t="s">
        <v>74</v>
      </c>
      <c r="W48" s="131">
        <f>AB12+AB13+AB17+AB20+AB23</f>
        <v>0</v>
      </c>
      <c r="X48" s="647">
        <f>AB7</f>
        <v>1.0326</v>
      </c>
      <c r="Y48" s="647"/>
      <c r="Z48" s="132">
        <f>+I48</f>
        <v>898.23</v>
      </c>
      <c r="AA48" s="133" t="s">
        <v>97</v>
      </c>
      <c r="AB48" s="134">
        <f>ROUND(W48*X48*Z48,0)</f>
        <v>0</v>
      </c>
      <c r="AC48" s="138"/>
      <c r="AD48" s="9"/>
    </row>
    <row r="49" spans="2:30" ht="19.5" customHeight="1" thickBot="1" x14ac:dyDescent="0.3">
      <c r="B49" s="139" t="s">
        <v>78</v>
      </c>
      <c r="C49" s="140">
        <f>K14+K15+K18+K21+K24+K25</f>
        <v>118.56700000000001</v>
      </c>
      <c r="D49" s="125"/>
      <c r="E49" s="125"/>
      <c r="F49" s="125"/>
      <c r="G49" s="126">
        <f>K7</f>
        <v>1.0326</v>
      </c>
      <c r="H49" s="126"/>
      <c r="I49" s="127">
        <v>900.39</v>
      </c>
      <c r="J49" s="128" t="s">
        <v>97</v>
      </c>
      <c r="K49" s="129">
        <f>ROUND(C49*G49*I49,0)</f>
        <v>110237</v>
      </c>
      <c r="L49" s="62"/>
      <c r="M49" s="112"/>
      <c r="N49" s="141"/>
      <c r="O49" s="142"/>
      <c r="P49" s="101"/>
      <c r="Q49" s="143"/>
      <c r="V49" s="144" t="s">
        <v>78</v>
      </c>
      <c r="W49" s="145">
        <f>AB14+AB15+AB18+AB21+AB24+AB25</f>
        <v>0</v>
      </c>
      <c r="X49" s="647">
        <f>AB7</f>
        <v>1.0326</v>
      </c>
      <c r="Y49" s="647"/>
      <c r="Z49" s="132">
        <f>+I49</f>
        <v>900.39</v>
      </c>
      <c r="AA49" s="133" t="s">
        <v>97</v>
      </c>
      <c r="AB49" s="134">
        <f>ROUND(W49*X49*Z49,0)</f>
        <v>0</v>
      </c>
      <c r="AC49" s="138"/>
      <c r="AD49" s="113"/>
    </row>
    <row r="50" spans="2:30" ht="24" customHeight="1" thickBot="1" x14ac:dyDescent="0.3">
      <c r="B50" s="146" t="s">
        <v>98</v>
      </c>
      <c r="C50" s="147">
        <f>SUM(C47:C49)</f>
        <v>118.56700000000001</v>
      </c>
      <c r="D50" s="148"/>
      <c r="E50" s="149"/>
      <c r="F50" s="149"/>
      <c r="G50" s="150" t="s">
        <v>99</v>
      </c>
      <c r="H50" s="150"/>
      <c r="I50" s="150"/>
      <c r="J50" s="150"/>
      <c r="K50" s="150"/>
      <c r="L50" s="50">
        <f>IF(B2=75,0,K49+K48+K47)</f>
        <v>110237</v>
      </c>
      <c r="N50" s="3"/>
      <c r="O50" s="1"/>
      <c r="V50" s="151" t="s">
        <v>98</v>
      </c>
      <c r="W50" s="152">
        <f>SUM(W47:W49)</f>
        <v>0</v>
      </c>
      <c r="X50" s="648" t="s">
        <v>99</v>
      </c>
      <c r="Y50" s="649"/>
      <c r="Z50" s="649"/>
      <c r="AA50" s="649"/>
      <c r="AB50" s="649"/>
      <c r="AC50" s="56">
        <f>IF(V2=75,0,AB49+AB48+AB47)</f>
        <v>0</v>
      </c>
      <c r="AD50" s="9"/>
    </row>
    <row r="51" spans="2:30" ht="19.5" customHeight="1" x14ac:dyDescent="0.25">
      <c r="B51" s="153" t="s">
        <v>100</v>
      </c>
      <c r="C51" s="153"/>
      <c r="D51" s="153"/>
      <c r="E51" s="153"/>
      <c r="F51" s="153"/>
      <c r="G51" s="153"/>
      <c r="H51" s="153"/>
      <c r="I51" s="153"/>
      <c r="J51" s="153"/>
      <c r="K51" s="153"/>
      <c r="L51" s="153"/>
      <c r="M51" s="141"/>
      <c r="N51" s="101"/>
      <c r="O51" s="1"/>
      <c r="V51" s="650" t="s">
        <v>100</v>
      </c>
      <c r="W51" s="650"/>
      <c r="X51" s="650"/>
      <c r="Y51" s="650"/>
      <c r="Z51" s="650"/>
      <c r="AA51" s="650"/>
      <c r="AB51" s="650"/>
      <c r="AC51" s="650"/>
      <c r="AD51" s="154"/>
    </row>
    <row r="52" spans="2:30" ht="27.75" customHeight="1" x14ac:dyDescent="0.25">
      <c r="B52" s="13" t="s">
        <v>101</v>
      </c>
      <c r="C52" s="13"/>
      <c r="D52" s="13"/>
      <c r="E52" s="13"/>
      <c r="F52" s="13"/>
      <c r="G52" s="13"/>
      <c r="H52" s="13"/>
      <c r="I52" s="13"/>
      <c r="J52" s="13"/>
      <c r="K52" s="13"/>
      <c r="L52" s="13"/>
      <c r="O52" s="1"/>
      <c r="V52" s="651" t="s">
        <v>101</v>
      </c>
      <c r="W52" s="651"/>
      <c r="X52" s="651"/>
      <c r="Y52" s="651"/>
      <c r="Z52" s="651"/>
      <c r="AA52" s="651"/>
      <c r="AB52" s="651"/>
      <c r="AC52" s="651"/>
      <c r="AD52" s="9"/>
    </row>
    <row r="53" spans="2:30" x14ac:dyDescent="0.25">
      <c r="B53" s="13" t="s">
        <v>102</v>
      </c>
      <c r="C53" s="13"/>
      <c r="D53" s="13"/>
      <c r="E53" s="13"/>
      <c r="F53" s="13"/>
      <c r="G53" s="155">
        <f>K26</f>
        <v>118.56700000000001</v>
      </c>
      <c r="H53" s="57" t="s">
        <v>103</v>
      </c>
      <c r="I53" s="57"/>
      <c r="J53" s="156">
        <v>197823.77</v>
      </c>
      <c r="K53" s="156"/>
      <c r="L53" s="156"/>
      <c r="N53" s="3"/>
      <c r="O53" s="1"/>
      <c r="V53" s="657" t="s">
        <v>102</v>
      </c>
      <c r="W53" s="657"/>
      <c r="X53" s="157">
        <f>AB26</f>
        <v>0</v>
      </c>
      <c r="Y53" s="658" t="s">
        <v>103</v>
      </c>
      <c r="Z53" s="658"/>
      <c r="AA53" s="659">
        <f>+J53</f>
        <v>197823.77</v>
      </c>
      <c r="AB53" s="659"/>
      <c r="AC53" s="659"/>
      <c r="AD53" s="9"/>
    </row>
    <row r="54" spans="2:30" x14ac:dyDescent="0.25">
      <c r="B54" s="13" t="s">
        <v>104</v>
      </c>
      <c r="C54" s="13"/>
      <c r="D54" s="13"/>
      <c r="E54" s="13"/>
      <c r="F54" s="13"/>
      <c r="G54" s="13"/>
      <c r="H54" s="13"/>
      <c r="I54" s="13"/>
      <c r="J54" s="13"/>
      <c r="K54" s="158">
        <f>ROUND(G53/J53,6)</f>
        <v>5.9900000000000003E-4</v>
      </c>
      <c r="L54" s="158"/>
      <c r="N54" s="101"/>
      <c r="O54" s="1"/>
      <c r="V54" s="657" t="s">
        <v>104</v>
      </c>
      <c r="W54" s="657"/>
      <c r="X54" s="657"/>
      <c r="Y54" s="657"/>
      <c r="Z54" s="657"/>
      <c r="AA54" s="657"/>
      <c r="AB54" s="660">
        <f>ROUND(X53/AA53,6)</f>
        <v>0</v>
      </c>
      <c r="AC54" s="660"/>
      <c r="AD54" s="9"/>
    </row>
    <row r="55" spans="2:30" ht="24" customHeight="1" x14ac:dyDescent="0.25">
      <c r="B55" s="13" t="s">
        <v>105</v>
      </c>
      <c r="C55" s="13"/>
      <c r="D55" s="13"/>
      <c r="E55" s="13"/>
      <c r="F55" s="13"/>
      <c r="G55" s="13"/>
      <c r="H55" s="13"/>
      <c r="I55" s="13"/>
      <c r="J55" s="13"/>
      <c r="K55" s="13"/>
      <c r="L55" s="13"/>
      <c r="O55" s="1"/>
      <c r="V55" s="651" t="s">
        <v>105</v>
      </c>
      <c r="W55" s="651"/>
      <c r="X55" s="651"/>
      <c r="Y55" s="651"/>
      <c r="Z55" s="651"/>
      <c r="AA55" s="651"/>
      <c r="AB55" s="651"/>
      <c r="AC55" s="651"/>
      <c r="AD55" s="9"/>
    </row>
    <row r="56" spans="2:30" x14ac:dyDescent="0.25">
      <c r="B56" s="13" t="s">
        <v>106</v>
      </c>
      <c r="C56" s="13"/>
      <c r="D56" s="13"/>
      <c r="E56" s="13"/>
      <c r="F56" s="13"/>
      <c r="G56" s="159">
        <f>G26</f>
        <v>117.2</v>
      </c>
      <c r="H56" s="57" t="s">
        <v>107</v>
      </c>
      <c r="I56" s="57"/>
      <c r="J56" s="156">
        <f>+G40</f>
        <v>180284.81</v>
      </c>
      <c r="K56" s="156"/>
      <c r="L56" s="156"/>
      <c r="O56" s="1"/>
      <c r="V56" s="657" t="s">
        <v>106</v>
      </c>
      <c r="W56" s="657"/>
      <c r="X56" s="160">
        <f>X26</f>
        <v>0</v>
      </c>
      <c r="Y56" s="658" t="s">
        <v>107</v>
      </c>
      <c r="Z56" s="658"/>
      <c r="AA56" s="659">
        <f>+J56</f>
        <v>180284.81</v>
      </c>
      <c r="AB56" s="659"/>
      <c r="AC56" s="659"/>
      <c r="AD56" s="9"/>
    </row>
    <row r="57" spans="2:30" x14ac:dyDescent="0.25">
      <c r="B57" s="13" t="s">
        <v>108</v>
      </c>
      <c r="C57" s="13"/>
      <c r="D57" s="13"/>
      <c r="E57" s="13"/>
      <c r="F57" s="13"/>
      <c r="G57" s="13"/>
      <c r="H57" s="13"/>
      <c r="I57" s="13"/>
      <c r="J57" s="13"/>
      <c r="K57" s="158">
        <f>ROUND(G56/J56,6)</f>
        <v>6.4999999999999997E-4</v>
      </c>
      <c r="L57" s="158"/>
      <c r="O57" s="1"/>
      <c r="V57" s="657" t="s">
        <v>108</v>
      </c>
      <c r="W57" s="657"/>
      <c r="X57" s="657"/>
      <c r="Y57" s="657"/>
      <c r="Z57" s="657"/>
      <c r="AA57" s="657"/>
      <c r="AB57" s="660">
        <f>ROUND(X56/AA56,6)</f>
        <v>0</v>
      </c>
      <c r="AC57" s="660"/>
      <c r="AD57" s="9"/>
    </row>
    <row r="58" spans="2:30" ht="20.25" customHeight="1" x14ac:dyDescent="0.25">
      <c r="B58" s="161" t="s">
        <v>109</v>
      </c>
      <c r="C58" s="161"/>
      <c r="D58" s="161"/>
      <c r="E58" s="161"/>
      <c r="F58" s="161"/>
      <c r="G58" s="161"/>
      <c r="H58" s="161"/>
      <c r="I58" s="161"/>
      <c r="J58" s="161"/>
      <c r="K58" s="161"/>
      <c r="L58" s="161"/>
      <c r="N58" s="18"/>
      <c r="O58" s="18"/>
      <c r="V58" s="629" t="s">
        <v>110</v>
      </c>
      <c r="W58" s="629"/>
      <c r="X58" s="629"/>
      <c r="Y58" s="661">
        <f>X65+X64+X62+X61+X60</f>
        <v>4123852</v>
      </c>
      <c r="Z58" s="661"/>
      <c r="AA58" s="162" t="s">
        <v>111</v>
      </c>
      <c r="AB58" s="163">
        <f>AB54</f>
        <v>0</v>
      </c>
      <c r="AC58" s="56">
        <f>ROUND(Y58*AB58,0)</f>
        <v>0</v>
      </c>
      <c r="AD58" s="9"/>
    </row>
    <row r="59" spans="2:30" x14ac:dyDescent="0.25">
      <c r="B59" s="62" t="s">
        <v>110</v>
      </c>
      <c r="C59" s="62"/>
      <c r="D59" s="62"/>
      <c r="E59" s="62"/>
      <c r="F59" s="62"/>
      <c r="G59" s="62"/>
      <c r="H59" s="164" t="s">
        <v>22</v>
      </c>
      <c r="I59" s="129">
        <v>4123852</v>
      </c>
      <c r="J59" s="165" t="s">
        <v>111</v>
      </c>
      <c r="K59" s="166">
        <f>K54</f>
        <v>5.9900000000000003E-4</v>
      </c>
      <c r="L59" s="50">
        <f>ROUND(I59*K59,0)</f>
        <v>2470</v>
      </c>
      <c r="O59" s="1"/>
      <c r="P59" s="165"/>
      <c r="Q59" s="165"/>
      <c r="V59" s="662" t="s">
        <v>112</v>
      </c>
      <c r="W59" s="662"/>
      <c r="X59" s="662"/>
      <c r="Y59" s="662"/>
      <c r="Z59" s="662"/>
      <c r="AA59" s="662"/>
      <c r="AB59" s="662"/>
      <c r="AC59" s="662"/>
      <c r="AD59" s="9"/>
    </row>
    <row r="60" spans="2:30" x14ac:dyDescent="0.25">
      <c r="B60" s="62" t="s">
        <v>112</v>
      </c>
      <c r="C60" s="62"/>
      <c r="D60" s="62"/>
      <c r="E60" s="62"/>
      <c r="F60" s="62"/>
      <c r="G60" s="62"/>
      <c r="H60" s="62"/>
      <c r="I60" s="62"/>
      <c r="J60" s="62"/>
      <c r="K60" s="62"/>
      <c r="L60" s="62"/>
      <c r="O60" s="1"/>
      <c r="P60" s="165"/>
      <c r="Q60" s="165"/>
      <c r="V60" s="663" t="s">
        <v>113</v>
      </c>
      <c r="W60" s="663"/>
      <c r="X60" s="664">
        <f>+G61</f>
        <v>0</v>
      </c>
      <c r="Y60" s="664"/>
      <c r="Z60" s="664"/>
      <c r="AA60" s="664"/>
      <c r="AB60" s="664"/>
      <c r="AC60" s="664"/>
      <c r="AD60" s="9"/>
    </row>
    <row r="61" spans="2:30" ht="15" customHeight="1" x14ac:dyDescent="0.25">
      <c r="B61" s="167" t="s">
        <v>113</v>
      </c>
      <c r="C61" s="62"/>
      <c r="D61" s="62"/>
      <c r="E61" s="62"/>
      <c r="F61" s="62"/>
      <c r="G61" s="168">
        <v>0</v>
      </c>
      <c r="H61" s="168"/>
      <c r="I61" s="168"/>
      <c r="J61" s="168"/>
      <c r="K61" s="168"/>
      <c r="L61" s="168"/>
      <c r="O61" s="1"/>
      <c r="P61" s="165"/>
      <c r="Q61" s="165"/>
      <c r="V61" s="663" t="s">
        <v>114</v>
      </c>
      <c r="W61" s="663"/>
      <c r="X61" s="664">
        <f>+G62</f>
        <v>0</v>
      </c>
      <c r="Y61" s="664"/>
      <c r="Z61" s="664"/>
      <c r="AA61" s="664"/>
      <c r="AB61" s="664"/>
      <c r="AC61" s="664"/>
      <c r="AD61" s="9"/>
    </row>
    <row r="62" spans="2:30" ht="13.5" customHeight="1" x14ac:dyDescent="0.25">
      <c r="B62" s="167" t="s">
        <v>114</v>
      </c>
      <c r="C62" s="62"/>
      <c r="D62" s="62"/>
      <c r="E62" s="62"/>
      <c r="F62" s="62"/>
      <c r="G62" s="168">
        <v>0</v>
      </c>
      <c r="H62" s="168"/>
      <c r="I62" s="168"/>
      <c r="J62" s="168"/>
      <c r="K62" s="168"/>
      <c r="L62" s="168"/>
      <c r="N62" s="165"/>
      <c r="O62" s="165"/>
      <c r="P62" s="165"/>
      <c r="Q62" s="165"/>
      <c r="V62" s="663" t="s">
        <v>115</v>
      </c>
      <c r="W62" s="663"/>
      <c r="X62" s="664">
        <v>0</v>
      </c>
      <c r="Y62" s="664"/>
      <c r="Z62" s="664"/>
      <c r="AA62" s="664"/>
      <c r="AB62" s="664"/>
      <c r="AC62" s="664"/>
      <c r="AD62" s="9"/>
    </row>
    <row r="63" spans="2:30" ht="13.5" hidden="1" customHeight="1" x14ac:dyDescent="0.25">
      <c r="B63" s="62" t="s">
        <v>115</v>
      </c>
      <c r="C63" s="62"/>
      <c r="D63" s="62"/>
      <c r="E63" s="62"/>
      <c r="F63" s="62"/>
      <c r="G63" s="168">
        <v>0</v>
      </c>
      <c r="H63" s="168"/>
      <c r="I63" s="168"/>
      <c r="J63" s="168"/>
      <c r="K63" s="168"/>
      <c r="L63" s="168"/>
      <c r="O63" s="1"/>
      <c r="P63" s="165"/>
      <c r="Q63" s="165"/>
      <c r="V63" s="662" t="s">
        <v>116</v>
      </c>
      <c r="W63" s="662"/>
      <c r="X63" s="662"/>
      <c r="Y63" s="662"/>
      <c r="Z63" s="662"/>
      <c r="AA63" s="662"/>
      <c r="AB63" s="662"/>
      <c r="AC63" s="662"/>
      <c r="AD63" s="117"/>
    </row>
    <row r="64" spans="2:30" ht="13.5" customHeight="1" x14ac:dyDescent="0.25">
      <c r="B64" s="62" t="s">
        <v>116</v>
      </c>
      <c r="C64" s="62"/>
      <c r="D64" s="62"/>
      <c r="E64" s="62"/>
      <c r="F64" s="62"/>
      <c r="G64" s="62"/>
      <c r="H64" s="62"/>
      <c r="I64" s="62"/>
      <c r="J64" s="62"/>
      <c r="K64" s="62"/>
      <c r="L64" s="62"/>
      <c r="M64" s="116"/>
      <c r="N64" s="18"/>
      <c r="O64" s="1"/>
      <c r="V64" s="663" t="s">
        <v>117</v>
      </c>
      <c r="W64" s="663"/>
      <c r="X64" s="664">
        <f>+G65</f>
        <v>4123852</v>
      </c>
      <c r="Y64" s="664"/>
      <c r="Z64" s="664"/>
      <c r="AA64" s="664"/>
      <c r="AB64" s="664"/>
      <c r="AC64" s="664"/>
      <c r="AD64" s="9"/>
    </row>
    <row r="65" spans="1:30" ht="12.75" customHeight="1" x14ac:dyDescent="0.25">
      <c r="B65" s="167" t="s">
        <v>117</v>
      </c>
      <c r="C65" s="62"/>
      <c r="D65" s="62"/>
      <c r="E65" s="62"/>
      <c r="F65" s="62"/>
      <c r="G65" s="168">
        <f>+I59</f>
        <v>4123852</v>
      </c>
      <c r="H65" s="168"/>
      <c r="I65" s="168"/>
      <c r="J65" s="168"/>
      <c r="K65" s="168"/>
      <c r="L65" s="168"/>
      <c r="O65" s="1"/>
      <c r="V65" s="663" t="s">
        <v>118</v>
      </c>
      <c r="W65" s="663"/>
      <c r="X65" s="664">
        <f>+G66</f>
        <v>0</v>
      </c>
      <c r="Y65" s="664"/>
      <c r="Z65" s="664"/>
      <c r="AA65" s="664"/>
      <c r="AB65" s="664"/>
      <c r="AC65" s="664"/>
      <c r="AD65" s="20"/>
    </row>
    <row r="66" spans="1:30" ht="15" customHeight="1" x14ac:dyDescent="0.25">
      <c r="B66" s="167" t="s">
        <v>118</v>
      </c>
      <c r="C66" s="62"/>
      <c r="D66" s="62"/>
      <c r="E66" s="62"/>
      <c r="F66" s="62"/>
      <c r="G66" s="168">
        <v>0</v>
      </c>
      <c r="H66" s="168"/>
      <c r="I66" s="168"/>
      <c r="J66" s="168"/>
      <c r="K66" s="168"/>
      <c r="L66" s="168"/>
      <c r="M66" s="18"/>
      <c r="N66" s="3"/>
      <c r="O66" s="169"/>
      <c r="P66" s="169"/>
      <c r="Q66" s="169"/>
      <c r="V66" s="651" t="s">
        <v>119</v>
      </c>
      <c r="W66" s="651"/>
      <c r="X66" s="651"/>
      <c r="Y66" s="661">
        <f>+I67</f>
        <v>96774526</v>
      </c>
      <c r="Z66" s="661"/>
      <c r="AA66" s="162" t="s">
        <v>111</v>
      </c>
      <c r="AB66" s="163">
        <f>AB54</f>
        <v>0</v>
      </c>
      <c r="AC66" s="56">
        <f>ROUND(Y66*AB66,0)</f>
        <v>0</v>
      </c>
      <c r="AD66" s="9"/>
    </row>
    <row r="67" spans="1:30" ht="20.25" customHeight="1" x14ac:dyDescent="0.25">
      <c r="B67" s="13" t="s">
        <v>119</v>
      </c>
      <c r="C67" s="13"/>
      <c r="D67" s="13"/>
      <c r="E67" s="13"/>
      <c r="F67" s="13"/>
      <c r="H67" s="164" t="s">
        <v>25</v>
      </c>
      <c r="I67" s="129">
        <v>96774526</v>
      </c>
      <c r="J67" s="165" t="s">
        <v>111</v>
      </c>
      <c r="K67" s="166">
        <f>K54</f>
        <v>5.9900000000000003E-4</v>
      </c>
      <c r="L67" s="50">
        <f>ROUND(I67*K67,0)</f>
        <v>57968</v>
      </c>
      <c r="O67" s="1"/>
      <c r="V67" s="651" t="s">
        <v>120</v>
      </c>
      <c r="W67" s="651"/>
      <c r="X67" s="651"/>
      <c r="Y67" s="651"/>
      <c r="Z67" s="651"/>
      <c r="AA67" s="651"/>
      <c r="AB67" s="651"/>
      <c r="AC67" s="651"/>
      <c r="AD67" s="9"/>
    </row>
    <row r="68" spans="1:30" ht="20.25" customHeight="1" x14ac:dyDescent="0.25">
      <c r="B68" s="13" t="s">
        <v>120</v>
      </c>
      <c r="C68" s="13"/>
      <c r="D68" s="13"/>
      <c r="E68" s="13"/>
      <c r="F68" s="13"/>
      <c r="H68" s="13"/>
      <c r="I68" s="13"/>
      <c r="J68" s="82"/>
      <c r="K68" s="13"/>
      <c r="L68" s="13"/>
      <c r="O68" s="1"/>
      <c r="V68" s="667" t="s">
        <v>121</v>
      </c>
      <c r="W68" s="667"/>
      <c r="X68" s="667"/>
      <c r="Y68" s="661">
        <f>+I69</f>
        <v>0</v>
      </c>
      <c r="Z68" s="661"/>
      <c r="AA68" s="162" t="s">
        <v>111</v>
      </c>
      <c r="AB68" s="163">
        <f>AB57</f>
        <v>0</v>
      </c>
      <c r="AC68" s="56">
        <f>ROUND(Y68*AB68,0)</f>
        <v>0</v>
      </c>
      <c r="AD68" s="9"/>
    </row>
    <row r="69" spans="1:30" ht="15" customHeight="1" x14ac:dyDescent="0.25">
      <c r="B69" s="170" t="s">
        <v>121</v>
      </c>
      <c r="C69" s="13"/>
      <c r="D69" s="13"/>
      <c r="E69" s="13"/>
      <c r="F69" s="13"/>
      <c r="H69" s="164" t="s">
        <v>23</v>
      </c>
      <c r="I69" s="129">
        <v>0</v>
      </c>
      <c r="J69" s="165" t="s">
        <v>111</v>
      </c>
      <c r="K69" s="166">
        <f>K57</f>
        <v>6.4999999999999997E-4</v>
      </c>
      <c r="L69" s="50">
        <f>ROUND(I69*K69,0)</f>
        <v>0</v>
      </c>
      <c r="O69" s="1"/>
      <c r="V69" s="651" t="s">
        <v>122</v>
      </c>
      <c r="W69" s="651"/>
      <c r="X69" s="651"/>
      <c r="Y69" s="668">
        <f>+I70</f>
        <v>-3460775</v>
      </c>
      <c r="Z69" s="668"/>
      <c r="AA69" s="162" t="s">
        <v>111</v>
      </c>
      <c r="AB69" s="163">
        <f>AB54</f>
        <v>0</v>
      </c>
      <c r="AC69" s="56">
        <f>ROUND(Y69*AB69,0)</f>
        <v>0</v>
      </c>
      <c r="AD69" s="9"/>
    </row>
    <row r="70" spans="1:30" ht="20.25" customHeight="1" x14ac:dyDescent="0.25">
      <c r="B70" s="13" t="s">
        <v>122</v>
      </c>
      <c r="C70" s="13"/>
      <c r="D70" s="13"/>
      <c r="E70" s="13"/>
      <c r="F70" s="13"/>
      <c r="H70" s="164" t="s">
        <v>22</v>
      </c>
      <c r="I70" s="129">
        <v>-3460775</v>
      </c>
      <c r="J70" s="165" t="s">
        <v>111</v>
      </c>
      <c r="K70" s="166">
        <f>K54</f>
        <v>5.9900000000000003E-4</v>
      </c>
      <c r="L70" s="50">
        <f>ROUND(I70*K70,0)</f>
        <v>-2073</v>
      </c>
      <c r="O70" s="1"/>
      <c r="V70" s="651" t="s">
        <v>123</v>
      </c>
      <c r="W70" s="651"/>
      <c r="X70" s="651"/>
      <c r="Y70" s="665">
        <f>+I71</f>
        <v>1874788</v>
      </c>
      <c r="Z70" s="665"/>
      <c r="AA70" s="162" t="s">
        <v>111</v>
      </c>
      <c r="AB70" s="163">
        <f>AB54</f>
        <v>0</v>
      </c>
      <c r="AC70" s="56">
        <f>ROUND(Y70*AB70,0)</f>
        <v>0</v>
      </c>
      <c r="AD70" s="9"/>
    </row>
    <row r="71" spans="1:30" ht="20.25" customHeight="1" x14ac:dyDescent="0.25">
      <c r="B71" s="13" t="s">
        <v>123</v>
      </c>
      <c r="C71" s="13"/>
      <c r="D71" s="13"/>
      <c r="E71" s="13"/>
      <c r="F71" s="13"/>
      <c r="H71" s="164" t="s">
        <v>22</v>
      </c>
      <c r="I71" s="129">
        <v>1874788</v>
      </c>
      <c r="J71" s="165" t="s">
        <v>111</v>
      </c>
      <c r="K71" s="166">
        <f>K54</f>
        <v>5.9900000000000003E-4</v>
      </c>
      <c r="L71" s="50">
        <f>ROUND(I71*K71,0)</f>
        <v>1123</v>
      </c>
      <c r="O71" s="1"/>
      <c r="V71" s="651" t="s">
        <v>124</v>
      </c>
      <c r="W71" s="651"/>
      <c r="X71" s="651"/>
      <c r="Y71" s="665">
        <f>+I72</f>
        <v>14223298</v>
      </c>
      <c r="Z71" s="665"/>
      <c r="AA71" s="162" t="s">
        <v>111</v>
      </c>
      <c r="AB71" s="163">
        <f>AB57</f>
        <v>0</v>
      </c>
      <c r="AC71" s="56">
        <f>ROUND(Y71*AB71,0)</f>
        <v>0</v>
      </c>
      <c r="AD71" s="9"/>
    </row>
    <row r="72" spans="1:30" ht="21" customHeight="1" x14ac:dyDescent="0.25">
      <c r="B72" s="13" t="s">
        <v>124</v>
      </c>
      <c r="C72" s="13"/>
      <c r="D72" s="13"/>
      <c r="E72" s="13"/>
      <c r="F72" s="13"/>
      <c r="H72" s="164" t="s">
        <v>23</v>
      </c>
      <c r="I72" s="171">
        <v>14223298</v>
      </c>
      <c r="J72" s="165" t="s">
        <v>111</v>
      </c>
      <c r="K72" s="166">
        <f>K57</f>
        <v>6.4999999999999997E-4</v>
      </c>
      <c r="L72" s="50">
        <f>ROUND(I72*K72,0)</f>
        <v>9245</v>
      </c>
      <c r="O72" s="1"/>
      <c r="V72" s="623" t="s">
        <v>125</v>
      </c>
      <c r="W72" s="623"/>
      <c r="X72" s="623"/>
      <c r="Y72" s="623"/>
      <c r="Z72" s="623"/>
      <c r="AA72" s="623"/>
      <c r="AB72" s="623"/>
      <c r="AC72" s="60"/>
      <c r="AD72" s="9"/>
    </row>
    <row r="73" spans="1:30" ht="17.25" customHeight="1" x14ac:dyDescent="0.25">
      <c r="B73" s="13" t="s">
        <v>125</v>
      </c>
      <c r="C73" s="13"/>
      <c r="D73" s="13"/>
      <c r="E73" s="13"/>
      <c r="F73" s="13"/>
      <c r="H73" s="13"/>
      <c r="I73" s="13"/>
      <c r="J73" s="82"/>
      <c r="K73" s="13"/>
      <c r="L73" s="59"/>
      <c r="O73" s="1"/>
      <c r="V73" s="651" t="s">
        <v>126</v>
      </c>
      <c r="W73" s="651"/>
      <c r="X73" s="651"/>
      <c r="Y73" s="651"/>
      <c r="Z73" s="651"/>
      <c r="AA73" s="651"/>
      <c r="AB73" s="651"/>
      <c r="AC73" s="651"/>
      <c r="AD73" s="9"/>
    </row>
    <row r="74" spans="1:30" ht="31.5" x14ac:dyDescent="0.25">
      <c r="B74" s="13" t="s">
        <v>126</v>
      </c>
      <c r="C74" s="13"/>
      <c r="D74" s="27" t="s">
        <v>13</v>
      </c>
      <c r="E74" s="27" t="s">
        <v>14</v>
      </c>
      <c r="F74" s="27"/>
      <c r="H74" s="164" t="s">
        <v>26</v>
      </c>
      <c r="I74" s="172"/>
      <c r="J74" s="164"/>
      <c r="K74" s="172"/>
      <c r="L74" s="112"/>
      <c r="O74" s="1"/>
      <c r="V74" s="666" t="s">
        <v>127</v>
      </c>
      <c r="W74" s="666"/>
      <c r="X74" s="173" t="s">
        <v>128</v>
      </c>
      <c r="Y74" s="174"/>
      <c r="Z74" s="175">
        <f>+I75</f>
        <v>0</v>
      </c>
      <c r="AA74" s="176" t="s">
        <v>129</v>
      </c>
      <c r="AB74" s="177">
        <f>+K75</f>
        <v>361</v>
      </c>
      <c r="AC74" s="56">
        <f>ROUND(AB74*Z74,0)</f>
        <v>0</v>
      </c>
      <c r="AD74" s="9"/>
    </row>
    <row r="75" spans="1:30" ht="19.5" customHeight="1" x14ac:dyDescent="0.25">
      <c r="A75" s="1" t="s">
        <v>130</v>
      </c>
      <c r="B75" s="178" t="s">
        <v>127</v>
      </c>
      <c r="C75" s="179" t="s">
        <v>128</v>
      </c>
      <c r="D75" s="178">
        <v>0</v>
      </c>
      <c r="E75" s="178">
        <v>0</v>
      </c>
      <c r="F75" s="178">
        <v>0</v>
      </c>
      <c r="G75" s="180">
        <f>IF(E75=0,D75,E75)</f>
        <v>0</v>
      </c>
      <c r="H75" s="181"/>
      <c r="I75" s="182">
        <f>AVERAGE(G75,D75)</f>
        <v>0</v>
      </c>
      <c r="J75" s="183" t="s">
        <v>129</v>
      </c>
      <c r="K75" s="184">
        <v>361</v>
      </c>
      <c r="L75" s="50">
        <f>ROUND(K75*I75,0)</f>
        <v>0</v>
      </c>
      <c r="N75" s="1">
        <v>7802</v>
      </c>
      <c r="O75" s="1">
        <v>0</v>
      </c>
      <c r="V75" s="666" t="s">
        <v>127</v>
      </c>
      <c r="W75" s="666"/>
      <c r="X75" s="173" t="s">
        <v>131</v>
      </c>
      <c r="Y75" s="185"/>
      <c r="Z75" s="186">
        <f>+I76</f>
        <v>0</v>
      </c>
      <c r="AA75" s="176" t="s">
        <v>129</v>
      </c>
      <c r="AB75" s="187">
        <f>+K76</f>
        <v>1358</v>
      </c>
      <c r="AC75" s="56">
        <f>ROUND(AB75*Z75,0)</f>
        <v>0</v>
      </c>
      <c r="AD75" s="9"/>
    </row>
    <row r="76" spans="1:30" ht="19.5" customHeight="1" x14ac:dyDescent="0.25">
      <c r="A76" s="1" t="s">
        <v>132</v>
      </c>
      <c r="B76" s="178" t="s">
        <v>127</v>
      </c>
      <c r="C76" s="179" t="s">
        <v>131</v>
      </c>
      <c r="D76" s="178">
        <v>0</v>
      </c>
      <c r="E76" s="178">
        <v>0</v>
      </c>
      <c r="F76" s="178">
        <v>0</v>
      </c>
      <c r="G76" s="180">
        <f>IF(E76=0,D76,E76)</f>
        <v>0</v>
      </c>
      <c r="H76" s="181"/>
      <c r="I76" s="182">
        <f>AVERAGE(G76,D76)</f>
        <v>0</v>
      </c>
      <c r="J76" s="183" t="s">
        <v>129</v>
      </c>
      <c r="K76" s="188">
        <v>1358</v>
      </c>
      <c r="L76" s="50">
        <f>ROUND(K76*I76,0)</f>
        <v>0</v>
      </c>
      <c r="N76" s="1">
        <v>7802</v>
      </c>
      <c r="O76" s="1">
        <v>110</v>
      </c>
      <c r="V76" s="651" t="s">
        <v>133</v>
      </c>
      <c r="W76" s="651"/>
      <c r="X76" s="651"/>
      <c r="Y76" s="661">
        <f>+I77</f>
        <v>33305823</v>
      </c>
      <c r="Z76" s="661"/>
      <c r="AA76" s="176" t="s">
        <v>129</v>
      </c>
      <c r="AB76" s="163">
        <f>AB54</f>
        <v>0</v>
      </c>
      <c r="AC76" s="56">
        <f>ROUND(Y76*AB76,0)</f>
        <v>0</v>
      </c>
      <c r="AD76" s="9"/>
    </row>
    <row r="77" spans="1:30" ht="26.25" customHeight="1" x14ac:dyDescent="0.25">
      <c r="B77" s="13" t="s">
        <v>133</v>
      </c>
      <c r="C77" s="13"/>
      <c r="D77" s="13"/>
      <c r="E77" s="13"/>
      <c r="F77" s="13"/>
      <c r="H77" s="164" t="s">
        <v>134</v>
      </c>
      <c r="I77" s="189">
        <v>33305823</v>
      </c>
      <c r="J77" s="165" t="s">
        <v>111</v>
      </c>
      <c r="K77" s="166">
        <f>K54</f>
        <v>5.9900000000000003E-4</v>
      </c>
      <c r="L77" s="50">
        <f>ROUND(I77*K77,0)</f>
        <v>19950</v>
      </c>
      <c r="O77" s="1"/>
      <c r="V77" s="651" t="str">
        <f>+B78</f>
        <v>15.  Additional Allocation (WFTE share)</v>
      </c>
      <c r="W77" s="651"/>
      <c r="X77" s="651"/>
      <c r="Y77" s="661">
        <f>+I78</f>
        <v>680688</v>
      </c>
      <c r="Z77" s="661"/>
      <c r="AA77" s="176" t="s">
        <v>129</v>
      </c>
      <c r="AB77" s="163">
        <f>AB54</f>
        <v>0</v>
      </c>
      <c r="AC77" s="56">
        <f>ROUND(Y77*AB77,0)</f>
        <v>0</v>
      </c>
      <c r="AD77" s="9"/>
    </row>
    <row r="78" spans="1:30" ht="26.25" customHeight="1" x14ac:dyDescent="0.25">
      <c r="B78" s="669" t="s">
        <v>135</v>
      </c>
      <c r="C78" s="669"/>
      <c r="D78" s="669"/>
      <c r="E78" s="13"/>
      <c r="F78" s="13"/>
      <c r="H78" s="164" t="s">
        <v>136</v>
      </c>
      <c r="I78" s="190">
        <v>680688</v>
      </c>
      <c r="J78" s="165" t="s">
        <v>111</v>
      </c>
      <c r="K78" s="166">
        <f>K54</f>
        <v>5.9900000000000003E-4</v>
      </c>
      <c r="L78" s="50">
        <f>ROUND(I78*K78,0)</f>
        <v>408</v>
      </c>
      <c r="O78" s="1"/>
      <c r="V78" s="651" t="str">
        <f t="shared" ref="V78:V79" si="11">+B79</f>
        <v>16.  Florida Teachers Lead Program Stipend</v>
      </c>
      <c r="W78" s="651"/>
      <c r="X78" s="651"/>
      <c r="Y78" s="191"/>
      <c r="Z78" s="191"/>
      <c r="AA78" s="191"/>
      <c r="AB78" s="191"/>
      <c r="AC78" s="134"/>
      <c r="AD78" s="9"/>
    </row>
    <row r="79" spans="1:30" ht="21" customHeight="1" x14ac:dyDescent="0.25">
      <c r="B79" s="669" t="s">
        <v>137</v>
      </c>
      <c r="C79" s="669"/>
      <c r="D79" s="669"/>
      <c r="E79" s="13"/>
      <c r="F79" s="13"/>
      <c r="H79" s="164"/>
      <c r="I79" s="172"/>
      <c r="J79" s="172"/>
      <c r="K79" s="172"/>
      <c r="L79" s="129"/>
      <c r="N79" s="192"/>
      <c r="O79" s="1"/>
      <c r="Q79" s="164"/>
      <c r="V79" s="651" t="str">
        <f t="shared" si="11"/>
        <v>17.  Food Service Allocation</v>
      </c>
      <c r="W79" s="651"/>
      <c r="X79" s="651"/>
      <c r="Y79" s="191"/>
      <c r="Z79" s="191"/>
      <c r="AA79" s="191"/>
      <c r="AB79" s="191"/>
      <c r="AC79" s="193"/>
      <c r="AD79" s="9"/>
    </row>
    <row r="80" spans="1:30" ht="21" customHeight="1" x14ac:dyDescent="0.25">
      <c r="B80" s="669" t="s">
        <v>138</v>
      </c>
      <c r="C80" s="669"/>
      <c r="D80" s="669"/>
      <c r="E80" s="13"/>
      <c r="F80" s="13"/>
      <c r="H80" s="194" t="s">
        <v>139</v>
      </c>
      <c r="I80" s="195"/>
      <c r="J80" s="195"/>
      <c r="K80" s="195"/>
      <c r="L80" s="196"/>
      <c r="N80" s="197"/>
      <c r="O80" s="1"/>
      <c r="Q80" s="164"/>
      <c r="V80" s="191"/>
      <c r="W80" s="191"/>
      <c r="X80" s="191"/>
      <c r="Y80" s="191"/>
      <c r="Z80" s="191"/>
      <c r="AA80" s="191"/>
      <c r="AB80" s="191"/>
      <c r="AC80" s="193"/>
      <c r="AD80" s="9"/>
    </row>
    <row r="81" spans="1:30" ht="21" customHeight="1" thickBot="1" x14ac:dyDescent="0.3">
      <c r="B81" s="13"/>
      <c r="C81" s="13"/>
      <c r="D81" s="13"/>
      <c r="E81" s="13"/>
      <c r="F81" s="13"/>
      <c r="G81" s="13"/>
      <c r="H81" s="13"/>
      <c r="I81" s="13"/>
      <c r="J81" s="13"/>
      <c r="K81" s="13"/>
      <c r="L81" s="196"/>
      <c r="M81" s="198"/>
      <c r="N81" s="197"/>
      <c r="O81" s="1"/>
      <c r="Q81" s="164"/>
      <c r="V81" s="191" t="s">
        <v>140</v>
      </c>
      <c r="W81" s="191"/>
      <c r="X81" s="191"/>
      <c r="Y81" s="191"/>
      <c r="Z81" s="191"/>
      <c r="AA81" s="191"/>
      <c r="AB81" s="191"/>
      <c r="AC81" s="199">
        <f>SUM(AC44:AC80)</f>
        <v>0</v>
      </c>
      <c r="AD81" s="200"/>
    </row>
    <row r="82" spans="1:30" ht="22.5" customHeight="1" thickTop="1" thickBot="1" x14ac:dyDescent="0.3">
      <c r="B82" s="13" t="s">
        <v>141</v>
      </c>
      <c r="C82" s="13"/>
      <c r="D82" s="13"/>
      <c r="E82" s="13"/>
      <c r="F82" s="13"/>
      <c r="G82" s="13"/>
      <c r="H82" s="13"/>
      <c r="I82" s="13"/>
      <c r="J82" s="13"/>
      <c r="K82" s="13"/>
      <c r="L82" s="201">
        <f>SUM(L44:L81)</f>
        <v>695311</v>
      </c>
      <c r="M82" s="202"/>
      <c r="N82" s="203"/>
      <c r="O82" s="1"/>
      <c r="Q82" s="164"/>
      <c r="V82" s="191"/>
      <c r="W82" s="191"/>
      <c r="X82" s="191"/>
      <c r="Y82" s="191"/>
      <c r="Z82" s="191"/>
      <c r="AA82" s="191"/>
      <c r="AB82" s="191"/>
      <c r="AC82" s="204"/>
      <c r="AD82" s="200"/>
    </row>
    <row r="83" spans="1:30" ht="27.75" customHeight="1" thickTop="1" x14ac:dyDescent="0.25">
      <c r="B83" s="13" t="s">
        <v>142</v>
      </c>
      <c r="C83" s="13"/>
      <c r="D83" s="13"/>
      <c r="E83" s="13"/>
      <c r="F83" s="13"/>
      <c r="G83" s="13"/>
      <c r="H83" s="13"/>
      <c r="I83" s="13"/>
      <c r="J83" s="13"/>
      <c r="K83" s="82" t="s">
        <v>143</v>
      </c>
      <c r="L83" s="205" t="s">
        <v>144</v>
      </c>
      <c r="M83" s="202"/>
      <c r="N83" s="203"/>
      <c r="O83" s="1"/>
      <c r="Q83" s="164"/>
      <c r="V83" s="9" t="s">
        <v>145</v>
      </c>
      <c r="W83" s="9"/>
      <c r="X83" s="9"/>
      <c r="Y83" s="9"/>
      <c r="Z83" s="9"/>
      <c r="AA83" s="9"/>
      <c r="AB83" s="9"/>
      <c r="AC83" s="9"/>
      <c r="AD83" s="206"/>
    </row>
    <row r="84" spans="1:30" ht="18.75" customHeight="1" thickBot="1" x14ac:dyDescent="0.3">
      <c r="B84" s="13" t="s">
        <v>146</v>
      </c>
      <c r="C84" s="13"/>
      <c r="D84" s="13"/>
      <c r="E84" s="13"/>
      <c r="F84" s="13"/>
      <c r="G84" s="13"/>
      <c r="H84" s="13"/>
      <c r="I84" s="13"/>
      <c r="J84" s="13"/>
      <c r="K84" s="207" t="str">
        <f>IF(G26=0,"",IF((G11+G13+SUM(G15:G21))/G26&gt;0.75,1,""))</f>
        <v/>
      </c>
      <c r="L84" s="201">
        <f>'4013'!AC81</f>
        <v>0</v>
      </c>
      <c r="M84" s="202"/>
      <c r="N84" s="203"/>
      <c r="O84" s="1"/>
      <c r="Q84" s="164"/>
      <c r="V84" s="208" t="s">
        <v>147</v>
      </c>
      <c r="W84" s="208"/>
      <c r="X84" s="208"/>
      <c r="Y84" s="208"/>
      <c r="Z84" s="208"/>
      <c r="AA84" s="208"/>
      <c r="AB84" s="208"/>
      <c r="AC84" s="208"/>
      <c r="AD84" s="9"/>
    </row>
    <row r="85" spans="1:30" ht="18.75" customHeight="1" thickTop="1" x14ac:dyDescent="0.25">
      <c r="B85" s="13"/>
      <c r="C85" s="13"/>
      <c r="D85" s="13"/>
      <c r="E85" s="13"/>
      <c r="F85" s="13"/>
      <c r="G85" s="13"/>
      <c r="H85" s="13"/>
      <c r="I85" s="13"/>
      <c r="J85" s="13"/>
      <c r="M85" s="202"/>
      <c r="N85" s="203"/>
      <c r="O85" s="1"/>
      <c r="Q85" s="164"/>
      <c r="V85" s="208" t="s">
        <v>148</v>
      </c>
      <c r="W85" s="208"/>
      <c r="X85" s="208"/>
      <c r="Y85" s="208"/>
      <c r="Z85" s="208"/>
      <c r="AA85" s="208"/>
      <c r="AB85" s="208"/>
      <c r="AC85" s="208"/>
      <c r="AD85" s="206"/>
    </row>
    <row r="86" spans="1:30" ht="18.75" customHeight="1" x14ac:dyDescent="0.25">
      <c r="B86" s="2" t="s">
        <v>149</v>
      </c>
      <c r="C86" s="13"/>
      <c r="D86" s="13"/>
      <c r="E86" s="13"/>
      <c r="F86" s="13"/>
      <c r="G86" s="13"/>
      <c r="H86" s="13"/>
      <c r="I86" s="13"/>
      <c r="J86" s="209" t="s">
        <v>150</v>
      </c>
      <c r="K86" s="210">
        <f>IF(K84=1,L84,L82)</f>
        <v>695311</v>
      </c>
      <c r="L86" s="211">
        <f>IF(G26=0,0,IF(G26&gt;250,-(((250/G26)*K86)*IF(M86="H",0.02,0.05)),IF(M86="H",-0.02*K86,-0.05*K86)))</f>
        <v>-34765.550000000003</v>
      </c>
      <c r="M86" s="212" t="str">
        <f>IF(B123="2801","H",IF(B123="2911","H",IF(B123="3382","H"," ")))</f>
        <v xml:space="preserve"> </v>
      </c>
      <c r="N86" s="203"/>
      <c r="O86" s="1"/>
      <c r="Q86" s="164"/>
      <c r="V86" s="208" t="s">
        <v>151</v>
      </c>
      <c r="W86" s="208"/>
      <c r="X86" s="208"/>
      <c r="Y86" s="208"/>
      <c r="Z86" s="208"/>
      <c r="AA86" s="208"/>
      <c r="AB86" s="208"/>
      <c r="AC86" s="208"/>
      <c r="AD86" s="206"/>
    </row>
    <row r="87" spans="1:30" ht="18.75" customHeight="1" x14ac:dyDescent="0.25">
      <c r="B87" s="2" t="s">
        <v>152</v>
      </c>
      <c r="C87" s="13"/>
      <c r="D87" s="13"/>
      <c r="E87" s="13"/>
      <c r="F87" s="13"/>
      <c r="G87" s="13"/>
      <c r="H87" s="13"/>
      <c r="I87" s="13"/>
      <c r="J87" s="13"/>
      <c r="K87" s="213"/>
      <c r="L87" s="205">
        <f>L82+L86</f>
        <v>660545.44999999995</v>
      </c>
      <c r="M87" s="202"/>
      <c r="N87" s="203"/>
      <c r="O87" s="1"/>
      <c r="Q87" s="164"/>
      <c r="V87" s="198"/>
      <c r="W87" s="198"/>
      <c r="X87" s="198"/>
      <c r="Y87" s="198"/>
      <c r="Z87" s="198"/>
      <c r="AA87" s="198"/>
      <c r="AB87" s="198"/>
      <c r="AC87" s="198"/>
      <c r="AD87" s="214"/>
    </row>
    <row r="88" spans="1:30" x14ac:dyDescent="0.25">
      <c r="V88" s="198"/>
      <c r="W88" s="198"/>
      <c r="X88" s="198"/>
      <c r="Y88" s="198"/>
      <c r="Z88" s="198"/>
      <c r="AA88" s="198"/>
      <c r="AB88" s="198"/>
      <c r="AC88" s="198"/>
      <c r="AD88" s="215"/>
    </row>
    <row r="89" spans="1:30" ht="18.75" customHeight="1" x14ac:dyDescent="0.25">
      <c r="A89" s="1" t="s">
        <v>153</v>
      </c>
      <c r="B89" s="13" t="s">
        <v>154</v>
      </c>
      <c r="C89" s="13"/>
      <c r="D89" s="13">
        <v>344232</v>
      </c>
      <c r="E89" s="13">
        <v>51056</v>
      </c>
      <c r="F89" s="13">
        <v>548458</v>
      </c>
      <c r="G89" s="13"/>
      <c r="H89" s="13"/>
      <c r="I89" s="13"/>
      <c r="J89" s="13"/>
      <c r="K89" s="213"/>
      <c r="L89" s="84">
        <f>-F89-56044</f>
        <v>-604502</v>
      </c>
      <c r="M89" s="202"/>
      <c r="N89" s="203"/>
      <c r="O89" s="1"/>
      <c r="Q89" s="164"/>
      <c r="V89" s="198">
        <v>2801</v>
      </c>
      <c r="W89" s="198"/>
      <c r="X89" s="198"/>
      <c r="Y89" s="198"/>
      <c r="Z89" s="198"/>
      <c r="AA89" s="198"/>
      <c r="AB89" s="198"/>
      <c r="AC89" s="198"/>
      <c r="AD89" s="214"/>
    </row>
    <row r="90" spans="1:30" ht="18.75" customHeight="1" x14ac:dyDescent="0.25">
      <c r="B90" s="13" t="s">
        <v>155</v>
      </c>
      <c r="C90" s="13"/>
      <c r="D90" s="13"/>
      <c r="E90" s="13"/>
      <c r="F90" s="13"/>
      <c r="G90" s="13"/>
      <c r="H90" s="13"/>
      <c r="I90" s="13"/>
      <c r="J90" s="13"/>
      <c r="K90" s="213"/>
      <c r="L90" s="205">
        <f>L87+L89</f>
        <v>56043.449999999953</v>
      </c>
      <c r="M90" s="202"/>
      <c r="N90" s="203"/>
      <c r="O90" s="1"/>
      <c r="Q90" s="164"/>
      <c r="V90" s="198">
        <v>2911</v>
      </c>
      <c r="W90" s="216"/>
      <c r="X90" s="216"/>
      <c r="Y90" s="216"/>
      <c r="Z90" s="216"/>
      <c r="AA90" s="216"/>
      <c r="AB90" s="216"/>
      <c r="AC90" s="216"/>
      <c r="AD90" s="214"/>
    </row>
    <row r="91" spans="1:30" ht="18.75" customHeight="1" x14ac:dyDescent="0.25">
      <c r="B91" s="13" t="s">
        <v>156</v>
      </c>
      <c r="C91" s="13"/>
      <c r="D91" s="13"/>
      <c r="E91" s="13"/>
      <c r="F91" s="13"/>
      <c r="G91" s="13"/>
      <c r="H91" s="13"/>
      <c r="I91" s="13"/>
      <c r="J91" s="13"/>
      <c r="K91" s="213"/>
      <c r="L91" s="205">
        <v>1</v>
      </c>
      <c r="M91" s="202"/>
      <c r="N91" s="203"/>
      <c r="O91" s="1"/>
      <c r="Q91" s="164"/>
      <c r="V91" s="198">
        <v>3382</v>
      </c>
      <c r="W91" s="216"/>
      <c r="X91" s="216"/>
      <c r="Y91" s="216"/>
      <c r="Z91" s="216"/>
      <c r="AA91" s="216"/>
      <c r="AB91" s="216"/>
      <c r="AC91" s="216"/>
      <c r="AD91" s="214"/>
    </row>
    <row r="92" spans="1:30" ht="18.75" customHeight="1" thickBot="1" x14ac:dyDescent="0.3">
      <c r="B92" s="13" t="s">
        <v>157</v>
      </c>
      <c r="C92" s="13"/>
      <c r="D92" s="13"/>
      <c r="E92" s="13"/>
      <c r="F92" s="13"/>
      <c r="G92" s="13"/>
      <c r="H92" s="13"/>
      <c r="I92" s="13"/>
      <c r="J92" s="13"/>
      <c r="K92" s="213"/>
      <c r="L92" s="217">
        <f>L90/L91</f>
        <v>56043.449999999953</v>
      </c>
      <c r="M92" s="202"/>
      <c r="N92" s="203"/>
      <c r="O92" s="1"/>
      <c r="Q92" s="164"/>
      <c r="V92" s="218"/>
      <c r="W92" s="218"/>
      <c r="X92" s="218"/>
      <c r="Y92" s="218"/>
      <c r="Z92" s="218"/>
      <c r="AA92" s="218"/>
      <c r="AB92" s="218"/>
      <c r="AC92" s="218"/>
      <c r="AD92" s="219"/>
    </row>
    <row r="93" spans="1:30" ht="18.75" customHeight="1" thickTop="1" x14ac:dyDescent="0.25">
      <c r="N93" s="219"/>
      <c r="O93" s="220"/>
      <c r="P93" s="219"/>
      <c r="Q93" s="219"/>
      <c r="V93" s="218"/>
      <c r="W93" s="218"/>
      <c r="X93" s="218"/>
      <c r="Y93" s="218"/>
      <c r="Z93" s="218"/>
      <c r="AA93" s="218"/>
      <c r="AB93" s="218"/>
      <c r="AC93" s="218"/>
      <c r="AD93" s="214"/>
    </row>
    <row r="94" spans="1:30" ht="18.75" customHeight="1" thickBot="1" x14ac:dyDescent="0.3">
      <c r="B94" s="221" t="s">
        <v>158</v>
      </c>
      <c r="C94" s="13"/>
      <c r="D94" s="13"/>
      <c r="E94" s="13"/>
      <c r="G94" s="13"/>
      <c r="H94" s="13"/>
      <c r="I94" s="13"/>
      <c r="J94" s="13"/>
      <c r="L94" s="222">
        <f>IF(M86="H",(K86*0.02)+L86,(K86*0.05)+L86)</f>
        <v>0</v>
      </c>
      <c r="M94" s="202"/>
      <c r="V94" s="223"/>
      <c r="W94" s="223"/>
      <c r="X94" s="223"/>
      <c r="Y94" s="223"/>
      <c r="Z94" s="223"/>
      <c r="AA94" s="223"/>
      <c r="AB94" s="223"/>
      <c r="AC94" s="223"/>
      <c r="AD94" s="214"/>
    </row>
    <row r="95" spans="1:30" ht="21.75" customHeight="1" thickTop="1" x14ac:dyDescent="0.25">
      <c r="B95" s="224" t="s">
        <v>159</v>
      </c>
      <c r="C95" s="224"/>
      <c r="D95" s="224"/>
      <c r="E95" s="224"/>
      <c r="F95" s="224"/>
      <c r="G95" s="224"/>
      <c r="H95" s="224"/>
      <c r="I95" s="224"/>
      <c r="J95" s="224"/>
      <c r="K95" s="224"/>
      <c r="L95" s="224"/>
      <c r="M95" s="219"/>
      <c r="V95" s="223"/>
      <c r="W95" s="223"/>
      <c r="X95" s="223"/>
      <c r="Y95" s="223"/>
      <c r="Z95" s="223"/>
      <c r="AA95" s="223"/>
      <c r="AB95" s="223"/>
      <c r="AC95" s="223"/>
      <c r="AD95" s="214"/>
    </row>
    <row r="96" spans="1:30" x14ac:dyDescent="0.25">
      <c r="B96" s="225"/>
      <c r="V96" s="223"/>
      <c r="W96" s="223"/>
      <c r="X96" s="223"/>
      <c r="Y96" s="223"/>
      <c r="Z96" s="223"/>
      <c r="AA96" s="223"/>
      <c r="AB96" s="223"/>
      <c r="AC96" s="223"/>
      <c r="AD96" s="219"/>
    </row>
    <row r="97" spans="2:30" x14ac:dyDescent="0.25">
      <c r="B97" s="225"/>
      <c r="V97" s="223"/>
      <c r="W97" s="223"/>
      <c r="X97" s="223"/>
      <c r="Y97" s="223"/>
      <c r="Z97" s="223"/>
      <c r="AA97" s="223"/>
      <c r="AB97" s="223"/>
      <c r="AC97" s="223"/>
      <c r="AD97" s="219"/>
    </row>
    <row r="98" spans="2:30" hidden="1" x14ac:dyDescent="0.25">
      <c r="B98" s="226" t="s">
        <v>160</v>
      </c>
      <c r="C98" s="227"/>
      <c r="V98" s="228"/>
      <c r="W98" s="228"/>
      <c r="X98" s="228"/>
      <c r="Y98" s="228"/>
      <c r="Z98" s="228"/>
      <c r="AA98" s="228"/>
      <c r="AB98" s="228"/>
      <c r="AC98" s="228"/>
    </row>
    <row r="99" spans="2:30" hidden="1" x14ac:dyDescent="0.25">
      <c r="B99" s="229"/>
      <c r="C99" s="227"/>
      <c r="V99" s="225"/>
      <c r="W99" s="13"/>
      <c r="X99" s="13"/>
      <c r="Y99" s="13"/>
      <c r="Z99" s="13"/>
      <c r="AA99" s="13"/>
      <c r="AB99" s="13"/>
      <c r="AC99" s="13"/>
    </row>
    <row r="100" spans="2:30" hidden="1" x14ac:dyDescent="0.25">
      <c r="B100" s="230" t="s">
        <v>161</v>
      </c>
      <c r="C100" s="226" t="s">
        <v>162</v>
      </c>
      <c r="V100" s="225"/>
    </row>
    <row r="101" spans="2:30" hidden="1" x14ac:dyDescent="0.25">
      <c r="B101" s="230" t="s">
        <v>163</v>
      </c>
      <c r="C101" s="226" t="s">
        <v>164</v>
      </c>
      <c r="V101" s="225"/>
    </row>
    <row r="102" spans="2:30" hidden="1" x14ac:dyDescent="0.25">
      <c r="B102" s="230" t="s">
        <v>165</v>
      </c>
      <c r="C102" s="226" t="s">
        <v>166</v>
      </c>
      <c r="V102" s="225"/>
      <c r="W102" s="231"/>
      <c r="X102" s="231"/>
      <c r="Y102" s="231"/>
      <c r="Z102" s="231"/>
      <c r="AA102" s="231"/>
      <c r="AB102" s="231"/>
      <c r="AC102" s="231"/>
      <c r="AD102" s="231"/>
    </row>
    <row r="103" spans="2:30" hidden="1" x14ac:dyDescent="0.25">
      <c r="B103" s="230" t="s">
        <v>167</v>
      </c>
      <c r="C103" s="226" t="s">
        <v>168</v>
      </c>
      <c r="V103" s="225"/>
    </row>
    <row r="104" spans="2:30" hidden="1" x14ac:dyDescent="0.25">
      <c r="B104" s="232"/>
      <c r="C104" s="226" t="s">
        <v>169</v>
      </c>
      <c r="V104" s="225"/>
    </row>
    <row r="105" spans="2:30" hidden="1" x14ac:dyDescent="0.25">
      <c r="B105" s="230" t="s">
        <v>170</v>
      </c>
      <c r="C105" s="226" t="s">
        <v>171</v>
      </c>
      <c r="V105" s="225"/>
    </row>
    <row r="106" spans="2:30" hidden="1" x14ac:dyDescent="0.25">
      <c r="B106" s="230" t="s">
        <v>172</v>
      </c>
      <c r="C106" s="226" t="s">
        <v>173</v>
      </c>
      <c r="V106" s="225"/>
    </row>
    <row r="107" spans="2:30" hidden="1" x14ac:dyDescent="0.25">
      <c r="B107" s="230" t="s">
        <v>333</v>
      </c>
      <c r="C107" s="226" t="s">
        <v>175</v>
      </c>
      <c r="V107" s="225"/>
    </row>
    <row r="108" spans="2:30" hidden="1" x14ac:dyDescent="0.25">
      <c r="B108" s="230" t="s">
        <v>176</v>
      </c>
      <c r="C108" s="226" t="s">
        <v>177</v>
      </c>
      <c r="V108" s="225"/>
    </row>
    <row r="109" spans="2:30" hidden="1" x14ac:dyDescent="0.25">
      <c r="B109" s="230" t="s">
        <v>178</v>
      </c>
      <c r="C109" s="226" t="s">
        <v>179</v>
      </c>
      <c r="V109" s="225"/>
    </row>
    <row r="110" spans="2:30" hidden="1" x14ac:dyDescent="0.25">
      <c r="B110" s="232"/>
      <c r="C110" s="226"/>
      <c r="V110" s="225"/>
    </row>
    <row r="111" spans="2:30" hidden="1" x14ac:dyDescent="0.25">
      <c r="B111" s="230" t="s">
        <v>180</v>
      </c>
      <c r="C111" s="226" t="s">
        <v>181</v>
      </c>
      <c r="V111" s="225"/>
    </row>
    <row r="112" spans="2:30" hidden="1" x14ac:dyDescent="0.25">
      <c r="B112" s="230" t="s">
        <v>180</v>
      </c>
      <c r="C112" s="226" t="s">
        <v>182</v>
      </c>
    </row>
    <row r="113" spans="2:3" hidden="1" x14ac:dyDescent="0.25">
      <c r="B113" s="230" t="s">
        <v>183</v>
      </c>
      <c r="C113" s="226" t="s">
        <v>184</v>
      </c>
    </row>
    <row r="114" spans="2:3" hidden="1" x14ac:dyDescent="0.25">
      <c r="B114" s="230" t="s">
        <v>185</v>
      </c>
      <c r="C114" s="226" t="s">
        <v>186</v>
      </c>
    </row>
    <row r="115" spans="2:3" hidden="1" x14ac:dyDescent="0.25">
      <c r="B115" s="230" t="s">
        <v>183</v>
      </c>
      <c r="C115" s="226" t="s">
        <v>187</v>
      </c>
    </row>
    <row r="116" spans="2:3" hidden="1" x14ac:dyDescent="0.25">
      <c r="B116" s="230" t="s">
        <v>188</v>
      </c>
      <c r="C116" s="226" t="s">
        <v>189</v>
      </c>
    </row>
    <row r="117" spans="2:3" hidden="1" x14ac:dyDescent="0.25">
      <c r="B117" s="230" t="s">
        <v>190</v>
      </c>
      <c r="C117" s="226" t="s">
        <v>191</v>
      </c>
    </row>
    <row r="118" spans="2:3" hidden="1" x14ac:dyDescent="0.25">
      <c r="B118" s="232" t="s">
        <v>192</v>
      </c>
      <c r="C118" s="226" t="s">
        <v>193</v>
      </c>
    </row>
    <row r="119" spans="2:3" hidden="1" x14ac:dyDescent="0.25">
      <c r="B119" s="232"/>
      <c r="C119" s="226"/>
    </row>
    <row r="120" spans="2:3" hidden="1" x14ac:dyDescent="0.25">
      <c r="B120" s="230" t="s">
        <v>161</v>
      </c>
      <c r="C120" s="226" t="s">
        <v>194</v>
      </c>
    </row>
    <row r="121" spans="2:3" hidden="1" x14ac:dyDescent="0.25">
      <c r="B121" s="230" t="s">
        <v>195</v>
      </c>
      <c r="C121" s="226" t="s">
        <v>196</v>
      </c>
    </row>
    <row r="122" spans="2:3" hidden="1" x14ac:dyDescent="0.25">
      <c r="B122" s="230" t="s">
        <v>197</v>
      </c>
      <c r="C122" s="226" t="s">
        <v>198</v>
      </c>
    </row>
    <row r="123" spans="2:3" hidden="1" x14ac:dyDescent="0.25">
      <c r="B123" s="230" t="s">
        <v>334</v>
      </c>
      <c r="C123" s="226" t="s">
        <v>200</v>
      </c>
    </row>
    <row r="124" spans="2:3" hidden="1" x14ac:dyDescent="0.25">
      <c r="B124" s="230" t="s">
        <v>335</v>
      </c>
      <c r="C124" s="226" t="s">
        <v>202</v>
      </c>
    </row>
    <row r="125" spans="2:3" hidden="1" x14ac:dyDescent="0.25">
      <c r="B125" s="230" t="s">
        <v>203</v>
      </c>
      <c r="C125" s="226" t="s">
        <v>204</v>
      </c>
    </row>
    <row r="126" spans="2:3" hidden="1" x14ac:dyDescent="0.25">
      <c r="B126" s="230" t="s">
        <v>203</v>
      </c>
      <c r="C126" s="226" t="s">
        <v>205</v>
      </c>
    </row>
    <row r="127" spans="2:3" hidden="1" x14ac:dyDescent="0.25">
      <c r="B127" s="230" t="s">
        <v>203</v>
      </c>
      <c r="C127" s="226" t="s">
        <v>206</v>
      </c>
    </row>
    <row r="128" spans="2:3" hidden="1" x14ac:dyDescent="0.25">
      <c r="B128" s="230" t="s">
        <v>203</v>
      </c>
      <c r="C128" s="226" t="s">
        <v>207</v>
      </c>
    </row>
    <row r="129" spans="2:3" hidden="1" x14ac:dyDescent="0.25">
      <c r="B129" s="230" t="s">
        <v>167</v>
      </c>
      <c r="C129" s="226" t="s">
        <v>208</v>
      </c>
    </row>
    <row r="130" spans="2:3" hidden="1" x14ac:dyDescent="0.25">
      <c r="B130" s="230" t="s">
        <v>209</v>
      </c>
      <c r="C130" s="226" t="s">
        <v>210</v>
      </c>
    </row>
    <row r="131" spans="2:3" hidden="1" x14ac:dyDescent="0.25">
      <c r="B131" s="230" t="s">
        <v>203</v>
      </c>
      <c r="C131" s="226" t="s">
        <v>211</v>
      </c>
    </row>
    <row r="132" spans="2:3" hidden="1" x14ac:dyDescent="0.25">
      <c r="B132" s="226"/>
      <c r="C132" s="226"/>
    </row>
    <row r="133" spans="2:3" hidden="1" x14ac:dyDescent="0.25">
      <c r="B133" s="226"/>
      <c r="C133" s="226"/>
    </row>
    <row r="134" spans="2:3" hidden="1" x14ac:dyDescent="0.25">
      <c r="B134" s="232"/>
      <c r="C134" s="232"/>
    </row>
    <row r="135" spans="2:3" hidden="1" x14ac:dyDescent="0.25">
      <c r="B135" s="232">
        <f>NvsElapsedTime</f>
        <v>1.15740767796524E-5</v>
      </c>
      <c r="C135" s="232"/>
    </row>
    <row r="136" spans="2:3" hidden="1" x14ac:dyDescent="0.25">
      <c r="B136" s="233">
        <f>NvsEndTime</f>
        <v>41754.488182870402</v>
      </c>
      <c r="C136" s="233" t="s">
        <v>212</v>
      </c>
    </row>
    <row r="137" spans="2:3" x14ac:dyDescent="0.25">
      <c r="B137" s="226"/>
      <c r="C137" s="234"/>
    </row>
    <row r="138" spans="2:3" x14ac:dyDescent="0.25">
      <c r="B138" s="226"/>
      <c r="C138" s="226"/>
    </row>
    <row r="139" spans="2:3" x14ac:dyDescent="0.25">
      <c r="B139" s="226"/>
      <c r="C139" s="226"/>
    </row>
    <row r="140" spans="2:3" x14ac:dyDescent="0.25">
      <c r="B140" s="226"/>
      <c r="C140" s="226"/>
    </row>
    <row r="141" spans="2:3" x14ac:dyDescent="0.25">
      <c r="B141" s="226"/>
      <c r="C141" s="226"/>
    </row>
    <row r="142" spans="2:3" x14ac:dyDescent="0.25">
      <c r="B142" s="226"/>
      <c r="C142" s="226"/>
    </row>
    <row r="143" spans="2:3" x14ac:dyDescent="0.25">
      <c r="B143" s="226"/>
      <c r="C143" s="226"/>
    </row>
    <row r="144" spans="2:3" x14ac:dyDescent="0.25">
      <c r="B144" s="226"/>
      <c r="C144" s="226"/>
    </row>
    <row r="145" spans="2:3" x14ac:dyDescent="0.25">
      <c r="B145" s="226"/>
      <c r="C145" s="226"/>
    </row>
    <row r="146" spans="2:3" x14ac:dyDescent="0.25">
      <c r="B146" s="226"/>
      <c r="C146" s="226"/>
    </row>
    <row r="147" spans="2:3" x14ac:dyDescent="0.25">
      <c r="B147" s="226"/>
      <c r="C147" s="226"/>
    </row>
    <row r="148" spans="2:3" x14ac:dyDescent="0.25">
      <c r="B148" s="226"/>
      <c r="C148" s="226"/>
    </row>
    <row r="149" spans="2:3" x14ac:dyDescent="0.25">
      <c r="B149" s="226"/>
      <c r="C149" s="226"/>
    </row>
    <row r="150" spans="2:3" x14ac:dyDescent="0.25">
      <c r="B150" s="226"/>
      <c r="C150" s="226"/>
    </row>
    <row r="151" spans="2:3" x14ac:dyDescent="0.25">
      <c r="B151" s="226"/>
      <c r="C151" s="226"/>
    </row>
  </sheetData>
  <mergeCells count="151">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9:W9"/>
    <mergeCell ref="X9:Y9"/>
    <mergeCell ref="Z9:AA9"/>
    <mergeCell ref="V10:W10"/>
    <mergeCell ref="X10:Y10"/>
    <mergeCell ref="Z10:AA10"/>
    <mergeCell ref="V7:W7"/>
    <mergeCell ref="X7:Y7"/>
    <mergeCell ref="Z7:AA7"/>
    <mergeCell ref="AB7:AC7"/>
    <mergeCell ref="V8:W8"/>
    <mergeCell ref="X8:Y8"/>
    <mergeCell ref="Z8:AA8"/>
    <mergeCell ref="W2:AC2"/>
    <mergeCell ref="V3:AC3"/>
    <mergeCell ref="V4:AC4"/>
    <mergeCell ref="V5:W5"/>
    <mergeCell ref="X5:Y5"/>
    <mergeCell ref="V6:AC6"/>
  </mergeCells>
  <printOptions horizontalCentered="1"/>
  <pageMargins left="0" right="0" top="0.67" bottom="0.2" header="0.25" footer="0.196850393700787"/>
  <pageSetup scale="83" fitToWidth="2" fitToHeight="2" orientation="portrait" r:id="rId1"/>
  <headerFooter alignWithMargins="0">
    <oddHeader>&amp;L&amp;8&amp;F
&amp;D &amp;T</oddHeader>
    <oddFooter>&amp;C&amp;P</oddFooter>
  </headerFooter>
  <rowBreaks count="1" manualBreakCount="1">
    <brk id="51" max="16383" man="1"/>
  </rowBreaks>
  <legacyDrawing r:id="rId2"/>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pageSetUpPr fitToPage="1"/>
  </sheetPr>
  <dimension ref="A1:AD151"/>
  <sheetViews>
    <sheetView topLeftCell="B2" zoomScale="70" zoomScaleNormal="70" workbookViewId="0">
      <selection activeCell="L71" sqref="L70:L71"/>
    </sheetView>
  </sheetViews>
  <sheetFormatPr defaultColWidth="8.85546875" defaultRowHeight="15.75" x14ac:dyDescent="0.25"/>
  <cols>
    <col min="1" max="1" width="11.28515625" style="1" hidden="1" customWidth="1"/>
    <col min="2" max="2" width="10.28515625" style="2" customWidth="1"/>
    <col min="3" max="3" width="29" style="1" customWidth="1"/>
    <col min="4" max="5" width="12.28515625" style="1" customWidth="1"/>
    <col min="6" max="6" width="12.28515625" style="1" hidden="1" customWidth="1"/>
    <col min="7" max="7" width="16.140625" style="1" customWidth="1"/>
    <col min="8" max="8" width="6.7109375" style="1" customWidth="1"/>
    <col min="9" max="9" width="14.28515625" style="1" customWidth="1"/>
    <col min="10" max="10" width="12.85546875" style="1" customWidth="1"/>
    <col min="11" max="11" width="16.140625" style="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28515625" style="1" customWidth="1"/>
    <col min="18" max="18" width="8.85546875" style="1"/>
    <col min="19" max="21" width="0" style="1" hidden="1" customWidth="1"/>
    <col min="22" max="23" width="8.85546875" style="1"/>
    <col min="24" max="24" width="12.7109375" style="1" customWidth="1"/>
    <col min="25" max="27" width="8.85546875" style="1"/>
    <col min="28" max="28" width="13.140625" style="1" bestFit="1" customWidth="1"/>
    <col min="29" max="16384" width="8.85546875" style="1"/>
  </cols>
  <sheetData>
    <row r="1" spans="1:30" ht="15.6"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7"/>
      <c r="N2" s="3"/>
      <c r="O2" s="1"/>
      <c r="V2" s="8">
        <f>'4020'!B2</f>
        <v>50</v>
      </c>
      <c r="W2" s="606" t="s">
        <v>4</v>
      </c>
      <c r="X2" s="607"/>
      <c r="Y2" s="608"/>
      <c r="Z2" s="608"/>
      <c r="AA2" s="608"/>
      <c r="AB2" s="608"/>
      <c r="AC2" s="608"/>
      <c r="AD2" s="9"/>
    </row>
    <row r="3" spans="1:30" ht="20.25" x14ac:dyDescent="0.3">
      <c r="B3" s="10" t="str">
        <f>"Revenue Estimate Worksheet for "&amp;B124</f>
        <v>Revenue Estimate Worksheet for Franklin Academy Cht School B</v>
      </c>
      <c r="C3" s="11"/>
      <c r="D3" s="11"/>
      <c r="E3" s="11"/>
      <c r="F3" s="11"/>
      <c r="G3" s="11"/>
      <c r="H3" s="11"/>
      <c r="I3" s="11"/>
      <c r="J3" s="11"/>
      <c r="K3" s="11"/>
      <c r="L3" s="11"/>
      <c r="M3" s="10"/>
      <c r="N3" s="10"/>
      <c r="O3" s="10"/>
      <c r="P3" s="10"/>
      <c r="Q3" s="10"/>
      <c r="V3" s="609" t="s">
        <v>5</v>
      </c>
      <c r="W3" s="609"/>
      <c r="X3" s="609"/>
      <c r="Y3" s="609"/>
      <c r="Z3" s="609"/>
      <c r="AA3" s="609"/>
      <c r="AB3" s="609"/>
      <c r="AC3" s="609"/>
      <c r="AD3" s="12"/>
    </row>
    <row r="4" spans="1:30" ht="18.75" x14ac:dyDescent="0.3">
      <c r="B4" s="2" t="s">
        <v>6</v>
      </c>
      <c r="C4" s="13"/>
      <c r="D4" s="13"/>
      <c r="E4" s="13"/>
      <c r="F4" s="13"/>
      <c r="G4" s="13"/>
      <c r="H4" s="13"/>
      <c r="I4" s="13"/>
      <c r="J4" s="13"/>
      <c r="K4" s="13"/>
      <c r="L4" s="13"/>
      <c r="M4" s="14"/>
      <c r="N4" s="14"/>
      <c r="O4" s="14"/>
      <c r="P4" s="14"/>
      <c r="Q4" s="14"/>
      <c r="V4" s="610" t="str">
        <f>+Based_on_the_Second_Calculation_of_the_FEFP_2010_11</f>
        <v>Based on the Fourth Calculation of the FEFP 2013-14</v>
      </c>
      <c r="W4" s="610"/>
      <c r="X4" s="610"/>
      <c r="Y4" s="610"/>
      <c r="Z4" s="610"/>
      <c r="AA4" s="610"/>
      <c r="AB4" s="610"/>
      <c r="AC4" s="610"/>
      <c r="AD4" s="15"/>
    </row>
    <row r="5" spans="1:30" ht="18.75" customHeight="1" x14ac:dyDescent="0.25">
      <c r="B5" s="16" t="s">
        <v>7</v>
      </c>
      <c r="C5" s="16"/>
      <c r="D5" s="16"/>
      <c r="E5" s="16"/>
      <c r="F5" s="16"/>
      <c r="G5" s="17" t="s">
        <v>8</v>
      </c>
      <c r="H5" s="17"/>
      <c r="I5" s="17"/>
      <c r="J5" s="17"/>
      <c r="K5" s="17"/>
      <c r="L5" s="17"/>
      <c r="M5" s="18"/>
      <c r="N5" s="18"/>
      <c r="O5" s="18"/>
      <c r="P5" s="18"/>
      <c r="Q5" s="18"/>
      <c r="V5" s="611" t="s">
        <v>7</v>
      </c>
      <c r="W5" s="611"/>
      <c r="X5" s="612" t="s">
        <v>8</v>
      </c>
      <c r="Y5" s="612"/>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613" t="s">
        <v>9</v>
      </c>
      <c r="W6" s="613"/>
      <c r="X6" s="613"/>
      <c r="Y6" s="613"/>
      <c r="Z6" s="613"/>
      <c r="AA6" s="613"/>
      <c r="AB6" s="613"/>
      <c r="AC6" s="613"/>
      <c r="AD6" s="22"/>
    </row>
    <row r="7" spans="1:30" ht="18" customHeight="1" x14ac:dyDescent="0.25">
      <c r="B7" s="23" t="s">
        <v>10</v>
      </c>
      <c r="C7" s="23"/>
      <c r="D7" s="23"/>
      <c r="E7" s="23"/>
      <c r="F7" s="23"/>
      <c r="G7" s="24">
        <v>3752.3</v>
      </c>
      <c r="H7" s="24"/>
      <c r="I7" s="23" t="s">
        <v>11</v>
      </c>
      <c r="J7" s="23"/>
      <c r="K7" s="25">
        <v>1.0326</v>
      </c>
      <c r="L7" s="25"/>
      <c r="O7" s="1"/>
      <c r="V7" s="620" t="s">
        <v>10</v>
      </c>
      <c r="W7" s="620"/>
      <c r="X7" s="621">
        <f>'4020'!G7</f>
        <v>3752.3</v>
      </c>
      <c r="Y7" s="621"/>
      <c r="Z7" s="622" t="s">
        <v>11</v>
      </c>
      <c r="AA7" s="622"/>
      <c r="AB7" s="602">
        <f>+K7</f>
        <v>1.0326</v>
      </c>
      <c r="AC7" s="602"/>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603" t="s">
        <v>12</v>
      </c>
      <c r="W8" s="603"/>
      <c r="X8" s="604" t="s">
        <v>15</v>
      </c>
      <c r="Y8" s="604"/>
      <c r="Z8" s="605" t="s">
        <v>16</v>
      </c>
      <c r="AA8" s="605"/>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614" t="s">
        <v>22</v>
      </c>
      <c r="W9" s="614"/>
      <c r="X9" s="615" t="s">
        <v>23</v>
      </c>
      <c r="Y9" s="615"/>
      <c r="Z9" s="616" t="s">
        <v>24</v>
      </c>
      <c r="AA9" s="616"/>
      <c r="AB9" s="43" t="s">
        <v>25</v>
      </c>
      <c r="AC9" s="44" t="s">
        <v>26</v>
      </c>
      <c r="AD9" s="9"/>
    </row>
    <row r="10" spans="1:30" x14ac:dyDescent="0.25">
      <c r="A10" s="1" t="s">
        <v>27</v>
      </c>
      <c r="B10" s="45" t="s">
        <v>28</v>
      </c>
      <c r="C10" s="45"/>
      <c r="D10" s="45">
        <v>232.77</v>
      </c>
      <c r="E10" s="45">
        <v>229.81</v>
      </c>
      <c r="F10" s="45">
        <v>281.68</v>
      </c>
      <c r="G10" s="46">
        <f>D10+E10</f>
        <v>462.58000000000004</v>
      </c>
      <c r="H10" s="47"/>
      <c r="I10" s="48">
        <v>1.125</v>
      </c>
      <c r="J10" s="48"/>
      <c r="K10" s="49">
        <f>ROUND(G10*I10,4)</f>
        <v>520.40250000000003</v>
      </c>
      <c r="L10" s="50">
        <f>ROUND(ROUND(K10*$G$7,4)*($K$7),0)</f>
        <v>2016365</v>
      </c>
      <c r="N10" s="51">
        <v>5101</v>
      </c>
      <c r="O10" s="52">
        <v>101</v>
      </c>
      <c r="P10" s="53"/>
      <c r="Q10" s="54"/>
      <c r="V10" s="617" t="s">
        <v>28</v>
      </c>
      <c r="W10" s="617"/>
      <c r="X10" s="618">
        <f>IF('4020'!K$84=1,'4020'!G10,0)</f>
        <v>0</v>
      </c>
      <c r="Y10" s="618"/>
      <c r="Z10" s="619">
        <v>1</v>
      </c>
      <c r="AA10" s="619"/>
      <c r="AB10" s="55">
        <f t="shared" ref="AB10:AB25" si="0">ROUND(X10*Z10,4)</f>
        <v>0</v>
      </c>
      <c r="AC10" s="56">
        <f t="shared" ref="AC10:AC25" si="1">ROUND(ROUND(AB10*$X$7,4)*($AB$7),0)</f>
        <v>0</v>
      </c>
      <c r="AD10" s="9">
        <v>1</v>
      </c>
    </row>
    <row r="11" spans="1:30" x14ac:dyDescent="0.25">
      <c r="A11" s="1" t="s">
        <v>29</v>
      </c>
      <c r="B11" s="13" t="s">
        <v>30</v>
      </c>
      <c r="C11" s="13"/>
      <c r="D11" s="13">
        <v>36.17</v>
      </c>
      <c r="E11" s="13">
        <v>38.049999999999997</v>
      </c>
      <c r="F11" s="13">
        <v>44.81</v>
      </c>
      <c r="G11" s="46">
        <f t="shared" ref="G11:G25" si="2">D11+E11</f>
        <v>74.22</v>
      </c>
      <c r="H11" s="47"/>
      <c r="I11" s="57">
        <f>I10</f>
        <v>1.125</v>
      </c>
      <c r="J11" s="57"/>
      <c r="K11" s="49">
        <f t="shared" ref="K11:K25" si="3">ROUND(G11*I11,4)</f>
        <v>83.497500000000002</v>
      </c>
      <c r="L11" s="50">
        <f t="shared" ref="L11:L25" si="4">ROUND(ROUND(K11*$G$7,4)*($K$7),0)</f>
        <v>323521</v>
      </c>
      <c r="M11" s="1" t="str">
        <f>IF(ROUND(G11,2)=ROUND(SUM(G28:G30),2)," ","CHECK 2. PK-3 Lines Below")</f>
        <v xml:space="preserve"> </v>
      </c>
      <c r="N11" s="51">
        <v>5101</v>
      </c>
      <c r="O11" s="58" t="s">
        <v>31</v>
      </c>
      <c r="P11" s="53"/>
      <c r="Q11" s="54"/>
      <c r="V11" s="623" t="s">
        <v>30</v>
      </c>
      <c r="W11" s="623"/>
      <c r="X11" s="618">
        <f>IF('4020'!K$84=1,'4020'!G11,0)</f>
        <v>0</v>
      </c>
      <c r="Y11" s="618"/>
      <c r="Z11" s="624">
        <v>1</v>
      </c>
      <c r="AA11" s="624"/>
      <c r="AB11" s="55">
        <f t="shared" si="0"/>
        <v>0</v>
      </c>
      <c r="AC11" s="56">
        <f t="shared" si="1"/>
        <v>0</v>
      </c>
      <c r="AD11" s="9"/>
    </row>
    <row r="12" spans="1:30" x14ac:dyDescent="0.25">
      <c r="A12" s="1" t="s">
        <v>32</v>
      </c>
      <c r="B12" s="13" t="s">
        <v>33</v>
      </c>
      <c r="C12" s="13"/>
      <c r="D12" s="13">
        <v>231.9</v>
      </c>
      <c r="E12" s="13">
        <v>232.81</v>
      </c>
      <c r="F12" s="13">
        <v>275.64999999999998</v>
      </c>
      <c r="G12" s="46">
        <f t="shared" si="2"/>
        <v>464.71000000000004</v>
      </c>
      <c r="H12" s="47"/>
      <c r="I12" s="57">
        <v>1</v>
      </c>
      <c r="J12" s="57"/>
      <c r="K12" s="49">
        <f t="shared" si="3"/>
        <v>464.71</v>
      </c>
      <c r="L12" s="50">
        <f t="shared" si="4"/>
        <v>1800577</v>
      </c>
      <c r="N12" s="51">
        <v>5102</v>
      </c>
      <c r="O12" s="52">
        <v>102</v>
      </c>
      <c r="P12" s="53"/>
      <c r="Q12" s="54"/>
      <c r="V12" s="623" t="s">
        <v>33</v>
      </c>
      <c r="W12" s="623"/>
      <c r="X12" s="618">
        <f>IF('4020'!K$84=1,'4020'!G12,0)</f>
        <v>0</v>
      </c>
      <c r="Y12" s="618"/>
      <c r="Z12" s="624">
        <v>1</v>
      </c>
      <c r="AA12" s="624"/>
      <c r="AB12" s="55">
        <f t="shared" si="0"/>
        <v>0</v>
      </c>
      <c r="AC12" s="56">
        <f t="shared" si="1"/>
        <v>0</v>
      </c>
      <c r="AD12" s="9"/>
    </row>
    <row r="13" spans="1:30" x14ac:dyDescent="0.25">
      <c r="A13" s="1" t="s">
        <v>34</v>
      </c>
      <c r="B13" s="13" t="s">
        <v>35</v>
      </c>
      <c r="C13" s="13"/>
      <c r="D13" s="13">
        <v>50.14</v>
      </c>
      <c r="E13" s="13">
        <v>48.19</v>
      </c>
      <c r="F13" s="13">
        <v>61.66</v>
      </c>
      <c r="G13" s="46">
        <f t="shared" si="2"/>
        <v>98.33</v>
      </c>
      <c r="H13" s="47"/>
      <c r="I13" s="57">
        <f>I12</f>
        <v>1</v>
      </c>
      <c r="J13" s="57"/>
      <c r="K13" s="49">
        <f t="shared" si="3"/>
        <v>98.33</v>
      </c>
      <c r="L13" s="50">
        <f t="shared" si="4"/>
        <v>380992</v>
      </c>
      <c r="M13" s="1" t="str">
        <f>IF(ROUND(G13,2)=ROUND(SUM(G31:G33),2)," ","CHECK 2. PK-3 Lines Below")</f>
        <v xml:space="preserve"> </v>
      </c>
      <c r="N13" s="51">
        <v>5102</v>
      </c>
      <c r="O13" s="58" t="s">
        <v>36</v>
      </c>
      <c r="P13" s="53"/>
      <c r="Q13" s="54"/>
      <c r="V13" s="623" t="s">
        <v>35</v>
      </c>
      <c r="W13" s="623"/>
      <c r="X13" s="618">
        <f>IF('4020'!K$84=1,'4020'!G13,0)</f>
        <v>0</v>
      </c>
      <c r="Y13" s="618"/>
      <c r="Z13" s="624">
        <v>1</v>
      </c>
      <c r="AA13" s="624"/>
      <c r="AB13" s="55">
        <f t="shared" si="0"/>
        <v>0</v>
      </c>
      <c r="AC13" s="56">
        <f t="shared" si="1"/>
        <v>0</v>
      </c>
      <c r="AD13" s="9"/>
    </row>
    <row r="14" spans="1:30" x14ac:dyDescent="0.25">
      <c r="A14" s="1" t="s">
        <v>37</v>
      </c>
      <c r="B14" s="13" t="s">
        <v>38</v>
      </c>
      <c r="C14" s="13"/>
      <c r="D14" s="13">
        <v>0</v>
      </c>
      <c r="E14" s="13">
        <v>0</v>
      </c>
      <c r="F14" s="13">
        <v>0</v>
      </c>
      <c r="G14" s="46">
        <f t="shared" si="2"/>
        <v>0</v>
      </c>
      <c r="H14" s="47"/>
      <c r="I14" s="57">
        <v>1.0109999999999999</v>
      </c>
      <c r="J14" s="57"/>
      <c r="K14" s="49">
        <f t="shared" si="3"/>
        <v>0</v>
      </c>
      <c r="L14" s="50">
        <f t="shared" si="4"/>
        <v>0</v>
      </c>
      <c r="N14" s="51">
        <v>5103</v>
      </c>
      <c r="O14" s="52">
        <v>103</v>
      </c>
      <c r="P14" s="53"/>
      <c r="Q14" s="54"/>
      <c r="V14" s="623" t="s">
        <v>38</v>
      </c>
      <c r="W14" s="623"/>
      <c r="X14" s="618">
        <f>IF('4020'!K$84=1,'4020'!G14,0)</f>
        <v>0</v>
      </c>
      <c r="Y14" s="618"/>
      <c r="Z14" s="624">
        <v>1</v>
      </c>
      <c r="AA14" s="624"/>
      <c r="AB14" s="55">
        <f t="shared" si="0"/>
        <v>0</v>
      </c>
      <c r="AC14" s="56">
        <f t="shared" si="1"/>
        <v>0</v>
      </c>
      <c r="AD14" s="9"/>
    </row>
    <row r="15" spans="1:30" x14ac:dyDescent="0.25">
      <c r="A15" s="1" t="s">
        <v>39</v>
      </c>
      <c r="B15" s="13" t="s">
        <v>40</v>
      </c>
      <c r="C15" s="13"/>
      <c r="D15" s="13">
        <v>0</v>
      </c>
      <c r="E15" s="13">
        <v>0</v>
      </c>
      <c r="F15" s="13">
        <v>0</v>
      </c>
      <c r="G15" s="46">
        <f t="shared" si="2"/>
        <v>0</v>
      </c>
      <c r="H15" s="47"/>
      <c r="I15" s="57">
        <f>I14</f>
        <v>1.0109999999999999</v>
      </c>
      <c r="J15" s="57"/>
      <c r="K15" s="49">
        <f t="shared" si="3"/>
        <v>0</v>
      </c>
      <c r="L15" s="59">
        <f t="shared" si="4"/>
        <v>0</v>
      </c>
      <c r="M15" s="1" t="str">
        <f>IF(ROUND(G15,2)=ROUND(SUM(G34:G36),2)," ","CHECK 2. PK-3 Lines Below")</f>
        <v xml:space="preserve"> </v>
      </c>
      <c r="N15" s="51">
        <v>5103</v>
      </c>
      <c r="O15" s="58" t="s">
        <v>41</v>
      </c>
      <c r="P15" s="53"/>
      <c r="Q15" s="54"/>
      <c r="V15" s="623" t="s">
        <v>40</v>
      </c>
      <c r="W15" s="623"/>
      <c r="X15" s="618">
        <f>IF('4020'!K$84=1,'4020'!G15,0)</f>
        <v>0</v>
      </c>
      <c r="Y15" s="618"/>
      <c r="Z15" s="624">
        <v>1</v>
      </c>
      <c r="AA15" s="624"/>
      <c r="AB15" s="55">
        <f t="shared" si="0"/>
        <v>0</v>
      </c>
      <c r="AC15" s="60">
        <f t="shared" si="1"/>
        <v>0</v>
      </c>
      <c r="AD15" s="9"/>
    </row>
    <row r="16" spans="1:30" x14ac:dyDescent="0.25">
      <c r="A16" s="1" t="s">
        <v>42</v>
      </c>
      <c r="B16" s="13" t="s">
        <v>43</v>
      </c>
      <c r="C16" s="13"/>
      <c r="D16" s="13">
        <v>0</v>
      </c>
      <c r="E16" s="13">
        <v>0</v>
      </c>
      <c r="F16" s="13">
        <v>0</v>
      </c>
      <c r="G16" s="46">
        <f t="shared" si="2"/>
        <v>0</v>
      </c>
      <c r="H16" s="47"/>
      <c r="I16" s="57">
        <v>3.5579999999999998</v>
      </c>
      <c r="J16" s="57"/>
      <c r="K16" s="49">
        <f t="shared" si="3"/>
        <v>0</v>
      </c>
      <c r="L16" s="50">
        <f t="shared" si="4"/>
        <v>0</v>
      </c>
      <c r="N16" s="51">
        <v>5101</v>
      </c>
      <c r="O16" s="53">
        <v>254</v>
      </c>
      <c r="P16" s="53"/>
      <c r="Q16" s="54"/>
      <c r="V16" s="623" t="s">
        <v>43</v>
      </c>
      <c r="W16" s="623"/>
      <c r="X16" s="618">
        <f>IF('4020'!K$84=1,'4020'!G16,0)</f>
        <v>0</v>
      </c>
      <c r="Y16" s="618"/>
      <c r="Z16" s="624">
        <v>1</v>
      </c>
      <c r="AA16" s="624"/>
      <c r="AB16" s="55">
        <f t="shared" si="0"/>
        <v>0</v>
      </c>
      <c r="AC16" s="56">
        <f t="shared" si="1"/>
        <v>0</v>
      </c>
      <c r="AD16" s="9"/>
    </row>
    <row r="17" spans="1:30" x14ac:dyDescent="0.25">
      <c r="A17" s="1" t="s">
        <v>44</v>
      </c>
      <c r="B17" s="13" t="s">
        <v>45</v>
      </c>
      <c r="C17" s="13"/>
      <c r="D17" s="13">
        <v>0</v>
      </c>
      <c r="E17" s="13">
        <v>0</v>
      </c>
      <c r="F17" s="13">
        <v>0</v>
      </c>
      <c r="G17" s="46">
        <f t="shared" si="2"/>
        <v>0</v>
      </c>
      <c r="H17" s="47"/>
      <c r="I17" s="57">
        <f>I16</f>
        <v>3.5579999999999998</v>
      </c>
      <c r="J17" s="57"/>
      <c r="K17" s="49">
        <f t="shared" si="3"/>
        <v>0</v>
      </c>
      <c r="L17" s="50">
        <f t="shared" si="4"/>
        <v>0</v>
      </c>
      <c r="N17" s="51">
        <v>5102</v>
      </c>
      <c r="O17" s="54">
        <v>254</v>
      </c>
      <c r="P17" s="53"/>
      <c r="Q17" s="54"/>
      <c r="V17" s="623" t="s">
        <v>45</v>
      </c>
      <c r="W17" s="623"/>
      <c r="X17" s="618">
        <f>IF('4020'!K$84=1,'4020'!G17,0)</f>
        <v>0</v>
      </c>
      <c r="Y17" s="618"/>
      <c r="Z17" s="624">
        <v>1</v>
      </c>
      <c r="AA17" s="624"/>
      <c r="AB17" s="55">
        <f t="shared" si="0"/>
        <v>0</v>
      </c>
      <c r="AC17" s="56">
        <f t="shared" si="1"/>
        <v>0</v>
      </c>
      <c r="AD17" s="9"/>
    </row>
    <row r="18" spans="1:30" x14ac:dyDescent="0.25">
      <c r="A18" s="1" t="s">
        <v>46</v>
      </c>
      <c r="B18" s="13" t="s">
        <v>47</v>
      </c>
      <c r="C18" s="13"/>
      <c r="D18" s="13">
        <v>0</v>
      </c>
      <c r="E18" s="13">
        <v>0</v>
      </c>
      <c r="F18" s="13">
        <v>0</v>
      </c>
      <c r="G18" s="46">
        <f t="shared" si="2"/>
        <v>0</v>
      </c>
      <c r="H18" s="47"/>
      <c r="I18" s="57">
        <f>I17</f>
        <v>3.5579999999999998</v>
      </c>
      <c r="J18" s="57"/>
      <c r="K18" s="49">
        <f t="shared" si="3"/>
        <v>0</v>
      </c>
      <c r="L18" s="50">
        <f t="shared" si="4"/>
        <v>0</v>
      </c>
      <c r="N18" s="51">
        <v>5103</v>
      </c>
      <c r="O18" s="54">
        <v>254</v>
      </c>
      <c r="P18" s="53"/>
      <c r="Q18" s="54"/>
      <c r="V18" s="623" t="s">
        <v>47</v>
      </c>
      <c r="W18" s="623"/>
      <c r="X18" s="618">
        <f>IF('4020'!K$84=1,'4020'!G18,0)</f>
        <v>0</v>
      </c>
      <c r="Y18" s="618"/>
      <c r="Z18" s="624">
        <v>1</v>
      </c>
      <c r="AA18" s="624"/>
      <c r="AB18" s="55">
        <f t="shared" si="0"/>
        <v>0</v>
      </c>
      <c r="AC18" s="56">
        <f t="shared" si="1"/>
        <v>0</v>
      </c>
      <c r="AD18" s="9"/>
    </row>
    <row r="19" spans="1:30" ht="15" customHeight="1" x14ac:dyDescent="0.25">
      <c r="A19" s="1" t="s">
        <v>48</v>
      </c>
      <c r="B19" s="13" t="s">
        <v>49</v>
      </c>
      <c r="C19" s="13"/>
      <c r="D19" s="13">
        <v>0</v>
      </c>
      <c r="E19" s="13">
        <v>0</v>
      </c>
      <c r="F19" s="13">
        <v>0</v>
      </c>
      <c r="G19" s="46">
        <f t="shared" si="2"/>
        <v>0</v>
      </c>
      <c r="H19" s="47"/>
      <c r="I19" s="57">
        <v>5.0890000000000004</v>
      </c>
      <c r="J19" s="57"/>
      <c r="K19" s="49">
        <f t="shared" si="3"/>
        <v>0</v>
      </c>
      <c r="L19" s="50">
        <f t="shared" si="4"/>
        <v>0</v>
      </c>
      <c r="N19" s="51">
        <v>5101</v>
      </c>
      <c r="O19" s="53">
        <v>255</v>
      </c>
      <c r="P19" s="53"/>
      <c r="Q19" s="54"/>
      <c r="V19" s="623" t="s">
        <v>49</v>
      </c>
      <c r="W19" s="623"/>
      <c r="X19" s="618">
        <f>IF('4020'!K$84=1,'4020'!G19,0)</f>
        <v>0</v>
      </c>
      <c r="Y19" s="618"/>
      <c r="Z19" s="624">
        <v>1</v>
      </c>
      <c r="AA19" s="624"/>
      <c r="AB19" s="55">
        <f t="shared" si="0"/>
        <v>0</v>
      </c>
      <c r="AC19" s="56">
        <f t="shared" si="1"/>
        <v>0</v>
      </c>
      <c r="AD19" s="9"/>
    </row>
    <row r="20" spans="1:30" ht="15" customHeight="1" x14ac:dyDescent="0.25">
      <c r="A20" s="1" t="s">
        <v>50</v>
      </c>
      <c r="B20" s="13" t="s">
        <v>51</v>
      </c>
      <c r="C20" s="13"/>
      <c r="D20" s="13">
        <v>0</v>
      </c>
      <c r="E20" s="13">
        <v>0</v>
      </c>
      <c r="F20" s="13">
        <v>0</v>
      </c>
      <c r="G20" s="46">
        <f t="shared" si="2"/>
        <v>0</v>
      </c>
      <c r="H20" s="47"/>
      <c r="I20" s="57">
        <f>I19</f>
        <v>5.0890000000000004</v>
      </c>
      <c r="J20" s="57"/>
      <c r="K20" s="49">
        <f t="shared" si="3"/>
        <v>0</v>
      </c>
      <c r="L20" s="50">
        <f t="shared" si="4"/>
        <v>0</v>
      </c>
      <c r="N20" s="51">
        <v>5102</v>
      </c>
      <c r="O20" s="54">
        <v>255</v>
      </c>
      <c r="P20" s="53"/>
      <c r="Q20" s="54"/>
      <c r="V20" s="623" t="s">
        <v>51</v>
      </c>
      <c r="W20" s="623"/>
      <c r="X20" s="618">
        <f>IF('4020'!K$84=1,'4020'!G20,0)</f>
        <v>0</v>
      </c>
      <c r="Y20" s="618"/>
      <c r="Z20" s="624">
        <v>1</v>
      </c>
      <c r="AA20" s="624"/>
      <c r="AB20" s="55">
        <f t="shared" si="0"/>
        <v>0</v>
      </c>
      <c r="AC20" s="56">
        <f t="shared" si="1"/>
        <v>0</v>
      </c>
      <c r="AD20" s="9"/>
    </row>
    <row r="21" spans="1:30" ht="15" customHeight="1" x14ac:dyDescent="0.25">
      <c r="A21" s="1" t="s">
        <v>52</v>
      </c>
      <c r="B21" s="13" t="s">
        <v>53</v>
      </c>
      <c r="C21" s="13"/>
      <c r="D21" s="13">
        <v>0</v>
      </c>
      <c r="E21" s="13">
        <v>0</v>
      </c>
      <c r="F21" s="13">
        <v>0</v>
      </c>
      <c r="G21" s="46">
        <f t="shared" si="2"/>
        <v>0</v>
      </c>
      <c r="H21" s="47"/>
      <c r="I21" s="57">
        <f>I20</f>
        <v>5.0890000000000004</v>
      </c>
      <c r="J21" s="57"/>
      <c r="K21" s="49">
        <f t="shared" si="3"/>
        <v>0</v>
      </c>
      <c r="L21" s="50">
        <f t="shared" si="4"/>
        <v>0</v>
      </c>
      <c r="N21" s="51">
        <v>5103</v>
      </c>
      <c r="O21" s="54">
        <v>255</v>
      </c>
      <c r="P21" s="53"/>
      <c r="Q21" s="54"/>
      <c r="V21" s="623" t="s">
        <v>53</v>
      </c>
      <c r="W21" s="623"/>
      <c r="X21" s="618">
        <f>IF('4020'!K$84=1,'4020'!G21,0)</f>
        <v>0</v>
      </c>
      <c r="Y21" s="618"/>
      <c r="Z21" s="624">
        <v>1</v>
      </c>
      <c r="AA21" s="624"/>
      <c r="AB21" s="55">
        <f t="shared" si="0"/>
        <v>0</v>
      </c>
      <c r="AC21" s="56">
        <f t="shared" si="1"/>
        <v>0</v>
      </c>
      <c r="AD21" s="9"/>
    </row>
    <row r="22" spans="1:30" x14ac:dyDescent="0.25">
      <c r="A22" s="1" t="s">
        <v>54</v>
      </c>
      <c r="B22" s="13" t="s">
        <v>55</v>
      </c>
      <c r="C22" s="13"/>
      <c r="D22" s="13">
        <v>14.16</v>
      </c>
      <c r="E22" s="13">
        <v>12.88</v>
      </c>
      <c r="F22" s="13">
        <v>17.11</v>
      </c>
      <c r="G22" s="46">
        <f t="shared" si="2"/>
        <v>27.04</v>
      </c>
      <c r="H22" s="47"/>
      <c r="I22" s="57">
        <v>1.145</v>
      </c>
      <c r="J22" s="57"/>
      <c r="K22" s="49">
        <f t="shared" si="3"/>
        <v>30.960799999999999</v>
      </c>
      <c r="L22" s="50">
        <f t="shared" si="4"/>
        <v>119961</v>
      </c>
      <c r="N22" s="51">
        <v>5101</v>
      </c>
      <c r="O22" s="52">
        <v>130</v>
      </c>
      <c r="P22" s="53"/>
      <c r="Q22" s="54"/>
      <c r="V22" s="623" t="s">
        <v>55</v>
      </c>
      <c r="W22" s="623"/>
      <c r="X22" s="618">
        <f>IF('4020'!K$84=1,'4020'!G22,0)</f>
        <v>0</v>
      </c>
      <c r="Y22" s="618"/>
      <c r="Z22" s="624">
        <v>1</v>
      </c>
      <c r="AA22" s="624"/>
      <c r="AB22" s="55">
        <f t="shared" si="0"/>
        <v>0</v>
      </c>
      <c r="AC22" s="56">
        <f t="shared" si="1"/>
        <v>0</v>
      </c>
      <c r="AD22" s="9"/>
    </row>
    <row r="23" spans="1:30" x14ac:dyDescent="0.25">
      <c r="A23" s="1" t="s">
        <v>56</v>
      </c>
      <c r="B23" s="13" t="s">
        <v>57</v>
      </c>
      <c r="C23" s="13"/>
      <c r="D23" s="13">
        <v>0</v>
      </c>
      <c r="E23" s="13">
        <v>0</v>
      </c>
      <c r="F23" s="13">
        <v>0</v>
      </c>
      <c r="G23" s="46">
        <f t="shared" si="2"/>
        <v>0</v>
      </c>
      <c r="H23" s="47"/>
      <c r="I23" s="57">
        <f>I22</f>
        <v>1.145</v>
      </c>
      <c r="J23" s="57"/>
      <c r="K23" s="49">
        <f t="shared" si="3"/>
        <v>0</v>
      </c>
      <c r="L23" s="50">
        <f t="shared" si="4"/>
        <v>0</v>
      </c>
      <c r="N23" s="51">
        <v>5102</v>
      </c>
      <c r="O23" s="52">
        <v>130</v>
      </c>
      <c r="P23" s="53"/>
      <c r="Q23" s="54"/>
      <c r="V23" s="623" t="s">
        <v>57</v>
      </c>
      <c r="W23" s="623"/>
      <c r="X23" s="618">
        <f>IF('4020'!K$84=1,'4020'!G23,0)</f>
        <v>0</v>
      </c>
      <c r="Y23" s="618"/>
      <c r="Z23" s="624">
        <v>1</v>
      </c>
      <c r="AA23" s="624"/>
      <c r="AB23" s="55">
        <f t="shared" si="0"/>
        <v>0</v>
      </c>
      <c r="AC23" s="56">
        <f t="shared" si="1"/>
        <v>0</v>
      </c>
      <c r="AD23" s="9"/>
    </row>
    <row r="24" spans="1:30" x14ac:dyDescent="0.25">
      <c r="A24" s="1" t="s">
        <v>58</v>
      </c>
      <c r="B24" s="13" t="s">
        <v>59</v>
      </c>
      <c r="C24" s="13"/>
      <c r="D24" s="13">
        <v>0</v>
      </c>
      <c r="E24" s="13">
        <v>0</v>
      </c>
      <c r="F24" s="13">
        <v>0</v>
      </c>
      <c r="G24" s="46">
        <f t="shared" si="2"/>
        <v>0</v>
      </c>
      <c r="H24" s="47"/>
      <c r="I24" s="57">
        <f>I23</f>
        <v>1.145</v>
      </c>
      <c r="J24" s="57"/>
      <c r="K24" s="49">
        <f t="shared" si="3"/>
        <v>0</v>
      </c>
      <c r="L24" s="50">
        <f t="shared" si="4"/>
        <v>0</v>
      </c>
      <c r="N24" s="51">
        <v>5103</v>
      </c>
      <c r="O24" s="52">
        <v>130</v>
      </c>
      <c r="P24" s="53"/>
      <c r="Q24" s="54"/>
      <c r="V24" s="623" t="s">
        <v>59</v>
      </c>
      <c r="W24" s="623"/>
      <c r="X24" s="618">
        <f>IF('4020'!K$84=1,'4020'!G24,0)</f>
        <v>0</v>
      </c>
      <c r="Y24" s="618"/>
      <c r="Z24" s="624">
        <v>1</v>
      </c>
      <c r="AA24" s="624"/>
      <c r="AB24" s="55">
        <f t="shared" si="0"/>
        <v>0</v>
      </c>
      <c r="AC24" s="56">
        <f t="shared" si="1"/>
        <v>0</v>
      </c>
      <c r="AD24" s="9"/>
    </row>
    <row r="25" spans="1:30" ht="16.5" thickBot="1" x14ac:dyDescent="0.3">
      <c r="A25" s="1" t="s">
        <v>60</v>
      </c>
      <c r="B25" s="13" t="s">
        <v>61</v>
      </c>
      <c r="C25" s="13"/>
      <c r="D25" s="13">
        <v>0</v>
      </c>
      <c r="E25" s="13">
        <v>0</v>
      </c>
      <c r="F25" s="13">
        <v>0</v>
      </c>
      <c r="G25" s="46">
        <f t="shared" si="2"/>
        <v>0</v>
      </c>
      <c r="H25" s="47"/>
      <c r="I25" s="57">
        <v>1.0109999999999999</v>
      </c>
      <c r="J25" s="57"/>
      <c r="K25" s="49">
        <f t="shared" si="3"/>
        <v>0</v>
      </c>
      <c r="L25" s="50">
        <f t="shared" si="4"/>
        <v>0</v>
      </c>
      <c r="N25" s="51">
        <v>5310</v>
      </c>
      <c r="O25" s="52">
        <v>300</v>
      </c>
      <c r="P25" s="53"/>
      <c r="Q25" s="54"/>
      <c r="V25" s="623" t="s">
        <v>61</v>
      </c>
      <c r="W25" s="623"/>
      <c r="X25" s="618">
        <f>IF('4020'!K$84=1,'4020'!G25,0)</f>
        <v>0</v>
      </c>
      <c r="Y25" s="618"/>
      <c r="Z25" s="624">
        <v>1</v>
      </c>
      <c r="AA25" s="624"/>
      <c r="AB25" s="55">
        <f t="shared" si="0"/>
        <v>0</v>
      </c>
      <c r="AC25" s="56">
        <f t="shared" si="1"/>
        <v>0</v>
      </c>
      <c r="AD25" s="9"/>
    </row>
    <row r="26" spans="1:30" ht="20.25" customHeight="1" thickBot="1" x14ac:dyDescent="0.3">
      <c r="B26" s="62" t="s">
        <v>62</v>
      </c>
      <c r="C26" s="62"/>
      <c r="D26" s="63">
        <f t="shared" ref="D26:E26" si="5">SUM(D10:D25)</f>
        <v>565.14</v>
      </c>
      <c r="E26" s="63">
        <f t="shared" si="5"/>
        <v>561.74</v>
      </c>
      <c r="F26" s="63"/>
      <c r="G26" s="63">
        <f>SUM(G10:G25)</f>
        <v>1126.8800000000001</v>
      </c>
      <c r="H26" s="64"/>
      <c r="I26" s="64"/>
      <c r="J26" s="65"/>
      <c r="K26" s="66">
        <f>SUM(K10:K25)</f>
        <v>1197.9008000000001</v>
      </c>
      <c r="L26" s="67">
        <f>SUM(L10:L25)</f>
        <v>4641416</v>
      </c>
      <c r="N26" s="54"/>
      <c r="O26" s="68"/>
      <c r="P26" s="54"/>
      <c r="Q26" s="54"/>
      <c r="V26" s="625" t="s">
        <v>62</v>
      </c>
      <c r="W26" s="625"/>
      <c r="X26" s="626">
        <f>SUM(X10:X25)</f>
        <v>0</v>
      </c>
      <c r="Y26" s="626"/>
      <c r="Z26" s="627"/>
      <c r="AA26" s="628"/>
      <c r="AB26" s="69">
        <f>SUM(AB10:AB25)</f>
        <v>0</v>
      </c>
      <c r="AC26" s="70">
        <f>SUM(AC10:AC25)</f>
        <v>0</v>
      </c>
      <c r="AD26" s="9"/>
    </row>
    <row r="27" spans="1:30" ht="51.75" customHeight="1" x14ac:dyDescent="0.25">
      <c r="B27" s="62" t="s">
        <v>63</v>
      </c>
      <c r="C27" s="62"/>
      <c r="D27" s="71" t="s">
        <v>13</v>
      </c>
      <c r="E27" s="71" t="s">
        <v>14</v>
      </c>
      <c r="F27" s="27"/>
      <c r="G27" s="72" t="s">
        <v>64</v>
      </c>
      <c r="H27" s="73"/>
      <c r="I27" s="74" t="s">
        <v>65</v>
      </c>
      <c r="J27" s="74" t="s">
        <v>66</v>
      </c>
      <c r="K27" s="75" t="s">
        <v>67</v>
      </c>
      <c r="N27" s="54"/>
      <c r="O27" s="68"/>
      <c r="P27" s="54"/>
      <c r="Q27" s="54"/>
      <c r="V27" s="629" t="s">
        <v>63</v>
      </c>
      <c r="W27" s="629"/>
      <c r="X27" s="630" t="s">
        <v>64</v>
      </c>
      <c r="Y27" s="630"/>
      <c r="Z27" s="76" t="s">
        <v>65</v>
      </c>
      <c r="AA27" s="77" t="s">
        <v>66</v>
      </c>
      <c r="AB27" s="78" t="s">
        <v>67</v>
      </c>
      <c r="AC27" s="9"/>
      <c r="AD27" s="9"/>
    </row>
    <row r="28" spans="1:30" ht="15.75" customHeight="1" x14ac:dyDescent="0.25">
      <c r="A28" s="1" t="s">
        <v>68</v>
      </c>
      <c r="B28" s="631" t="s">
        <v>69</v>
      </c>
      <c r="C28" s="632"/>
      <c r="D28" s="13">
        <v>31.19</v>
      </c>
      <c r="E28" s="13">
        <v>32.56</v>
      </c>
      <c r="F28" s="79">
        <v>0</v>
      </c>
      <c r="G28" s="46">
        <f t="shared" ref="G28:G36" si="6">D28+E28</f>
        <v>63.75</v>
      </c>
      <c r="H28" s="80"/>
      <c r="I28" s="81" t="s">
        <v>70</v>
      </c>
      <c r="J28" s="82">
        <v>251</v>
      </c>
      <c r="K28" s="83">
        <v>1047</v>
      </c>
      <c r="L28" s="84">
        <f>ROUND(G28*K28,0)</f>
        <v>66746</v>
      </c>
      <c r="N28" s="85">
        <v>5101</v>
      </c>
      <c r="O28" s="54">
        <v>251</v>
      </c>
      <c r="P28" s="86"/>
      <c r="Q28" s="87"/>
      <c r="V28" s="637" t="s">
        <v>69</v>
      </c>
      <c r="W28" s="637"/>
      <c r="X28" s="638"/>
      <c r="Y28" s="638"/>
      <c r="Z28" s="88" t="s">
        <v>70</v>
      </c>
      <c r="AA28" s="89">
        <v>251</v>
      </c>
      <c r="AB28" s="90">
        <f>+K28</f>
        <v>1047</v>
      </c>
      <c r="AC28" s="91">
        <f t="shared" ref="AC28:AC36" si="7">ROUND(X28*AB28,0)</f>
        <v>0</v>
      </c>
      <c r="AD28" s="9"/>
    </row>
    <row r="29" spans="1:30" x14ac:dyDescent="0.25">
      <c r="A29" s="1" t="s">
        <v>71</v>
      </c>
      <c r="B29" s="633"/>
      <c r="C29" s="634"/>
      <c r="D29" s="13">
        <v>4.51</v>
      </c>
      <c r="E29" s="13">
        <v>4.49</v>
      </c>
      <c r="F29" s="92">
        <v>0</v>
      </c>
      <c r="G29" s="46">
        <f t="shared" si="6"/>
        <v>9</v>
      </c>
      <c r="H29" s="80"/>
      <c r="I29" s="82" t="s">
        <v>70</v>
      </c>
      <c r="J29" s="82">
        <v>252</v>
      </c>
      <c r="K29" s="83">
        <v>3380</v>
      </c>
      <c r="L29" s="84">
        <f t="shared" ref="L29:L36" si="8">ROUND(G29*K29,0)</f>
        <v>30420</v>
      </c>
      <c r="N29" s="85">
        <v>5101</v>
      </c>
      <c r="O29" s="54">
        <v>252</v>
      </c>
      <c r="P29" s="86"/>
      <c r="Q29" s="87"/>
      <c r="V29" s="637"/>
      <c r="W29" s="637"/>
      <c r="X29" s="638"/>
      <c r="Y29" s="638"/>
      <c r="Z29" s="89" t="s">
        <v>70</v>
      </c>
      <c r="AA29" s="89">
        <v>252</v>
      </c>
      <c r="AB29" s="90">
        <f t="shared" ref="AB29:AB36" si="9">+K29</f>
        <v>3380</v>
      </c>
      <c r="AC29" s="91">
        <f t="shared" si="7"/>
        <v>0</v>
      </c>
      <c r="AD29" s="9"/>
    </row>
    <row r="30" spans="1:30" x14ac:dyDescent="0.25">
      <c r="A30" s="1" t="s">
        <v>72</v>
      </c>
      <c r="B30" s="633"/>
      <c r="C30" s="634"/>
      <c r="D30" s="13">
        <v>0.47</v>
      </c>
      <c r="E30" s="13">
        <v>1</v>
      </c>
      <c r="F30" s="92">
        <v>0</v>
      </c>
      <c r="G30" s="46">
        <f t="shared" si="6"/>
        <v>1.47</v>
      </c>
      <c r="H30" s="80"/>
      <c r="I30" s="82" t="s">
        <v>70</v>
      </c>
      <c r="J30" s="82">
        <v>253</v>
      </c>
      <c r="K30" s="83">
        <v>6896</v>
      </c>
      <c r="L30" s="84">
        <f t="shared" si="8"/>
        <v>10137</v>
      </c>
      <c r="N30" s="85">
        <v>5101</v>
      </c>
      <c r="O30" s="54">
        <v>253</v>
      </c>
      <c r="P30" s="86"/>
      <c r="Q30" s="68"/>
      <c r="V30" s="637"/>
      <c r="W30" s="637"/>
      <c r="X30" s="638"/>
      <c r="Y30" s="638"/>
      <c r="Z30" s="89" t="s">
        <v>70</v>
      </c>
      <c r="AA30" s="89">
        <v>253</v>
      </c>
      <c r="AB30" s="90">
        <f t="shared" si="9"/>
        <v>6896</v>
      </c>
      <c r="AC30" s="91">
        <f t="shared" si="7"/>
        <v>0</v>
      </c>
      <c r="AD30" s="9"/>
    </row>
    <row r="31" spans="1:30" x14ac:dyDescent="0.25">
      <c r="A31" s="1" t="s">
        <v>73</v>
      </c>
      <c r="B31" s="633"/>
      <c r="C31" s="634"/>
      <c r="D31" s="13">
        <v>48.62</v>
      </c>
      <c r="E31" s="13">
        <v>46.59</v>
      </c>
      <c r="F31" s="92">
        <v>0</v>
      </c>
      <c r="G31" s="46">
        <f t="shared" si="6"/>
        <v>95.210000000000008</v>
      </c>
      <c r="H31" s="80"/>
      <c r="I31" s="93" t="s">
        <v>74</v>
      </c>
      <c r="J31" s="82">
        <v>251</v>
      </c>
      <c r="K31" s="83">
        <v>1173</v>
      </c>
      <c r="L31" s="84">
        <f t="shared" si="8"/>
        <v>111681</v>
      </c>
      <c r="N31" s="85">
        <v>5102</v>
      </c>
      <c r="O31" s="54">
        <v>251</v>
      </c>
      <c r="P31" s="86"/>
      <c r="Q31" s="68"/>
      <c r="V31" s="637"/>
      <c r="W31" s="637"/>
      <c r="X31" s="638"/>
      <c r="Y31" s="638"/>
      <c r="Z31" s="94" t="s">
        <v>74</v>
      </c>
      <c r="AA31" s="89">
        <v>251</v>
      </c>
      <c r="AB31" s="90">
        <f t="shared" si="9"/>
        <v>1173</v>
      </c>
      <c r="AC31" s="91">
        <f t="shared" si="7"/>
        <v>0</v>
      </c>
      <c r="AD31" s="9"/>
    </row>
    <row r="32" spans="1:30" x14ac:dyDescent="0.25">
      <c r="A32" s="1" t="s">
        <v>75</v>
      </c>
      <c r="B32" s="633"/>
      <c r="C32" s="634"/>
      <c r="D32" s="13">
        <v>1.52</v>
      </c>
      <c r="E32" s="13">
        <v>1.6</v>
      </c>
      <c r="F32" s="92">
        <v>0</v>
      </c>
      <c r="G32" s="46">
        <f t="shared" si="6"/>
        <v>3.12</v>
      </c>
      <c r="H32" s="80"/>
      <c r="I32" s="93" t="s">
        <v>74</v>
      </c>
      <c r="J32" s="82">
        <v>252</v>
      </c>
      <c r="K32" s="83">
        <v>3506</v>
      </c>
      <c r="L32" s="84">
        <f t="shared" si="8"/>
        <v>10939</v>
      </c>
      <c r="N32" s="85">
        <v>5102</v>
      </c>
      <c r="O32" s="54">
        <v>252</v>
      </c>
      <c r="P32" s="86"/>
      <c r="Q32" s="54"/>
      <c r="V32" s="637"/>
      <c r="W32" s="637"/>
      <c r="X32" s="638"/>
      <c r="Y32" s="638"/>
      <c r="Z32" s="94" t="s">
        <v>74</v>
      </c>
      <c r="AA32" s="89">
        <v>252</v>
      </c>
      <c r="AB32" s="90">
        <f t="shared" si="9"/>
        <v>3506</v>
      </c>
      <c r="AC32" s="91">
        <f t="shared" si="7"/>
        <v>0</v>
      </c>
      <c r="AD32" s="9"/>
    </row>
    <row r="33" spans="1:30" x14ac:dyDescent="0.25">
      <c r="A33" s="1" t="s">
        <v>76</v>
      </c>
      <c r="B33" s="633"/>
      <c r="C33" s="634"/>
      <c r="D33" s="13">
        <v>0</v>
      </c>
      <c r="E33" s="13">
        <v>0</v>
      </c>
      <c r="F33" s="92">
        <v>0</v>
      </c>
      <c r="G33" s="46">
        <f t="shared" si="6"/>
        <v>0</v>
      </c>
      <c r="H33" s="80"/>
      <c r="I33" s="93" t="s">
        <v>74</v>
      </c>
      <c r="J33" s="82">
        <v>253</v>
      </c>
      <c r="K33" s="83">
        <v>7023</v>
      </c>
      <c r="L33" s="84">
        <f t="shared" si="8"/>
        <v>0</v>
      </c>
      <c r="N33" s="85">
        <v>5102</v>
      </c>
      <c r="O33" s="54">
        <v>253</v>
      </c>
      <c r="P33" s="86"/>
      <c r="Q33" s="87"/>
      <c r="V33" s="637"/>
      <c r="W33" s="637"/>
      <c r="X33" s="638"/>
      <c r="Y33" s="638"/>
      <c r="Z33" s="94" t="s">
        <v>74</v>
      </c>
      <c r="AA33" s="89">
        <v>253</v>
      </c>
      <c r="AB33" s="90">
        <f t="shared" si="9"/>
        <v>7023</v>
      </c>
      <c r="AC33" s="91">
        <f t="shared" si="7"/>
        <v>0</v>
      </c>
      <c r="AD33" s="9"/>
    </row>
    <row r="34" spans="1:30" x14ac:dyDescent="0.25">
      <c r="A34" s="1" t="s">
        <v>77</v>
      </c>
      <c r="B34" s="633"/>
      <c r="C34" s="634"/>
      <c r="D34" s="13">
        <v>0</v>
      </c>
      <c r="E34" s="13">
        <v>0</v>
      </c>
      <c r="F34" s="92">
        <v>0</v>
      </c>
      <c r="G34" s="46">
        <f t="shared" si="6"/>
        <v>0</v>
      </c>
      <c r="H34" s="80"/>
      <c r="I34" s="93" t="s">
        <v>78</v>
      </c>
      <c r="J34" s="82">
        <v>251</v>
      </c>
      <c r="K34" s="83">
        <v>835</v>
      </c>
      <c r="L34" s="84">
        <f t="shared" si="8"/>
        <v>0</v>
      </c>
      <c r="N34" s="85">
        <v>5103</v>
      </c>
      <c r="O34" s="54">
        <v>251</v>
      </c>
      <c r="P34" s="86"/>
      <c r="Q34" s="87"/>
      <c r="V34" s="637"/>
      <c r="W34" s="637"/>
      <c r="X34" s="638"/>
      <c r="Y34" s="638"/>
      <c r="Z34" s="94" t="s">
        <v>78</v>
      </c>
      <c r="AA34" s="89">
        <v>251</v>
      </c>
      <c r="AB34" s="90">
        <f t="shared" si="9"/>
        <v>835</v>
      </c>
      <c r="AC34" s="91">
        <f t="shared" si="7"/>
        <v>0</v>
      </c>
      <c r="AD34" s="9"/>
    </row>
    <row r="35" spans="1:30" x14ac:dyDescent="0.25">
      <c r="A35" s="1" t="s">
        <v>79</v>
      </c>
      <c r="B35" s="633"/>
      <c r="C35" s="634"/>
      <c r="D35" s="13">
        <v>0</v>
      </c>
      <c r="E35" s="13">
        <v>0</v>
      </c>
      <c r="F35" s="92">
        <v>0</v>
      </c>
      <c r="G35" s="46">
        <f t="shared" si="6"/>
        <v>0</v>
      </c>
      <c r="H35" s="80"/>
      <c r="I35" s="93" t="s">
        <v>78</v>
      </c>
      <c r="J35" s="82">
        <v>252</v>
      </c>
      <c r="K35" s="83">
        <v>3168</v>
      </c>
      <c r="L35" s="84">
        <f t="shared" si="8"/>
        <v>0</v>
      </c>
      <c r="N35" s="85">
        <v>5103</v>
      </c>
      <c r="O35" s="54">
        <v>252</v>
      </c>
      <c r="P35" s="86"/>
      <c r="Q35" s="95"/>
      <c r="V35" s="637"/>
      <c r="W35" s="637"/>
      <c r="X35" s="638"/>
      <c r="Y35" s="638"/>
      <c r="Z35" s="94" t="s">
        <v>78</v>
      </c>
      <c r="AA35" s="89">
        <v>252</v>
      </c>
      <c r="AB35" s="90">
        <f t="shared" si="9"/>
        <v>3168</v>
      </c>
      <c r="AC35" s="91">
        <f t="shared" si="7"/>
        <v>0</v>
      </c>
      <c r="AD35" s="9"/>
    </row>
    <row r="36" spans="1:30" ht="16.5" thickBot="1" x14ac:dyDescent="0.3">
      <c r="A36" s="1" t="s">
        <v>80</v>
      </c>
      <c r="B36" s="635"/>
      <c r="C36" s="636"/>
      <c r="D36" s="13">
        <v>0</v>
      </c>
      <c r="E36" s="13">
        <v>0</v>
      </c>
      <c r="F36" s="92">
        <v>0</v>
      </c>
      <c r="G36" s="46">
        <f t="shared" si="6"/>
        <v>0</v>
      </c>
      <c r="H36" s="80"/>
      <c r="I36" s="93" t="s">
        <v>78</v>
      </c>
      <c r="J36" s="82">
        <v>253</v>
      </c>
      <c r="K36" s="83">
        <v>6685</v>
      </c>
      <c r="L36" s="96">
        <f t="shared" si="8"/>
        <v>0</v>
      </c>
      <c r="N36" s="85">
        <v>5103</v>
      </c>
      <c r="O36" s="54">
        <v>253</v>
      </c>
      <c r="P36" s="86"/>
      <c r="Q36" s="97"/>
      <c r="V36" s="637"/>
      <c r="W36" s="637"/>
      <c r="X36" s="645"/>
      <c r="Y36" s="645"/>
      <c r="Z36" s="94" t="s">
        <v>78</v>
      </c>
      <c r="AA36" s="89">
        <v>253</v>
      </c>
      <c r="AB36" s="90">
        <f t="shared" si="9"/>
        <v>6685</v>
      </c>
      <c r="AC36" s="98">
        <f t="shared" si="7"/>
        <v>0</v>
      </c>
      <c r="AD36" s="9"/>
    </row>
    <row r="37" spans="1:30" ht="18.75" customHeight="1" x14ac:dyDescent="0.25">
      <c r="B37" s="13" t="s">
        <v>81</v>
      </c>
      <c r="C37" s="13"/>
      <c r="D37" s="63">
        <f t="shared" ref="D37:E37" si="10">SUM(D28:D36)</f>
        <v>86.309999999999988</v>
      </c>
      <c r="E37" s="63">
        <f t="shared" si="10"/>
        <v>86.240000000000009</v>
      </c>
      <c r="F37" s="63"/>
      <c r="G37" s="63">
        <f>SUM(G28:G36)</f>
        <v>172.55</v>
      </c>
      <c r="H37" s="64"/>
      <c r="I37" s="13" t="s">
        <v>82</v>
      </c>
      <c r="J37" s="13"/>
      <c r="K37" s="13"/>
      <c r="L37" s="50">
        <f>SUM(L28:L36)</f>
        <v>229923</v>
      </c>
      <c r="N37" s="54"/>
      <c r="O37" s="68"/>
      <c r="P37" s="54"/>
      <c r="Q37" s="54"/>
      <c r="V37" s="646" t="s">
        <v>81</v>
      </c>
      <c r="W37" s="646"/>
      <c r="X37" s="626">
        <f>SUM(X28:X36)</f>
        <v>0</v>
      </c>
      <c r="Y37" s="626"/>
      <c r="Z37" s="646" t="s">
        <v>82</v>
      </c>
      <c r="AA37" s="646"/>
      <c r="AB37" s="646"/>
      <c r="AC37" s="56">
        <f>SUM(AC28:AC36)</f>
        <v>0</v>
      </c>
      <c r="AD37" s="9"/>
    </row>
    <row r="38" spans="1:30" ht="30.75" customHeight="1" x14ac:dyDescent="0.25">
      <c r="B38" s="99" t="s">
        <v>83</v>
      </c>
      <c r="C38" s="99"/>
      <c r="D38" s="99"/>
      <c r="E38" s="99"/>
      <c r="F38" s="99"/>
      <c r="G38" s="99"/>
      <c r="H38" s="100"/>
      <c r="I38" s="99"/>
      <c r="J38" s="99"/>
      <c r="K38" s="99"/>
      <c r="L38" s="99"/>
      <c r="M38" s="101"/>
      <c r="N38" s="54"/>
      <c r="O38" s="68"/>
      <c r="P38" s="54"/>
      <c r="Q38" s="54"/>
      <c r="V38" s="639" t="s">
        <v>83</v>
      </c>
      <c r="W38" s="639"/>
      <c r="X38" s="639"/>
      <c r="Y38" s="639"/>
      <c r="Z38" s="639"/>
      <c r="AA38" s="639"/>
      <c r="AB38" s="639"/>
      <c r="AC38" s="639"/>
      <c r="AD38" s="102"/>
    </row>
    <row r="39" spans="1:30" ht="15.75" customHeight="1" x14ac:dyDescent="0.25">
      <c r="B39" s="103" t="s">
        <v>84</v>
      </c>
      <c r="C39" s="103"/>
      <c r="D39" s="103"/>
      <c r="E39" s="103"/>
      <c r="F39" s="103"/>
      <c r="G39" s="104">
        <v>34389540</v>
      </c>
      <c r="H39" s="104"/>
      <c r="I39" s="13" t="s">
        <v>85</v>
      </c>
      <c r="J39" s="13"/>
      <c r="K39" s="13"/>
      <c r="L39" s="13"/>
      <c r="O39" s="1"/>
      <c r="V39" s="640" t="s">
        <v>84</v>
      </c>
      <c r="W39" s="640"/>
      <c r="X39" s="641">
        <f>+G39</f>
        <v>34389540</v>
      </c>
      <c r="Y39" s="641"/>
      <c r="Z39" s="642" t="s">
        <v>85</v>
      </c>
      <c r="AA39" s="642"/>
      <c r="AB39" s="642"/>
      <c r="AC39" s="642"/>
      <c r="AD39" s="9"/>
    </row>
    <row r="40" spans="1:30" ht="15.75" customHeight="1" x14ac:dyDescent="0.25">
      <c r="B40" s="105" t="s">
        <v>86</v>
      </c>
      <c r="C40" s="105"/>
      <c r="D40" s="105"/>
      <c r="E40" s="105"/>
      <c r="F40" s="105"/>
      <c r="G40" s="106">
        <v>180284.81</v>
      </c>
      <c r="H40" s="106"/>
      <c r="I40" s="106"/>
      <c r="J40" s="106"/>
      <c r="K40" s="50">
        <f>ROUND(G39/G40,0)</f>
        <v>191</v>
      </c>
      <c r="L40" s="50">
        <f>ROUND(K40*$G$26,0)</f>
        <v>215234</v>
      </c>
      <c r="N40" s="107"/>
      <c r="O40" s="107"/>
      <c r="P40" s="107"/>
      <c r="Q40" s="107"/>
      <c r="V40" s="643" t="s">
        <v>86</v>
      </c>
      <c r="W40" s="643"/>
      <c r="X40" s="644">
        <f>+G40</f>
        <v>180284.81</v>
      </c>
      <c r="Y40" s="644"/>
      <c r="Z40" s="644"/>
      <c r="AA40" s="644"/>
      <c r="AB40" s="56">
        <f>ROUND(X39/X40,0)</f>
        <v>191</v>
      </c>
      <c r="AC40" s="56">
        <f>ROUND(AB40*$X$26,0)</f>
        <v>0</v>
      </c>
      <c r="AD40" s="9"/>
    </row>
    <row r="41" spans="1:30" ht="15.75" customHeight="1" x14ac:dyDescent="0.25">
      <c r="B41" s="108" t="s">
        <v>87</v>
      </c>
      <c r="C41" s="108"/>
      <c r="D41" s="108"/>
      <c r="E41" s="108"/>
      <c r="F41" s="108"/>
      <c r="G41" s="108"/>
      <c r="H41" s="108"/>
      <c r="I41" s="108"/>
      <c r="J41" s="108"/>
      <c r="K41" s="108"/>
      <c r="L41" s="108"/>
      <c r="N41" s="101"/>
      <c r="O41" s="109"/>
      <c r="P41" s="101"/>
      <c r="Q41" s="101"/>
      <c r="V41" s="652" t="s">
        <v>87</v>
      </c>
      <c r="W41" s="652"/>
      <c r="X41" s="652"/>
      <c r="Y41" s="652"/>
      <c r="Z41" s="652"/>
      <c r="AA41" s="652"/>
      <c r="AB41" s="652"/>
      <c r="AC41" s="652"/>
      <c r="AD41" s="9"/>
    </row>
    <row r="42" spans="1:30" ht="28.5" customHeight="1" x14ac:dyDescent="0.25">
      <c r="B42" s="99" t="s">
        <v>88</v>
      </c>
      <c r="C42" s="99"/>
      <c r="D42" s="99"/>
      <c r="E42" s="99"/>
      <c r="F42" s="99"/>
      <c r="G42" s="99"/>
      <c r="H42" s="99"/>
      <c r="I42" s="99"/>
      <c r="J42" s="99"/>
      <c r="K42" s="99"/>
      <c r="L42" s="99"/>
      <c r="M42" s="107"/>
      <c r="O42" s="1"/>
      <c r="V42" s="639" t="s">
        <v>88</v>
      </c>
      <c r="W42" s="639"/>
      <c r="X42" s="639"/>
      <c r="Y42" s="639"/>
      <c r="Z42" s="639"/>
      <c r="AA42" s="639"/>
      <c r="AB42" s="639"/>
      <c r="AC42" s="639"/>
      <c r="AD42" s="110"/>
    </row>
    <row r="43" spans="1:30" x14ac:dyDescent="0.25">
      <c r="B43" s="111" t="s">
        <v>89</v>
      </c>
      <c r="C43" s="111"/>
      <c r="D43" s="111"/>
      <c r="E43" s="111"/>
      <c r="F43" s="111"/>
      <c r="G43" s="111"/>
      <c r="H43" s="111"/>
      <c r="I43" s="111"/>
      <c r="J43" s="111"/>
      <c r="K43" s="111"/>
      <c r="L43" s="111"/>
      <c r="M43" s="112"/>
      <c r="N43" s="101"/>
      <c r="O43" s="101"/>
      <c r="P43" s="101"/>
      <c r="Q43" s="101"/>
      <c r="V43" s="653" t="s">
        <v>89</v>
      </c>
      <c r="W43" s="653"/>
      <c r="X43" s="653"/>
      <c r="Y43" s="653"/>
      <c r="Z43" s="653"/>
      <c r="AA43" s="653"/>
      <c r="AB43" s="653"/>
      <c r="AC43" s="653"/>
      <c r="AD43" s="113"/>
    </row>
    <row r="44" spans="1:30" ht="24" customHeight="1" x14ac:dyDescent="0.25">
      <c r="B44" s="62" t="s">
        <v>90</v>
      </c>
      <c r="C44" s="62"/>
      <c r="D44" s="62"/>
      <c r="E44" s="62"/>
      <c r="F44" s="62"/>
      <c r="G44" s="62"/>
      <c r="H44" s="62"/>
      <c r="I44" s="62"/>
      <c r="J44" s="62"/>
      <c r="K44" s="62"/>
      <c r="L44" s="114">
        <f>SUM(L26,L37,L40)</f>
        <v>5086573</v>
      </c>
      <c r="O44" s="1"/>
      <c r="V44" s="654" t="s">
        <v>90</v>
      </c>
      <c r="W44" s="654"/>
      <c r="X44" s="654"/>
      <c r="Y44" s="654"/>
      <c r="Z44" s="654"/>
      <c r="AA44" s="654"/>
      <c r="AB44" s="654"/>
      <c r="AC44" s="115">
        <f>SUM(AC26,AC37,AC40)</f>
        <v>0</v>
      </c>
      <c r="AD44" s="9"/>
    </row>
    <row r="45" spans="1:30" ht="30.75" customHeight="1" x14ac:dyDescent="0.25">
      <c r="B45" s="99" t="s">
        <v>91</v>
      </c>
      <c r="C45" s="99"/>
      <c r="D45" s="99"/>
      <c r="E45" s="99"/>
      <c r="F45" s="99"/>
      <c r="G45" s="99"/>
      <c r="H45" s="99"/>
      <c r="I45" s="99"/>
      <c r="J45" s="99"/>
      <c r="K45" s="99"/>
      <c r="L45" s="99"/>
      <c r="M45" s="116"/>
      <c r="O45" s="1"/>
      <c r="V45" s="639" t="s">
        <v>91</v>
      </c>
      <c r="W45" s="639"/>
      <c r="X45" s="639"/>
      <c r="Y45" s="639"/>
      <c r="Z45" s="639"/>
      <c r="AA45" s="639"/>
      <c r="AB45" s="639"/>
      <c r="AC45" s="639"/>
      <c r="AD45" s="117"/>
    </row>
    <row r="46" spans="1:30" ht="18.75" customHeight="1" x14ac:dyDescent="0.25">
      <c r="B46" s="1"/>
      <c r="C46" s="118" t="s">
        <v>92</v>
      </c>
      <c r="D46" s="118"/>
      <c r="E46" s="118"/>
      <c r="F46" s="118"/>
      <c r="G46" s="118" t="s">
        <v>93</v>
      </c>
      <c r="H46" s="119"/>
      <c r="I46" s="120" t="s">
        <v>94</v>
      </c>
      <c r="J46" s="121"/>
      <c r="K46" s="121"/>
      <c r="L46" s="121"/>
      <c r="M46" s="122"/>
      <c r="O46" s="1"/>
      <c r="V46" s="9"/>
      <c r="W46" s="123" t="s">
        <v>92</v>
      </c>
      <c r="X46" s="655" t="s">
        <v>95</v>
      </c>
      <c r="Y46" s="655"/>
      <c r="Z46" s="656" t="s">
        <v>94</v>
      </c>
      <c r="AA46" s="656"/>
      <c r="AB46" s="656"/>
      <c r="AC46" s="656"/>
      <c r="AD46" s="124"/>
    </row>
    <row r="47" spans="1:30" ht="18.75" customHeight="1" x14ac:dyDescent="0.25">
      <c r="B47" s="107" t="s">
        <v>96</v>
      </c>
      <c r="C47" s="125">
        <f>K10+K11+K16+K19+K22</f>
        <v>634.86080000000004</v>
      </c>
      <c r="D47" s="125"/>
      <c r="E47" s="125"/>
      <c r="F47" s="125"/>
      <c r="G47" s="126">
        <f>K7</f>
        <v>1.0326</v>
      </c>
      <c r="H47" s="126"/>
      <c r="I47" s="127">
        <v>1316.85</v>
      </c>
      <c r="J47" s="128" t="s">
        <v>97</v>
      </c>
      <c r="K47" s="129">
        <f>ROUND(C47*G47*I47,0)</f>
        <v>863271</v>
      </c>
      <c r="L47" s="130"/>
      <c r="O47" s="1"/>
      <c r="V47" s="110" t="s">
        <v>96</v>
      </c>
      <c r="W47" s="131">
        <f>AB10+AB11+AB16+AB19+AB22</f>
        <v>0</v>
      </c>
      <c r="X47" s="647">
        <f>AB7</f>
        <v>1.0326</v>
      </c>
      <c r="Y47" s="647"/>
      <c r="Z47" s="132">
        <f>+I47</f>
        <v>1316.85</v>
      </c>
      <c r="AA47" s="133" t="s">
        <v>97</v>
      </c>
      <c r="AB47" s="134">
        <f>ROUND(W47*X47*Z47,0)</f>
        <v>0</v>
      </c>
      <c r="AC47" s="135"/>
      <c r="AD47" s="9"/>
    </row>
    <row r="48" spans="1:30" ht="18" customHeight="1" x14ac:dyDescent="0.25">
      <c r="B48" s="136" t="s">
        <v>74</v>
      </c>
      <c r="C48" s="125">
        <f>K12+K13+K17+K20+K23</f>
        <v>563.04</v>
      </c>
      <c r="D48" s="125"/>
      <c r="E48" s="125"/>
      <c r="F48" s="125"/>
      <c r="G48" s="126">
        <f>K7</f>
        <v>1.0326</v>
      </c>
      <c r="H48" s="126"/>
      <c r="I48" s="127">
        <v>898.23</v>
      </c>
      <c r="J48" s="128" t="s">
        <v>97</v>
      </c>
      <c r="K48" s="129">
        <f>ROUND(C48*G48*I48,0)</f>
        <v>522227</v>
      </c>
      <c r="L48" s="62"/>
      <c r="O48" s="1"/>
      <c r="V48" s="137" t="s">
        <v>74</v>
      </c>
      <c r="W48" s="131">
        <f>AB12+AB13+AB17+AB20+AB23</f>
        <v>0</v>
      </c>
      <c r="X48" s="647">
        <f>AB7</f>
        <v>1.0326</v>
      </c>
      <c r="Y48" s="647"/>
      <c r="Z48" s="132">
        <f>+I48</f>
        <v>898.23</v>
      </c>
      <c r="AA48" s="133" t="s">
        <v>97</v>
      </c>
      <c r="AB48" s="134">
        <f>ROUND(W48*X48*Z48,0)</f>
        <v>0</v>
      </c>
      <c r="AC48" s="138"/>
      <c r="AD48" s="9"/>
    </row>
    <row r="49" spans="2:30" ht="19.5" customHeight="1" thickBot="1" x14ac:dyDescent="0.3">
      <c r="B49" s="139" t="s">
        <v>78</v>
      </c>
      <c r="C49" s="140">
        <f>K14+K15+K18+K21+K24+K25</f>
        <v>0</v>
      </c>
      <c r="D49" s="125"/>
      <c r="E49" s="125"/>
      <c r="F49" s="125"/>
      <c r="G49" s="126">
        <f>K7</f>
        <v>1.0326</v>
      </c>
      <c r="H49" s="126"/>
      <c r="I49" s="127">
        <v>900.39</v>
      </c>
      <c r="J49" s="128" t="s">
        <v>97</v>
      </c>
      <c r="K49" s="129">
        <f>ROUND(C49*G49*I49,0)</f>
        <v>0</v>
      </c>
      <c r="L49" s="62"/>
      <c r="M49" s="112"/>
      <c r="N49" s="141"/>
      <c r="O49" s="142"/>
      <c r="P49" s="101"/>
      <c r="Q49" s="143"/>
      <c r="V49" s="144" t="s">
        <v>78</v>
      </c>
      <c r="W49" s="145">
        <f>AB14+AB15+AB18+AB21+AB24+AB25</f>
        <v>0</v>
      </c>
      <c r="X49" s="647">
        <f>AB7</f>
        <v>1.0326</v>
      </c>
      <c r="Y49" s="647"/>
      <c r="Z49" s="132">
        <f>+I49</f>
        <v>900.39</v>
      </c>
      <c r="AA49" s="133" t="s">
        <v>97</v>
      </c>
      <c r="AB49" s="134">
        <f>ROUND(W49*X49*Z49,0)</f>
        <v>0</v>
      </c>
      <c r="AC49" s="138"/>
      <c r="AD49" s="113"/>
    </row>
    <row r="50" spans="2:30" ht="24" customHeight="1" thickBot="1" x14ac:dyDescent="0.3">
      <c r="B50" s="146" t="s">
        <v>98</v>
      </c>
      <c r="C50" s="147">
        <f>SUM(C47:C49)</f>
        <v>1197.9007999999999</v>
      </c>
      <c r="D50" s="148"/>
      <c r="E50" s="149"/>
      <c r="F50" s="149"/>
      <c r="G50" s="150" t="s">
        <v>99</v>
      </c>
      <c r="H50" s="150"/>
      <c r="I50" s="150"/>
      <c r="J50" s="150"/>
      <c r="K50" s="150"/>
      <c r="L50" s="50">
        <f>IF(B2=75,0,K49+K48+K47)</f>
        <v>1385498</v>
      </c>
      <c r="N50" s="3"/>
      <c r="O50" s="1"/>
      <c r="V50" s="151" t="s">
        <v>98</v>
      </c>
      <c r="W50" s="152">
        <f>SUM(W47:W49)</f>
        <v>0</v>
      </c>
      <c r="X50" s="648" t="s">
        <v>99</v>
      </c>
      <c r="Y50" s="649"/>
      <c r="Z50" s="649"/>
      <c r="AA50" s="649"/>
      <c r="AB50" s="649"/>
      <c r="AC50" s="56">
        <f>IF(V2=75,0,AB49+AB48+AB47)</f>
        <v>0</v>
      </c>
      <c r="AD50" s="9"/>
    </row>
    <row r="51" spans="2:30" ht="19.5" customHeight="1" x14ac:dyDescent="0.25">
      <c r="B51" s="153" t="s">
        <v>100</v>
      </c>
      <c r="C51" s="153"/>
      <c r="D51" s="153"/>
      <c r="E51" s="153"/>
      <c r="F51" s="153"/>
      <c r="G51" s="153"/>
      <c r="H51" s="153"/>
      <c r="I51" s="153"/>
      <c r="J51" s="153"/>
      <c r="K51" s="153"/>
      <c r="L51" s="153"/>
      <c r="M51" s="141"/>
      <c r="N51" s="101"/>
      <c r="O51" s="1"/>
      <c r="V51" s="650" t="s">
        <v>100</v>
      </c>
      <c r="W51" s="650"/>
      <c r="X51" s="650"/>
      <c r="Y51" s="650"/>
      <c r="Z51" s="650"/>
      <c r="AA51" s="650"/>
      <c r="AB51" s="650"/>
      <c r="AC51" s="650"/>
      <c r="AD51" s="154"/>
    </row>
    <row r="52" spans="2:30" ht="27.75" customHeight="1" x14ac:dyDescent="0.25">
      <c r="B52" s="13" t="s">
        <v>101</v>
      </c>
      <c r="C52" s="13"/>
      <c r="D52" s="13"/>
      <c r="E52" s="13"/>
      <c r="F52" s="13"/>
      <c r="G52" s="13"/>
      <c r="H52" s="13"/>
      <c r="I52" s="13"/>
      <c r="J52" s="13"/>
      <c r="K52" s="13"/>
      <c r="L52" s="13"/>
      <c r="O52" s="1"/>
      <c r="V52" s="651" t="s">
        <v>101</v>
      </c>
      <c r="W52" s="651"/>
      <c r="X52" s="651"/>
      <c r="Y52" s="651"/>
      <c r="Z52" s="651"/>
      <c r="AA52" s="651"/>
      <c r="AB52" s="651"/>
      <c r="AC52" s="651"/>
      <c r="AD52" s="9"/>
    </row>
    <row r="53" spans="2:30" x14ac:dyDescent="0.25">
      <c r="B53" s="13" t="s">
        <v>102</v>
      </c>
      <c r="C53" s="13"/>
      <c r="D53" s="13"/>
      <c r="E53" s="13"/>
      <c r="F53" s="13"/>
      <c r="G53" s="155">
        <f>K26</f>
        <v>1197.9008000000001</v>
      </c>
      <c r="H53" s="57" t="s">
        <v>103</v>
      </c>
      <c r="I53" s="57"/>
      <c r="J53" s="156">
        <v>197823.77</v>
      </c>
      <c r="K53" s="156"/>
      <c r="L53" s="156"/>
      <c r="N53" s="3"/>
      <c r="O53" s="1"/>
      <c r="V53" s="657" t="s">
        <v>102</v>
      </c>
      <c r="W53" s="657"/>
      <c r="X53" s="157">
        <f>AB26</f>
        <v>0</v>
      </c>
      <c r="Y53" s="658" t="s">
        <v>103</v>
      </c>
      <c r="Z53" s="658"/>
      <c r="AA53" s="659">
        <f>+J53</f>
        <v>197823.77</v>
      </c>
      <c r="AB53" s="659"/>
      <c r="AC53" s="659"/>
      <c r="AD53" s="9"/>
    </row>
    <row r="54" spans="2:30" x14ac:dyDescent="0.25">
      <c r="B54" s="13" t="s">
        <v>104</v>
      </c>
      <c r="C54" s="13"/>
      <c r="D54" s="13"/>
      <c r="E54" s="13"/>
      <c r="F54" s="13"/>
      <c r="G54" s="13"/>
      <c r="H54" s="13"/>
      <c r="I54" s="13"/>
      <c r="J54" s="13"/>
      <c r="K54" s="158">
        <f>ROUND(G53/J53,6)</f>
        <v>6.0549999999999996E-3</v>
      </c>
      <c r="L54" s="158"/>
      <c r="N54" s="101"/>
      <c r="O54" s="1"/>
      <c r="V54" s="657" t="s">
        <v>104</v>
      </c>
      <c r="W54" s="657"/>
      <c r="X54" s="657"/>
      <c r="Y54" s="657"/>
      <c r="Z54" s="657"/>
      <c r="AA54" s="657"/>
      <c r="AB54" s="660">
        <f>ROUND(X53/AA53,6)</f>
        <v>0</v>
      </c>
      <c r="AC54" s="660"/>
      <c r="AD54" s="9"/>
    </row>
    <row r="55" spans="2:30" ht="24" customHeight="1" x14ac:dyDescent="0.25">
      <c r="B55" s="13" t="s">
        <v>105</v>
      </c>
      <c r="C55" s="13"/>
      <c r="D55" s="13"/>
      <c r="E55" s="13"/>
      <c r="F55" s="13"/>
      <c r="G55" s="13"/>
      <c r="H55" s="13"/>
      <c r="I55" s="13"/>
      <c r="J55" s="13"/>
      <c r="K55" s="13"/>
      <c r="L55" s="13"/>
      <c r="O55" s="1"/>
      <c r="V55" s="651" t="s">
        <v>105</v>
      </c>
      <c r="W55" s="651"/>
      <c r="X55" s="651"/>
      <c r="Y55" s="651"/>
      <c r="Z55" s="651"/>
      <c r="AA55" s="651"/>
      <c r="AB55" s="651"/>
      <c r="AC55" s="651"/>
      <c r="AD55" s="9"/>
    </row>
    <row r="56" spans="2:30" x14ac:dyDescent="0.25">
      <c r="B56" s="13" t="s">
        <v>106</v>
      </c>
      <c r="C56" s="13"/>
      <c r="D56" s="13"/>
      <c r="E56" s="13"/>
      <c r="F56" s="13"/>
      <c r="G56" s="159">
        <f>G26</f>
        <v>1126.8800000000001</v>
      </c>
      <c r="H56" s="57" t="s">
        <v>107</v>
      </c>
      <c r="I56" s="57"/>
      <c r="J56" s="156">
        <f>+G40</f>
        <v>180284.81</v>
      </c>
      <c r="K56" s="156"/>
      <c r="L56" s="156"/>
      <c r="O56" s="1"/>
      <c r="V56" s="657" t="s">
        <v>106</v>
      </c>
      <c r="W56" s="657"/>
      <c r="X56" s="160">
        <f>X26</f>
        <v>0</v>
      </c>
      <c r="Y56" s="658" t="s">
        <v>107</v>
      </c>
      <c r="Z56" s="658"/>
      <c r="AA56" s="659">
        <f>+J56</f>
        <v>180284.81</v>
      </c>
      <c r="AB56" s="659"/>
      <c r="AC56" s="659"/>
      <c r="AD56" s="9"/>
    </row>
    <row r="57" spans="2:30" x14ac:dyDescent="0.25">
      <c r="B57" s="13" t="s">
        <v>108</v>
      </c>
      <c r="C57" s="13"/>
      <c r="D57" s="13"/>
      <c r="E57" s="13"/>
      <c r="F57" s="13"/>
      <c r="G57" s="13"/>
      <c r="H57" s="13"/>
      <c r="I57" s="13"/>
      <c r="J57" s="13"/>
      <c r="K57" s="158">
        <f>ROUND(G56/J56,6)</f>
        <v>6.2509999999999996E-3</v>
      </c>
      <c r="L57" s="158"/>
      <c r="O57" s="1"/>
      <c r="V57" s="657" t="s">
        <v>108</v>
      </c>
      <c r="W57" s="657"/>
      <c r="X57" s="657"/>
      <c r="Y57" s="657"/>
      <c r="Z57" s="657"/>
      <c r="AA57" s="657"/>
      <c r="AB57" s="660">
        <f>ROUND(X56/AA56,6)</f>
        <v>0</v>
      </c>
      <c r="AC57" s="660"/>
      <c r="AD57" s="9"/>
    </row>
    <row r="58" spans="2:30" ht="20.25" customHeight="1" x14ac:dyDescent="0.25">
      <c r="B58" s="161" t="s">
        <v>109</v>
      </c>
      <c r="C58" s="161"/>
      <c r="D58" s="161"/>
      <c r="E58" s="161"/>
      <c r="F58" s="161"/>
      <c r="G58" s="161"/>
      <c r="H58" s="161"/>
      <c r="I58" s="161"/>
      <c r="J58" s="161"/>
      <c r="K58" s="161"/>
      <c r="L58" s="161"/>
      <c r="N58" s="18"/>
      <c r="O58" s="18"/>
      <c r="V58" s="629" t="s">
        <v>110</v>
      </c>
      <c r="W58" s="629"/>
      <c r="X58" s="629"/>
      <c r="Y58" s="661">
        <f>X65+X64+X62+X61+X60</f>
        <v>4123852</v>
      </c>
      <c r="Z58" s="661"/>
      <c r="AA58" s="162" t="s">
        <v>111</v>
      </c>
      <c r="AB58" s="163">
        <f>AB54</f>
        <v>0</v>
      </c>
      <c r="AC58" s="56">
        <f>ROUND(Y58*AB58,0)</f>
        <v>0</v>
      </c>
      <c r="AD58" s="9"/>
    </row>
    <row r="59" spans="2:30" x14ac:dyDescent="0.25">
      <c r="B59" s="62" t="s">
        <v>110</v>
      </c>
      <c r="C59" s="62"/>
      <c r="D59" s="62"/>
      <c r="E59" s="62"/>
      <c r="F59" s="62"/>
      <c r="G59" s="62"/>
      <c r="H59" s="164" t="s">
        <v>22</v>
      </c>
      <c r="I59" s="129">
        <v>4123852</v>
      </c>
      <c r="J59" s="165" t="s">
        <v>111</v>
      </c>
      <c r="K59" s="166">
        <f>K54</f>
        <v>6.0549999999999996E-3</v>
      </c>
      <c r="L59" s="50">
        <f>ROUND(I59*K59,0)</f>
        <v>24970</v>
      </c>
      <c r="O59" s="1"/>
      <c r="P59" s="165"/>
      <c r="Q59" s="165"/>
      <c r="V59" s="662" t="s">
        <v>112</v>
      </c>
      <c r="W59" s="662"/>
      <c r="X59" s="662"/>
      <c r="Y59" s="662"/>
      <c r="Z59" s="662"/>
      <c r="AA59" s="662"/>
      <c r="AB59" s="662"/>
      <c r="AC59" s="662"/>
      <c r="AD59" s="9"/>
    </row>
    <row r="60" spans="2:30" x14ac:dyDescent="0.25">
      <c r="B60" s="62" t="s">
        <v>112</v>
      </c>
      <c r="C60" s="62"/>
      <c r="D60" s="62"/>
      <c r="E60" s="62"/>
      <c r="F60" s="62"/>
      <c r="G60" s="62"/>
      <c r="H60" s="62"/>
      <c r="I60" s="62"/>
      <c r="J60" s="62"/>
      <c r="K60" s="62"/>
      <c r="L60" s="62"/>
      <c r="O60" s="1"/>
      <c r="P60" s="165"/>
      <c r="Q60" s="165"/>
      <c r="V60" s="663" t="s">
        <v>113</v>
      </c>
      <c r="W60" s="663"/>
      <c r="X60" s="664">
        <f>+G61</f>
        <v>0</v>
      </c>
      <c r="Y60" s="664"/>
      <c r="Z60" s="664"/>
      <c r="AA60" s="664"/>
      <c r="AB60" s="664"/>
      <c r="AC60" s="664"/>
      <c r="AD60" s="9"/>
    </row>
    <row r="61" spans="2:30" ht="15" customHeight="1" x14ac:dyDescent="0.25">
      <c r="B61" s="167" t="s">
        <v>113</v>
      </c>
      <c r="C61" s="62"/>
      <c r="D61" s="62"/>
      <c r="E61" s="62"/>
      <c r="F61" s="62"/>
      <c r="G61" s="168">
        <v>0</v>
      </c>
      <c r="H61" s="168"/>
      <c r="I61" s="168"/>
      <c r="J61" s="168"/>
      <c r="K61" s="168"/>
      <c r="L61" s="168"/>
      <c r="O61" s="1"/>
      <c r="P61" s="165"/>
      <c r="Q61" s="165"/>
      <c r="V61" s="663" t="s">
        <v>114</v>
      </c>
      <c r="W61" s="663"/>
      <c r="X61" s="664">
        <f>+G62</f>
        <v>0</v>
      </c>
      <c r="Y61" s="664"/>
      <c r="Z61" s="664"/>
      <c r="AA61" s="664"/>
      <c r="AB61" s="664"/>
      <c r="AC61" s="664"/>
      <c r="AD61" s="9"/>
    </row>
    <row r="62" spans="2:30" ht="13.5" customHeight="1" x14ac:dyDescent="0.25">
      <c r="B62" s="167" t="s">
        <v>114</v>
      </c>
      <c r="C62" s="62"/>
      <c r="D62" s="62"/>
      <c r="E62" s="62"/>
      <c r="F62" s="62"/>
      <c r="G62" s="168">
        <v>0</v>
      </c>
      <c r="H62" s="168"/>
      <c r="I62" s="168"/>
      <c r="J62" s="168"/>
      <c r="K62" s="168"/>
      <c r="L62" s="168"/>
      <c r="N62" s="165"/>
      <c r="O62" s="165"/>
      <c r="P62" s="165"/>
      <c r="Q62" s="165"/>
      <c r="V62" s="663" t="s">
        <v>115</v>
      </c>
      <c r="W62" s="663"/>
      <c r="X62" s="664">
        <v>0</v>
      </c>
      <c r="Y62" s="664"/>
      <c r="Z62" s="664"/>
      <c r="AA62" s="664"/>
      <c r="AB62" s="664"/>
      <c r="AC62" s="664"/>
      <c r="AD62" s="9"/>
    </row>
    <row r="63" spans="2:30" ht="13.5" hidden="1" customHeight="1" x14ac:dyDescent="0.25">
      <c r="B63" s="62" t="s">
        <v>115</v>
      </c>
      <c r="C63" s="62"/>
      <c r="D63" s="62"/>
      <c r="E63" s="62"/>
      <c r="F63" s="62"/>
      <c r="G63" s="168">
        <v>0</v>
      </c>
      <c r="H63" s="168"/>
      <c r="I63" s="168"/>
      <c r="J63" s="168"/>
      <c r="K63" s="168"/>
      <c r="L63" s="168"/>
      <c r="O63" s="1"/>
      <c r="P63" s="165"/>
      <c r="Q63" s="165"/>
      <c r="V63" s="662" t="s">
        <v>116</v>
      </c>
      <c r="W63" s="662"/>
      <c r="X63" s="662"/>
      <c r="Y63" s="662"/>
      <c r="Z63" s="662"/>
      <c r="AA63" s="662"/>
      <c r="AB63" s="662"/>
      <c r="AC63" s="662"/>
      <c r="AD63" s="117"/>
    </row>
    <row r="64" spans="2:30" ht="13.5" customHeight="1" x14ac:dyDescent="0.25">
      <c r="B64" s="62" t="s">
        <v>116</v>
      </c>
      <c r="C64" s="62"/>
      <c r="D64" s="62"/>
      <c r="E64" s="62"/>
      <c r="F64" s="62"/>
      <c r="G64" s="62"/>
      <c r="H64" s="62"/>
      <c r="I64" s="62"/>
      <c r="J64" s="62"/>
      <c r="K64" s="62"/>
      <c r="L64" s="62"/>
      <c r="M64" s="116"/>
      <c r="N64" s="18"/>
      <c r="O64" s="1"/>
      <c r="V64" s="663" t="s">
        <v>117</v>
      </c>
      <c r="W64" s="663"/>
      <c r="X64" s="664">
        <f>+G65</f>
        <v>4123852</v>
      </c>
      <c r="Y64" s="664"/>
      <c r="Z64" s="664"/>
      <c r="AA64" s="664"/>
      <c r="AB64" s="664"/>
      <c r="AC64" s="664"/>
      <c r="AD64" s="9"/>
    </row>
    <row r="65" spans="1:30" ht="12.75" customHeight="1" x14ac:dyDescent="0.25">
      <c r="B65" s="167" t="s">
        <v>117</v>
      </c>
      <c r="C65" s="62"/>
      <c r="D65" s="62"/>
      <c r="E65" s="62"/>
      <c r="F65" s="62"/>
      <c r="G65" s="168">
        <f>+I59</f>
        <v>4123852</v>
      </c>
      <c r="H65" s="168"/>
      <c r="I65" s="168"/>
      <c r="J65" s="168"/>
      <c r="K65" s="168"/>
      <c r="L65" s="168"/>
      <c r="O65" s="1"/>
      <c r="V65" s="663" t="s">
        <v>118</v>
      </c>
      <c r="W65" s="663"/>
      <c r="X65" s="664">
        <f>+G66</f>
        <v>0</v>
      </c>
      <c r="Y65" s="664"/>
      <c r="Z65" s="664"/>
      <c r="AA65" s="664"/>
      <c r="AB65" s="664"/>
      <c r="AC65" s="664"/>
      <c r="AD65" s="20"/>
    </row>
    <row r="66" spans="1:30" ht="15" customHeight="1" x14ac:dyDescent="0.25">
      <c r="B66" s="167" t="s">
        <v>118</v>
      </c>
      <c r="C66" s="62"/>
      <c r="D66" s="62"/>
      <c r="E66" s="62"/>
      <c r="F66" s="62"/>
      <c r="G66" s="168">
        <v>0</v>
      </c>
      <c r="H66" s="168"/>
      <c r="I66" s="168"/>
      <c r="J66" s="168"/>
      <c r="K66" s="168"/>
      <c r="L66" s="168"/>
      <c r="M66" s="18"/>
      <c r="N66" s="3"/>
      <c r="O66" s="169"/>
      <c r="P66" s="169"/>
      <c r="Q66" s="169"/>
      <c r="V66" s="651" t="s">
        <v>119</v>
      </c>
      <c r="W66" s="651"/>
      <c r="X66" s="651"/>
      <c r="Y66" s="661">
        <f>+I67</f>
        <v>96774526</v>
      </c>
      <c r="Z66" s="661"/>
      <c r="AA66" s="162" t="s">
        <v>111</v>
      </c>
      <c r="AB66" s="163">
        <f>AB54</f>
        <v>0</v>
      </c>
      <c r="AC66" s="56">
        <f>ROUND(Y66*AB66,0)</f>
        <v>0</v>
      </c>
      <c r="AD66" s="9"/>
    </row>
    <row r="67" spans="1:30" ht="20.25" customHeight="1" x14ac:dyDescent="0.25">
      <c r="B67" s="13" t="s">
        <v>119</v>
      </c>
      <c r="C67" s="13"/>
      <c r="D67" s="13"/>
      <c r="E67" s="13"/>
      <c r="F67" s="13"/>
      <c r="H67" s="164" t="s">
        <v>25</v>
      </c>
      <c r="I67" s="129">
        <v>96774526</v>
      </c>
      <c r="J67" s="165" t="s">
        <v>111</v>
      </c>
      <c r="K67" s="166">
        <f>K54</f>
        <v>6.0549999999999996E-3</v>
      </c>
      <c r="L67" s="50">
        <f>ROUND(I67*K67,0)</f>
        <v>585970</v>
      </c>
      <c r="O67" s="1"/>
      <c r="V67" s="651" t="s">
        <v>120</v>
      </c>
      <c r="W67" s="651"/>
      <c r="X67" s="651"/>
      <c r="Y67" s="651"/>
      <c r="Z67" s="651"/>
      <c r="AA67" s="651"/>
      <c r="AB67" s="651"/>
      <c r="AC67" s="651"/>
      <c r="AD67" s="9"/>
    </row>
    <row r="68" spans="1:30" ht="20.25" customHeight="1" x14ac:dyDescent="0.25">
      <c r="B68" s="13" t="s">
        <v>120</v>
      </c>
      <c r="C68" s="13"/>
      <c r="D68" s="13"/>
      <c r="E68" s="13"/>
      <c r="F68" s="13"/>
      <c r="H68" s="13"/>
      <c r="I68" s="13"/>
      <c r="J68" s="82"/>
      <c r="K68" s="13"/>
      <c r="L68" s="13"/>
      <c r="O68" s="1"/>
      <c r="V68" s="667" t="s">
        <v>121</v>
      </c>
      <c r="W68" s="667"/>
      <c r="X68" s="667"/>
      <c r="Y68" s="661">
        <f>+I69</f>
        <v>0</v>
      </c>
      <c r="Z68" s="661"/>
      <c r="AA68" s="162" t="s">
        <v>111</v>
      </c>
      <c r="AB68" s="163">
        <f>AB57</f>
        <v>0</v>
      </c>
      <c r="AC68" s="56">
        <f>ROUND(Y68*AB68,0)</f>
        <v>0</v>
      </c>
      <c r="AD68" s="9"/>
    </row>
    <row r="69" spans="1:30" ht="15" customHeight="1" x14ac:dyDescent="0.25">
      <c r="B69" s="170" t="s">
        <v>121</v>
      </c>
      <c r="C69" s="13"/>
      <c r="D69" s="13"/>
      <c r="E69" s="13"/>
      <c r="F69" s="13"/>
      <c r="H69" s="164" t="s">
        <v>23</v>
      </c>
      <c r="I69" s="129">
        <v>0</v>
      </c>
      <c r="J69" s="165" t="s">
        <v>111</v>
      </c>
      <c r="K69" s="166">
        <f>K57</f>
        <v>6.2509999999999996E-3</v>
      </c>
      <c r="L69" s="50">
        <f>ROUND(I69*K69,0)</f>
        <v>0</v>
      </c>
      <c r="O69" s="1"/>
      <c r="V69" s="651" t="s">
        <v>122</v>
      </c>
      <c r="W69" s="651"/>
      <c r="X69" s="651"/>
      <c r="Y69" s="668">
        <f>+I70</f>
        <v>-3460775</v>
      </c>
      <c r="Z69" s="668"/>
      <c r="AA69" s="162" t="s">
        <v>111</v>
      </c>
      <c r="AB69" s="163">
        <f>AB54</f>
        <v>0</v>
      </c>
      <c r="AC69" s="56">
        <f>ROUND(Y69*AB69,0)</f>
        <v>0</v>
      </c>
      <c r="AD69" s="9"/>
    </row>
    <row r="70" spans="1:30" ht="20.25" customHeight="1" x14ac:dyDescent="0.25">
      <c r="B70" s="13" t="s">
        <v>122</v>
      </c>
      <c r="C70" s="13"/>
      <c r="D70" s="13"/>
      <c r="E70" s="13"/>
      <c r="F70" s="13"/>
      <c r="H70" s="164" t="s">
        <v>22</v>
      </c>
      <c r="I70" s="129">
        <v>-3460775</v>
      </c>
      <c r="J70" s="165" t="s">
        <v>111</v>
      </c>
      <c r="K70" s="166">
        <f>K54</f>
        <v>6.0549999999999996E-3</v>
      </c>
      <c r="L70" s="50">
        <f>ROUND(I70*K70,0)</f>
        <v>-20955</v>
      </c>
      <c r="O70" s="1"/>
      <c r="V70" s="651" t="s">
        <v>123</v>
      </c>
      <c r="W70" s="651"/>
      <c r="X70" s="651"/>
      <c r="Y70" s="665">
        <f>+I71</f>
        <v>1874788</v>
      </c>
      <c r="Z70" s="665"/>
      <c r="AA70" s="162" t="s">
        <v>111</v>
      </c>
      <c r="AB70" s="163">
        <f>AB54</f>
        <v>0</v>
      </c>
      <c r="AC70" s="56">
        <f>ROUND(Y70*AB70,0)</f>
        <v>0</v>
      </c>
      <c r="AD70" s="9"/>
    </row>
    <row r="71" spans="1:30" ht="20.25" customHeight="1" x14ac:dyDescent="0.25">
      <c r="B71" s="13" t="s">
        <v>123</v>
      </c>
      <c r="C71" s="13"/>
      <c r="D71" s="13"/>
      <c r="E71" s="13"/>
      <c r="F71" s="13"/>
      <c r="H71" s="164" t="s">
        <v>22</v>
      </c>
      <c r="I71" s="129">
        <v>1874788</v>
      </c>
      <c r="J71" s="165" t="s">
        <v>111</v>
      </c>
      <c r="K71" s="166">
        <f>K54</f>
        <v>6.0549999999999996E-3</v>
      </c>
      <c r="L71" s="50">
        <f>ROUND(I71*K71,0)</f>
        <v>11352</v>
      </c>
      <c r="O71" s="1"/>
      <c r="V71" s="651" t="s">
        <v>124</v>
      </c>
      <c r="W71" s="651"/>
      <c r="X71" s="651"/>
      <c r="Y71" s="665">
        <f>+I72</f>
        <v>14223298</v>
      </c>
      <c r="Z71" s="665"/>
      <c r="AA71" s="162" t="s">
        <v>111</v>
      </c>
      <c r="AB71" s="163">
        <f>AB57</f>
        <v>0</v>
      </c>
      <c r="AC71" s="56">
        <f>ROUND(Y71*AB71,0)</f>
        <v>0</v>
      </c>
      <c r="AD71" s="9"/>
    </row>
    <row r="72" spans="1:30" ht="21" customHeight="1" x14ac:dyDescent="0.25">
      <c r="B72" s="13" t="s">
        <v>124</v>
      </c>
      <c r="C72" s="13"/>
      <c r="D72" s="13"/>
      <c r="E72" s="13"/>
      <c r="F72" s="13"/>
      <c r="H72" s="164" t="s">
        <v>23</v>
      </c>
      <c r="I72" s="171">
        <v>14223298</v>
      </c>
      <c r="J72" s="165" t="s">
        <v>111</v>
      </c>
      <c r="K72" s="166">
        <f>K57</f>
        <v>6.2509999999999996E-3</v>
      </c>
      <c r="L72" s="50">
        <f>ROUND(I72*K72,0)</f>
        <v>88910</v>
      </c>
      <c r="O72" s="1"/>
      <c r="V72" s="623" t="s">
        <v>125</v>
      </c>
      <c r="W72" s="623"/>
      <c r="X72" s="623"/>
      <c r="Y72" s="623"/>
      <c r="Z72" s="623"/>
      <c r="AA72" s="623"/>
      <c r="AB72" s="623"/>
      <c r="AC72" s="60"/>
      <c r="AD72" s="9"/>
    </row>
    <row r="73" spans="1:30" ht="17.25" customHeight="1" x14ac:dyDescent="0.25">
      <c r="B73" s="13" t="s">
        <v>125</v>
      </c>
      <c r="C73" s="13"/>
      <c r="D73" s="13"/>
      <c r="E73" s="13"/>
      <c r="F73" s="13"/>
      <c r="H73" s="13"/>
      <c r="I73" s="13"/>
      <c r="J73" s="82"/>
      <c r="K73" s="13"/>
      <c r="L73" s="59"/>
      <c r="O73" s="1"/>
      <c r="V73" s="651" t="s">
        <v>126</v>
      </c>
      <c r="W73" s="651"/>
      <c r="X73" s="651"/>
      <c r="Y73" s="651"/>
      <c r="Z73" s="651"/>
      <c r="AA73" s="651"/>
      <c r="AB73" s="651"/>
      <c r="AC73" s="651"/>
      <c r="AD73" s="9"/>
    </row>
    <row r="74" spans="1:30" ht="31.5" x14ac:dyDescent="0.25">
      <c r="B74" s="13" t="s">
        <v>126</v>
      </c>
      <c r="C74" s="13"/>
      <c r="D74" s="27" t="s">
        <v>13</v>
      </c>
      <c r="E74" s="27" t="s">
        <v>14</v>
      </c>
      <c r="F74" s="27"/>
      <c r="H74" s="164" t="s">
        <v>26</v>
      </c>
      <c r="I74" s="172"/>
      <c r="J74" s="164"/>
      <c r="K74" s="172"/>
      <c r="L74" s="112"/>
      <c r="O74" s="1"/>
      <c r="V74" s="666" t="s">
        <v>127</v>
      </c>
      <c r="W74" s="666"/>
      <c r="X74" s="173" t="s">
        <v>128</v>
      </c>
      <c r="Y74" s="174"/>
      <c r="Z74" s="175">
        <f>+I75</f>
        <v>232.5</v>
      </c>
      <c r="AA74" s="176" t="s">
        <v>129</v>
      </c>
      <c r="AB74" s="177">
        <f>+K75</f>
        <v>361</v>
      </c>
      <c r="AC74" s="56">
        <f>ROUND(AB74*Z74,0)</f>
        <v>83933</v>
      </c>
      <c r="AD74" s="9"/>
    </row>
    <row r="75" spans="1:30" ht="19.5" customHeight="1" x14ac:dyDescent="0.25">
      <c r="A75" s="1" t="s">
        <v>130</v>
      </c>
      <c r="B75" s="178" t="s">
        <v>127</v>
      </c>
      <c r="C75" s="179" t="s">
        <v>128</v>
      </c>
      <c r="D75" s="178">
        <v>209</v>
      </c>
      <c r="E75" s="178">
        <v>256</v>
      </c>
      <c r="F75" s="178">
        <v>0</v>
      </c>
      <c r="G75" s="180">
        <f>IF(E75=0,D75,E75)</f>
        <v>256</v>
      </c>
      <c r="H75" s="181"/>
      <c r="I75" s="182">
        <f>AVERAGE(G75,D75)</f>
        <v>232.5</v>
      </c>
      <c r="J75" s="183" t="s">
        <v>129</v>
      </c>
      <c r="K75" s="184">
        <v>361</v>
      </c>
      <c r="L75" s="50">
        <f>ROUND(K75*I75,0)</f>
        <v>83933</v>
      </c>
      <c r="N75" s="1">
        <v>7802</v>
      </c>
      <c r="O75" s="1">
        <v>0</v>
      </c>
      <c r="V75" s="666" t="s">
        <v>127</v>
      </c>
      <c r="W75" s="666"/>
      <c r="X75" s="173" t="s">
        <v>131</v>
      </c>
      <c r="Y75" s="185"/>
      <c r="Z75" s="186">
        <f>+I76</f>
        <v>1</v>
      </c>
      <c r="AA75" s="176" t="s">
        <v>129</v>
      </c>
      <c r="AB75" s="187">
        <f>+K76</f>
        <v>1358</v>
      </c>
      <c r="AC75" s="56">
        <f>ROUND(AB75*Z75,0)</f>
        <v>1358</v>
      </c>
      <c r="AD75" s="9"/>
    </row>
    <row r="76" spans="1:30" ht="19.5" customHeight="1" x14ac:dyDescent="0.25">
      <c r="A76" s="1" t="s">
        <v>132</v>
      </c>
      <c r="B76" s="178" t="s">
        <v>127</v>
      </c>
      <c r="C76" s="179" t="s">
        <v>131</v>
      </c>
      <c r="D76" s="178">
        <v>1</v>
      </c>
      <c r="E76" s="178">
        <v>1</v>
      </c>
      <c r="F76" s="178">
        <v>0</v>
      </c>
      <c r="G76" s="180">
        <f>IF(E76=0,D76,E76)</f>
        <v>1</v>
      </c>
      <c r="H76" s="181"/>
      <c r="I76" s="182">
        <f>AVERAGE(G76,D76)</f>
        <v>1</v>
      </c>
      <c r="J76" s="183" t="s">
        <v>129</v>
      </c>
      <c r="K76" s="188">
        <v>1358</v>
      </c>
      <c r="L76" s="50">
        <f>ROUND(K76*I76,0)</f>
        <v>1358</v>
      </c>
      <c r="N76" s="1">
        <v>7802</v>
      </c>
      <c r="O76" s="1">
        <v>110</v>
      </c>
      <c r="V76" s="651" t="s">
        <v>133</v>
      </c>
      <c r="W76" s="651"/>
      <c r="X76" s="651"/>
      <c r="Y76" s="661">
        <f>+I77</f>
        <v>33305823</v>
      </c>
      <c r="Z76" s="661"/>
      <c r="AA76" s="176" t="s">
        <v>129</v>
      </c>
      <c r="AB76" s="163">
        <f>AB54</f>
        <v>0</v>
      </c>
      <c r="AC76" s="56">
        <f>ROUND(Y76*AB76,0)</f>
        <v>0</v>
      </c>
      <c r="AD76" s="9"/>
    </row>
    <row r="77" spans="1:30" ht="26.25" customHeight="1" x14ac:dyDescent="0.25">
      <c r="B77" s="13" t="s">
        <v>133</v>
      </c>
      <c r="C77" s="13"/>
      <c r="D77" s="13"/>
      <c r="E77" s="13"/>
      <c r="F77" s="13"/>
      <c r="H77" s="164" t="s">
        <v>134</v>
      </c>
      <c r="I77" s="189">
        <v>33305823</v>
      </c>
      <c r="J77" s="165" t="s">
        <v>111</v>
      </c>
      <c r="K77" s="166">
        <f>K54</f>
        <v>6.0549999999999996E-3</v>
      </c>
      <c r="L77" s="50">
        <v>0</v>
      </c>
      <c r="O77" s="1"/>
      <c r="V77" s="651" t="str">
        <f>+B78</f>
        <v>15.  Additional Allocation (WFTE share)</v>
      </c>
      <c r="W77" s="651"/>
      <c r="X77" s="651"/>
      <c r="Y77" s="661">
        <f>+I78</f>
        <v>680688</v>
      </c>
      <c r="Z77" s="661"/>
      <c r="AA77" s="176" t="s">
        <v>129</v>
      </c>
      <c r="AB77" s="163">
        <f>AB54</f>
        <v>0</v>
      </c>
      <c r="AC77" s="56">
        <f>ROUND(Y77*AB77,0)</f>
        <v>0</v>
      </c>
      <c r="AD77" s="9"/>
    </row>
    <row r="78" spans="1:30" ht="26.25" customHeight="1" x14ac:dyDescent="0.25">
      <c r="B78" s="669" t="s">
        <v>135</v>
      </c>
      <c r="C78" s="669"/>
      <c r="D78" s="669"/>
      <c r="E78" s="13"/>
      <c r="F78" s="13"/>
      <c r="H78" s="164" t="s">
        <v>136</v>
      </c>
      <c r="I78" s="190">
        <v>680688</v>
      </c>
      <c r="J78" s="165" t="s">
        <v>111</v>
      </c>
      <c r="K78" s="166">
        <f>K54</f>
        <v>6.0549999999999996E-3</v>
      </c>
      <c r="L78" s="50">
        <f>ROUND(I78*K78,0)</f>
        <v>4122</v>
      </c>
      <c r="O78" s="1"/>
      <c r="V78" s="651" t="str">
        <f t="shared" ref="V78:V79" si="11">+B79</f>
        <v>16.  Florida Teachers Lead Program Stipend</v>
      </c>
      <c r="W78" s="651"/>
      <c r="X78" s="651"/>
      <c r="Y78" s="191"/>
      <c r="Z78" s="191"/>
      <c r="AA78" s="191"/>
      <c r="AB78" s="191"/>
      <c r="AC78" s="134"/>
      <c r="AD78" s="9"/>
    </row>
    <row r="79" spans="1:30" ht="21" customHeight="1" x14ac:dyDescent="0.25">
      <c r="B79" s="669" t="s">
        <v>137</v>
      </c>
      <c r="C79" s="669"/>
      <c r="D79" s="669"/>
      <c r="E79" s="13"/>
      <c r="F79" s="13"/>
      <c r="H79" s="164"/>
      <c r="I79" s="172"/>
      <c r="J79" s="172"/>
      <c r="K79" s="172"/>
      <c r="L79" s="129"/>
      <c r="N79" s="192"/>
      <c r="O79" s="1"/>
      <c r="Q79" s="164"/>
      <c r="V79" s="651" t="str">
        <f t="shared" si="11"/>
        <v>17.  Food Service Allocation</v>
      </c>
      <c r="W79" s="651"/>
      <c r="X79" s="651"/>
      <c r="Y79" s="191"/>
      <c r="Z79" s="191"/>
      <c r="AA79" s="191"/>
      <c r="AB79" s="191"/>
      <c r="AC79" s="193"/>
      <c r="AD79" s="9"/>
    </row>
    <row r="80" spans="1:30" ht="21" customHeight="1" x14ac:dyDescent="0.25">
      <c r="B80" s="669" t="s">
        <v>138</v>
      </c>
      <c r="C80" s="669"/>
      <c r="D80" s="669"/>
      <c r="E80" s="13"/>
      <c r="F80" s="13"/>
      <c r="H80" s="194" t="s">
        <v>139</v>
      </c>
      <c r="I80" s="195"/>
      <c r="J80" s="195"/>
      <c r="K80" s="195"/>
      <c r="L80" s="196"/>
      <c r="N80" s="197"/>
      <c r="O80" s="1"/>
      <c r="Q80" s="164"/>
      <c r="V80" s="191"/>
      <c r="W80" s="191"/>
      <c r="X80" s="191"/>
      <c r="Y80" s="191"/>
      <c r="Z80" s="191"/>
      <c r="AA80" s="191"/>
      <c r="AB80" s="191"/>
      <c r="AC80" s="193"/>
      <c r="AD80" s="9"/>
    </row>
    <row r="81" spans="1:30" ht="21" customHeight="1" thickBot="1" x14ac:dyDescent="0.3">
      <c r="B81" s="13"/>
      <c r="C81" s="13"/>
      <c r="D81" s="13"/>
      <c r="E81" s="13"/>
      <c r="F81" s="13"/>
      <c r="G81" s="13"/>
      <c r="H81" s="13"/>
      <c r="I81" s="13"/>
      <c r="J81" s="13"/>
      <c r="K81" s="13"/>
      <c r="L81" s="196"/>
      <c r="M81" s="198"/>
      <c r="N81" s="197"/>
      <c r="O81" s="1"/>
      <c r="Q81" s="164"/>
      <c r="V81" s="191" t="s">
        <v>140</v>
      </c>
      <c r="W81" s="191"/>
      <c r="X81" s="191"/>
      <c r="Y81" s="191"/>
      <c r="Z81" s="191"/>
      <c r="AA81" s="191"/>
      <c r="AB81" s="191"/>
      <c r="AC81" s="199">
        <f>SUM(AC44:AC80)</f>
        <v>85291</v>
      </c>
      <c r="AD81" s="200"/>
    </row>
    <row r="82" spans="1:30" ht="22.5" customHeight="1" thickTop="1" thickBot="1" x14ac:dyDescent="0.3">
      <c r="B82" s="13" t="s">
        <v>141</v>
      </c>
      <c r="C82" s="13"/>
      <c r="D82" s="13"/>
      <c r="E82" s="13"/>
      <c r="F82" s="13"/>
      <c r="G82" s="13"/>
      <c r="H82" s="13"/>
      <c r="I82" s="13"/>
      <c r="J82" s="13"/>
      <c r="K82" s="13"/>
      <c r="L82" s="201">
        <f>SUM(L44:L81)</f>
        <v>7251731</v>
      </c>
      <c r="M82" s="202"/>
      <c r="N82" s="203"/>
      <c r="O82" s="1"/>
      <c r="Q82" s="164"/>
      <c r="V82" s="191"/>
      <c r="W82" s="191"/>
      <c r="X82" s="191"/>
      <c r="Y82" s="191"/>
      <c r="Z82" s="191"/>
      <c r="AA82" s="191"/>
      <c r="AB82" s="191"/>
      <c r="AC82" s="204"/>
      <c r="AD82" s="200"/>
    </row>
    <row r="83" spans="1:30" ht="27.75" customHeight="1" thickTop="1" x14ac:dyDescent="0.25">
      <c r="B83" s="13" t="s">
        <v>142</v>
      </c>
      <c r="C83" s="13"/>
      <c r="D83" s="13"/>
      <c r="E83" s="13"/>
      <c r="F83" s="13"/>
      <c r="G83" s="13"/>
      <c r="H83" s="13"/>
      <c r="I83" s="13"/>
      <c r="J83" s="13"/>
      <c r="K83" s="82" t="s">
        <v>143</v>
      </c>
      <c r="L83" s="205" t="s">
        <v>144</v>
      </c>
      <c r="M83" s="202"/>
      <c r="N83" s="203"/>
      <c r="O83" s="1"/>
      <c r="Q83" s="164"/>
      <c r="V83" s="9" t="s">
        <v>145</v>
      </c>
      <c r="W83" s="9"/>
      <c r="X83" s="9"/>
      <c r="Y83" s="9"/>
      <c r="Z83" s="9"/>
      <c r="AA83" s="9"/>
      <c r="AB83" s="9"/>
      <c r="AC83" s="9"/>
      <c r="AD83" s="206"/>
    </row>
    <row r="84" spans="1:30" ht="18.75" customHeight="1" thickBot="1" x14ac:dyDescent="0.3">
      <c r="B84" s="13" t="s">
        <v>146</v>
      </c>
      <c r="C84" s="13"/>
      <c r="D84" s="13"/>
      <c r="E84" s="13"/>
      <c r="F84" s="13"/>
      <c r="G84" s="13"/>
      <c r="H84" s="13"/>
      <c r="I84" s="13"/>
      <c r="J84" s="13"/>
      <c r="K84" s="207" t="str">
        <f>IF(G26=0,"",IF((G11+G13+SUM(G15:G21))/G26&gt;0.75,1,""))</f>
        <v/>
      </c>
      <c r="L84" s="201">
        <f>'4020'!AC81</f>
        <v>85291</v>
      </c>
      <c r="M84" s="202"/>
      <c r="N84" s="203"/>
      <c r="O84" s="1"/>
      <c r="Q84" s="164"/>
      <c r="V84" s="208" t="s">
        <v>147</v>
      </c>
      <c r="W84" s="208"/>
      <c r="X84" s="208"/>
      <c r="Y84" s="208"/>
      <c r="Z84" s="208"/>
      <c r="AA84" s="208"/>
      <c r="AB84" s="208"/>
      <c r="AC84" s="208"/>
      <c r="AD84" s="9"/>
    </row>
    <row r="85" spans="1:30" ht="18.75" customHeight="1" thickTop="1" x14ac:dyDescent="0.25">
      <c r="B85" s="13"/>
      <c r="C85" s="13"/>
      <c r="D85" s="13"/>
      <c r="E85" s="13"/>
      <c r="F85" s="13"/>
      <c r="G85" s="13"/>
      <c r="H85" s="13"/>
      <c r="I85" s="13"/>
      <c r="J85" s="13"/>
      <c r="M85" s="202"/>
      <c r="N85" s="203"/>
      <c r="O85" s="1"/>
      <c r="Q85" s="164"/>
      <c r="V85" s="208" t="s">
        <v>148</v>
      </c>
      <c r="W85" s="208"/>
      <c r="X85" s="208"/>
      <c r="Y85" s="208"/>
      <c r="Z85" s="208"/>
      <c r="AA85" s="208"/>
      <c r="AB85" s="208"/>
      <c r="AC85" s="208"/>
      <c r="AD85" s="206"/>
    </row>
    <row r="86" spans="1:30" ht="18.75" customHeight="1" x14ac:dyDescent="0.25">
      <c r="B86" s="2" t="s">
        <v>149</v>
      </c>
      <c r="C86" s="13"/>
      <c r="D86" s="13"/>
      <c r="E86" s="13"/>
      <c r="F86" s="13"/>
      <c r="G86" s="13"/>
      <c r="H86" s="13"/>
      <c r="I86" s="13"/>
      <c r="J86" s="209" t="s">
        <v>150</v>
      </c>
      <c r="K86" s="210">
        <f>IF(K84=1,L84,L82)</f>
        <v>7251731</v>
      </c>
      <c r="L86" s="211">
        <f>IF(G26=0,0,IF(G26&gt;250,-(((250/G26)*K86)*IF(M86="H",0.02,0.05)),IF(M86="H",-0.02*K86,-0.05*K86)))</f>
        <v>-80440.364102655119</v>
      </c>
      <c r="M86" s="212" t="str">
        <f>IF(B123="2801","H",IF(B123="2911","H",IF(B123="3382","H"," ")))</f>
        <v xml:space="preserve"> </v>
      </c>
      <c r="N86" s="203"/>
      <c r="O86" s="1"/>
      <c r="Q86" s="164"/>
      <c r="V86" s="208" t="s">
        <v>151</v>
      </c>
      <c r="W86" s="208"/>
      <c r="X86" s="208"/>
      <c r="Y86" s="208"/>
      <c r="Z86" s="208"/>
      <c r="AA86" s="208"/>
      <c r="AB86" s="208"/>
      <c r="AC86" s="208"/>
      <c r="AD86" s="206"/>
    </row>
    <row r="87" spans="1:30" ht="18.75" customHeight="1" x14ac:dyDescent="0.25">
      <c r="B87" s="2" t="s">
        <v>152</v>
      </c>
      <c r="C87" s="13"/>
      <c r="D87" s="13"/>
      <c r="E87" s="13"/>
      <c r="F87" s="13"/>
      <c r="G87" s="13"/>
      <c r="H87" s="13"/>
      <c r="I87" s="13"/>
      <c r="J87" s="13"/>
      <c r="K87" s="213"/>
      <c r="L87" s="205">
        <f>L82+L86</f>
        <v>7171290.6358973449</v>
      </c>
      <c r="M87" s="202"/>
      <c r="N87" s="203"/>
      <c r="O87" s="1"/>
      <c r="Q87" s="164"/>
      <c r="V87" s="198"/>
      <c r="W87" s="198"/>
      <c r="X87" s="198"/>
      <c r="Y87" s="198"/>
      <c r="Z87" s="198"/>
      <c r="AA87" s="198"/>
      <c r="AB87" s="198"/>
      <c r="AC87" s="198"/>
      <c r="AD87" s="214"/>
    </row>
    <row r="88" spans="1:30" x14ac:dyDescent="0.25">
      <c r="V88" s="198"/>
      <c r="W88" s="198"/>
      <c r="X88" s="198"/>
      <c r="Y88" s="198"/>
      <c r="Z88" s="198"/>
      <c r="AA88" s="198"/>
      <c r="AB88" s="198"/>
      <c r="AC88" s="198"/>
      <c r="AD88" s="215"/>
    </row>
    <row r="89" spans="1:30" ht="18.75" customHeight="1" x14ac:dyDescent="0.25">
      <c r="A89" s="1" t="s">
        <v>153</v>
      </c>
      <c r="B89" s="13" t="s">
        <v>154</v>
      </c>
      <c r="C89" s="13"/>
      <c r="D89" s="13">
        <v>3538425</v>
      </c>
      <c r="E89" s="13">
        <v>633919</v>
      </c>
      <c r="F89" s="13">
        <v>6007452</v>
      </c>
      <c r="G89" s="13"/>
      <c r="H89" s="13"/>
      <c r="I89" s="13"/>
      <c r="J89" s="13"/>
      <c r="K89" s="213"/>
      <c r="L89" s="84">
        <f>-F89-583883</f>
        <v>-6591335</v>
      </c>
      <c r="M89" s="202"/>
      <c r="N89" s="203"/>
      <c r="O89" s="1"/>
      <c r="Q89" s="164"/>
      <c r="V89" s="198">
        <v>2801</v>
      </c>
      <c r="W89" s="198"/>
      <c r="X89" s="198"/>
      <c r="Y89" s="198"/>
      <c r="Z89" s="198"/>
      <c r="AA89" s="198"/>
      <c r="AB89" s="198"/>
      <c r="AC89" s="198"/>
      <c r="AD89" s="214"/>
    </row>
    <row r="90" spans="1:30" ht="18.75" customHeight="1" x14ac:dyDescent="0.25">
      <c r="B90" s="13" t="s">
        <v>155</v>
      </c>
      <c r="C90" s="13"/>
      <c r="D90" s="13"/>
      <c r="E90" s="13"/>
      <c r="F90" s="13"/>
      <c r="G90" s="13"/>
      <c r="H90" s="13"/>
      <c r="I90" s="13"/>
      <c r="J90" s="13"/>
      <c r="K90" s="213"/>
      <c r="L90" s="205">
        <f>L87+L89</f>
        <v>579955.63589734491</v>
      </c>
      <c r="M90" s="202"/>
      <c r="N90" s="203"/>
      <c r="O90" s="1"/>
      <c r="Q90" s="164"/>
      <c r="V90" s="198">
        <v>2911</v>
      </c>
      <c r="W90" s="216"/>
      <c r="X90" s="216"/>
      <c r="Y90" s="216"/>
      <c r="Z90" s="216"/>
      <c r="AA90" s="216"/>
      <c r="AB90" s="216"/>
      <c r="AC90" s="216"/>
      <c r="AD90" s="214"/>
    </row>
    <row r="91" spans="1:30" ht="18.75" customHeight="1" x14ac:dyDescent="0.25">
      <c r="B91" s="13" t="s">
        <v>156</v>
      </c>
      <c r="C91" s="13"/>
      <c r="D91" s="13"/>
      <c r="E91" s="13"/>
      <c r="F91" s="13"/>
      <c r="G91" s="13"/>
      <c r="H91" s="13"/>
      <c r="I91" s="13"/>
      <c r="J91" s="13"/>
      <c r="K91" s="213"/>
      <c r="L91" s="205">
        <v>1</v>
      </c>
      <c r="M91" s="202"/>
      <c r="N91" s="203"/>
      <c r="O91" s="1"/>
      <c r="Q91" s="164"/>
      <c r="V91" s="198">
        <v>3382</v>
      </c>
      <c r="W91" s="216"/>
      <c r="X91" s="216"/>
      <c r="Y91" s="216"/>
      <c r="Z91" s="216"/>
      <c r="AA91" s="216"/>
      <c r="AB91" s="216"/>
      <c r="AC91" s="216"/>
      <c r="AD91" s="214"/>
    </row>
    <row r="92" spans="1:30" ht="18.75" customHeight="1" thickBot="1" x14ac:dyDescent="0.3">
      <c r="B92" s="13" t="s">
        <v>157</v>
      </c>
      <c r="C92" s="13"/>
      <c r="D92" s="13"/>
      <c r="E92" s="13"/>
      <c r="F92" s="13"/>
      <c r="G92" s="13"/>
      <c r="H92" s="13"/>
      <c r="I92" s="13"/>
      <c r="J92" s="13"/>
      <c r="K92" s="213"/>
      <c r="L92" s="217">
        <f>L90/L91</f>
        <v>579955.63589734491</v>
      </c>
      <c r="M92" s="202"/>
      <c r="N92" s="203"/>
      <c r="O92" s="1"/>
      <c r="Q92" s="164"/>
      <c r="V92" s="218"/>
      <c r="W92" s="218"/>
      <c r="X92" s="218"/>
      <c r="Y92" s="218"/>
      <c r="Z92" s="218"/>
      <c r="AA92" s="218"/>
      <c r="AB92" s="218"/>
      <c r="AC92" s="218"/>
      <c r="AD92" s="219"/>
    </row>
    <row r="93" spans="1:30" ht="18.75" customHeight="1" thickTop="1" x14ac:dyDescent="0.25">
      <c r="N93" s="219"/>
      <c r="O93" s="220"/>
      <c r="P93" s="219"/>
      <c r="Q93" s="219"/>
      <c r="V93" s="218"/>
      <c r="W93" s="218"/>
      <c r="X93" s="218"/>
      <c r="Y93" s="218"/>
      <c r="Z93" s="218"/>
      <c r="AA93" s="218"/>
      <c r="AB93" s="218"/>
      <c r="AC93" s="218"/>
      <c r="AD93" s="214"/>
    </row>
    <row r="94" spans="1:30" ht="18.75" customHeight="1" thickBot="1" x14ac:dyDescent="0.3">
      <c r="B94" s="221" t="s">
        <v>158</v>
      </c>
      <c r="C94" s="13"/>
      <c r="D94" s="13"/>
      <c r="E94" s="13"/>
      <c r="G94" s="13"/>
      <c r="H94" s="13"/>
      <c r="I94" s="13"/>
      <c r="J94" s="13"/>
      <c r="L94" s="222">
        <f>IF(M86="H",(K86*0.02)+L86,(K86*0.05)+L86)</f>
        <v>282146.18589734496</v>
      </c>
      <c r="M94" s="202"/>
      <c r="V94" s="223"/>
      <c r="W94" s="223"/>
      <c r="X94" s="223"/>
      <c r="Y94" s="223"/>
      <c r="Z94" s="223"/>
      <c r="AA94" s="223"/>
      <c r="AB94" s="223"/>
      <c r="AC94" s="223"/>
      <c r="AD94" s="214"/>
    </row>
    <row r="95" spans="1:30" ht="21.75" customHeight="1" thickTop="1" x14ac:dyDescent="0.25">
      <c r="B95" s="224" t="s">
        <v>159</v>
      </c>
      <c r="C95" s="224"/>
      <c r="D95" s="224"/>
      <c r="E95" s="224"/>
      <c r="F95" s="224"/>
      <c r="G95" s="224"/>
      <c r="H95" s="224"/>
      <c r="I95" s="224"/>
      <c r="J95" s="224"/>
      <c r="K95" s="224"/>
      <c r="L95" s="224"/>
      <c r="M95" s="219"/>
      <c r="V95" s="223"/>
      <c r="W95" s="223"/>
      <c r="X95" s="223"/>
      <c r="Y95" s="223"/>
      <c r="Z95" s="223"/>
      <c r="AA95" s="223"/>
      <c r="AB95" s="223"/>
      <c r="AC95" s="223"/>
      <c r="AD95" s="214"/>
    </row>
    <row r="96" spans="1:30" x14ac:dyDescent="0.25">
      <c r="B96" s="225"/>
      <c r="V96" s="223"/>
      <c r="W96" s="223"/>
      <c r="X96" s="223"/>
      <c r="Y96" s="223"/>
      <c r="Z96" s="223"/>
      <c r="AA96" s="223"/>
      <c r="AB96" s="223"/>
      <c r="AC96" s="223"/>
      <c r="AD96" s="219"/>
    </row>
    <row r="97" spans="2:30" x14ac:dyDescent="0.25">
      <c r="B97" s="225"/>
      <c r="V97" s="223"/>
      <c r="W97" s="223"/>
      <c r="X97" s="223"/>
      <c r="Y97" s="223"/>
      <c r="Z97" s="223"/>
      <c r="AA97" s="223"/>
      <c r="AB97" s="223"/>
      <c r="AC97" s="223"/>
      <c r="AD97" s="219"/>
    </row>
    <row r="98" spans="2:30" hidden="1" x14ac:dyDescent="0.25">
      <c r="B98" s="226" t="s">
        <v>160</v>
      </c>
      <c r="C98" s="227"/>
      <c r="V98" s="228"/>
      <c r="W98" s="228"/>
      <c r="X98" s="228"/>
      <c r="Y98" s="228"/>
      <c r="Z98" s="228"/>
      <c r="AA98" s="228"/>
      <c r="AB98" s="228"/>
      <c r="AC98" s="228"/>
    </row>
    <row r="99" spans="2:30" hidden="1" x14ac:dyDescent="0.25">
      <c r="B99" s="229"/>
      <c r="C99" s="227"/>
      <c r="V99" s="225"/>
      <c r="W99" s="13"/>
      <c r="X99" s="13"/>
      <c r="Y99" s="13"/>
      <c r="Z99" s="13"/>
      <c r="AA99" s="13"/>
      <c r="AB99" s="13"/>
      <c r="AC99" s="13"/>
    </row>
    <row r="100" spans="2:30" hidden="1" x14ac:dyDescent="0.25">
      <c r="B100" s="230" t="s">
        <v>161</v>
      </c>
      <c r="C100" s="226" t="s">
        <v>162</v>
      </c>
      <c r="V100" s="225"/>
    </row>
    <row r="101" spans="2:30" hidden="1" x14ac:dyDescent="0.25">
      <c r="B101" s="230" t="s">
        <v>163</v>
      </c>
      <c r="C101" s="226" t="s">
        <v>164</v>
      </c>
      <c r="V101" s="225"/>
    </row>
    <row r="102" spans="2:30" hidden="1" x14ac:dyDescent="0.25">
      <c r="B102" s="230" t="s">
        <v>165</v>
      </c>
      <c r="C102" s="226" t="s">
        <v>166</v>
      </c>
      <c r="V102" s="225"/>
      <c r="W102" s="231"/>
      <c r="X102" s="231"/>
      <c r="Y102" s="231"/>
      <c r="Z102" s="231"/>
      <c r="AA102" s="231"/>
      <c r="AB102" s="231"/>
      <c r="AC102" s="231"/>
      <c r="AD102" s="231"/>
    </row>
    <row r="103" spans="2:30" hidden="1" x14ac:dyDescent="0.25">
      <c r="B103" s="230" t="s">
        <v>167</v>
      </c>
      <c r="C103" s="226" t="s">
        <v>168</v>
      </c>
      <c r="V103" s="225"/>
    </row>
    <row r="104" spans="2:30" hidden="1" x14ac:dyDescent="0.25">
      <c r="B104" s="232"/>
      <c r="C104" s="226" t="s">
        <v>169</v>
      </c>
      <c r="V104" s="225"/>
    </row>
    <row r="105" spans="2:30" hidden="1" x14ac:dyDescent="0.25">
      <c r="B105" s="230" t="s">
        <v>170</v>
      </c>
      <c r="C105" s="226" t="s">
        <v>171</v>
      </c>
      <c r="V105" s="225"/>
    </row>
    <row r="106" spans="2:30" hidden="1" x14ac:dyDescent="0.25">
      <c r="B106" s="230" t="s">
        <v>172</v>
      </c>
      <c r="C106" s="226" t="s">
        <v>173</v>
      </c>
      <c r="V106" s="225"/>
    </row>
    <row r="107" spans="2:30" hidden="1" x14ac:dyDescent="0.25">
      <c r="B107" s="230" t="s">
        <v>336</v>
      </c>
      <c r="C107" s="226" t="s">
        <v>175</v>
      </c>
      <c r="V107" s="225"/>
    </row>
    <row r="108" spans="2:30" hidden="1" x14ac:dyDescent="0.25">
      <c r="B108" s="230" t="s">
        <v>176</v>
      </c>
      <c r="C108" s="226" t="s">
        <v>177</v>
      </c>
      <c r="V108" s="225"/>
    </row>
    <row r="109" spans="2:30" hidden="1" x14ac:dyDescent="0.25">
      <c r="B109" s="230" t="s">
        <v>178</v>
      </c>
      <c r="C109" s="226" t="s">
        <v>179</v>
      </c>
      <c r="V109" s="225"/>
    </row>
    <row r="110" spans="2:30" hidden="1" x14ac:dyDescent="0.25">
      <c r="B110" s="232"/>
      <c r="C110" s="226"/>
      <c r="V110" s="225"/>
    </row>
    <row r="111" spans="2:30" hidden="1" x14ac:dyDescent="0.25">
      <c r="B111" s="230" t="s">
        <v>180</v>
      </c>
      <c r="C111" s="226" t="s">
        <v>181</v>
      </c>
      <c r="V111" s="225"/>
    </row>
    <row r="112" spans="2:30" hidden="1" x14ac:dyDescent="0.25">
      <c r="B112" s="230" t="s">
        <v>180</v>
      </c>
      <c r="C112" s="226" t="s">
        <v>182</v>
      </c>
    </row>
    <row r="113" spans="2:3" hidden="1" x14ac:dyDescent="0.25">
      <c r="B113" s="230" t="s">
        <v>183</v>
      </c>
      <c r="C113" s="226" t="s">
        <v>184</v>
      </c>
    </row>
    <row r="114" spans="2:3" hidden="1" x14ac:dyDescent="0.25">
      <c r="B114" s="230" t="s">
        <v>185</v>
      </c>
      <c r="C114" s="226" t="s">
        <v>186</v>
      </c>
    </row>
    <row r="115" spans="2:3" hidden="1" x14ac:dyDescent="0.25">
      <c r="B115" s="230" t="s">
        <v>183</v>
      </c>
      <c r="C115" s="226" t="s">
        <v>187</v>
      </c>
    </row>
    <row r="116" spans="2:3" hidden="1" x14ac:dyDescent="0.25">
      <c r="B116" s="230" t="s">
        <v>188</v>
      </c>
      <c r="C116" s="226" t="s">
        <v>189</v>
      </c>
    </row>
    <row r="117" spans="2:3" hidden="1" x14ac:dyDescent="0.25">
      <c r="B117" s="230" t="s">
        <v>190</v>
      </c>
      <c r="C117" s="226" t="s">
        <v>191</v>
      </c>
    </row>
    <row r="118" spans="2:3" hidden="1" x14ac:dyDescent="0.25">
      <c r="B118" s="232" t="s">
        <v>192</v>
      </c>
      <c r="C118" s="226" t="s">
        <v>193</v>
      </c>
    </row>
    <row r="119" spans="2:3" hidden="1" x14ac:dyDescent="0.25">
      <c r="B119" s="232"/>
      <c r="C119" s="226"/>
    </row>
    <row r="120" spans="2:3" hidden="1" x14ac:dyDescent="0.25">
      <c r="B120" s="230" t="s">
        <v>161</v>
      </c>
      <c r="C120" s="226" t="s">
        <v>194</v>
      </c>
    </row>
    <row r="121" spans="2:3" hidden="1" x14ac:dyDescent="0.25">
      <c r="B121" s="230" t="s">
        <v>195</v>
      </c>
      <c r="C121" s="226" t="s">
        <v>196</v>
      </c>
    </row>
    <row r="122" spans="2:3" hidden="1" x14ac:dyDescent="0.25">
      <c r="B122" s="230" t="s">
        <v>197</v>
      </c>
      <c r="C122" s="226" t="s">
        <v>198</v>
      </c>
    </row>
    <row r="123" spans="2:3" hidden="1" x14ac:dyDescent="0.25">
      <c r="B123" s="230" t="s">
        <v>337</v>
      </c>
      <c r="C123" s="226" t="s">
        <v>200</v>
      </c>
    </row>
    <row r="124" spans="2:3" hidden="1" x14ac:dyDescent="0.25">
      <c r="B124" s="230" t="s">
        <v>338</v>
      </c>
      <c r="C124" s="226" t="s">
        <v>202</v>
      </c>
    </row>
    <row r="125" spans="2:3" hidden="1" x14ac:dyDescent="0.25">
      <c r="B125" s="230" t="s">
        <v>203</v>
      </c>
      <c r="C125" s="226" t="s">
        <v>204</v>
      </c>
    </row>
    <row r="126" spans="2:3" hidden="1" x14ac:dyDescent="0.25">
      <c r="B126" s="230" t="s">
        <v>203</v>
      </c>
      <c r="C126" s="226" t="s">
        <v>205</v>
      </c>
    </row>
    <row r="127" spans="2:3" hidden="1" x14ac:dyDescent="0.25">
      <c r="B127" s="230" t="s">
        <v>203</v>
      </c>
      <c r="C127" s="226" t="s">
        <v>206</v>
      </c>
    </row>
    <row r="128" spans="2:3" hidden="1" x14ac:dyDescent="0.25">
      <c r="B128" s="230" t="s">
        <v>203</v>
      </c>
      <c r="C128" s="226" t="s">
        <v>207</v>
      </c>
    </row>
    <row r="129" spans="2:3" hidden="1" x14ac:dyDescent="0.25">
      <c r="B129" s="230" t="s">
        <v>167</v>
      </c>
      <c r="C129" s="226" t="s">
        <v>208</v>
      </c>
    </row>
    <row r="130" spans="2:3" hidden="1" x14ac:dyDescent="0.25">
      <c r="B130" s="230" t="s">
        <v>209</v>
      </c>
      <c r="C130" s="226" t="s">
        <v>210</v>
      </c>
    </row>
    <row r="131" spans="2:3" hidden="1" x14ac:dyDescent="0.25">
      <c r="B131" s="230" t="s">
        <v>203</v>
      </c>
      <c r="C131" s="226" t="s">
        <v>211</v>
      </c>
    </row>
    <row r="132" spans="2:3" hidden="1" x14ac:dyDescent="0.25">
      <c r="B132" s="226"/>
      <c r="C132" s="226"/>
    </row>
    <row r="133" spans="2:3" hidden="1" x14ac:dyDescent="0.25">
      <c r="B133" s="226"/>
      <c r="C133" s="226"/>
    </row>
    <row r="134" spans="2:3" hidden="1" x14ac:dyDescent="0.25">
      <c r="B134" s="232"/>
      <c r="C134" s="232"/>
    </row>
    <row r="135" spans="2:3" hidden="1" x14ac:dyDescent="0.25">
      <c r="B135" s="232">
        <f>NvsElapsedTime</f>
        <v>1.15740695036948E-5</v>
      </c>
      <c r="C135" s="232"/>
    </row>
    <row r="136" spans="2:3" hidden="1" x14ac:dyDescent="0.25">
      <c r="B136" s="233">
        <f>NvsEndTime</f>
        <v>41754.488194444399</v>
      </c>
      <c r="C136" s="233" t="s">
        <v>212</v>
      </c>
    </row>
    <row r="137" spans="2:3" x14ac:dyDescent="0.25">
      <c r="B137" s="226"/>
      <c r="C137" s="234"/>
    </row>
    <row r="138" spans="2:3" x14ac:dyDescent="0.25">
      <c r="B138" s="226"/>
      <c r="C138" s="226"/>
    </row>
    <row r="139" spans="2:3" x14ac:dyDescent="0.25">
      <c r="B139" s="226"/>
      <c r="C139" s="226"/>
    </row>
    <row r="140" spans="2:3" x14ac:dyDescent="0.25">
      <c r="B140" s="226"/>
      <c r="C140" s="226"/>
    </row>
    <row r="141" spans="2:3" x14ac:dyDescent="0.25">
      <c r="B141" s="226"/>
      <c r="C141" s="226"/>
    </row>
    <row r="142" spans="2:3" x14ac:dyDescent="0.25">
      <c r="B142" s="226"/>
      <c r="C142" s="226"/>
    </row>
    <row r="143" spans="2:3" x14ac:dyDescent="0.25">
      <c r="B143" s="226"/>
      <c r="C143" s="226"/>
    </row>
    <row r="144" spans="2:3" x14ac:dyDescent="0.25">
      <c r="B144" s="226"/>
      <c r="C144" s="226"/>
    </row>
    <row r="145" spans="2:3" x14ac:dyDescent="0.25">
      <c r="B145" s="226"/>
      <c r="C145" s="226"/>
    </row>
    <row r="146" spans="2:3" x14ac:dyDescent="0.25">
      <c r="B146" s="226"/>
      <c r="C146" s="226"/>
    </row>
    <row r="147" spans="2:3" x14ac:dyDescent="0.25">
      <c r="B147" s="226"/>
      <c r="C147" s="226"/>
    </row>
    <row r="148" spans="2:3" x14ac:dyDescent="0.25">
      <c r="B148" s="226"/>
      <c r="C148" s="226"/>
    </row>
    <row r="149" spans="2:3" x14ac:dyDescent="0.25">
      <c r="B149" s="226"/>
      <c r="C149" s="226"/>
    </row>
    <row r="150" spans="2:3" x14ac:dyDescent="0.25">
      <c r="B150" s="226"/>
      <c r="C150" s="226"/>
    </row>
    <row r="151" spans="2:3" x14ac:dyDescent="0.25">
      <c r="B151" s="226"/>
      <c r="C151" s="226"/>
    </row>
  </sheetData>
  <mergeCells count="151">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9:W9"/>
    <mergeCell ref="X9:Y9"/>
    <mergeCell ref="Z9:AA9"/>
    <mergeCell ref="V10:W10"/>
    <mergeCell ref="X10:Y10"/>
    <mergeCell ref="Z10:AA10"/>
    <mergeCell ref="V7:W7"/>
    <mergeCell ref="X7:Y7"/>
    <mergeCell ref="Z7:AA7"/>
    <mergeCell ref="AB7:AC7"/>
    <mergeCell ref="V8:W8"/>
    <mergeCell ref="X8:Y8"/>
    <mergeCell ref="Z8:AA8"/>
    <mergeCell ref="W2:AC2"/>
    <mergeCell ref="V3:AC3"/>
    <mergeCell ref="V4:AC4"/>
    <mergeCell ref="V5:W5"/>
    <mergeCell ref="X5:Y5"/>
    <mergeCell ref="V6:AC6"/>
  </mergeCells>
  <printOptions horizontalCentered="1"/>
  <pageMargins left="0" right="0" top="0.67" bottom="0.2" header="0.25" footer="0.196850393700787"/>
  <pageSetup scale="72" fitToHeight="2" orientation="portrait" r:id="rId1"/>
  <headerFooter alignWithMargins="0">
    <oddHeader>&amp;L&amp;8&amp;F
&amp;D &amp;T</oddHeader>
    <oddFooter>&amp;C&amp;P</oddFooter>
  </headerFooter>
  <rowBreaks count="1" manualBreakCount="1">
    <brk id="51" max="16383" man="1"/>
  </rowBreaks>
  <legacyDrawing r:id="rId2"/>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D151"/>
  <sheetViews>
    <sheetView topLeftCell="B2" zoomScale="70" zoomScaleNormal="70" workbookViewId="0">
      <selection activeCell="L71" sqref="L70:L71"/>
    </sheetView>
  </sheetViews>
  <sheetFormatPr defaultColWidth="8.85546875" defaultRowHeight="15.75" x14ac:dyDescent="0.25"/>
  <cols>
    <col min="1" max="1" width="11.28515625" style="1" hidden="1" customWidth="1"/>
    <col min="2" max="2" width="10.28515625" style="2" customWidth="1"/>
    <col min="3" max="3" width="29" style="1" customWidth="1"/>
    <col min="4" max="5" width="12.28515625" style="1" customWidth="1"/>
    <col min="6" max="6" width="12.28515625" style="1" hidden="1" customWidth="1"/>
    <col min="7" max="7" width="16.140625" style="1" customWidth="1"/>
    <col min="8" max="8" width="6.7109375" style="1" customWidth="1"/>
    <col min="9" max="9" width="14.28515625" style="1" customWidth="1"/>
    <col min="10" max="10" width="12.85546875" style="1" customWidth="1"/>
    <col min="11" max="11" width="16.140625" style="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28515625" style="1" customWidth="1"/>
    <col min="18" max="18" width="8.85546875" style="1"/>
    <col min="19" max="21" width="0" style="1" hidden="1" customWidth="1"/>
    <col min="22" max="23" width="8.85546875" style="1"/>
    <col min="24" max="24" width="12.7109375" style="1" customWidth="1"/>
    <col min="25" max="27" width="8.85546875" style="1"/>
    <col min="28" max="28" width="13.140625" style="1" bestFit="1" customWidth="1"/>
    <col min="29" max="16384" width="8.85546875" style="1"/>
  </cols>
  <sheetData>
    <row r="1" spans="1:30" ht="15.6"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7"/>
      <c r="N2" s="3"/>
      <c r="O2" s="1"/>
      <c r="V2" s="8">
        <f>'4020 June Tch Alloc.'!B2</f>
        <v>50</v>
      </c>
      <c r="W2" s="606" t="s">
        <v>4</v>
      </c>
      <c r="X2" s="607"/>
      <c r="Y2" s="608"/>
      <c r="Z2" s="608"/>
      <c r="AA2" s="608"/>
      <c r="AB2" s="608"/>
      <c r="AC2" s="608"/>
      <c r="AD2" s="9"/>
    </row>
    <row r="3" spans="1:30" ht="20.25" x14ac:dyDescent="0.3">
      <c r="B3" s="10" t="str">
        <f>"Revenue Estimate Worksheet for "&amp;B124</f>
        <v>Revenue Estimate Worksheet for Franklin Academy Cht School B</v>
      </c>
      <c r="C3" s="11"/>
      <c r="D3" s="11"/>
      <c r="E3" s="11"/>
      <c r="F3" s="11"/>
      <c r="G3" s="11"/>
      <c r="H3" s="11"/>
      <c r="I3" s="11"/>
      <c r="J3" s="11"/>
      <c r="K3" s="11"/>
      <c r="L3" s="11"/>
      <c r="M3" s="10"/>
      <c r="N3" s="10"/>
      <c r="O3" s="10"/>
      <c r="P3" s="10"/>
      <c r="Q3" s="10"/>
      <c r="V3" s="609" t="s">
        <v>5</v>
      </c>
      <c r="W3" s="609"/>
      <c r="X3" s="609"/>
      <c r="Y3" s="609"/>
      <c r="Z3" s="609"/>
      <c r="AA3" s="609"/>
      <c r="AB3" s="609"/>
      <c r="AC3" s="609"/>
      <c r="AD3" s="12"/>
    </row>
    <row r="4" spans="1:30" ht="18.75" x14ac:dyDescent="0.3">
      <c r="B4" s="2" t="s">
        <v>6</v>
      </c>
      <c r="C4" s="13"/>
      <c r="D4" s="13"/>
      <c r="E4" s="13"/>
      <c r="F4" s="13"/>
      <c r="G4" s="13"/>
      <c r="H4" s="13"/>
      <c r="I4" s="13"/>
      <c r="J4" s="13"/>
      <c r="K4" s="13"/>
      <c r="L4" s="13"/>
      <c r="M4" s="14"/>
      <c r="N4" s="14"/>
      <c r="O4" s="14"/>
      <c r="P4" s="14"/>
      <c r="Q4" s="14"/>
      <c r="V4" s="610" t="str">
        <f>+Based_on_the_Second_Calculation_of_the_FEFP_2010_11</f>
        <v>Based on the Fourth Calculation of the FEFP 2013-14</v>
      </c>
      <c r="W4" s="610"/>
      <c r="X4" s="610"/>
      <c r="Y4" s="610"/>
      <c r="Z4" s="610"/>
      <c r="AA4" s="610"/>
      <c r="AB4" s="610"/>
      <c r="AC4" s="610"/>
      <c r="AD4" s="15"/>
    </row>
    <row r="5" spans="1:30" ht="18.75" customHeight="1" x14ac:dyDescent="0.25">
      <c r="B5" s="16" t="s">
        <v>7</v>
      </c>
      <c r="C5" s="16"/>
      <c r="D5" s="16"/>
      <c r="E5" s="16"/>
      <c r="F5" s="16"/>
      <c r="G5" s="17" t="s">
        <v>8</v>
      </c>
      <c r="H5" s="17"/>
      <c r="I5" s="17"/>
      <c r="J5" s="17"/>
      <c r="K5" s="17"/>
      <c r="L5" s="17"/>
      <c r="M5" s="18"/>
      <c r="N5" s="18"/>
      <c r="O5" s="18"/>
      <c r="P5" s="18"/>
      <c r="Q5" s="18"/>
      <c r="V5" s="611" t="s">
        <v>7</v>
      </c>
      <c r="W5" s="611"/>
      <c r="X5" s="612" t="s">
        <v>8</v>
      </c>
      <c r="Y5" s="612"/>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613" t="s">
        <v>9</v>
      </c>
      <c r="W6" s="613"/>
      <c r="X6" s="613"/>
      <c r="Y6" s="613"/>
      <c r="Z6" s="613"/>
      <c r="AA6" s="613"/>
      <c r="AB6" s="613"/>
      <c r="AC6" s="613"/>
      <c r="AD6" s="22"/>
    </row>
    <row r="7" spans="1:30" ht="18" customHeight="1" x14ac:dyDescent="0.25">
      <c r="B7" s="23" t="s">
        <v>10</v>
      </c>
      <c r="C7" s="23"/>
      <c r="D7" s="23"/>
      <c r="E7" s="23"/>
      <c r="F7" s="23"/>
      <c r="G7" s="24">
        <v>3752.3</v>
      </c>
      <c r="H7" s="24"/>
      <c r="I7" s="23" t="s">
        <v>11</v>
      </c>
      <c r="J7" s="23"/>
      <c r="K7" s="25">
        <v>1.0326</v>
      </c>
      <c r="L7" s="25"/>
      <c r="O7" s="1"/>
      <c r="V7" s="620" t="s">
        <v>10</v>
      </c>
      <c r="W7" s="620"/>
      <c r="X7" s="621">
        <f>'4020 June Tch Alloc.'!G7</f>
        <v>3752.3</v>
      </c>
      <c r="Y7" s="621"/>
      <c r="Z7" s="622" t="s">
        <v>11</v>
      </c>
      <c r="AA7" s="622"/>
      <c r="AB7" s="602">
        <f>+K7</f>
        <v>1.0326</v>
      </c>
      <c r="AC7" s="602"/>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603" t="s">
        <v>12</v>
      </c>
      <c r="W8" s="603"/>
      <c r="X8" s="604" t="s">
        <v>15</v>
      </c>
      <c r="Y8" s="604"/>
      <c r="Z8" s="605" t="s">
        <v>16</v>
      </c>
      <c r="AA8" s="605"/>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614" t="s">
        <v>22</v>
      </c>
      <c r="W9" s="614"/>
      <c r="X9" s="615" t="s">
        <v>23</v>
      </c>
      <c r="Y9" s="615"/>
      <c r="Z9" s="616" t="s">
        <v>24</v>
      </c>
      <c r="AA9" s="616"/>
      <c r="AB9" s="43" t="s">
        <v>25</v>
      </c>
      <c r="AC9" s="44" t="s">
        <v>26</v>
      </c>
      <c r="AD9" s="9"/>
    </row>
    <row r="10" spans="1:30" x14ac:dyDescent="0.25">
      <c r="A10" s="1" t="s">
        <v>27</v>
      </c>
      <c r="B10" s="45" t="s">
        <v>28</v>
      </c>
      <c r="C10" s="45"/>
      <c r="D10" s="45">
        <v>232.77</v>
      </c>
      <c r="E10" s="45">
        <v>229.81</v>
      </c>
      <c r="F10" s="45">
        <v>281.68</v>
      </c>
      <c r="G10" s="46">
        <f>D10+E10</f>
        <v>462.58000000000004</v>
      </c>
      <c r="H10" s="47"/>
      <c r="I10" s="48">
        <v>1.125</v>
      </c>
      <c r="J10" s="48"/>
      <c r="K10" s="49">
        <f>ROUND(G10*I10,4)</f>
        <v>520.40250000000003</v>
      </c>
      <c r="L10" s="50">
        <f>ROUND(ROUND(K10*$G$7,4)*($K$7),0)</f>
        <v>2016365</v>
      </c>
      <c r="N10" s="51">
        <v>5101</v>
      </c>
      <c r="O10" s="52">
        <v>101</v>
      </c>
      <c r="P10" s="53"/>
      <c r="Q10" s="54"/>
      <c r="V10" s="617" t="s">
        <v>28</v>
      </c>
      <c r="W10" s="617"/>
      <c r="X10" s="618">
        <f>IF('4020 June Tch Alloc.'!K$84=1,'4020 June Tch Alloc.'!G10,0)</f>
        <v>0</v>
      </c>
      <c r="Y10" s="618"/>
      <c r="Z10" s="619">
        <v>1</v>
      </c>
      <c r="AA10" s="619"/>
      <c r="AB10" s="55">
        <f t="shared" ref="AB10:AB25" si="0">ROUND(X10*Z10,4)</f>
        <v>0</v>
      </c>
      <c r="AC10" s="56">
        <f t="shared" ref="AC10:AC25" si="1">ROUND(ROUND(AB10*$X$7,4)*($AB$7),0)</f>
        <v>0</v>
      </c>
      <c r="AD10" s="9">
        <v>1</v>
      </c>
    </row>
    <row r="11" spans="1:30" x14ac:dyDescent="0.25">
      <c r="A11" s="1" t="s">
        <v>29</v>
      </c>
      <c r="B11" s="13" t="s">
        <v>30</v>
      </c>
      <c r="C11" s="13"/>
      <c r="D11" s="13">
        <v>36.17</v>
      </c>
      <c r="E11" s="13">
        <v>38.049999999999997</v>
      </c>
      <c r="F11" s="13">
        <v>44.81</v>
      </c>
      <c r="G11" s="46">
        <f t="shared" ref="G11:G25" si="2">D11+E11</f>
        <v>74.22</v>
      </c>
      <c r="H11" s="47"/>
      <c r="I11" s="57">
        <f>I10</f>
        <v>1.125</v>
      </c>
      <c r="J11" s="57"/>
      <c r="K11" s="49">
        <f t="shared" ref="K11:K25" si="3">ROUND(G11*I11,4)</f>
        <v>83.497500000000002</v>
      </c>
      <c r="L11" s="50">
        <f t="shared" ref="L11:L25" si="4">ROUND(ROUND(K11*$G$7,4)*($K$7),0)</f>
        <v>323521</v>
      </c>
      <c r="M11" s="1" t="str">
        <f>IF(ROUND(G11,2)=ROUND(SUM(G28:G30),2)," ","CHECK 2. PK-3 Lines Below")</f>
        <v xml:space="preserve"> </v>
      </c>
      <c r="N11" s="51">
        <v>5101</v>
      </c>
      <c r="O11" s="58" t="s">
        <v>31</v>
      </c>
      <c r="P11" s="53"/>
      <c r="Q11" s="54"/>
      <c r="V11" s="623" t="s">
        <v>30</v>
      </c>
      <c r="W11" s="623"/>
      <c r="X11" s="618">
        <f>IF('4020 June Tch Alloc.'!K$84=1,'4020 June Tch Alloc.'!G11,0)</f>
        <v>0</v>
      </c>
      <c r="Y11" s="618"/>
      <c r="Z11" s="624">
        <v>1</v>
      </c>
      <c r="AA11" s="624"/>
      <c r="AB11" s="55">
        <f t="shared" si="0"/>
        <v>0</v>
      </c>
      <c r="AC11" s="56">
        <f t="shared" si="1"/>
        <v>0</v>
      </c>
      <c r="AD11" s="9"/>
    </row>
    <row r="12" spans="1:30" x14ac:dyDescent="0.25">
      <c r="A12" s="1" t="s">
        <v>32</v>
      </c>
      <c r="B12" s="13" t="s">
        <v>33</v>
      </c>
      <c r="C12" s="13"/>
      <c r="D12" s="13">
        <v>231.9</v>
      </c>
      <c r="E12" s="13">
        <v>232.81</v>
      </c>
      <c r="F12" s="13">
        <v>275.64999999999998</v>
      </c>
      <c r="G12" s="46">
        <f t="shared" si="2"/>
        <v>464.71000000000004</v>
      </c>
      <c r="H12" s="47"/>
      <c r="I12" s="57">
        <v>1</v>
      </c>
      <c r="J12" s="57"/>
      <c r="K12" s="49">
        <f t="shared" si="3"/>
        <v>464.71</v>
      </c>
      <c r="L12" s="50">
        <f t="shared" si="4"/>
        <v>1800577</v>
      </c>
      <c r="N12" s="51">
        <v>5102</v>
      </c>
      <c r="O12" s="52">
        <v>102</v>
      </c>
      <c r="P12" s="53"/>
      <c r="Q12" s="54"/>
      <c r="V12" s="623" t="s">
        <v>33</v>
      </c>
      <c r="W12" s="623"/>
      <c r="X12" s="618">
        <f>IF('4020 June Tch Alloc.'!K$84=1,'4020 June Tch Alloc.'!G12,0)</f>
        <v>0</v>
      </c>
      <c r="Y12" s="618"/>
      <c r="Z12" s="624">
        <v>1</v>
      </c>
      <c r="AA12" s="624"/>
      <c r="AB12" s="55">
        <f t="shared" si="0"/>
        <v>0</v>
      </c>
      <c r="AC12" s="56">
        <f t="shared" si="1"/>
        <v>0</v>
      </c>
      <c r="AD12" s="9"/>
    </row>
    <row r="13" spans="1:30" x14ac:dyDescent="0.25">
      <c r="A13" s="1" t="s">
        <v>34</v>
      </c>
      <c r="B13" s="13" t="s">
        <v>35</v>
      </c>
      <c r="C13" s="13"/>
      <c r="D13" s="13">
        <v>50.14</v>
      </c>
      <c r="E13" s="13">
        <v>48.19</v>
      </c>
      <c r="F13" s="13">
        <v>61.66</v>
      </c>
      <c r="G13" s="46">
        <f t="shared" si="2"/>
        <v>98.33</v>
      </c>
      <c r="H13" s="47"/>
      <c r="I13" s="57">
        <f>I12</f>
        <v>1</v>
      </c>
      <c r="J13" s="57"/>
      <c r="K13" s="49">
        <f t="shared" si="3"/>
        <v>98.33</v>
      </c>
      <c r="L13" s="50">
        <f t="shared" si="4"/>
        <v>380992</v>
      </c>
      <c r="M13" s="1" t="str">
        <f>IF(ROUND(G13,2)=ROUND(SUM(G31:G33),2)," ","CHECK 2. PK-3 Lines Below")</f>
        <v xml:space="preserve"> </v>
      </c>
      <c r="N13" s="51">
        <v>5102</v>
      </c>
      <c r="O13" s="58" t="s">
        <v>36</v>
      </c>
      <c r="P13" s="53"/>
      <c r="Q13" s="54"/>
      <c r="V13" s="623" t="s">
        <v>35</v>
      </c>
      <c r="W13" s="623"/>
      <c r="X13" s="618">
        <f>IF('4020 June Tch Alloc.'!K$84=1,'4020 June Tch Alloc.'!G13,0)</f>
        <v>0</v>
      </c>
      <c r="Y13" s="618"/>
      <c r="Z13" s="624">
        <v>1</v>
      </c>
      <c r="AA13" s="624"/>
      <c r="AB13" s="55">
        <f t="shared" si="0"/>
        <v>0</v>
      </c>
      <c r="AC13" s="56">
        <f t="shared" si="1"/>
        <v>0</v>
      </c>
      <c r="AD13" s="9"/>
    </row>
    <row r="14" spans="1:30" x14ac:dyDescent="0.25">
      <c r="A14" s="1" t="s">
        <v>37</v>
      </c>
      <c r="B14" s="13" t="s">
        <v>38</v>
      </c>
      <c r="C14" s="13"/>
      <c r="D14" s="13">
        <v>0</v>
      </c>
      <c r="E14" s="13">
        <v>0</v>
      </c>
      <c r="F14" s="13">
        <v>0</v>
      </c>
      <c r="G14" s="46">
        <f t="shared" si="2"/>
        <v>0</v>
      </c>
      <c r="H14" s="47"/>
      <c r="I14" s="57">
        <v>1.0109999999999999</v>
      </c>
      <c r="J14" s="57"/>
      <c r="K14" s="49">
        <f t="shared" si="3"/>
        <v>0</v>
      </c>
      <c r="L14" s="50">
        <f t="shared" si="4"/>
        <v>0</v>
      </c>
      <c r="N14" s="51">
        <v>5103</v>
      </c>
      <c r="O14" s="52">
        <v>103</v>
      </c>
      <c r="P14" s="53"/>
      <c r="Q14" s="54"/>
      <c r="V14" s="623" t="s">
        <v>38</v>
      </c>
      <c r="W14" s="623"/>
      <c r="X14" s="618">
        <f>IF('4020 June Tch Alloc.'!K$84=1,'4020 June Tch Alloc.'!G14,0)</f>
        <v>0</v>
      </c>
      <c r="Y14" s="618"/>
      <c r="Z14" s="624">
        <v>1</v>
      </c>
      <c r="AA14" s="624"/>
      <c r="AB14" s="55">
        <f t="shared" si="0"/>
        <v>0</v>
      </c>
      <c r="AC14" s="56">
        <f t="shared" si="1"/>
        <v>0</v>
      </c>
      <c r="AD14" s="9"/>
    </row>
    <row r="15" spans="1:30" x14ac:dyDescent="0.25">
      <c r="A15" s="1" t="s">
        <v>39</v>
      </c>
      <c r="B15" s="13" t="s">
        <v>40</v>
      </c>
      <c r="C15" s="13"/>
      <c r="D15" s="13">
        <v>0</v>
      </c>
      <c r="E15" s="13">
        <v>0</v>
      </c>
      <c r="F15" s="13">
        <v>0</v>
      </c>
      <c r="G15" s="46">
        <f t="shared" si="2"/>
        <v>0</v>
      </c>
      <c r="H15" s="47"/>
      <c r="I15" s="57">
        <f>I14</f>
        <v>1.0109999999999999</v>
      </c>
      <c r="J15" s="57"/>
      <c r="K15" s="49">
        <f t="shared" si="3"/>
        <v>0</v>
      </c>
      <c r="L15" s="59">
        <f t="shared" si="4"/>
        <v>0</v>
      </c>
      <c r="M15" s="1" t="str">
        <f>IF(ROUND(G15,2)=ROUND(SUM(G34:G36),2)," ","CHECK 2. PK-3 Lines Below")</f>
        <v xml:space="preserve"> </v>
      </c>
      <c r="N15" s="51">
        <v>5103</v>
      </c>
      <c r="O15" s="58" t="s">
        <v>41</v>
      </c>
      <c r="P15" s="53"/>
      <c r="Q15" s="54"/>
      <c r="V15" s="623" t="s">
        <v>40</v>
      </c>
      <c r="W15" s="623"/>
      <c r="X15" s="618">
        <f>IF('4020 June Tch Alloc.'!K$84=1,'4020 June Tch Alloc.'!G15,0)</f>
        <v>0</v>
      </c>
      <c r="Y15" s="618"/>
      <c r="Z15" s="624">
        <v>1</v>
      </c>
      <c r="AA15" s="624"/>
      <c r="AB15" s="55">
        <f t="shared" si="0"/>
        <v>0</v>
      </c>
      <c r="AC15" s="60">
        <f t="shared" si="1"/>
        <v>0</v>
      </c>
      <c r="AD15" s="9"/>
    </row>
    <row r="16" spans="1:30" x14ac:dyDescent="0.25">
      <c r="A16" s="1" t="s">
        <v>42</v>
      </c>
      <c r="B16" s="13" t="s">
        <v>43</v>
      </c>
      <c r="C16" s="13"/>
      <c r="D16" s="13">
        <v>0</v>
      </c>
      <c r="E16" s="13">
        <v>0</v>
      </c>
      <c r="F16" s="13">
        <v>0</v>
      </c>
      <c r="G16" s="46">
        <f t="shared" si="2"/>
        <v>0</v>
      </c>
      <c r="H16" s="47"/>
      <c r="I16" s="57">
        <v>3.5579999999999998</v>
      </c>
      <c r="J16" s="57"/>
      <c r="K16" s="49">
        <f t="shared" si="3"/>
        <v>0</v>
      </c>
      <c r="L16" s="50">
        <f t="shared" si="4"/>
        <v>0</v>
      </c>
      <c r="N16" s="51">
        <v>5101</v>
      </c>
      <c r="O16" s="53">
        <v>254</v>
      </c>
      <c r="P16" s="53"/>
      <c r="Q16" s="54"/>
      <c r="V16" s="623" t="s">
        <v>43</v>
      </c>
      <c r="W16" s="623"/>
      <c r="X16" s="618">
        <f>IF('4020 June Tch Alloc.'!K$84=1,'4020 June Tch Alloc.'!G16,0)</f>
        <v>0</v>
      </c>
      <c r="Y16" s="618"/>
      <c r="Z16" s="624">
        <v>1</v>
      </c>
      <c r="AA16" s="624"/>
      <c r="AB16" s="55">
        <f t="shared" si="0"/>
        <v>0</v>
      </c>
      <c r="AC16" s="56">
        <f t="shared" si="1"/>
        <v>0</v>
      </c>
      <c r="AD16" s="9"/>
    </row>
    <row r="17" spans="1:30" x14ac:dyDescent="0.25">
      <c r="A17" s="1" t="s">
        <v>44</v>
      </c>
      <c r="B17" s="13" t="s">
        <v>45</v>
      </c>
      <c r="C17" s="13"/>
      <c r="D17" s="13">
        <v>0</v>
      </c>
      <c r="E17" s="13">
        <v>0</v>
      </c>
      <c r="F17" s="13">
        <v>0</v>
      </c>
      <c r="G17" s="46">
        <f t="shared" si="2"/>
        <v>0</v>
      </c>
      <c r="H17" s="47"/>
      <c r="I17" s="57">
        <f>I16</f>
        <v>3.5579999999999998</v>
      </c>
      <c r="J17" s="57"/>
      <c r="K17" s="49">
        <f t="shared" si="3"/>
        <v>0</v>
      </c>
      <c r="L17" s="50">
        <f t="shared" si="4"/>
        <v>0</v>
      </c>
      <c r="N17" s="51">
        <v>5102</v>
      </c>
      <c r="O17" s="54">
        <v>254</v>
      </c>
      <c r="P17" s="53"/>
      <c r="Q17" s="54"/>
      <c r="V17" s="623" t="s">
        <v>45</v>
      </c>
      <c r="W17" s="623"/>
      <c r="X17" s="618">
        <f>IF('4020 June Tch Alloc.'!K$84=1,'4020 June Tch Alloc.'!G17,0)</f>
        <v>0</v>
      </c>
      <c r="Y17" s="618"/>
      <c r="Z17" s="624">
        <v>1</v>
      </c>
      <c r="AA17" s="624"/>
      <c r="AB17" s="55">
        <f t="shared" si="0"/>
        <v>0</v>
      </c>
      <c r="AC17" s="56">
        <f t="shared" si="1"/>
        <v>0</v>
      </c>
      <c r="AD17" s="9"/>
    </row>
    <row r="18" spans="1:30" x14ac:dyDescent="0.25">
      <c r="A18" s="1" t="s">
        <v>46</v>
      </c>
      <c r="B18" s="13" t="s">
        <v>47</v>
      </c>
      <c r="C18" s="13"/>
      <c r="D18" s="13">
        <v>0</v>
      </c>
      <c r="E18" s="13">
        <v>0</v>
      </c>
      <c r="F18" s="13">
        <v>0</v>
      </c>
      <c r="G18" s="46">
        <f t="shared" si="2"/>
        <v>0</v>
      </c>
      <c r="H18" s="47"/>
      <c r="I18" s="57">
        <f>I17</f>
        <v>3.5579999999999998</v>
      </c>
      <c r="J18" s="57"/>
      <c r="K18" s="49">
        <f t="shared" si="3"/>
        <v>0</v>
      </c>
      <c r="L18" s="50">
        <f t="shared" si="4"/>
        <v>0</v>
      </c>
      <c r="N18" s="51">
        <v>5103</v>
      </c>
      <c r="O18" s="54">
        <v>254</v>
      </c>
      <c r="P18" s="53"/>
      <c r="Q18" s="54"/>
      <c r="V18" s="623" t="s">
        <v>47</v>
      </c>
      <c r="W18" s="623"/>
      <c r="X18" s="618">
        <f>IF('4020 June Tch Alloc.'!K$84=1,'4020 June Tch Alloc.'!G18,0)</f>
        <v>0</v>
      </c>
      <c r="Y18" s="618"/>
      <c r="Z18" s="624">
        <v>1</v>
      </c>
      <c r="AA18" s="624"/>
      <c r="AB18" s="55">
        <f t="shared" si="0"/>
        <v>0</v>
      </c>
      <c r="AC18" s="56">
        <f t="shared" si="1"/>
        <v>0</v>
      </c>
      <c r="AD18" s="9"/>
    </row>
    <row r="19" spans="1:30" ht="15" customHeight="1" x14ac:dyDescent="0.25">
      <c r="A19" s="1" t="s">
        <v>48</v>
      </c>
      <c r="B19" s="13" t="s">
        <v>49</v>
      </c>
      <c r="C19" s="13"/>
      <c r="D19" s="13">
        <v>0</v>
      </c>
      <c r="E19" s="13">
        <v>0</v>
      </c>
      <c r="F19" s="13">
        <v>0</v>
      </c>
      <c r="G19" s="46">
        <f t="shared" si="2"/>
        <v>0</v>
      </c>
      <c r="H19" s="47"/>
      <c r="I19" s="57">
        <v>5.0890000000000004</v>
      </c>
      <c r="J19" s="57"/>
      <c r="K19" s="49">
        <f t="shared" si="3"/>
        <v>0</v>
      </c>
      <c r="L19" s="50">
        <f t="shared" si="4"/>
        <v>0</v>
      </c>
      <c r="N19" s="51">
        <v>5101</v>
      </c>
      <c r="O19" s="53">
        <v>255</v>
      </c>
      <c r="P19" s="53"/>
      <c r="Q19" s="54"/>
      <c r="V19" s="623" t="s">
        <v>49</v>
      </c>
      <c r="W19" s="623"/>
      <c r="X19" s="618">
        <f>IF('4020 June Tch Alloc.'!K$84=1,'4020 June Tch Alloc.'!G19,0)</f>
        <v>0</v>
      </c>
      <c r="Y19" s="618"/>
      <c r="Z19" s="624">
        <v>1</v>
      </c>
      <c r="AA19" s="624"/>
      <c r="AB19" s="55">
        <f t="shared" si="0"/>
        <v>0</v>
      </c>
      <c r="AC19" s="56">
        <f t="shared" si="1"/>
        <v>0</v>
      </c>
      <c r="AD19" s="9"/>
    </row>
    <row r="20" spans="1:30" ht="15" customHeight="1" x14ac:dyDescent="0.25">
      <c r="A20" s="1" t="s">
        <v>50</v>
      </c>
      <c r="B20" s="13" t="s">
        <v>51</v>
      </c>
      <c r="C20" s="13"/>
      <c r="D20" s="13">
        <v>0</v>
      </c>
      <c r="E20" s="13">
        <v>0</v>
      </c>
      <c r="F20" s="13">
        <v>0</v>
      </c>
      <c r="G20" s="46">
        <f t="shared" si="2"/>
        <v>0</v>
      </c>
      <c r="H20" s="47"/>
      <c r="I20" s="57">
        <f>I19</f>
        <v>5.0890000000000004</v>
      </c>
      <c r="J20" s="57"/>
      <c r="K20" s="49">
        <f t="shared" si="3"/>
        <v>0</v>
      </c>
      <c r="L20" s="50">
        <f t="shared" si="4"/>
        <v>0</v>
      </c>
      <c r="N20" s="51">
        <v>5102</v>
      </c>
      <c r="O20" s="54">
        <v>255</v>
      </c>
      <c r="P20" s="53"/>
      <c r="Q20" s="54"/>
      <c r="V20" s="623" t="s">
        <v>51</v>
      </c>
      <c r="W20" s="623"/>
      <c r="X20" s="618">
        <f>IF('4020 June Tch Alloc.'!K$84=1,'4020 June Tch Alloc.'!G20,0)</f>
        <v>0</v>
      </c>
      <c r="Y20" s="618"/>
      <c r="Z20" s="624">
        <v>1</v>
      </c>
      <c r="AA20" s="624"/>
      <c r="AB20" s="55">
        <f t="shared" si="0"/>
        <v>0</v>
      </c>
      <c r="AC20" s="56">
        <f t="shared" si="1"/>
        <v>0</v>
      </c>
      <c r="AD20" s="9"/>
    </row>
    <row r="21" spans="1:30" ht="15" customHeight="1" x14ac:dyDescent="0.25">
      <c r="A21" s="1" t="s">
        <v>52</v>
      </c>
      <c r="B21" s="13" t="s">
        <v>53</v>
      </c>
      <c r="C21" s="13"/>
      <c r="D21" s="13">
        <v>0</v>
      </c>
      <c r="E21" s="13">
        <v>0</v>
      </c>
      <c r="F21" s="13">
        <v>0</v>
      </c>
      <c r="G21" s="46">
        <f t="shared" si="2"/>
        <v>0</v>
      </c>
      <c r="H21" s="47"/>
      <c r="I21" s="57">
        <f>I20</f>
        <v>5.0890000000000004</v>
      </c>
      <c r="J21" s="57"/>
      <c r="K21" s="49">
        <f t="shared" si="3"/>
        <v>0</v>
      </c>
      <c r="L21" s="50">
        <f t="shared" si="4"/>
        <v>0</v>
      </c>
      <c r="N21" s="51">
        <v>5103</v>
      </c>
      <c r="O21" s="54">
        <v>255</v>
      </c>
      <c r="P21" s="53"/>
      <c r="Q21" s="54"/>
      <c r="V21" s="623" t="s">
        <v>53</v>
      </c>
      <c r="W21" s="623"/>
      <c r="X21" s="618">
        <f>IF('4020 June Tch Alloc.'!K$84=1,'4020 June Tch Alloc.'!G21,0)</f>
        <v>0</v>
      </c>
      <c r="Y21" s="618"/>
      <c r="Z21" s="624">
        <v>1</v>
      </c>
      <c r="AA21" s="624"/>
      <c r="AB21" s="55">
        <f t="shared" si="0"/>
        <v>0</v>
      </c>
      <c r="AC21" s="56">
        <f t="shared" si="1"/>
        <v>0</v>
      </c>
      <c r="AD21" s="9"/>
    </row>
    <row r="22" spans="1:30" x14ac:dyDescent="0.25">
      <c r="A22" s="1" t="s">
        <v>54</v>
      </c>
      <c r="B22" s="13" t="s">
        <v>55</v>
      </c>
      <c r="C22" s="13"/>
      <c r="D22" s="13">
        <v>14.16</v>
      </c>
      <c r="E22" s="13">
        <v>12.88</v>
      </c>
      <c r="F22" s="13">
        <v>17.11</v>
      </c>
      <c r="G22" s="46">
        <f t="shared" si="2"/>
        <v>27.04</v>
      </c>
      <c r="H22" s="47"/>
      <c r="I22" s="57">
        <v>1.145</v>
      </c>
      <c r="J22" s="57"/>
      <c r="K22" s="49">
        <f t="shared" si="3"/>
        <v>30.960799999999999</v>
      </c>
      <c r="L22" s="50">
        <f t="shared" si="4"/>
        <v>119961</v>
      </c>
      <c r="N22" s="51">
        <v>5101</v>
      </c>
      <c r="O22" s="52">
        <v>130</v>
      </c>
      <c r="P22" s="53"/>
      <c r="Q22" s="54"/>
      <c r="V22" s="623" t="s">
        <v>55</v>
      </c>
      <c r="W22" s="623"/>
      <c r="X22" s="618">
        <f>IF('4020 June Tch Alloc.'!K$84=1,'4020 June Tch Alloc.'!G22,0)</f>
        <v>0</v>
      </c>
      <c r="Y22" s="618"/>
      <c r="Z22" s="624">
        <v>1</v>
      </c>
      <c r="AA22" s="624"/>
      <c r="AB22" s="55">
        <f t="shared" si="0"/>
        <v>0</v>
      </c>
      <c r="AC22" s="56">
        <f t="shared" si="1"/>
        <v>0</v>
      </c>
      <c r="AD22" s="9"/>
    </row>
    <row r="23" spans="1:30" x14ac:dyDescent="0.25">
      <c r="A23" s="1" t="s">
        <v>56</v>
      </c>
      <c r="B23" s="13" t="s">
        <v>57</v>
      </c>
      <c r="C23" s="13"/>
      <c r="D23" s="13">
        <v>0</v>
      </c>
      <c r="E23" s="13">
        <v>0</v>
      </c>
      <c r="F23" s="13">
        <v>0</v>
      </c>
      <c r="G23" s="46">
        <f t="shared" si="2"/>
        <v>0</v>
      </c>
      <c r="H23" s="47"/>
      <c r="I23" s="57">
        <f>I22</f>
        <v>1.145</v>
      </c>
      <c r="J23" s="57"/>
      <c r="K23" s="49">
        <f t="shared" si="3"/>
        <v>0</v>
      </c>
      <c r="L23" s="50">
        <f t="shared" si="4"/>
        <v>0</v>
      </c>
      <c r="N23" s="51">
        <v>5102</v>
      </c>
      <c r="O23" s="52">
        <v>130</v>
      </c>
      <c r="P23" s="53"/>
      <c r="Q23" s="54"/>
      <c r="V23" s="623" t="s">
        <v>57</v>
      </c>
      <c r="W23" s="623"/>
      <c r="X23" s="618">
        <f>IF('4020 June Tch Alloc.'!K$84=1,'4020 June Tch Alloc.'!G23,0)</f>
        <v>0</v>
      </c>
      <c r="Y23" s="618"/>
      <c r="Z23" s="624">
        <v>1</v>
      </c>
      <c r="AA23" s="624"/>
      <c r="AB23" s="55">
        <f t="shared" si="0"/>
        <v>0</v>
      </c>
      <c r="AC23" s="56">
        <f t="shared" si="1"/>
        <v>0</v>
      </c>
      <c r="AD23" s="9"/>
    </row>
    <row r="24" spans="1:30" x14ac:dyDescent="0.25">
      <c r="A24" s="1" t="s">
        <v>58</v>
      </c>
      <c r="B24" s="13" t="s">
        <v>59</v>
      </c>
      <c r="C24" s="13"/>
      <c r="D24" s="13">
        <v>0</v>
      </c>
      <c r="E24" s="13">
        <v>0</v>
      </c>
      <c r="F24" s="13">
        <v>0</v>
      </c>
      <c r="G24" s="46">
        <f t="shared" si="2"/>
        <v>0</v>
      </c>
      <c r="H24" s="47"/>
      <c r="I24" s="57">
        <f>I23</f>
        <v>1.145</v>
      </c>
      <c r="J24" s="57"/>
      <c r="K24" s="49">
        <f t="shared" si="3"/>
        <v>0</v>
      </c>
      <c r="L24" s="50">
        <f t="shared" si="4"/>
        <v>0</v>
      </c>
      <c r="N24" s="51">
        <v>5103</v>
      </c>
      <c r="O24" s="52">
        <v>130</v>
      </c>
      <c r="P24" s="53"/>
      <c r="Q24" s="54"/>
      <c r="V24" s="623" t="s">
        <v>59</v>
      </c>
      <c r="W24" s="623"/>
      <c r="X24" s="618">
        <f>IF('4020 June Tch Alloc.'!K$84=1,'4020 June Tch Alloc.'!G24,0)</f>
        <v>0</v>
      </c>
      <c r="Y24" s="618"/>
      <c r="Z24" s="624">
        <v>1</v>
      </c>
      <c r="AA24" s="624"/>
      <c r="AB24" s="55">
        <f t="shared" si="0"/>
        <v>0</v>
      </c>
      <c r="AC24" s="56">
        <f t="shared" si="1"/>
        <v>0</v>
      </c>
      <c r="AD24" s="9"/>
    </row>
    <row r="25" spans="1:30" ht="16.5" thickBot="1" x14ac:dyDescent="0.3">
      <c r="A25" s="1" t="s">
        <v>60</v>
      </c>
      <c r="B25" s="13" t="s">
        <v>61</v>
      </c>
      <c r="C25" s="13"/>
      <c r="D25" s="13">
        <v>0</v>
      </c>
      <c r="E25" s="13">
        <v>0</v>
      </c>
      <c r="F25" s="13">
        <v>0</v>
      </c>
      <c r="G25" s="46">
        <f t="shared" si="2"/>
        <v>0</v>
      </c>
      <c r="H25" s="47"/>
      <c r="I25" s="57">
        <v>1.0109999999999999</v>
      </c>
      <c r="J25" s="57"/>
      <c r="K25" s="49">
        <f t="shared" si="3"/>
        <v>0</v>
      </c>
      <c r="L25" s="50">
        <f t="shared" si="4"/>
        <v>0</v>
      </c>
      <c r="N25" s="51">
        <v>5310</v>
      </c>
      <c r="O25" s="52">
        <v>300</v>
      </c>
      <c r="P25" s="53"/>
      <c r="Q25" s="54"/>
      <c r="V25" s="623" t="s">
        <v>61</v>
      </c>
      <c r="W25" s="623"/>
      <c r="X25" s="618">
        <f>IF('4020 June Tch Alloc.'!K$84=1,'4020 June Tch Alloc.'!G25,0)</f>
        <v>0</v>
      </c>
      <c r="Y25" s="618"/>
      <c r="Z25" s="624">
        <v>1</v>
      </c>
      <c r="AA25" s="624"/>
      <c r="AB25" s="55">
        <f t="shared" si="0"/>
        <v>0</v>
      </c>
      <c r="AC25" s="56">
        <f t="shared" si="1"/>
        <v>0</v>
      </c>
      <c r="AD25" s="9"/>
    </row>
    <row r="26" spans="1:30" ht="20.25" customHeight="1" thickBot="1" x14ac:dyDescent="0.3">
      <c r="B26" s="62" t="s">
        <v>62</v>
      </c>
      <c r="C26" s="62"/>
      <c r="D26" s="63">
        <f t="shared" ref="D26:E26" si="5">SUM(D10:D25)</f>
        <v>565.14</v>
      </c>
      <c r="E26" s="63">
        <f t="shared" si="5"/>
        <v>561.74</v>
      </c>
      <c r="F26" s="63"/>
      <c r="G26" s="63">
        <f>SUM(G10:G25)</f>
        <v>1126.8800000000001</v>
      </c>
      <c r="H26" s="64"/>
      <c r="I26" s="64"/>
      <c r="J26" s="65"/>
      <c r="K26" s="66">
        <f>SUM(K10:K25)</f>
        <v>1197.9008000000001</v>
      </c>
      <c r="L26" s="67">
        <f>SUM(L10:L25)</f>
        <v>4641416</v>
      </c>
      <c r="N26" s="54"/>
      <c r="O26" s="68"/>
      <c r="P26" s="54"/>
      <c r="Q26" s="54"/>
      <c r="V26" s="625" t="s">
        <v>62</v>
      </c>
      <c r="W26" s="625"/>
      <c r="X26" s="626">
        <f>SUM(X10:X25)</f>
        <v>0</v>
      </c>
      <c r="Y26" s="626"/>
      <c r="Z26" s="627"/>
      <c r="AA26" s="628"/>
      <c r="AB26" s="69">
        <f>SUM(AB10:AB25)</f>
        <v>0</v>
      </c>
      <c r="AC26" s="70">
        <f>SUM(AC10:AC25)</f>
        <v>0</v>
      </c>
      <c r="AD26" s="9"/>
    </row>
    <row r="27" spans="1:30" ht="51.75" customHeight="1" x14ac:dyDescent="0.25">
      <c r="B27" s="62" t="s">
        <v>63</v>
      </c>
      <c r="C27" s="62"/>
      <c r="D27" s="71" t="s">
        <v>13</v>
      </c>
      <c r="E27" s="71" t="s">
        <v>14</v>
      </c>
      <c r="F27" s="27"/>
      <c r="G27" s="72" t="s">
        <v>64</v>
      </c>
      <c r="H27" s="73"/>
      <c r="I27" s="74" t="s">
        <v>65</v>
      </c>
      <c r="J27" s="74" t="s">
        <v>66</v>
      </c>
      <c r="K27" s="75" t="s">
        <v>67</v>
      </c>
      <c r="N27" s="54"/>
      <c r="O27" s="68"/>
      <c r="P27" s="54"/>
      <c r="Q27" s="54"/>
      <c r="V27" s="629" t="s">
        <v>63</v>
      </c>
      <c r="W27" s="629"/>
      <c r="X27" s="630" t="s">
        <v>64</v>
      </c>
      <c r="Y27" s="630"/>
      <c r="Z27" s="76" t="s">
        <v>65</v>
      </c>
      <c r="AA27" s="77" t="s">
        <v>66</v>
      </c>
      <c r="AB27" s="78" t="s">
        <v>67</v>
      </c>
      <c r="AC27" s="9"/>
      <c r="AD27" s="9"/>
    </row>
    <row r="28" spans="1:30" ht="15.75" customHeight="1" x14ac:dyDescent="0.25">
      <c r="A28" s="1" t="s">
        <v>68</v>
      </c>
      <c r="B28" s="631" t="s">
        <v>69</v>
      </c>
      <c r="C28" s="632"/>
      <c r="D28" s="13">
        <v>31.19</v>
      </c>
      <c r="E28" s="13">
        <v>32.56</v>
      </c>
      <c r="F28" s="79">
        <v>0</v>
      </c>
      <c r="G28" s="46">
        <f t="shared" ref="G28:G36" si="6">D28+E28</f>
        <v>63.75</v>
      </c>
      <c r="H28" s="80"/>
      <c r="I28" s="81" t="s">
        <v>70</v>
      </c>
      <c r="J28" s="82">
        <v>251</v>
      </c>
      <c r="K28" s="83">
        <v>1047</v>
      </c>
      <c r="L28" s="84">
        <f>ROUND(G28*K28,0)</f>
        <v>66746</v>
      </c>
      <c r="N28" s="321">
        <v>5101</v>
      </c>
      <c r="O28" s="54">
        <v>251</v>
      </c>
      <c r="P28" s="86"/>
      <c r="Q28" s="87"/>
      <c r="V28" s="637" t="s">
        <v>69</v>
      </c>
      <c r="W28" s="637"/>
      <c r="X28" s="638"/>
      <c r="Y28" s="638"/>
      <c r="Z28" s="88" t="s">
        <v>70</v>
      </c>
      <c r="AA28" s="327">
        <v>251</v>
      </c>
      <c r="AB28" s="90">
        <f>+K28</f>
        <v>1047</v>
      </c>
      <c r="AC28" s="91">
        <f t="shared" ref="AC28:AC36" si="7">ROUND(X28*AB28,0)</f>
        <v>0</v>
      </c>
      <c r="AD28" s="9"/>
    </row>
    <row r="29" spans="1:30" x14ac:dyDescent="0.25">
      <c r="A29" s="1" t="s">
        <v>71</v>
      </c>
      <c r="B29" s="633"/>
      <c r="C29" s="634"/>
      <c r="D29" s="13">
        <v>4.51</v>
      </c>
      <c r="E29" s="13">
        <v>4.49</v>
      </c>
      <c r="F29" s="92">
        <v>0</v>
      </c>
      <c r="G29" s="46">
        <f t="shared" si="6"/>
        <v>9</v>
      </c>
      <c r="H29" s="80"/>
      <c r="I29" s="82" t="s">
        <v>70</v>
      </c>
      <c r="J29" s="82">
        <v>252</v>
      </c>
      <c r="K29" s="83">
        <v>3380</v>
      </c>
      <c r="L29" s="84">
        <f t="shared" ref="L29:L36" si="8">ROUND(G29*K29,0)</f>
        <v>30420</v>
      </c>
      <c r="N29" s="321">
        <v>5101</v>
      </c>
      <c r="O29" s="54">
        <v>252</v>
      </c>
      <c r="P29" s="86"/>
      <c r="Q29" s="87"/>
      <c r="V29" s="637"/>
      <c r="W29" s="637"/>
      <c r="X29" s="638"/>
      <c r="Y29" s="638"/>
      <c r="Z29" s="327" t="s">
        <v>70</v>
      </c>
      <c r="AA29" s="327">
        <v>252</v>
      </c>
      <c r="AB29" s="90">
        <f t="shared" ref="AB29:AB36" si="9">+K29</f>
        <v>3380</v>
      </c>
      <c r="AC29" s="91">
        <f t="shared" si="7"/>
        <v>0</v>
      </c>
      <c r="AD29" s="9"/>
    </row>
    <row r="30" spans="1:30" x14ac:dyDescent="0.25">
      <c r="A30" s="1" t="s">
        <v>72</v>
      </c>
      <c r="B30" s="633"/>
      <c r="C30" s="634"/>
      <c r="D30" s="13">
        <v>0.47</v>
      </c>
      <c r="E30" s="13">
        <v>1</v>
      </c>
      <c r="F30" s="92">
        <v>0</v>
      </c>
      <c r="G30" s="46">
        <f t="shared" si="6"/>
        <v>1.47</v>
      </c>
      <c r="H30" s="80"/>
      <c r="I30" s="82" t="s">
        <v>70</v>
      </c>
      <c r="J30" s="82">
        <v>253</v>
      </c>
      <c r="K30" s="83">
        <v>6896</v>
      </c>
      <c r="L30" s="84">
        <f t="shared" si="8"/>
        <v>10137</v>
      </c>
      <c r="N30" s="321">
        <v>5101</v>
      </c>
      <c r="O30" s="54">
        <v>253</v>
      </c>
      <c r="P30" s="86"/>
      <c r="Q30" s="68"/>
      <c r="V30" s="637"/>
      <c r="W30" s="637"/>
      <c r="X30" s="638"/>
      <c r="Y30" s="638"/>
      <c r="Z30" s="327" t="s">
        <v>70</v>
      </c>
      <c r="AA30" s="327">
        <v>253</v>
      </c>
      <c r="AB30" s="90">
        <f t="shared" si="9"/>
        <v>6896</v>
      </c>
      <c r="AC30" s="91">
        <f t="shared" si="7"/>
        <v>0</v>
      </c>
      <c r="AD30" s="9"/>
    </row>
    <row r="31" spans="1:30" x14ac:dyDescent="0.25">
      <c r="A31" s="1" t="s">
        <v>73</v>
      </c>
      <c r="B31" s="633"/>
      <c r="C31" s="634"/>
      <c r="D31" s="13">
        <v>48.62</v>
      </c>
      <c r="E31" s="13">
        <v>46.59</v>
      </c>
      <c r="F31" s="92">
        <v>0</v>
      </c>
      <c r="G31" s="46">
        <f t="shared" si="6"/>
        <v>95.210000000000008</v>
      </c>
      <c r="H31" s="80"/>
      <c r="I31" s="93" t="s">
        <v>74</v>
      </c>
      <c r="J31" s="82">
        <v>251</v>
      </c>
      <c r="K31" s="83">
        <v>1173</v>
      </c>
      <c r="L31" s="84">
        <f t="shared" si="8"/>
        <v>111681</v>
      </c>
      <c r="N31" s="321">
        <v>5102</v>
      </c>
      <c r="O31" s="54">
        <v>251</v>
      </c>
      <c r="P31" s="86"/>
      <c r="Q31" s="68"/>
      <c r="V31" s="637"/>
      <c r="W31" s="637"/>
      <c r="X31" s="638"/>
      <c r="Y31" s="638"/>
      <c r="Z31" s="94" t="s">
        <v>74</v>
      </c>
      <c r="AA31" s="327">
        <v>251</v>
      </c>
      <c r="AB31" s="90">
        <f t="shared" si="9"/>
        <v>1173</v>
      </c>
      <c r="AC31" s="91">
        <f t="shared" si="7"/>
        <v>0</v>
      </c>
      <c r="AD31" s="9"/>
    </row>
    <row r="32" spans="1:30" x14ac:dyDescent="0.25">
      <c r="A32" s="1" t="s">
        <v>75</v>
      </c>
      <c r="B32" s="633"/>
      <c r="C32" s="634"/>
      <c r="D32" s="13">
        <v>1.52</v>
      </c>
      <c r="E32" s="13">
        <v>1.6</v>
      </c>
      <c r="F32" s="92">
        <v>0</v>
      </c>
      <c r="G32" s="46">
        <f t="shared" si="6"/>
        <v>3.12</v>
      </c>
      <c r="H32" s="80"/>
      <c r="I32" s="93" t="s">
        <v>74</v>
      </c>
      <c r="J32" s="82">
        <v>252</v>
      </c>
      <c r="K32" s="83">
        <v>3506</v>
      </c>
      <c r="L32" s="84">
        <f t="shared" si="8"/>
        <v>10939</v>
      </c>
      <c r="N32" s="321">
        <v>5102</v>
      </c>
      <c r="O32" s="54">
        <v>252</v>
      </c>
      <c r="P32" s="86"/>
      <c r="Q32" s="54"/>
      <c r="V32" s="637"/>
      <c r="W32" s="637"/>
      <c r="X32" s="638"/>
      <c r="Y32" s="638"/>
      <c r="Z32" s="94" t="s">
        <v>74</v>
      </c>
      <c r="AA32" s="327">
        <v>252</v>
      </c>
      <c r="AB32" s="90">
        <f t="shared" si="9"/>
        <v>3506</v>
      </c>
      <c r="AC32" s="91">
        <f t="shared" si="7"/>
        <v>0</v>
      </c>
      <c r="AD32" s="9"/>
    </row>
    <row r="33" spans="1:30" x14ac:dyDescent="0.25">
      <c r="A33" s="1" t="s">
        <v>76</v>
      </c>
      <c r="B33" s="633"/>
      <c r="C33" s="634"/>
      <c r="D33" s="13">
        <v>0</v>
      </c>
      <c r="E33" s="13">
        <v>0</v>
      </c>
      <c r="F33" s="92">
        <v>0</v>
      </c>
      <c r="G33" s="46">
        <f t="shared" si="6"/>
        <v>0</v>
      </c>
      <c r="H33" s="80"/>
      <c r="I33" s="93" t="s">
        <v>74</v>
      </c>
      <c r="J33" s="82">
        <v>253</v>
      </c>
      <c r="K33" s="83">
        <v>7023</v>
      </c>
      <c r="L33" s="84">
        <f t="shared" si="8"/>
        <v>0</v>
      </c>
      <c r="N33" s="321">
        <v>5102</v>
      </c>
      <c r="O33" s="54">
        <v>253</v>
      </c>
      <c r="P33" s="86"/>
      <c r="Q33" s="87"/>
      <c r="V33" s="637"/>
      <c r="W33" s="637"/>
      <c r="X33" s="638"/>
      <c r="Y33" s="638"/>
      <c r="Z33" s="94" t="s">
        <v>74</v>
      </c>
      <c r="AA33" s="327">
        <v>253</v>
      </c>
      <c r="AB33" s="90">
        <f t="shared" si="9"/>
        <v>7023</v>
      </c>
      <c r="AC33" s="91">
        <f t="shared" si="7"/>
        <v>0</v>
      </c>
      <c r="AD33" s="9"/>
    </row>
    <row r="34" spans="1:30" x14ac:dyDescent="0.25">
      <c r="A34" s="1" t="s">
        <v>77</v>
      </c>
      <c r="B34" s="633"/>
      <c r="C34" s="634"/>
      <c r="D34" s="13">
        <v>0</v>
      </c>
      <c r="E34" s="13">
        <v>0</v>
      </c>
      <c r="F34" s="92">
        <v>0</v>
      </c>
      <c r="G34" s="46">
        <f t="shared" si="6"/>
        <v>0</v>
      </c>
      <c r="H34" s="80"/>
      <c r="I34" s="93" t="s">
        <v>78</v>
      </c>
      <c r="J34" s="82">
        <v>251</v>
      </c>
      <c r="K34" s="83">
        <v>835</v>
      </c>
      <c r="L34" s="84">
        <f t="shared" si="8"/>
        <v>0</v>
      </c>
      <c r="N34" s="321">
        <v>5103</v>
      </c>
      <c r="O34" s="54">
        <v>251</v>
      </c>
      <c r="P34" s="86"/>
      <c r="Q34" s="87"/>
      <c r="V34" s="637"/>
      <c r="W34" s="637"/>
      <c r="X34" s="638"/>
      <c r="Y34" s="638"/>
      <c r="Z34" s="94" t="s">
        <v>78</v>
      </c>
      <c r="AA34" s="327">
        <v>251</v>
      </c>
      <c r="AB34" s="90">
        <f t="shared" si="9"/>
        <v>835</v>
      </c>
      <c r="AC34" s="91">
        <f t="shared" si="7"/>
        <v>0</v>
      </c>
      <c r="AD34" s="9"/>
    </row>
    <row r="35" spans="1:30" x14ac:dyDescent="0.25">
      <c r="A35" s="1" t="s">
        <v>79</v>
      </c>
      <c r="B35" s="633"/>
      <c r="C35" s="634"/>
      <c r="D35" s="13">
        <v>0</v>
      </c>
      <c r="E35" s="13">
        <v>0</v>
      </c>
      <c r="F35" s="92">
        <v>0</v>
      </c>
      <c r="G35" s="46">
        <f t="shared" si="6"/>
        <v>0</v>
      </c>
      <c r="H35" s="80"/>
      <c r="I35" s="93" t="s">
        <v>78</v>
      </c>
      <c r="J35" s="82">
        <v>252</v>
      </c>
      <c r="K35" s="83">
        <v>3168</v>
      </c>
      <c r="L35" s="84">
        <f t="shared" si="8"/>
        <v>0</v>
      </c>
      <c r="N35" s="321">
        <v>5103</v>
      </c>
      <c r="O35" s="54">
        <v>252</v>
      </c>
      <c r="P35" s="86"/>
      <c r="Q35" s="95"/>
      <c r="V35" s="637"/>
      <c r="W35" s="637"/>
      <c r="X35" s="638"/>
      <c r="Y35" s="638"/>
      <c r="Z35" s="94" t="s">
        <v>78</v>
      </c>
      <c r="AA35" s="327">
        <v>252</v>
      </c>
      <c r="AB35" s="90">
        <f t="shared" si="9"/>
        <v>3168</v>
      </c>
      <c r="AC35" s="91">
        <f t="shared" si="7"/>
        <v>0</v>
      </c>
      <c r="AD35" s="9"/>
    </row>
    <row r="36" spans="1:30" ht="16.5" thickBot="1" x14ac:dyDescent="0.3">
      <c r="A36" s="1" t="s">
        <v>80</v>
      </c>
      <c r="B36" s="635"/>
      <c r="C36" s="636"/>
      <c r="D36" s="13">
        <v>0</v>
      </c>
      <c r="E36" s="13">
        <v>0</v>
      </c>
      <c r="F36" s="92">
        <v>0</v>
      </c>
      <c r="G36" s="46">
        <f t="shared" si="6"/>
        <v>0</v>
      </c>
      <c r="H36" s="80"/>
      <c r="I36" s="93" t="s">
        <v>78</v>
      </c>
      <c r="J36" s="82">
        <v>253</v>
      </c>
      <c r="K36" s="83">
        <v>6685</v>
      </c>
      <c r="L36" s="96">
        <f t="shared" si="8"/>
        <v>0</v>
      </c>
      <c r="N36" s="321">
        <v>5103</v>
      </c>
      <c r="O36" s="54">
        <v>253</v>
      </c>
      <c r="P36" s="86"/>
      <c r="Q36" s="97"/>
      <c r="V36" s="637"/>
      <c r="W36" s="637"/>
      <c r="X36" s="645"/>
      <c r="Y36" s="645"/>
      <c r="Z36" s="94" t="s">
        <v>78</v>
      </c>
      <c r="AA36" s="327">
        <v>253</v>
      </c>
      <c r="AB36" s="90">
        <f t="shared" si="9"/>
        <v>6685</v>
      </c>
      <c r="AC36" s="98">
        <f t="shared" si="7"/>
        <v>0</v>
      </c>
      <c r="AD36" s="9"/>
    </row>
    <row r="37" spans="1:30" ht="18.75" customHeight="1" x14ac:dyDescent="0.25">
      <c r="B37" s="13" t="s">
        <v>81</v>
      </c>
      <c r="C37" s="13"/>
      <c r="D37" s="63">
        <f t="shared" ref="D37:E37" si="10">SUM(D28:D36)</f>
        <v>86.309999999999988</v>
      </c>
      <c r="E37" s="63">
        <f t="shared" si="10"/>
        <v>86.240000000000009</v>
      </c>
      <c r="F37" s="63"/>
      <c r="G37" s="63">
        <f>SUM(G28:G36)</f>
        <v>172.55</v>
      </c>
      <c r="H37" s="64"/>
      <c r="I37" s="13" t="s">
        <v>82</v>
      </c>
      <c r="J37" s="13"/>
      <c r="K37" s="13"/>
      <c r="L37" s="50">
        <f>SUM(L28:L36)</f>
        <v>229923</v>
      </c>
      <c r="N37" s="54"/>
      <c r="O37" s="68"/>
      <c r="P37" s="54"/>
      <c r="Q37" s="54"/>
      <c r="V37" s="646" t="s">
        <v>81</v>
      </c>
      <c r="W37" s="646"/>
      <c r="X37" s="626">
        <f>SUM(X28:X36)</f>
        <v>0</v>
      </c>
      <c r="Y37" s="626"/>
      <c r="Z37" s="646" t="s">
        <v>82</v>
      </c>
      <c r="AA37" s="646"/>
      <c r="AB37" s="646"/>
      <c r="AC37" s="56">
        <f>SUM(AC28:AC36)</f>
        <v>0</v>
      </c>
      <c r="AD37" s="9"/>
    </row>
    <row r="38" spans="1:30" ht="30.75" customHeight="1" x14ac:dyDescent="0.25">
      <c r="B38" s="99" t="s">
        <v>83</v>
      </c>
      <c r="C38" s="99"/>
      <c r="D38" s="99"/>
      <c r="E38" s="99"/>
      <c r="F38" s="99"/>
      <c r="G38" s="99"/>
      <c r="H38" s="100"/>
      <c r="I38" s="99"/>
      <c r="J38" s="99"/>
      <c r="K38" s="99"/>
      <c r="L38" s="99"/>
      <c r="M38" s="101"/>
      <c r="N38" s="54"/>
      <c r="O38" s="68"/>
      <c r="P38" s="54"/>
      <c r="Q38" s="54"/>
      <c r="V38" s="639" t="s">
        <v>83</v>
      </c>
      <c r="W38" s="639"/>
      <c r="X38" s="639"/>
      <c r="Y38" s="639"/>
      <c r="Z38" s="639"/>
      <c r="AA38" s="639"/>
      <c r="AB38" s="639"/>
      <c r="AC38" s="639"/>
      <c r="AD38" s="102"/>
    </row>
    <row r="39" spans="1:30" ht="15.75" customHeight="1" x14ac:dyDescent="0.25">
      <c r="B39" s="103" t="s">
        <v>84</v>
      </c>
      <c r="C39" s="103"/>
      <c r="D39" s="103"/>
      <c r="E39" s="103"/>
      <c r="F39" s="103"/>
      <c r="G39" s="104">
        <v>34389540</v>
      </c>
      <c r="H39" s="104"/>
      <c r="I39" s="13" t="s">
        <v>85</v>
      </c>
      <c r="J39" s="13"/>
      <c r="K39" s="13"/>
      <c r="L39" s="13"/>
      <c r="O39" s="1"/>
      <c r="V39" s="640" t="s">
        <v>84</v>
      </c>
      <c r="W39" s="640"/>
      <c r="X39" s="641">
        <f>+G39</f>
        <v>34389540</v>
      </c>
      <c r="Y39" s="641"/>
      <c r="Z39" s="642" t="s">
        <v>85</v>
      </c>
      <c r="AA39" s="642"/>
      <c r="AB39" s="642"/>
      <c r="AC39" s="642"/>
      <c r="AD39" s="9"/>
    </row>
    <row r="40" spans="1:30" ht="15.75" customHeight="1" x14ac:dyDescent="0.25">
      <c r="B40" s="105" t="s">
        <v>86</v>
      </c>
      <c r="C40" s="105"/>
      <c r="D40" s="105"/>
      <c r="E40" s="105"/>
      <c r="F40" s="105"/>
      <c r="G40" s="106">
        <v>180284.81</v>
      </c>
      <c r="H40" s="106"/>
      <c r="I40" s="106"/>
      <c r="J40" s="106"/>
      <c r="K40" s="50">
        <f>ROUND(G39/G40,0)</f>
        <v>191</v>
      </c>
      <c r="L40" s="50">
        <f>ROUND(K40*$G$26,0)</f>
        <v>215234</v>
      </c>
      <c r="N40" s="107"/>
      <c r="O40" s="107"/>
      <c r="P40" s="107"/>
      <c r="Q40" s="107"/>
      <c r="V40" s="643" t="s">
        <v>86</v>
      </c>
      <c r="W40" s="643"/>
      <c r="X40" s="644">
        <f>+G40</f>
        <v>180284.81</v>
      </c>
      <c r="Y40" s="644"/>
      <c r="Z40" s="644"/>
      <c r="AA40" s="644"/>
      <c r="AB40" s="56">
        <f>ROUND(X39/X40,0)</f>
        <v>191</v>
      </c>
      <c r="AC40" s="56">
        <f>ROUND(AB40*$X$26,0)</f>
        <v>0</v>
      </c>
      <c r="AD40" s="9"/>
    </row>
    <row r="41" spans="1:30" ht="15.75" customHeight="1" x14ac:dyDescent="0.25">
      <c r="B41" s="108" t="s">
        <v>87</v>
      </c>
      <c r="C41" s="108"/>
      <c r="D41" s="108"/>
      <c r="E41" s="108"/>
      <c r="F41" s="108"/>
      <c r="G41" s="108"/>
      <c r="H41" s="108"/>
      <c r="I41" s="108"/>
      <c r="J41" s="108"/>
      <c r="K41" s="108"/>
      <c r="L41" s="108"/>
      <c r="N41" s="101"/>
      <c r="O41" s="109"/>
      <c r="P41" s="101"/>
      <c r="Q41" s="101"/>
      <c r="V41" s="652" t="s">
        <v>87</v>
      </c>
      <c r="W41" s="652"/>
      <c r="X41" s="652"/>
      <c r="Y41" s="652"/>
      <c r="Z41" s="652"/>
      <c r="AA41" s="652"/>
      <c r="AB41" s="652"/>
      <c r="AC41" s="652"/>
      <c r="AD41" s="9"/>
    </row>
    <row r="42" spans="1:30" ht="28.5" customHeight="1" x14ac:dyDescent="0.25">
      <c r="B42" s="99" t="s">
        <v>88</v>
      </c>
      <c r="C42" s="99"/>
      <c r="D42" s="99"/>
      <c r="E42" s="99"/>
      <c r="F42" s="99"/>
      <c r="G42" s="99"/>
      <c r="H42" s="99"/>
      <c r="I42" s="99"/>
      <c r="J42" s="99"/>
      <c r="K42" s="99"/>
      <c r="L42" s="99"/>
      <c r="M42" s="107"/>
      <c r="O42" s="1"/>
      <c r="V42" s="639" t="s">
        <v>88</v>
      </c>
      <c r="W42" s="639"/>
      <c r="X42" s="639"/>
      <c r="Y42" s="639"/>
      <c r="Z42" s="639"/>
      <c r="AA42" s="639"/>
      <c r="AB42" s="639"/>
      <c r="AC42" s="639"/>
      <c r="AD42" s="325"/>
    </row>
    <row r="43" spans="1:30" x14ac:dyDescent="0.25">
      <c r="B43" s="111" t="s">
        <v>89</v>
      </c>
      <c r="C43" s="111"/>
      <c r="D43" s="111"/>
      <c r="E43" s="111"/>
      <c r="F43" s="111"/>
      <c r="G43" s="111"/>
      <c r="H43" s="111"/>
      <c r="I43" s="111"/>
      <c r="J43" s="111"/>
      <c r="K43" s="111"/>
      <c r="L43" s="111"/>
      <c r="M43" s="112"/>
      <c r="N43" s="101"/>
      <c r="O43" s="101"/>
      <c r="P43" s="101"/>
      <c r="Q43" s="101"/>
      <c r="V43" s="653" t="s">
        <v>89</v>
      </c>
      <c r="W43" s="653"/>
      <c r="X43" s="653"/>
      <c r="Y43" s="653"/>
      <c r="Z43" s="653"/>
      <c r="AA43" s="653"/>
      <c r="AB43" s="653"/>
      <c r="AC43" s="653"/>
      <c r="AD43" s="113"/>
    </row>
    <row r="44" spans="1:30" ht="24" customHeight="1" x14ac:dyDescent="0.25">
      <c r="B44" s="62" t="s">
        <v>90</v>
      </c>
      <c r="C44" s="62"/>
      <c r="D44" s="62"/>
      <c r="E44" s="62"/>
      <c r="F44" s="62"/>
      <c r="G44" s="62"/>
      <c r="H44" s="62"/>
      <c r="I44" s="62"/>
      <c r="J44" s="62"/>
      <c r="K44" s="62"/>
      <c r="L44" s="114">
        <f>SUM(L26,L37,L40)</f>
        <v>5086573</v>
      </c>
      <c r="O44" s="1"/>
      <c r="V44" s="654" t="s">
        <v>90</v>
      </c>
      <c r="W44" s="654"/>
      <c r="X44" s="654"/>
      <c r="Y44" s="654"/>
      <c r="Z44" s="654"/>
      <c r="AA44" s="654"/>
      <c r="AB44" s="654"/>
      <c r="AC44" s="115">
        <f>SUM(AC26,AC37,AC40)</f>
        <v>0</v>
      </c>
      <c r="AD44" s="9"/>
    </row>
    <row r="45" spans="1:30" ht="30.75" customHeight="1" x14ac:dyDescent="0.25">
      <c r="B45" s="99" t="s">
        <v>91</v>
      </c>
      <c r="C45" s="99"/>
      <c r="D45" s="99"/>
      <c r="E45" s="99"/>
      <c r="F45" s="99"/>
      <c r="G45" s="99"/>
      <c r="H45" s="99"/>
      <c r="I45" s="99"/>
      <c r="J45" s="99"/>
      <c r="K45" s="99"/>
      <c r="L45" s="99"/>
      <c r="M45" s="116"/>
      <c r="O45" s="1"/>
      <c r="V45" s="639" t="s">
        <v>91</v>
      </c>
      <c r="W45" s="639"/>
      <c r="X45" s="639"/>
      <c r="Y45" s="639"/>
      <c r="Z45" s="639"/>
      <c r="AA45" s="639"/>
      <c r="AB45" s="639"/>
      <c r="AC45" s="639"/>
      <c r="AD45" s="322"/>
    </row>
    <row r="46" spans="1:30" ht="18.75" customHeight="1" x14ac:dyDescent="0.25">
      <c r="B46" s="1"/>
      <c r="C46" s="118" t="s">
        <v>92</v>
      </c>
      <c r="D46" s="118"/>
      <c r="E46" s="118"/>
      <c r="F46" s="118"/>
      <c r="G46" s="118" t="s">
        <v>93</v>
      </c>
      <c r="H46" s="119"/>
      <c r="I46" s="120" t="s">
        <v>94</v>
      </c>
      <c r="J46" s="121"/>
      <c r="K46" s="121"/>
      <c r="L46" s="121"/>
      <c r="M46" s="122"/>
      <c r="O46" s="1"/>
      <c r="V46" s="9"/>
      <c r="W46" s="324" t="s">
        <v>92</v>
      </c>
      <c r="X46" s="655" t="s">
        <v>95</v>
      </c>
      <c r="Y46" s="655"/>
      <c r="Z46" s="656" t="s">
        <v>94</v>
      </c>
      <c r="AA46" s="656"/>
      <c r="AB46" s="656"/>
      <c r="AC46" s="656"/>
      <c r="AD46" s="124"/>
    </row>
    <row r="47" spans="1:30" ht="18.75" customHeight="1" x14ac:dyDescent="0.25">
      <c r="B47" s="107" t="s">
        <v>96</v>
      </c>
      <c r="C47" s="125">
        <f>K10+K11+K16+K19+K22</f>
        <v>634.86080000000004</v>
      </c>
      <c r="D47" s="125"/>
      <c r="E47" s="125"/>
      <c r="F47" s="125"/>
      <c r="G47" s="126">
        <f>K7</f>
        <v>1.0326</v>
      </c>
      <c r="H47" s="126"/>
      <c r="I47" s="127">
        <v>1316.85</v>
      </c>
      <c r="J47" s="128" t="s">
        <v>97</v>
      </c>
      <c r="K47" s="129">
        <f>ROUND(C47*G47*I47,0)</f>
        <v>863271</v>
      </c>
      <c r="L47" s="130"/>
      <c r="O47" s="1"/>
      <c r="V47" s="325" t="s">
        <v>96</v>
      </c>
      <c r="W47" s="131">
        <f>AB10+AB11+AB16+AB19+AB22</f>
        <v>0</v>
      </c>
      <c r="X47" s="647">
        <f>AB7</f>
        <v>1.0326</v>
      </c>
      <c r="Y47" s="647"/>
      <c r="Z47" s="132">
        <f>+I47</f>
        <v>1316.85</v>
      </c>
      <c r="AA47" s="133" t="s">
        <v>97</v>
      </c>
      <c r="AB47" s="134">
        <f>ROUND(W47*X47*Z47,0)</f>
        <v>0</v>
      </c>
      <c r="AC47" s="135"/>
      <c r="AD47" s="9"/>
    </row>
    <row r="48" spans="1:30" ht="18" customHeight="1" x14ac:dyDescent="0.25">
      <c r="B48" s="136" t="s">
        <v>74</v>
      </c>
      <c r="C48" s="125">
        <f>K12+K13+K17+K20+K23</f>
        <v>563.04</v>
      </c>
      <c r="D48" s="125"/>
      <c r="E48" s="125"/>
      <c r="F48" s="125"/>
      <c r="G48" s="126">
        <f>K7</f>
        <v>1.0326</v>
      </c>
      <c r="H48" s="126"/>
      <c r="I48" s="127">
        <v>898.23</v>
      </c>
      <c r="J48" s="128" t="s">
        <v>97</v>
      </c>
      <c r="K48" s="129">
        <f>ROUND(C48*G48*I48,0)</f>
        <v>522227</v>
      </c>
      <c r="L48" s="62"/>
      <c r="O48" s="1"/>
      <c r="V48" s="137" t="s">
        <v>74</v>
      </c>
      <c r="W48" s="131">
        <f>AB12+AB13+AB17+AB20+AB23</f>
        <v>0</v>
      </c>
      <c r="X48" s="647">
        <f>AB7</f>
        <v>1.0326</v>
      </c>
      <c r="Y48" s="647"/>
      <c r="Z48" s="132">
        <f>+I48</f>
        <v>898.23</v>
      </c>
      <c r="AA48" s="133" t="s">
        <v>97</v>
      </c>
      <c r="AB48" s="134">
        <f>ROUND(W48*X48*Z48,0)</f>
        <v>0</v>
      </c>
      <c r="AC48" s="138"/>
      <c r="AD48" s="9"/>
    </row>
    <row r="49" spans="2:30" ht="19.5" customHeight="1" thickBot="1" x14ac:dyDescent="0.3">
      <c r="B49" s="139" t="s">
        <v>78</v>
      </c>
      <c r="C49" s="140">
        <f>K14+K15+K18+K21+K24+K25</f>
        <v>0</v>
      </c>
      <c r="D49" s="125"/>
      <c r="E49" s="125"/>
      <c r="F49" s="125"/>
      <c r="G49" s="126">
        <f>K7</f>
        <v>1.0326</v>
      </c>
      <c r="H49" s="126"/>
      <c r="I49" s="127">
        <v>900.39</v>
      </c>
      <c r="J49" s="128" t="s">
        <v>97</v>
      </c>
      <c r="K49" s="129">
        <f>ROUND(C49*G49*I49,0)</f>
        <v>0</v>
      </c>
      <c r="L49" s="62"/>
      <c r="M49" s="112"/>
      <c r="N49" s="141"/>
      <c r="O49" s="142"/>
      <c r="P49" s="101"/>
      <c r="Q49" s="143"/>
      <c r="V49" s="144" t="s">
        <v>78</v>
      </c>
      <c r="W49" s="145">
        <f>AB14+AB15+AB18+AB21+AB24+AB25</f>
        <v>0</v>
      </c>
      <c r="X49" s="647">
        <f>AB7</f>
        <v>1.0326</v>
      </c>
      <c r="Y49" s="647"/>
      <c r="Z49" s="132">
        <f>+I49</f>
        <v>900.39</v>
      </c>
      <c r="AA49" s="133" t="s">
        <v>97</v>
      </c>
      <c r="AB49" s="134">
        <f>ROUND(W49*X49*Z49,0)</f>
        <v>0</v>
      </c>
      <c r="AC49" s="138"/>
      <c r="AD49" s="113"/>
    </row>
    <row r="50" spans="2:30" ht="24" customHeight="1" thickBot="1" x14ac:dyDescent="0.3">
      <c r="B50" s="146" t="s">
        <v>98</v>
      </c>
      <c r="C50" s="147">
        <f>SUM(C47:C49)</f>
        <v>1197.9007999999999</v>
      </c>
      <c r="D50" s="148"/>
      <c r="E50" s="149"/>
      <c r="F50" s="149"/>
      <c r="G50" s="150" t="s">
        <v>99</v>
      </c>
      <c r="H50" s="150"/>
      <c r="I50" s="150"/>
      <c r="J50" s="150"/>
      <c r="K50" s="150"/>
      <c r="L50" s="50">
        <f>IF(B2=75,0,K49+K48+K47)</f>
        <v>1385498</v>
      </c>
      <c r="N50" s="3"/>
      <c r="O50" s="1"/>
      <c r="V50" s="323" t="s">
        <v>98</v>
      </c>
      <c r="W50" s="152">
        <f>SUM(W47:W49)</f>
        <v>0</v>
      </c>
      <c r="X50" s="648" t="s">
        <v>99</v>
      </c>
      <c r="Y50" s="649"/>
      <c r="Z50" s="649"/>
      <c r="AA50" s="649"/>
      <c r="AB50" s="649"/>
      <c r="AC50" s="56">
        <f>IF(V2=75,0,AB49+AB48+AB47)</f>
        <v>0</v>
      </c>
      <c r="AD50" s="9"/>
    </row>
    <row r="51" spans="2:30" ht="19.5" customHeight="1" x14ac:dyDescent="0.25">
      <c r="B51" s="153" t="s">
        <v>100</v>
      </c>
      <c r="C51" s="153"/>
      <c r="D51" s="153"/>
      <c r="E51" s="153"/>
      <c r="F51" s="153"/>
      <c r="G51" s="153"/>
      <c r="H51" s="153"/>
      <c r="I51" s="153"/>
      <c r="J51" s="153"/>
      <c r="K51" s="153"/>
      <c r="L51" s="153"/>
      <c r="M51" s="141"/>
      <c r="N51" s="101"/>
      <c r="O51" s="1"/>
      <c r="V51" s="650" t="s">
        <v>100</v>
      </c>
      <c r="W51" s="650"/>
      <c r="X51" s="650"/>
      <c r="Y51" s="650"/>
      <c r="Z51" s="650"/>
      <c r="AA51" s="650"/>
      <c r="AB51" s="650"/>
      <c r="AC51" s="650"/>
      <c r="AD51" s="154"/>
    </row>
    <row r="52" spans="2:30" ht="27.75" customHeight="1" x14ac:dyDescent="0.25">
      <c r="B52" s="13" t="s">
        <v>101</v>
      </c>
      <c r="C52" s="13"/>
      <c r="D52" s="13"/>
      <c r="E52" s="13"/>
      <c r="F52" s="13"/>
      <c r="G52" s="13"/>
      <c r="H52" s="13"/>
      <c r="I52" s="13"/>
      <c r="J52" s="13"/>
      <c r="K52" s="13"/>
      <c r="L52" s="13"/>
      <c r="O52" s="1"/>
      <c r="V52" s="651" t="s">
        <v>101</v>
      </c>
      <c r="W52" s="651"/>
      <c r="X52" s="651"/>
      <c r="Y52" s="651"/>
      <c r="Z52" s="651"/>
      <c r="AA52" s="651"/>
      <c r="AB52" s="651"/>
      <c r="AC52" s="651"/>
      <c r="AD52" s="9"/>
    </row>
    <row r="53" spans="2:30" x14ac:dyDescent="0.25">
      <c r="B53" s="13" t="s">
        <v>102</v>
      </c>
      <c r="C53" s="13"/>
      <c r="D53" s="13"/>
      <c r="E53" s="13"/>
      <c r="F53" s="13"/>
      <c r="G53" s="155">
        <f>K26</f>
        <v>1197.9008000000001</v>
      </c>
      <c r="H53" s="57" t="s">
        <v>103</v>
      </c>
      <c r="I53" s="57"/>
      <c r="J53" s="156">
        <v>197823.77</v>
      </c>
      <c r="K53" s="156"/>
      <c r="L53" s="156"/>
      <c r="N53" s="3"/>
      <c r="O53" s="1"/>
      <c r="V53" s="657" t="s">
        <v>102</v>
      </c>
      <c r="W53" s="657"/>
      <c r="X53" s="157">
        <f>AB26</f>
        <v>0</v>
      </c>
      <c r="Y53" s="658" t="s">
        <v>103</v>
      </c>
      <c r="Z53" s="658"/>
      <c r="AA53" s="659">
        <f>+J53</f>
        <v>197823.77</v>
      </c>
      <c r="AB53" s="659"/>
      <c r="AC53" s="659"/>
      <c r="AD53" s="9"/>
    </row>
    <row r="54" spans="2:30" x14ac:dyDescent="0.25">
      <c r="B54" s="13" t="s">
        <v>104</v>
      </c>
      <c r="C54" s="13"/>
      <c r="D54" s="13"/>
      <c r="E54" s="13"/>
      <c r="F54" s="13"/>
      <c r="G54" s="13"/>
      <c r="H54" s="13"/>
      <c r="I54" s="13"/>
      <c r="J54" s="13"/>
      <c r="K54" s="158">
        <f>ROUND(G53/J53,6)</f>
        <v>6.0549999999999996E-3</v>
      </c>
      <c r="L54" s="158"/>
      <c r="N54" s="101"/>
      <c r="O54" s="1"/>
      <c r="V54" s="657" t="s">
        <v>104</v>
      </c>
      <c r="W54" s="657"/>
      <c r="X54" s="657"/>
      <c r="Y54" s="657"/>
      <c r="Z54" s="657"/>
      <c r="AA54" s="657"/>
      <c r="AB54" s="660">
        <f>ROUND(X53/AA53,6)</f>
        <v>0</v>
      </c>
      <c r="AC54" s="660"/>
      <c r="AD54" s="9"/>
    </row>
    <row r="55" spans="2:30" ht="24" customHeight="1" x14ac:dyDescent="0.25">
      <c r="B55" s="13" t="s">
        <v>105</v>
      </c>
      <c r="C55" s="13"/>
      <c r="D55" s="13"/>
      <c r="E55" s="13"/>
      <c r="F55" s="13"/>
      <c r="G55" s="13"/>
      <c r="H55" s="13"/>
      <c r="I55" s="13"/>
      <c r="J55" s="13"/>
      <c r="K55" s="13"/>
      <c r="L55" s="13"/>
      <c r="O55" s="1"/>
      <c r="V55" s="651" t="s">
        <v>105</v>
      </c>
      <c r="W55" s="651"/>
      <c r="X55" s="651"/>
      <c r="Y55" s="651"/>
      <c r="Z55" s="651"/>
      <c r="AA55" s="651"/>
      <c r="AB55" s="651"/>
      <c r="AC55" s="651"/>
      <c r="AD55" s="9"/>
    </row>
    <row r="56" spans="2:30" x14ac:dyDescent="0.25">
      <c r="B56" s="13" t="s">
        <v>106</v>
      </c>
      <c r="C56" s="13"/>
      <c r="D56" s="13"/>
      <c r="E56" s="13"/>
      <c r="F56" s="13"/>
      <c r="G56" s="159">
        <f>G26</f>
        <v>1126.8800000000001</v>
      </c>
      <c r="H56" s="57" t="s">
        <v>107</v>
      </c>
      <c r="I56" s="57"/>
      <c r="J56" s="156">
        <f>+G40</f>
        <v>180284.81</v>
      </c>
      <c r="K56" s="156"/>
      <c r="L56" s="156"/>
      <c r="O56" s="1"/>
      <c r="V56" s="657" t="s">
        <v>106</v>
      </c>
      <c r="W56" s="657"/>
      <c r="X56" s="160">
        <f>X26</f>
        <v>0</v>
      </c>
      <c r="Y56" s="658" t="s">
        <v>107</v>
      </c>
      <c r="Z56" s="658"/>
      <c r="AA56" s="659">
        <f>+J56</f>
        <v>180284.81</v>
      </c>
      <c r="AB56" s="659"/>
      <c r="AC56" s="659"/>
      <c r="AD56" s="9"/>
    </row>
    <row r="57" spans="2:30" x14ac:dyDescent="0.25">
      <c r="B57" s="13" t="s">
        <v>108</v>
      </c>
      <c r="C57" s="13"/>
      <c r="D57" s="13"/>
      <c r="E57" s="13"/>
      <c r="F57" s="13"/>
      <c r="G57" s="13"/>
      <c r="H57" s="13"/>
      <c r="I57" s="13"/>
      <c r="J57" s="13"/>
      <c r="K57" s="158">
        <f>ROUND(G56/J56,6)</f>
        <v>6.2509999999999996E-3</v>
      </c>
      <c r="L57" s="158"/>
      <c r="O57" s="1"/>
      <c r="V57" s="657" t="s">
        <v>108</v>
      </c>
      <c r="W57" s="657"/>
      <c r="X57" s="657"/>
      <c r="Y57" s="657"/>
      <c r="Z57" s="657"/>
      <c r="AA57" s="657"/>
      <c r="AB57" s="660">
        <f>ROUND(X56/AA56,6)</f>
        <v>0</v>
      </c>
      <c r="AC57" s="660"/>
      <c r="AD57" s="9"/>
    </row>
    <row r="58" spans="2:30" ht="20.25" customHeight="1" x14ac:dyDescent="0.25">
      <c r="B58" s="161" t="s">
        <v>109</v>
      </c>
      <c r="C58" s="161"/>
      <c r="D58" s="161"/>
      <c r="E58" s="161"/>
      <c r="F58" s="161"/>
      <c r="G58" s="161"/>
      <c r="H58" s="161"/>
      <c r="I58" s="161"/>
      <c r="J58" s="161"/>
      <c r="K58" s="161"/>
      <c r="L58" s="161"/>
      <c r="N58" s="18"/>
      <c r="O58" s="18"/>
      <c r="V58" s="629" t="s">
        <v>110</v>
      </c>
      <c r="W58" s="629"/>
      <c r="X58" s="629"/>
      <c r="Y58" s="661">
        <f>X65+X64+X62+X61+X60</f>
        <v>4123852</v>
      </c>
      <c r="Z58" s="661"/>
      <c r="AA58" s="326" t="s">
        <v>111</v>
      </c>
      <c r="AB58" s="163">
        <f>AB54</f>
        <v>0</v>
      </c>
      <c r="AC58" s="56">
        <f>ROUND(Y58*AB58,0)</f>
        <v>0</v>
      </c>
      <c r="AD58" s="9"/>
    </row>
    <row r="59" spans="2:30" x14ac:dyDescent="0.25">
      <c r="B59" s="62" t="s">
        <v>110</v>
      </c>
      <c r="C59" s="62"/>
      <c r="D59" s="62"/>
      <c r="E59" s="62"/>
      <c r="F59" s="62"/>
      <c r="G59" s="62"/>
      <c r="H59" s="164" t="s">
        <v>22</v>
      </c>
      <c r="I59" s="129">
        <v>4123852</v>
      </c>
      <c r="J59" s="165" t="s">
        <v>111</v>
      </c>
      <c r="K59" s="166">
        <f>K54</f>
        <v>6.0549999999999996E-3</v>
      </c>
      <c r="L59" s="50">
        <f>ROUND(I59*K59,0)</f>
        <v>24970</v>
      </c>
      <c r="O59" s="1"/>
      <c r="P59" s="165"/>
      <c r="Q59" s="165"/>
      <c r="V59" s="662" t="s">
        <v>112</v>
      </c>
      <c r="W59" s="662"/>
      <c r="X59" s="662"/>
      <c r="Y59" s="662"/>
      <c r="Z59" s="662"/>
      <c r="AA59" s="662"/>
      <c r="AB59" s="662"/>
      <c r="AC59" s="662"/>
      <c r="AD59" s="9"/>
    </row>
    <row r="60" spans="2:30" x14ac:dyDescent="0.25">
      <c r="B60" s="62" t="s">
        <v>112</v>
      </c>
      <c r="C60" s="62"/>
      <c r="D60" s="62"/>
      <c r="E60" s="62"/>
      <c r="F60" s="62"/>
      <c r="G60" s="62"/>
      <c r="H60" s="62"/>
      <c r="I60" s="62"/>
      <c r="J60" s="62"/>
      <c r="K60" s="62"/>
      <c r="L60" s="62"/>
      <c r="O60" s="1"/>
      <c r="P60" s="165"/>
      <c r="Q60" s="165"/>
      <c r="V60" s="663" t="s">
        <v>113</v>
      </c>
      <c r="W60" s="663"/>
      <c r="X60" s="664">
        <f>+G61</f>
        <v>0</v>
      </c>
      <c r="Y60" s="664"/>
      <c r="Z60" s="664"/>
      <c r="AA60" s="664"/>
      <c r="AB60" s="664"/>
      <c r="AC60" s="664"/>
      <c r="AD60" s="9"/>
    </row>
    <row r="61" spans="2:30" ht="15" customHeight="1" x14ac:dyDescent="0.25">
      <c r="B61" s="167" t="s">
        <v>113</v>
      </c>
      <c r="C61" s="62"/>
      <c r="D61" s="62"/>
      <c r="E61" s="62"/>
      <c r="F61" s="62"/>
      <c r="G61" s="168">
        <v>0</v>
      </c>
      <c r="H61" s="168"/>
      <c r="I61" s="168"/>
      <c r="J61" s="168"/>
      <c r="K61" s="168"/>
      <c r="L61" s="168"/>
      <c r="O61" s="1"/>
      <c r="P61" s="165"/>
      <c r="Q61" s="165"/>
      <c r="V61" s="663" t="s">
        <v>114</v>
      </c>
      <c r="W61" s="663"/>
      <c r="X61" s="664">
        <f>+G62</f>
        <v>0</v>
      </c>
      <c r="Y61" s="664"/>
      <c r="Z61" s="664"/>
      <c r="AA61" s="664"/>
      <c r="AB61" s="664"/>
      <c r="AC61" s="664"/>
      <c r="AD61" s="9"/>
    </row>
    <row r="62" spans="2:30" ht="13.5" customHeight="1" x14ac:dyDescent="0.25">
      <c r="B62" s="167" t="s">
        <v>114</v>
      </c>
      <c r="C62" s="62"/>
      <c r="D62" s="62"/>
      <c r="E62" s="62"/>
      <c r="F62" s="62"/>
      <c r="G62" s="168">
        <v>0</v>
      </c>
      <c r="H62" s="168"/>
      <c r="I62" s="168"/>
      <c r="J62" s="168"/>
      <c r="K62" s="168"/>
      <c r="L62" s="168"/>
      <c r="N62" s="165"/>
      <c r="O62" s="165"/>
      <c r="P62" s="165"/>
      <c r="Q62" s="165"/>
      <c r="V62" s="663" t="s">
        <v>115</v>
      </c>
      <c r="W62" s="663"/>
      <c r="X62" s="664">
        <v>0</v>
      </c>
      <c r="Y62" s="664"/>
      <c r="Z62" s="664"/>
      <c r="AA62" s="664"/>
      <c r="AB62" s="664"/>
      <c r="AC62" s="664"/>
      <c r="AD62" s="9"/>
    </row>
    <row r="63" spans="2:30" ht="13.5" hidden="1" customHeight="1" x14ac:dyDescent="0.25">
      <c r="B63" s="62" t="s">
        <v>115</v>
      </c>
      <c r="C63" s="62"/>
      <c r="D63" s="62"/>
      <c r="E63" s="62"/>
      <c r="F63" s="62"/>
      <c r="G63" s="168">
        <v>0</v>
      </c>
      <c r="H63" s="168"/>
      <c r="I63" s="168"/>
      <c r="J63" s="168"/>
      <c r="K63" s="168"/>
      <c r="L63" s="168"/>
      <c r="O63" s="1"/>
      <c r="P63" s="165"/>
      <c r="Q63" s="165"/>
      <c r="V63" s="662" t="s">
        <v>116</v>
      </c>
      <c r="W63" s="662"/>
      <c r="X63" s="662"/>
      <c r="Y63" s="662"/>
      <c r="Z63" s="662"/>
      <c r="AA63" s="662"/>
      <c r="AB63" s="662"/>
      <c r="AC63" s="662"/>
      <c r="AD63" s="322"/>
    </row>
    <row r="64" spans="2:30" ht="13.5" customHeight="1" x14ac:dyDescent="0.25">
      <c r="B64" s="62" t="s">
        <v>116</v>
      </c>
      <c r="C64" s="62"/>
      <c r="D64" s="62"/>
      <c r="E64" s="62"/>
      <c r="F64" s="62"/>
      <c r="G64" s="62"/>
      <c r="H64" s="62"/>
      <c r="I64" s="62"/>
      <c r="J64" s="62"/>
      <c r="K64" s="62"/>
      <c r="L64" s="62"/>
      <c r="M64" s="116"/>
      <c r="N64" s="18"/>
      <c r="O64" s="1"/>
      <c r="V64" s="663" t="s">
        <v>117</v>
      </c>
      <c r="W64" s="663"/>
      <c r="X64" s="664">
        <f>+G65</f>
        <v>4123852</v>
      </c>
      <c r="Y64" s="664"/>
      <c r="Z64" s="664"/>
      <c r="AA64" s="664"/>
      <c r="AB64" s="664"/>
      <c r="AC64" s="664"/>
      <c r="AD64" s="9"/>
    </row>
    <row r="65" spans="1:30" ht="12.75" customHeight="1" x14ac:dyDescent="0.25">
      <c r="B65" s="167" t="s">
        <v>117</v>
      </c>
      <c r="C65" s="62"/>
      <c r="D65" s="62"/>
      <c r="E65" s="62"/>
      <c r="F65" s="62"/>
      <c r="G65" s="168">
        <f>+I59</f>
        <v>4123852</v>
      </c>
      <c r="H65" s="168"/>
      <c r="I65" s="168"/>
      <c r="J65" s="168"/>
      <c r="K65" s="168"/>
      <c r="L65" s="168"/>
      <c r="O65" s="1"/>
      <c r="V65" s="663" t="s">
        <v>118</v>
      </c>
      <c r="W65" s="663"/>
      <c r="X65" s="664">
        <f>+G66</f>
        <v>0</v>
      </c>
      <c r="Y65" s="664"/>
      <c r="Z65" s="664"/>
      <c r="AA65" s="664"/>
      <c r="AB65" s="664"/>
      <c r="AC65" s="664"/>
      <c r="AD65" s="20"/>
    </row>
    <row r="66" spans="1:30" ht="15" customHeight="1" x14ac:dyDescent="0.25">
      <c r="B66" s="167" t="s">
        <v>118</v>
      </c>
      <c r="C66" s="62"/>
      <c r="D66" s="62"/>
      <c r="E66" s="62"/>
      <c r="F66" s="62"/>
      <c r="G66" s="168">
        <v>0</v>
      </c>
      <c r="H66" s="168"/>
      <c r="I66" s="168"/>
      <c r="J66" s="168"/>
      <c r="K66" s="168"/>
      <c r="L66" s="168"/>
      <c r="M66" s="18"/>
      <c r="N66" s="3"/>
      <c r="O66" s="169"/>
      <c r="P66" s="169"/>
      <c r="Q66" s="169"/>
      <c r="V66" s="651" t="s">
        <v>119</v>
      </c>
      <c r="W66" s="651"/>
      <c r="X66" s="651"/>
      <c r="Y66" s="661">
        <f>+I67</f>
        <v>96774526</v>
      </c>
      <c r="Z66" s="661"/>
      <c r="AA66" s="326" t="s">
        <v>111</v>
      </c>
      <c r="AB66" s="163">
        <f>AB54</f>
        <v>0</v>
      </c>
      <c r="AC66" s="56">
        <f>ROUND(Y66*AB66,0)</f>
        <v>0</v>
      </c>
      <c r="AD66" s="9"/>
    </row>
    <row r="67" spans="1:30" ht="20.25" customHeight="1" x14ac:dyDescent="0.25">
      <c r="B67" s="13" t="s">
        <v>119</v>
      </c>
      <c r="C67" s="13"/>
      <c r="D67" s="13"/>
      <c r="E67" s="13"/>
      <c r="F67" s="13"/>
      <c r="H67" s="164" t="s">
        <v>25</v>
      </c>
      <c r="I67" s="129">
        <v>96774526</v>
      </c>
      <c r="J67" s="165" t="s">
        <v>111</v>
      </c>
      <c r="K67" s="166">
        <f>K54</f>
        <v>6.0549999999999996E-3</v>
      </c>
      <c r="L67" s="50">
        <f>ROUND(I67*K67,0)</f>
        <v>585970</v>
      </c>
      <c r="O67" s="1"/>
      <c r="V67" s="651" t="s">
        <v>120</v>
      </c>
      <c r="W67" s="651"/>
      <c r="X67" s="651"/>
      <c r="Y67" s="651"/>
      <c r="Z67" s="651"/>
      <c r="AA67" s="651"/>
      <c r="AB67" s="651"/>
      <c r="AC67" s="651"/>
      <c r="AD67" s="9"/>
    </row>
    <row r="68" spans="1:30" ht="20.25" customHeight="1" x14ac:dyDescent="0.25">
      <c r="B68" s="13" t="s">
        <v>120</v>
      </c>
      <c r="C68" s="13"/>
      <c r="D68" s="13"/>
      <c r="E68" s="13"/>
      <c r="F68" s="13"/>
      <c r="H68" s="13"/>
      <c r="I68" s="13"/>
      <c r="J68" s="82"/>
      <c r="K68" s="13"/>
      <c r="L68" s="13"/>
      <c r="O68" s="1"/>
      <c r="V68" s="667" t="s">
        <v>121</v>
      </c>
      <c r="W68" s="667"/>
      <c r="X68" s="667"/>
      <c r="Y68" s="661">
        <f>+I69</f>
        <v>0</v>
      </c>
      <c r="Z68" s="661"/>
      <c r="AA68" s="326" t="s">
        <v>111</v>
      </c>
      <c r="AB68" s="163">
        <f>AB57</f>
        <v>0</v>
      </c>
      <c r="AC68" s="56">
        <f>ROUND(Y68*AB68,0)</f>
        <v>0</v>
      </c>
      <c r="AD68" s="9"/>
    </row>
    <row r="69" spans="1:30" ht="15" customHeight="1" x14ac:dyDescent="0.25">
      <c r="B69" s="170" t="s">
        <v>121</v>
      </c>
      <c r="C69" s="13"/>
      <c r="D69" s="13"/>
      <c r="E69" s="13"/>
      <c r="F69" s="13"/>
      <c r="H69" s="164" t="s">
        <v>23</v>
      </c>
      <c r="I69" s="129">
        <v>0</v>
      </c>
      <c r="J69" s="165" t="s">
        <v>111</v>
      </c>
      <c r="K69" s="166">
        <f>K57</f>
        <v>6.2509999999999996E-3</v>
      </c>
      <c r="L69" s="50">
        <f>ROUND(I69*K69,0)</f>
        <v>0</v>
      </c>
      <c r="O69" s="1"/>
      <c r="V69" s="651" t="s">
        <v>122</v>
      </c>
      <c r="W69" s="651"/>
      <c r="X69" s="651"/>
      <c r="Y69" s="668">
        <f>+I70</f>
        <v>-3460775</v>
      </c>
      <c r="Z69" s="668"/>
      <c r="AA69" s="326" t="s">
        <v>111</v>
      </c>
      <c r="AB69" s="163">
        <f>AB54</f>
        <v>0</v>
      </c>
      <c r="AC69" s="56">
        <f>ROUND(Y69*AB69,0)</f>
        <v>0</v>
      </c>
      <c r="AD69" s="9"/>
    </row>
    <row r="70" spans="1:30" ht="20.25" customHeight="1" x14ac:dyDescent="0.25">
      <c r="B70" s="13" t="s">
        <v>122</v>
      </c>
      <c r="C70" s="13"/>
      <c r="D70" s="13"/>
      <c r="E70" s="13"/>
      <c r="F70" s="13"/>
      <c r="H70" s="164" t="s">
        <v>22</v>
      </c>
      <c r="I70" s="129">
        <v>-3460775</v>
      </c>
      <c r="J70" s="165" t="s">
        <v>111</v>
      </c>
      <c r="K70" s="166">
        <f>K54</f>
        <v>6.0549999999999996E-3</v>
      </c>
      <c r="L70" s="50">
        <f>ROUND(I70*K70,0)</f>
        <v>-20955</v>
      </c>
      <c r="O70" s="1"/>
      <c r="V70" s="651" t="s">
        <v>123</v>
      </c>
      <c r="W70" s="651"/>
      <c r="X70" s="651"/>
      <c r="Y70" s="665">
        <f>+I71</f>
        <v>1874788</v>
      </c>
      <c r="Z70" s="665"/>
      <c r="AA70" s="326" t="s">
        <v>111</v>
      </c>
      <c r="AB70" s="163">
        <f>AB54</f>
        <v>0</v>
      </c>
      <c r="AC70" s="56">
        <f>ROUND(Y70*AB70,0)</f>
        <v>0</v>
      </c>
      <c r="AD70" s="9"/>
    </row>
    <row r="71" spans="1:30" ht="20.25" customHeight="1" x14ac:dyDescent="0.25">
      <c r="B71" s="13" t="s">
        <v>123</v>
      </c>
      <c r="C71" s="13"/>
      <c r="D71" s="13"/>
      <c r="E71" s="13"/>
      <c r="F71" s="13"/>
      <c r="H71" s="164" t="s">
        <v>22</v>
      </c>
      <c r="I71" s="129">
        <v>1874788</v>
      </c>
      <c r="J71" s="165" t="s">
        <v>111</v>
      </c>
      <c r="K71" s="166">
        <f>K54</f>
        <v>6.0549999999999996E-3</v>
      </c>
      <c r="L71" s="50">
        <f>ROUND(I71*K71,0)</f>
        <v>11352</v>
      </c>
      <c r="O71" s="1"/>
      <c r="V71" s="651" t="s">
        <v>124</v>
      </c>
      <c r="W71" s="651"/>
      <c r="X71" s="651"/>
      <c r="Y71" s="665">
        <f>+I72</f>
        <v>14223298</v>
      </c>
      <c r="Z71" s="665"/>
      <c r="AA71" s="326" t="s">
        <v>111</v>
      </c>
      <c r="AB71" s="163">
        <f>AB57</f>
        <v>0</v>
      </c>
      <c r="AC71" s="56">
        <f>ROUND(Y71*AB71,0)</f>
        <v>0</v>
      </c>
      <c r="AD71" s="9"/>
    </row>
    <row r="72" spans="1:30" ht="21" customHeight="1" x14ac:dyDescent="0.25">
      <c r="B72" s="13" t="s">
        <v>124</v>
      </c>
      <c r="C72" s="13"/>
      <c r="D72" s="13"/>
      <c r="E72" s="13"/>
      <c r="F72" s="13"/>
      <c r="H72" s="164" t="s">
        <v>23</v>
      </c>
      <c r="I72" s="171">
        <v>14223298</v>
      </c>
      <c r="J72" s="165" t="s">
        <v>111</v>
      </c>
      <c r="K72" s="166">
        <f>K57</f>
        <v>6.2509999999999996E-3</v>
      </c>
      <c r="L72" s="50">
        <f>ROUND(I72*K72,0)</f>
        <v>88910</v>
      </c>
      <c r="O72" s="1"/>
      <c r="V72" s="623" t="s">
        <v>125</v>
      </c>
      <c r="W72" s="623"/>
      <c r="X72" s="623"/>
      <c r="Y72" s="623"/>
      <c r="Z72" s="623"/>
      <c r="AA72" s="623"/>
      <c r="AB72" s="623"/>
      <c r="AC72" s="60"/>
      <c r="AD72" s="9"/>
    </row>
    <row r="73" spans="1:30" ht="17.25" customHeight="1" x14ac:dyDescent="0.25">
      <c r="B73" s="13" t="s">
        <v>125</v>
      </c>
      <c r="C73" s="13"/>
      <c r="D73" s="13"/>
      <c r="E73" s="13"/>
      <c r="F73" s="13"/>
      <c r="H73" s="13"/>
      <c r="I73" s="13"/>
      <c r="J73" s="82"/>
      <c r="K73" s="13"/>
      <c r="L73" s="59"/>
      <c r="O73" s="1"/>
      <c r="V73" s="651" t="s">
        <v>126</v>
      </c>
      <c r="W73" s="651"/>
      <c r="X73" s="651"/>
      <c r="Y73" s="651"/>
      <c r="Z73" s="651"/>
      <c r="AA73" s="651"/>
      <c r="AB73" s="651"/>
      <c r="AC73" s="651"/>
      <c r="AD73" s="9"/>
    </row>
    <row r="74" spans="1:30" ht="31.5" x14ac:dyDescent="0.25">
      <c r="B74" s="13" t="s">
        <v>126</v>
      </c>
      <c r="C74" s="13"/>
      <c r="D74" s="27" t="s">
        <v>13</v>
      </c>
      <c r="E74" s="27" t="s">
        <v>14</v>
      </c>
      <c r="F74" s="27"/>
      <c r="H74" s="164" t="s">
        <v>26</v>
      </c>
      <c r="I74" s="172"/>
      <c r="J74" s="164"/>
      <c r="K74" s="172"/>
      <c r="L74" s="112"/>
      <c r="O74" s="1"/>
      <c r="V74" s="666" t="s">
        <v>127</v>
      </c>
      <c r="W74" s="666"/>
      <c r="X74" s="173" t="s">
        <v>128</v>
      </c>
      <c r="Y74" s="174"/>
      <c r="Z74" s="175">
        <f>+I75</f>
        <v>232.5</v>
      </c>
      <c r="AA74" s="328" t="s">
        <v>129</v>
      </c>
      <c r="AB74" s="177">
        <f>+K75</f>
        <v>361</v>
      </c>
      <c r="AC74" s="56">
        <f>ROUND(AB74*Z74,0)</f>
        <v>83933</v>
      </c>
      <c r="AD74" s="9"/>
    </row>
    <row r="75" spans="1:30" ht="19.5" customHeight="1" x14ac:dyDescent="0.25">
      <c r="A75" s="1" t="s">
        <v>130</v>
      </c>
      <c r="B75" s="178" t="s">
        <v>127</v>
      </c>
      <c r="C75" s="179" t="s">
        <v>128</v>
      </c>
      <c r="D75" s="178">
        <v>209</v>
      </c>
      <c r="E75" s="178">
        <v>256</v>
      </c>
      <c r="F75" s="178">
        <v>0</v>
      </c>
      <c r="G75" s="180">
        <f>IF(E75=0,D75,E75)</f>
        <v>256</v>
      </c>
      <c r="H75" s="181"/>
      <c r="I75" s="182">
        <f>AVERAGE(G75,D75)</f>
        <v>232.5</v>
      </c>
      <c r="J75" s="183" t="s">
        <v>129</v>
      </c>
      <c r="K75" s="184">
        <v>361</v>
      </c>
      <c r="L75" s="50">
        <f>ROUND(K75*I75,0)</f>
        <v>83933</v>
      </c>
      <c r="N75" s="1">
        <v>7802</v>
      </c>
      <c r="O75" s="1">
        <v>0</v>
      </c>
      <c r="V75" s="666" t="s">
        <v>127</v>
      </c>
      <c r="W75" s="666"/>
      <c r="X75" s="173" t="s">
        <v>131</v>
      </c>
      <c r="Y75" s="185"/>
      <c r="Z75" s="186">
        <f>+I76</f>
        <v>1</v>
      </c>
      <c r="AA75" s="328" t="s">
        <v>129</v>
      </c>
      <c r="AB75" s="187">
        <f>+K76</f>
        <v>1358</v>
      </c>
      <c r="AC75" s="56">
        <f>ROUND(AB75*Z75,0)</f>
        <v>1358</v>
      </c>
      <c r="AD75" s="9"/>
    </row>
    <row r="76" spans="1:30" ht="19.5" customHeight="1" x14ac:dyDescent="0.25">
      <c r="A76" s="1" t="s">
        <v>132</v>
      </c>
      <c r="B76" s="178" t="s">
        <v>127</v>
      </c>
      <c r="C76" s="179" t="s">
        <v>131</v>
      </c>
      <c r="D76" s="178">
        <v>1</v>
      </c>
      <c r="E76" s="178">
        <v>1</v>
      </c>
      <c r="F76" s="178">
        <v>0</v>
      </c>
      <c r="G76" s="180">
        <f>IF(E76=0,D76,E76)</f>
        <v>1</v>
      </c>
      <c r="H76" s="181"/>
      <c r="I76" s="182">
        <f>AVERAGE(G76,D76)</f>
        <v>1</v>
      </c>
      <c r="J76" s="183" t="s">
        <v>129</v>
      </c>
      <c r="K76" s="188">
        <v>1358</v>
      </c>
      <c r="L76" s="50">
        <f>ROUND(K76*I76,0)</f>
        <v>1358</v>
      </c>
      <c r="N76" s="1">
        <v>7802</v>
      </c>
      <c r="O76" s="1">
        <v>110</v>
      </c>
      <c r="V76" s="651" t="s">
        <v>133</v>
      </c>
      <c r="W76" s="651"/>
      <c r="X76" s="651"/>
      <c r="Y76" s="661">
        <f>+I77</f>
        <v>33305823</v>
      </c>
      <c r="Z76" s="661"/>
      <c r="AA76" s="328" t="s">
        <v>129</v>
      </c>
      <c r="AB76" s="163">
        <f>AB54</f>
        <v>0</v>
      </c>
      <c r="AC76" s="56">
        <f>ROUND(Y76*AB76,0)</f>
        <v>0</v>
      </c>
      <c r="AD76" s="9"/>
    </row>
    <row r="77" spans="1:30" ht="26.25" customHeight="1" x14ac:dyDescent="0.25">
      <c r="B77" s="13" t="s">
        <v>133</v>
      </c>
      <c r="C77" s="13"/>
      <c r="D77" s="13"/>
      <c r="E77" s="13"/>
      <c r="F77" s="13"/>
      <c r="H77" s="164" t="s">
        <v>134</v>
      </c>
      <c r="I77" s="189">
        <v>33305823</v>
      </c>
      <c r="J77" s="165" t="s">
        <v>111</v>
      </c>
      <c r="K77" s="166">
        <f>K54</f>
        <v>6.0549999999999996E-3</v>
      </c>
      <c r="L77" s="50">
        <f>ROUND(K77*I77,0)</f>
        <v>201667</v>
      </c>
      <c r="O77" s="1"/>
      <c r="V77" s="651" t="str">
        <f>+B78</f>
        <v>15.  Additional Allocation (WFTE share)</v>
      </c>
      <c r="W77" s="651"/>
      <c r="X77" s="651"/>
      <c r="Y77" s="661">
        <f>+I78</f>
        <v>680688</v>
      </c>
      <c r="Z77" s="661"/>
      <c r="AA77" s="328" t="s">
        <v>129</v>
      </c>
      <c r="AB77" s="163">
        <f>AB54</f>
        <v>0</v>
      </c>
      <c r="AC77" s="56">
        <f>ROUND(Y77*AB77,0)</f>
        <v>0</v>
      </c>
      <c r="AD77" s="9"/>
    </row>
    <row r="78" spans="1:30" ht="26.25" customHeight="1" x14ac:dyDescent="0.25">
      <c r="B78" s="669" t="s">
        <v>135</v>
      </c>
      <c r="C78" s="669"/>
      <c r="D78" s="669"/>
      <c r="E78" s="13"/>
      <c r="F78" s="13"/>
      <c r="H78" s="164" t="s">
        <v>136</v>
      </c>
      <c r="I78" s="190">
        <v>680688</v>
      </c>
      <c r="J78" s="165" t="s">
        <v>111</v>
      </c>
      <c r="K78" s="166">
        <f>K54</f>
        <v>6.0549999999999996E-3</v>
      </c>
      <c r="L78" s="50">
        <f>ROUND(I78*K78,0)</f>
        <v>4122</v>
      </c>
      <c r="O78" s="1"/>
      <c r="V78" s="651" t="str">
        <f t="shared" ref="V78:V79" si="11">+B79</f>
        <v>16.  Florida Teachers Lead Program Stipend</v>
      </c>
      <c r="W78" s="651"/>
      <c r="X78" s="651"/>
      <c r="Y78" s="191"/>
      <c r="Z78" s="191"/>
      <c r="AA78" s="191"/>
      <c r="AB78" s="191"/>
      <c r="AC78" s="134"/>
      <c r="AD78" s="9"/>
    </row>
    <row r="79" spans="1:30" ht="21" customHeight="1" x14ac:dyDescent="0.25">
      <c r="B79" s="669" t="s">
        <v>137</v>
      </c>
      <c r="C79" s="669"/>
      <c r="D79" s="669"/>
      <c r="E79" s="13"/>
      <c r="F79" s="13"/>
      <c r="H79" s="164"/>
      <c r="I79" s="172"/>
      <c r="J79" s="172"/>
      <c r="K79" s="172"/>
      <c r="L79" s="129"/>
      <c r="N79" s="192"/>
      <c r="O79" s="1"/>
      <c r="Q79" s="164"/>
      <c r="V79" s="651" t="str">
        <f t="shared" si="11"/>
        <v>17.  Food Service Allocation</v>
      </c>
      <c r="W79" s="651"/>
      <c r="X79" s="651"/>
      <c r="Y79" s="191"/>
      <c r="Z79" s="191"/>
      <c r="AA79" s="191"/>
      <c r="AB79" s="191"/>
      <c r="AC79" s="193"/>
      <c r="AD79" s="9"/>
    </row>
    <row r="80" spans="1:30" ht="21" customHeight="1" x14ac:dyDescent="0.25">
      <c r="B80" s="669" t="s">
        <v>138</v>
      </c>
      <c r="C80" s="669"/>
      <c r="D80" s="669"/>
      <c r="E80" s="13"/>
      <c r="F80" s="13"/>
      <c r="H80" s="194" t="s">
        <v>139</v>
      </c>
      <c r="I80" s="195"/>
      <c r="J80" s="195"/>
      <c r="K80" s="195"/>
      <c r="L80" s="196"/>
      <c r="N80" s="197"/>
      <c r="O80" s="1"/>
      <c r="Q80" s="164"/>
      <c r="V80" s="191"/>
      <c r="W80" s="191"/>
      <c r="X80" s="191"/>
      <c r="Y80" s="191"/>
      <c r="Z80" s="191"/>
      <c r="AA80" s="191"/>
      <c r="AB80" s="191"/>
      <c r="AC80" s="193"/>
      <c r="AD80" s="9"/>
    </row>
    <row r="81" spans="1:30" ht="21" customHeight="1" thickBot="1" x14ac:dyDescent="0.3">
      <c r="B81" s="13"/>
      <c r="C81" s="13"/>
      <c r="D81" s="13"/>
      <c r="E81" s="13"/>
      <c r="F81" s="13"/>
      <c r="G81" s="13"/>
      <c r="H81" s="13"/>
      <c r="I81" s="13"/>
      <c r="J81" s="13"/>
      <c r="K81" s="13"/>
      <c r="L81" s="196"/>
      <c r="M81" s="198"/>
      <c r="N81" s="197"/>
      <c r="O81" s="1"/>
      <c r="Q81" s="164"/>
      <c r="V81" s="191" t="s">
        <v>140</v>
      </c>
      <c r="W81" s="191"/>
      <c r="X81" s="191"/>
      <c r="Y81" s="191"/>
      <c r="Z81" s="191"/>
      <c r="AA81" s="191"/>
      <c r="AB81" s="191"/>
      <c r="AC81" s="199">
        <f>SUM(AC44:AC80)</f>
        <v>85291</v>
      </c>
      <c r="AD81" s="200"/>
    </row>
    <row r="82" spans="1:30" ht="22.5" customHeight="1" thickTop="1" thickBot="1" x14ac:dyDescent="0.3">
      <c r="B82" s="13" t="s">
        <v>141</v>
      </c>
      <c r="C82" s="13"/>
      <c r="D82" s="13"/>
      <c r="E82" s="13"/>
      <c r="F82" s="13"/>
      <c r="G82" s="13"/>
      <c r="H82" s="13"/>
      <c r="I82" s="13"/>
      <c r="J82" s="13"/>
      <c r="K82" s="13"/>
      <c r="L82" s="201">
        <f>SUM(L44:L81)</f>
        <v>7453398</v>
      </c>
      <c r="M82" s="202"/>
      <c r="N82" s="203"/>
      <c r="O82" s="1"/>
      <c r="Q82" s="164"/>
      <c r="V82" s="191"/>
      <c r="W82" s="191"/>
      <c r="X82" s="191"/>
      <c r="Y82" s="191"/>
      <c r="Z82" s="191"/>
      <c r="AA82" s="191"/>
      <c r="AB82" s="191"/>
      <c r="AC82" s="204"/>
      <c r="AD82" s="200"/>
    </row>
    <row r="83" spans="1:30" ht="27.75" customHeight="1" thickTop="1" x14ac:dyDescent="0.25">
      <c r="B83" s="13" t="s">
        <v>142</v>
      </c>
      <c r="C83" s="13"/>
      <c r="D83" s="13"/>
      <c r="E83" s="13"/>
      <c r="F83" s="13"/>
      <c r="G83" s="13"/>
      <c r="H83" s="13"/>
      <c r="I83" s="13"/>
      <c r="J83" s="13"/>
      <c r="K83" s="82" t="s">
        <v>143</v>
      </c>
      <c r="L83" s="205" t="s">
        <v>144</v>
      </c>
      <c r="M83" s="202"/>
      <c r="N83" s="203"/>
      <c r="O83" s="1"/>
      <c r="Q83" s="164"/>
      <c r="V83" s="9" t="s">
        <v>145</v>
      </c>
      <c r="W83" s="9"/>
      <c r="X83" s="9"/>
      <c r="Y83" s="9"/>
      <c r="Z83" s="9"/>
      <c r="AA83" s="9"/>
      <c r="AB83" s="9"/>
      <c r="AC83" s="9"/>
      <c r="AD83" s="206"/>
    </row>
    <row r="84" spans="1:30" ht="18.75" customHeight="1" thickBot="1" x14ac:dyDescent="0.3">
      <c r="B84" s="13" t="s">
        <v>146</v>
      </c>
      <c r="C84" s="13"/>
      <c r="D84" s="13"/>
      <c r="E84" s="13"/>
      <c r="F84" s="13"/>
      <c r="G84" s="13"/>
      <c r="H84" s="13"/>
      <c r="I84" s="13"/>
      <c r="J84" s="13"/>
      <c r="K84" s="207" t="str">
        <f>IF(G26=0,"",IF((G11+G13+SUM(G15:G21))/G26&gt;0.75,1,""))</f>
        <v/>
      </c>
      <c r="L84" s="201">
        <f>'4020 June Tch Alloc.'!AC81</f>
        <v>85291</v>
      </c>
      <c r="M84" s="202"/>
      <c r="N84" s="203"/>
      <c r="O84" s="1"/>
      <c r="Q84" s="164"/>
      <c r="V84" s="208" t="s">
        <v>147</v>
      </c>
      <c r="W84" s="208"/>
      <c r="X84" s="208"/>
      <c r="Y84" s="208"/>
      <c r="Z84" s="208"/>
      <c r="AA84" s="208"/>
      <c r="AB84" s="208"/>
      <c r="AC84" s="208"/>
      <c r="AD84" s="9"/>
    </row>
    <row r="85" spans="1:30" ht="18.75" customHeight="1" thickTop="1" x14ac:dyDescent="0.25">
      <c r="B85" s="13"/>
      <c r="C85" s="13"/>
      <c r="D85" s="13"/>
      <c r="E85" s="13"/>
      <c r="F85" s="13"/>
      <c r="G85" s="13"/>
      <c r="H85" s="13"/>
      <c r="I85" s="13"/>
      <c r="J85" s="13"/>
      <c r="M85" s="202"/>
      <c r="N85" s="203"/>
      <c r="O85" s="1"/>
      <c r="Q85" s="164"/>
      <c r="V85" s="208" t="s">
        <v>148</v>
      </c>
      <c r="W85" s="208"/>
      <c r="X85" s="208"/>
      <c r="Y85" s="208"/>
      <c r="Z85" s="208"/>
      <c r="AA85" s="208"/>
      <c r="AB85" s="208"/>
      <c r="AC85" s="208"/>
      <c r="AD85" s="206"/>
    </row>
    <row r="86" spans="1:30" ht="18.75" customHeight="1" x14ac:dyDescent="0.25">
      <c r="B86" s="2" t="s">
        <v>149</v>
      </c>
      <c r="C86" s="13"/>
      <c r="D86" s="13"/>
      <c r="E86" s="13"/>
      <c r="F86" s="13"/>
      <c r="G86" s="13"/>
      <c r="H86" s="13"/>
      <c r="I86" s="13"/>
      <c r="J86" s="209" t="s">
        <v>150</v>
      </c>
      <c r="K86" s="210">
        <f>IF(K84=1,L84,L82)</f>
        <v>7453398</v>
      </c>
      <c r="L86" s="211">
        <f>IF(G26=0,0,IF(G26&gt;250,-(((250/G26)*K86)*IF(M86="H",0.02,0.05)),IF(M86="H",-0.02*K86,-0.05*K86)))</f>
        <v>-82677.370261252305</v>
      </c>
      <c r="M86" s="212" t="str">
        <f>IF(B123="2801","H",IF(B123="2911","H",IF(B123="3382","H"," ")))</f>
        <v xml:space="preserve"> </v>
      </c>
      <c r="N86" s="203"/>
      <c r="O86" s="1"/>
      <c r="Q86" s="164"/>
      <c r="V86" s="208" t="s">
        <v>151</v>
      </c>
      <c r="W86" s="208"/>
      <c r="X86" s="208"/>
      <c r="Y86" s="208"/>
      <c r="Z86" s="208"/>
      <c r="AA86" s="208"/>
      <c r="AB86" s="208"/>
      <c r="AC86" s="208"/>
      <c r="AD86" s="206"/>
    </row>
    <row r="87" spans="1:30" ht="18.75" customHeight="1" x14ac:dyDescent="0.25">
      <c r="B87" s="2" t="s">
        <v>152</v>
      </c>
      <c r="C87" s="13"/>
      <c r="D87" s="13"/>
      <c r="E87" s="13"/>
      <c r="F87" s="13"/>
      <c r="G87" s="13"/>
      <c r="H87" s="13"/>
      <c r="I87" s="13"/>
      <c r="J87" s="13"/>
      <c r="K87" s="213"/>
      <c r="L87" s="205">
        <f>L82+L86</f>
        <v>7370720.6297387481</v>
      </c>
      <c r="M87" s="202"/>
      <c r="N87" s="203"/>
      <c r="O87" s="1"/>
      <c r="Q87" s="164"/>
      <c r="V87" s="198"/>
      <c r="W87" s="198"/>
      <c r="X87" s="198"/>
      <c r="Y87" s="198"/>
      <c r="Z87" s="198"/>
      <c r="AA87" s="198"/>
      <c r="AB87" s="198"/>
      <c r="AC87" s="198"/>
      <c r="AD87" s="214"/>
    </row>
    <row r="88" spans="1:30" x14ac:dyDescent="0.25">
      <c r="V88" s="198"/>
      <c r="W88" s="198"/>
      <c r="X88" s="198"/>
      <c r="Y88" s="198"/>
      <c r="Z88" s="198"/>
      <c r="AA88" s="198"/>
      <c r="AB88" s="198"/>
      <c r="AC88" s="198"/>
      <c r="AD88" s="215"/>
    </row>
    <row r="89" spans="1:30" ht="18.75" customHeight="1" x14ac:dyDescent="0.25">
      <c r="A89" s="1" t="s">
        <v>153</v>
      </c>
      <c r="B89" s="13" t="s">
        <v>154</v>
      </c>
      <c r="C89" s="13"/>
      <c r="D89" s="13">
        <v>3538425</v>
      </c>
      <c r="E89" s="13">
        <v>633919</v>
      </c>
      <c r="F89" s="13">
        <v>6007452</v>
      </c>
      <c r="G89" s="13"/>
      <c r="H89" s="13"/>
      <c r="I89" s="13"/>
      <c r="J89" s="13"/>
      <c r="K89" s="213"/>
      <c r="L89" s="84">
        <v>-7171290.6358973403</v>
      </c>
      <c r="M89" s="202"/>
      <c r="N89" s="203"/>
      <c r="O89" s="1"/>
      <c r="Q89" s="164"/>
      <c r="V89" s="198">
        <v>2801</v>
      </c>
      <c r="W89" s="198"/>
      <c r="X89" s="198"/>
      <c r="Y89" s="198"/>
      <c r="Z89" s="198"/>
      <c r="AA89" s="198"/>
      <c r="AB89" s="198"/>
      <c r="AC89" s="198"/>
      <c r="AD89" s="214"/>
    </row>
    <row r="90" spans="1:30" ht="18.75" customHeight="1" x14ac:dyDescent="0.25">
      <c r="B90" s="13" t="s">
        <v>155</v>
      </c>
      <c r="C90" s="13"/>
      <c r="D90" s="13"/>
      <c r="E90" s="13"/>
      <c r="F90" s="13"/>
      <c r="G90" s="13"/>
      <c r="H90" s="13"/>
      <c r="I90" s="13"/>
      <c r="J90" s="13"/>
      <c r="K90" s="213"/>
      <c r="L90" s="205">
        <f>L87+L89</f>
        <v>199429.99384140782</v>
      </c>
      <c r="M90" s="202"/>
      <c r="N90" s="203"/>
      <c r="O90" s="1"/>
      <c r="Q90" s="164"/>
      <c r="V90" s="198">
        <v>2911</v>
      </c>
      <c r="W90" s="216"/>
      <c r="X90" s="216"/>
      <c r="Y90" s="216"/>
      <c r="Z90" s="216"/>
      <c r="AA90" s="216"/>
      <c r="AB90" s="216"/>
      <c r="AC90" s="216"/>
      <c r="AD90" s="214"/>
    </row>
    <row r="91" spans="1:30" ht="18.75" customHeight="1" x14ac:dyDescent="0.25">
      <c r="B91" s="13" t="s">
        <v>156</v>
      </c>
      <c r="C91" s="13"/>
      <c r="D91" s="13"/>
      <c r="E91" s="13"/>
      <c r="F91" s="13"/>
      <c r="G91" s="13"/>
      <c r="H91" s="13"/>
      <c r="I91" s="13"/>
      <c r="J91" s="13"/>
      <c r="K91" s="213"/>
      <c r="L91" s="205">
        <v>1</v>
      </c>
      <c r="M91" s="202"/>
      <c r="N91" s="203"/>
      <c r="O91" s="1"/>
      <c r="Q91" s="164"/>
      <c r="V91" s="198">
        <v>3382</v>
      </c>
      <c r="W91" s="216"/>
      <c r="X91" s="216"/>
      <c r="Y91" s="216"/>
      <c r="Z91" s="216"/>
      <c r="AA91" s="216"/>
      <c r="AB91" s="216"/>
      <c r="AC91" s="216"/>
      <c r="AD91" s="214"/>
    </row>
    <row r="92" spans="1:30" ht="18.75" customHeight="1" thickBot="1" x14ac:dyDescent="0.3">
      <c r="B92" s="13" t="s">
        <v>157</v>
      </c>
      <c r="C92" s="13"/>
      <c r="D92" s="13"/>
      <c r="E92" s="13"/>
      <c r="F92" s="13"/>
      <c r="G92" s="13"/>
      <c r="H92" s="13"/>
      <c r="I92" s="13"/>
      <c r="J92" s="13"/>
      <c r="K92" s="213"/>
      <c r="L92" s="217">
        <f>L90/L91</f>
        <v>199429.99384140782</v>
      </c>
      <c r="M92" s="202"/>
      <c r="N92" s="203"/>
      <c r="O92" s="1"/>
      <c r="Q92" s="164"/>
      <c r="V92" s="218"/>
      <c r="W92" s="218"/>
      <c r="X92" s="218"/>
      <c r="Y92" s="218"/>
      <c r="Z92" s="218"/>
      <c r="AA92" s="218"/>
      <c r="AB92" s="218"/>
      <c r="AC92" s="218"/>
      <c r="AD92" s="219"/>
    </row>
    <row r="93" spans="1:30" ht="18.75" customHeight="1" thickTop="1" x14ac:dyDescent="0.25">
      <c r="N93" s="219"/>
      <c r="O93" s="220"/>
      <c r="P93" s="219"/>
      <c r="Q93" s="219"/>
      <c r="V93" s="218"/>
      <c r="W93" s="218"/>
      <c r="X93" s="218"/>
      <c r="Y93" s="218"/>
      <c r="Z93" s="218"/>
      <c r="AA93" s="218"/>
      <c r="AB93" s="218"/>
      <c r="AC93" s="218"/>
      <c r="AD93" s="214"/>
    </row>
    <row r="94" spans="1:30" ht="18.75" customHeight="1" thickBot="1" x14ac:dyDescent="0.3">
      <c r="B94" s="221" t="s">
        <v>158</v>
      </c>
      <c r="C94" s="13"/>
      <c r="D94" s="13"/>
      <c r="E94" s="13"/>
      <c r="G94" s="13"/>
      <c r="H94" s="13"/>
      <c r="I94" s="13"/>
      <c r="J94" s="13"/>
      <c r="L94" s="222">
        <v>0</v>
      </c>
      <c r="M94" s="202"/>
      <c r="V94" s="223"/>
      <c r="W94" s="223"/>
      <c r="X94" s="223"/>
      <c r="Y94" s="223"/>
      <c r="Z94" s="223"/>
      <c r="AA94" s="223"/>
      <c r="AB94" s="223"/>
      <c r="AC94" s="223"/>
      <c r="AD94" s="214"/>
    </row>
    <row r="95" spans="1:30" ht="21.75" customHeight="1" thickTop="1" x14ac:dyDescent="0.25">
      <c r="B95" s="224" t="s">
        <v>159</v>
      </c>
      <c r="C95" s="224"/>
      <c r="D95" s="224"/>
      <c r="E95" s="224"/>
      <c r="F95" s="224"/>
      <c r="G95" s="224"/>
      <c r="H95" s="224"/>
      <c r="I95" s="224"/>
      <c r="J95" s="224"/>
      <c r="K95" s="224"/>
      <c r="L95" s="224"/>
      <c r="M95" s="219"/>
      <c r="V95" s="223"/>
      <c r="W95" s="223"/>
      <c r="X95" s="223"/>
      <c r="Y95" s="223"/>
      <c r="Z95" s="223"/>
      <c r="AA95" s="223"/>
      <c r="AB95" s="223"/>
      <c r="AC95" s="223"/>
      <c r="AD95" s="214"/>
    </row>
    <row r="96" spans="1:30" x14ac:dyDescent="0.25">
      <c r="B96" s="225"/>
      <c r="V96" s="223"/>
      <c r="W96" s="223"/>
      <c r="X96" s="223"/>
      <c r="Y96" s="223"/>
      <c r="Z96" s="223"/>
      <c r="AA96" s="223"/>
      <c r="AB96" s="223"/>
      <c r="AC96" s="223"/>
      <c r="AD96" s="219"/>
    </row>
    <row r="97" spans="2:30" x14ac:dyDescent="0.25">
      <c r="B97" s="225"/>
      <c r="V97" s="223"/>
      <c r="W97" s="223"/>
      <c r="X97" s="223"/>
      <c r="Y97" s="223"/>
      <c r="Z97" s="223"/>
      <c r="AA97" s="223"/>
      <c r="AB97" s="223"/>
      <c r="AC97" s="223"/>
      <c r="AD97" s="219"/>
    </row>
    <row r="98" spans="2:30" hidden="1" x14ac:dyDescent="0.25">
      <c r="B98" s="226" t="s">
        <v>160</v>
      </c>
      <c r="C98" s="227"/>
      <c r="V98" s="228"/>
      <c r="W98" s="228"/>
      <c r="X98" s="228"/>
      <c r="Y98" s="228"/>
      <c r="Z98" s="228"/>
      <c r="AA98" s="228"/>
      <c r="AB98" s="228"/>
      <c r="AC98" s="228"/>
    </row>
    <row r="99" spans="2:30" hidden="1" x14ac:dyDescent="0.25">
      <c r="B99" s="229"/>
      <c r="C99" s="227"/>
      <c r="V99" s="225"/>
      <c r="W99" s="13"/>
      <c r="X99" s="13"/>
      <c r="Y99" s="13"/>
      <c r="Z99" s="13"/>
      <c r="AA99" s="13"/>
      <c r="AB99" s="13"/>
      <c r="AC99" s="13"/>
    </row>
    <row r="100" spans="2:30" hidden="1" x14ac:dyDescent="0.25">
      <c r="B100" s="230" t="s">
        <v>161</v>
      </c>
      <c r="C100" s="226" t="s">
        <v>162</v>
      </c>
      <c r="V100" s="225"/>
    </row>
    <row r="101" spans="2:30" hidden="1" x14ac:dyDescent="0.25">
      <c r="B101" s="230" t="s">
        <v>163</v>
      </c>
      <c r="C101" s="226" t="s">
        <v>164</v>
      </c>
      <c r="V101" s="225"/>
    </row>
    <row r="102" spans="2:30" hidden="1" x14ac:dyDescent="0.25">
      <c r="B102" s="230" t="s">
        <v>165</v>
      </c>
      <c r="C102" s="226" t="s">
        <v>166</v>
      </c>
      <c r="V102" s="225"/>
      <c r="W102" s="231"/>
      <c r="X102" s="231"/>
      <c r="Y102" s="231"/>
      <c r="Z102" s="231"/>
      <c r="AA102" s="231"/>
      <c r="AB102" s="231"/>
      <c r="AC102" s="231"/>
      <c r="AD102" s="231"/>
    </row>
    <row r="103" spans="2:30" hidden="1" x14ac:dyDescent="0.25">
      <c r="B103" s="230" t="s">
        <v>167</v>
      </c>
      <c r="C103" s="226" t="s">
        <v>168</v>
      </c>
      <c r="V103" s="225"/>
    </row>
    <row r="104" spans="2:30" hidden="1" x14ac:dyDescent="0.25">
      <c r="B104" s="232"/>
      <c r="C104" s="226" t="s">
        <v>169</v>
      </c>
      <c r="V104" s="225"/>
    </row>
    <row r="105" spans="2:30" hidden="1" x14ac:dyDescent="0.25">
      <c r="B105" s="230" t="s">
        <v>170</v>
      </c>
      <c r="C105" s="226" t="s">
        <v>171</v>
      </c>
      <c r="V105" s="225"/>
    </row>
    <row r="106" spans="2:30" hidden="1" x14ac:dyDescent="0.25">
      <c r="B106" s="230" t="s">
        <v>172</v>
      </c>
      <c r="C106" s="226" t="s">
        <v>173</v>
      </c>
      <c r="V106" s="225"/>
    </row>
    <row r="107" spans="2:30" hidden="1" x14ac:dyDescent="0.25">
      <c r="B107" s="230" t="s">
        <v>336</v>
      </c>
      <c r="C107" s="226" t="s">
        <v>175</v>
      </c>
      <c r="V107" s="225"/>
    </row>
    <row r="108" spans="2:30" hidden="1" x14ac:dyDescent="0.25">
      <c r="B108" s="230" t="s">
        <v>176</v>
      </c>
      <c r="C108" s="226" t="s">
        <v>177</v>
      </c>
      <c r="V108" s="225"/>
    </row>
    <row r="109" spans="2:30" hidden="1" x14ac:dyDescent="0.25">
      <c r="B109" s="230" t="s">
        <v>178</v>
      </c>
      <c r="C109" s="226" t="s">
        <v>179</v>
      </c>
      <c r="V109" s="225"/>
    </row>
    <row r="110" spans="2:30" hidden="1" x14ac:dyDescent="0.25">
      <c r="B110" s="232"/>
      <c r="C110" s="226"/>
      <c r="V110" s="225"/>
    </row>
    <row r="111" spans="2:30" hidden="1" x14ac:dyDescent="0.25">
      <c r="B111" s="230" t="s">
        <v>180</v>
      </c>
      <c r="C111" s="226" t="s">
        <v>181</v>
      </c>
      <c r="V111" s="225"/>
    </row>
    <row r="112" spans="2:30" hidden="1" x14ac:dyDescent="0.25">
      <c r="B112" s="230" t="s">
        <v>180</v>
      </c>
      <c r="C112" s="226" t="s">
        <v>182</v>
      </c>
    </row>
    <row r="113" spans="2:3" hidden="1" x14ac:dyDescent="0.25">
      <c r="B113" s="230" t="s">
        <v>183</v>
      </c>
      <c r="C113" s="226" t="s">
        <v>184</v>
      </c>
    </row>
    <row r="114" spans="2:3" hidden="1" x14ac:dyDescent="0.25">
      <c r="B114" s="230" t="s">
        <v>185</v>
      </c>
      <c r="C114" s="226" t="s">
        <v>186</v>
      </c>
    </row>
    <row r="115" spans="2:3" hidden="1" x14ac:dyDescent="0.25">
      <c r="B115" s="230" t="s">
        <v>183</v>
      </c>
      <c r="C115" s="226" t="s">
        <v>187</v>
      </c>
    </row>
    <row r="116" spans="2:3" hidden="1" x14ac:dyDescent="0.25">
      <c r="B116" s="230" t="s">
        <v>188</v>
      </c>
      <c r="C116" s="226" t="s">
        <v>189</v>
      </c>
    </row>
    <row r="117" spans="2:3" hidden="1" x14ac:dyDescent="0.25">
      <c r="B117" s="230" t="s">
        <v>190</v>
      </c>
      <c r="C117" s="226" t="s">
        <v>191</v>
      </c>
    </row>
    <row r="118" spans="2:3" hidden="1" x14ac:dyDescent="0.25">
      <c r="B118" s="232" t="s">
        <v>192</v>
      </c>
      <c r="C118" s="226" t="s">
        <v>193</v>
      </c>
    </row>
    <row r="119" spans="2:3" hidden="1" x14ac:dyDescent="0.25">
      <c r="B119" s="232"/>
      <c r="C119" s="226"/>
    </row>
    <row r="120" spans="2:3" hidden="1" x14ac:dyDescent="0.25">
      <c r="B120" s="230" t="s">
        <v>161</v>
      </c>
      <c r="C120" s="226" t="s">
        <v>194</v>
      </c>
    </row>
    <row r="121" spans="2:3" hidden="1" x14ac:dyDescent="0.25">
      <c r="B121" s="230" t="s">
        <v>195</v>
      </c>
      <c r="C121" s="226" t="s">
        <v>196</v>
      </c>
    </row>
    <row r="122" spans="2:3" hidden="1" x14ac:dyDescent="0.25">
      <c r="B122" s="230" t="s">
        <v>197</v>
      </c>
      <c r="C122" s="226" t="s">
        <v>198</v>
      </c>
    </row>
    <row r="123" spans="2:3" hidden="1" x14ac:dyDescent="0.25">
      <c r="B123" s="230" t="s">
        <v>337</v>
      </c>
      <c r="C123" s="226" t="s">
        <v>200</v>
      </c>
    </row>
    <row r="124" spans="2:3" hidden="1" x14ac:dyDescent="0.25">
      <c r="B124" s="230" t="s">
        <v>338</v>
      </c>
      <c r="C124" s="226" t="s">
        <v>202</v>
      </c>
    </row>
    <row r="125" spans="2:3" hidden="1" x14ac:dyDescent="0.25">
      <c r="B125" s="230" t="s">
        <v>203</v>
      </c>
      <c r="C125" s="226" t="s">
        <v>204</v>
      </c>
    </row>
    <row r="126" spans="2:3" hidden="1" x14ac:dyDescent="0.25">
      <c r="B126" s="230" t="s">
        <v>203</v>
      </c>
      <c r="C126" s="226" t="s">
        <v>205</v>
      </c>
    </row>
    <row r="127" spans="2:3" hidden="1" x14ac:dyDescent="0.25">
      <c r="B127" s="230" t="s">
        <v>203</v>
      </c>
      <c r="C127" s="226" t="s">
        <v>206</v>
      </c>
    </row>
    <row r="128" spans="2:3" hidden="1" x14ac:dyDescent="0.25">
      <c r="B128" s="230" t="s">
        <v>203</v>
      </c>
      <c r="C128" s="226" t="s">
        <v>207</v>
      </c>
    </row>
    <row r="129" spans="2:3" hidden="1" x14ac:dyDescent="0.25">
      <c r="B129" s="230" t="s">
        <v>167</v>
      </c>
      <c r="C129" s="226" t="s">
        <v>208</v>
      </c>
    </row>
    <row r="130" spans="2:3" hidden="1" x14ac:dyDescent="0.25">
      <c r="B130" s="230" t="s">
        <v>209</v>
      </c>
      <c r="C130" s="226" t="s">
        <v>210</v>
      </c>
    </row>
    <row r="131" spans="2:3" hidden="1" x14ac:dyDescent="0.25">
      <c r="B131" s="230" t="s">
        <v>203</v>
      </c>
      <c r="C131" s="226" t="s">
        <v>211</v>
      </c>
    </row>
    <row r="132" spans="2:3" hidden="1" x14ac:dyDescent="0.25">
      <c r="B132" s="226"/>
      <c r="C132" s="226"/>
    </row>
    <row r="133" spans="2:3" hidden="1" x14ac:dyDescent="0.25">
      <c r="B133" s="226"/>
      <c r="C133" s="226"/>
    </row>
    <row r="134" spans="2:3" hidden="1" x14ac:dyDescent="0.25">
      <c r="B134" s="232"/>
      <c r="C134" s="232"/>
    </row>
    <row r="135" spans="2:3" hidden="1" x14ac:dyDescent="0.25">
      <c r="B135" s="232">
        <f>NvsElapsedTime</f>
        <v>1.15740695036948E-5</v>
      </c>
      <c r="C135" s="232"/>
    </row>
    <row r="136" spans="2:3" hidden="1" x14ac:dyDescent="0.25">
      <c r="B136" s="233">
        <f>NvsEndTime</f>
        <v>41754.488194444399</v>
      </c>
      <c r="C136" s="233" t="s">
        <v>212</v>
      </c>
    </row>
    <row r="137" spans="2:3" x14ac:dyDescent="0.25">
      <c r="B137" s="226"/>
      <c r="C137" s="234"/>
    </row>
    <row r="138" spans="2:3" x14ac:dyDescent="0.25">
      <c r="B138" s="226"/>
      <c r="C138" s="226"/>
    </row>
    <row r="139" spans="2:3" x14ac:dyDescent="0.25">
      <c r="B139" s="226"/>
      <c r="C139" s="226"/>
    </row>
    <row r="140" spans="2:3" x14ac:dyDescent="0.25">
      <c r="B140" s="226"/>
      <c r="C140" s="226"/>
    </row>
    <row r="141" spans="2:3" x14ac:dyDescent="0.25">
      <c r="B141" s="226"/>
      <c r="C141" s="226"/>
    </row>
    <row r="142" spans="2:3" x14ac:dyDescent="0.25">
      <c r="B142" s="226"/>
      <c r="C142" s="226"/>
    </row>
    <row r="143" spans="2:3" x14ac:dyDescent="0.25">
      <c r="B143" s="226"/>
      <c r="C143" s="226"/>
    </row>
    <row r="144" spans="2:3" x14ac:dyDescent="0.25">
      <c r="B144" s="226"/>
      <c r="C144" s="226"/>
    </row>
    <row r="145" spans="2:3" x14ac:dyDescent="0.25">
      <c r="B145" s="226"/>
      <c r="C145" s="226"/>
    </row>
    <row r="146" spans="2:3" x14ac:dyDescent="0.25">
      <c r="B146" s="226"/>
      <c r="C146" s="226"/>
    </row>
    <row r="147" spans="2:3" x14ac:dyDescent="0.25">
      <c r="B147" s="226"/>
      <c r="C147" s="226"/>
    </row>
    <row r="148" spans="2:3" x14ac:dyDescent="0.25">
      <c r="B148" s="226"/>
      <c r="C148" s="226"/>
    </row>
    <row r="149" spans="2:3" x14ac:dyDescent="0.25">
      <c r="B149" s="226"/>
      <c r="C149" s="226"/>
    </row>
    <row r="150" spans="2:3" x14ac:dyDescent="0.25">
      <c r="B150" s="226"/>
      <c r="C150" s="226"/>
    </row>
    <row r="151" spans="2:3" x14ac:dyDescent="0.25">
      <c r="B151" s="226"/>
      <c r="C151" s="226"/>
    </row>
  </sheetData>
  <mergeCells count="151">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9:W9"/>
    <mergeCell ref="X9:Y9"/>
    <mergeCell ref="Z9:AA9"/>
    <mergeCell ref="V10:W10"/>
    <mergeCell ref="X10:Y10"/>
    <mergeCell ref="Z10:AA10"/>
    <mergeCell ref="V7:W7"/>
    <mergeCell ref="X7:Y7"/>
    <mergeCell ref="Z7:AA7"/>
    <mergeCell ref="AB7:AC7"/>
    <mergeCell ref="V8:W8"/>
    <mergeCell ref="X8:Y8"/>
    <mergeCell ref="Z8:AA8"/>
    <mergeCell ref="W2:AC2"/>
    <mergeCell ref="V3:AC3"/>
    <mergeCell ref="V4:AC4"/>
    <mergeCell ref="V5:W5"/>
    <mergeCell ref="X5:Y5"/>
    <mergeCell ref="V6:AC6"/>
  </mergeCells>
  <printOptions horizontalCentered="1"/>
  <pageMargins left="0" right="0" top="0.67" bottom="0.2" header="0.25" footer="0.196850393700787"/>
  <pageSetup scale="72" fitToHeight="2" orientation="portrait" r:id="rId1"/>
  <headerFooter alignWithMargins="0">
    <oddHeader>&amp;L&amp;8&amp;F
&amp;D &amp;T</oddHeader>
    <oddFooter>&amp;C&amp;P</oddFooter>
  </headerFooter>
  <rowBreaks count="1" manualBreakCount="1">
    <brk id="51" max="16383" man="1"/>
  </rowBreaks>
  <legacyDrawing r:id="rId2"/>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D151"/>
  <sheetViews>
    <sheetView topLeftCell="B2" zoomScale="70" zoomScaleNormal="70" workbookViewId="0">
      <selection activeCell="L71" sqref="L70:L71"/>
    </sheetView>
  </sheetViews>
  <sheetFormatPr defaultColWidth="8.85546875" defaultRowHeight="15.75" x14ac:dyDescent="0.25"/>
  <cols>
    <col min="1" max="1" width="11.28515625" style="1" hidden="1" customWidth="1"/>
    <col min="2" max="2" width="10.28515625" style="2" customWidth="1"/>
    <col min="3" max="3" width="29" style="1" customWidth="1"/>
    <col min="4" max="5" width="12.28515625" style="1" customWidth="1"/>
    <col min="6" max="6" width="12.28515625" style="1" hidden="1" customWidth="1"/>
    <col min="7" max="7" width="16.140625" style="1" customWidth="1"/>
    <col min="8" max="8" width="6.7109375" style="1" customWidth="1"/>
    <col min="9" max="9" width="14.28515625" style="1" customWidth="1"/>
    <col min="10" max="10" width="12.85546875" style="1" customWidth="1"/>
    <col min="11" max="11" width="16.140625" style="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28515625" style="1" customWidth="1"/>
    <col min="18" max="18" width="8.85546875" style="1"/>
    <col min="19" max="21" width="0" style="1" hidden="1" customWidth="1"/>
    <col min="22" max="23" width="8.85546875" style="1"/>
    <col min="24" max="24" width="12.7109375" style="1" customWidth="1"/>
    <col min="25" max="27" width="8.85546875" style="1"/>
    <col min="28" max="28" width="13.140625" style="1" bestFit="1" customWidth="1"/>
    <col min="29" max="16384" width="8.85546875" style="1"/>
  </cols>
  <sheetData>
    <row r="1" spans="1:30" ht="15.6"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7"/>
      <c r="N2" s="3"/>
      <c r="O2" s="1"/>
      <c r="V2" s="8">
        <f>'4020 June Final'!B2</f>
        <v>50</v>
      </c>
      <c r="W2" s="606" t="s">
        <v>4</v>
      </c>
      <c r="X2" s="607"/>
      <c r="Y2" s="608"/>
      <c r="Z2" s="608"/>
      <c r="AA2" s="608"/>
      <c r="AB2" s="608"/>
      <c r="AC2" s="608"/>
      <c r="AD2" s="9"/>
    </row>
    <row r="3" spans="1:30" ht="20.25" x14ac:dyDescent="0.3">
      <c r="B3" s="10" t="str">
        <f>"Revenue Estimate Worksheet for "&amp;B124</f>
        <v>Revenue Estimate Worksheet for Franklin Academy Cht School B</v>
      </c>
      <c r="C3" s="11"/>
      <c r="D3" s="11"/>
      <c r="E3" s="11"/>
      <c r="F3" s="11"/>
      <c r="G3" s="11"/>
      <c r="H3" s="11"/>
      <c r="I3" s="11"/>
      <c r="J3" s="11"/>
      <c r="K3" s="11"/>
      <c r="L3" s="11"/>
      <c r="M3" s="10"/>
      <c r="N3" s="10"/>
      <c r="O3" s="10"/>
      <c r="P3" s="10"/>
      <c r="Q3" s="10"/>
      <c r="V3" s="609" t="s">
        <v>5</v>
      </c>
      <c r="W3" s="609"/>
      <c r="X3" s="609"/>
      <c r="Y3" s="609"/>
      <c r="Z3" s="609"/>
      <c r="AA3" s="609"/>
      <c r="AB3" s="609"/>
      <c r="AC3" s="609"/>
      <c r="AD3" s="12"/>
    </row>
    <row r="4" spans="1:30" ht="18.75" x14ac:dyDescent="0.3">
      <c r="B4" s="2" t="s">
        <v>6</v>
      </c>
      <c r="C4" s="13"/>
      <c r="D4" s="13"/>
      <c r="E4" s="13"/>
      <c r="F4" s="13"/>
      <c r="G4" s="13"/>
      <c r="H4" s="13"/>
      <c r="I4" s="13"/>
      <c r="J4" s="13"/>
      <c r="K4" s="13"/>
      <c r="L4" s="13"/>
      <c r="M4" s="14"/>
      <c r="N4" s="14"/>
      <c r="O4" s="14"/>
      <c r="P4" s="14"/>
      <c r="Q4" s="14"/>
      <c r="V4" s="610" t="str">
        <f>+Based_on_the_Second_Calculation_of_the_FEFP_2010_11</f>
        <v>Based on the Fourth Calculation of the FEFP 2013-14</v>
      </c>
      <c r="W4" s="610"/>
      <c r="X4" s="610"/>
      <c r="Y4" s="610"/>
      <c r="Z4" s="610"/>
      <c r="AA4" s="610"/>
      <c r="AB4" s="610"/>
      <c r="AC4" s="610"/>
      <c r="AD4" s="15"/>
    </row>
    <row r="5" spans="1:30" ht="18.75" customHeight="1" x14ac:dyDescent="0.25">
      <c r="B5" s="16" t="s">
        <v>7</v>
      </c>
      <c r="C5" s="16"/>
      <c r="D5" s="16"/>
      <c r="E5" s="16"/>
      <c r="F5" s="16"/>
      <c r="G5" s="17" t="s">
        <v>8</v>
      </c>
      <c r="H5" s="17"/>
      <c r="I5" s="17"/>
      <c r="J5" s="17"/>
      <c r="K5" s="17"/>
      <c r="L5" s="17"/>
      <c r="M5" s="18"/>
      <c r="N5" s="18"/>
      <c r="O5" s="18"/>
      <c r="P5" s="18"/>
      <c r="Q5" s="18"/>
      <c r="V5" s="611" t="s">
        <v>7</v>
      </c>
      <c r="W5" s="611"/>
      <c r="X5" s="612" t="s">
        <v>8</v>
      </c>
      <c r="Y5" s="612"/>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613" t="s">
        <v>9</v>
      </c>
      <c r="W6" s="613"/>
      <c r="X6" s="613"/>
      <c r="Y6" s="613"/>
      <c r="Z6" s="613"/>
      <c r="AA6" s="613"/>
      <c r="AB6" s="613"/>
      <c r="AC6" s="613"/>
      <c r="AD6" s="22"/>
    </row>
    <row r="7" spans="1:30" ht="18" customHeight="1" x14ac:dyDescent="0.25">
      <c r="B7" s="23" t="s">
        <v>10</v>
      </c>
      <c r="C7" s="23"/>
      <c r="D7" s="23"/>
      <c r="E7" s="23"/>
      <c r="F7" s="23"/>
      <c r="G7" s="24">
        <v>3752.3</v>
      </c>
      <c r="H7" s="24"/>
      <c r="I7" s="23" t="s">
        <v>11</v>
      </c>
      <c r="J7" s="23"/>
      <c r="K7" s="25">
        <v>1.0326</v>
      </c>
      <c r="L7" s="25"/>
      <c r="O7" s="1"/>
      <c r="V7" s="620" t="s">
        <v>10</v>
      </c>
      <c r="W7" s="620"/>
      <c r="X7" s="621">
        <f>'4020 June Final'!G7</f>
        <v>3752.3</v>
      </c>
      <c r="Y7" s="621"/>
      <c r="Z7" s="622" t="s">
        <v>11</v>
      </c>
      <c r="AA7" s="622"/>
      <c r="AB7" s="602">
        <f>+K7</f>
        <v>1.0326</v>
      </c>
      <c r="AC7" s="602"/>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603" t="s">
        <v>12</v>
      </c>
      <c r="W8" s="603"/>
      <c r="X8" s="604" t="s">
        <v>15</v>
      </c>
      <c r="Y8" s="604"/>
      <c r="Z8" s="605" t="s">
        <v>16</v>
      </c>
      <c r="AA8" s="605"/>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614" t="s">
        <v>22</v>
      </c>
      <c r="W9" s="614"/>
      <c r="X9" s="615" t="s">
        <v>23</v>
      </c>
      <c r="Y9" s="615"/>
      <c r="Z9" s="616" t="s">
        <v>24</v>
      </c>
      <c r="AA9" s="616"/>
      <c r="AB9" s="43" t="s">
        <v>25</v>
      </c>
      <c r="AC9" s="44" t="s">
        <v>26</v>
      </c>
      <c r="AD9" s="9"/>
    </row>
    <row r="10" spans="1:30" x14ac:dyDescent="0.25">
      <c r="A10" s="1" t="s">
        <v>27</v>
      </c>
      <c r="B10" s="45" t="s">
        <v>28</v>
      </c>
      <c r="C10" s="45"/>
      <c r="D10" s="45">
        <v>232.77</v>
      </c>
      <c r="E10" s="45">
        <v>229.82</v>
      </c>
      <c r="F10" s="45">
        <v>281.68</v>
      </c>
      <c r="G10" s="46">
        <f t="shared" ref="G10:G25" si="0">D10+E10</f>
        <v>462.59000000000003</v>
      </c>
      <c r="H10" s="47"/>
      <c r="I10" s="48">
        <v>1.125</v>
      </c>
      <c r="J10" s="48"/>
      <c r="K10" s="49">
        <f t="shared" ref="K10:K25" si="1">ROUND(G10*I10,4)</f>
        <v>520.41380000000004</v>
      </c>
      <c r="L10" s="50">
        <f t="shared" ref="L10:L25" si="2">ROUND(ROUND(K10*$G$7,4)*($K$7),0)</f>
        <v>2016408</v>
      </c>
      <c r="N10" s="51">
        <v>5101</v>
      </c>
      <c r="O10" s="52">
        <v>101</v>
      </c>
      <c r="P10" s="53"/>
      <c r="Q10" s="54"/>
      <c r="V10" s="617" t="s">
        <v>28</v>
      </c>
      <c r="W10" s="617"/>
      <c r="X10" s="618">
        <f>IF('4020 June Final'!K$84=1,'4020 June Final'!G10,0)</f>
        <v>0</v>
      </c>
      <c r="Y10" s="618"/>
      <c r="Z10" s="619">
        <v>1</v>
      </c>
      <c r="AA10" s="619"/>
      <c r="AB10" s="55">
        <f t="shared" ref="AB10:AB25" si="3">ROUND(X10*Z10,4)</f>
        <v>0</v>
      </c>
      <c r="AC10" s="56">
        <f t="shared" ref="AC10:AC25" si="4">ROUND(ROUND(AB10*$X$7,4)*($AB$7),0)</f>
        <v>0</v>
      </c>
      <c r="AD10" s="9">
        <v>1</v>
      </c>
    </row>
    <row r="11" spans="1:30" x14ac:dyDescent="0.25">
      <c r="A11" s="1" t="s">
        <v>29</v>
      </c>
      <c r="B11" s="13" t="s">
        <v>30</v>
      </c>
      <c r="C11" s="13"/>
      <c r="D11" s="13">
        <v>36.17</v>
      </c>
      <c r="E11" s="13">
        <v>38.049999999999997</v>
      </c>
      <c r="F11" s="13">
        <v>44.81</v>
      </c>
      <c r="G11" s="46">
        <f t="shared" si="0"/>
        <v>74.22</v>
      </c>
      <c r="H11" s="47"/>
      <c r="I11" s="57">
        <f>I10</f>
        <v>1.125</v>
      </c>
      <c r="J11" s="57"/>
      <c r="K11" s="49">
        <f t="shared" si="1"/>
        <v>83.497500000000002</v>
      </c>
      <c r="L11" s="50">
        <f t="shared" si="2"/>
        <v>323521</v>
      </c>
      <c r="M11" s="1" t="str">
        <f>IF(ROUND(G11,2)=ROUND(SUM(G28:G30),2)," ","CHECK 2. PK-3 Lines Below")</f>
        <v xml:space="preserve"> </v>
      </c>
      <c r="N11" s="51">
        <v>5101</v>
      </c>
      <c r="O11" s="58" t="s">
        <v>31</v>
      </c>
      <c r="P11" s="53"/>
      <c r="Q11" s="54"/>
      <c r="V11" s="623" t="s">
        <v>30</v>
      </c>
      <c r="W11" s="623"/>
      <c r="X11" s="618">
        <f>IF('4020 June Final'!K$84=1,'4020 June Final'!G11,0)</f>
        <v>0</v>
      </c>
      <c r="Y11" s="618"/>
      <c r="Z11" s="624">
        <v>1</v>
      </c>
      <c r="AA11" s="624"/>
      <c r="AB11" s="55">
        <f t="shared" si="3"/>
        <v>0</v>
      </c>
      <c r="AC11" s="56">
        <f t="shared" si="4"/>
        <v>0</v>
      </c>
      <c r="AD11" s="9"/>
    </row>
    <row r="12" spans="1:30" x14ac:dyDescent="0.25">
      <c r="A12" s="1" t="s">
        <v>32</v>
      </c>
      <c r="B12" s="13" t="s">
        <v>33</v>
      </c>
      <c r="C12" s="13"/>
      <c r="D12" s="13">
        <v>231.89</v>
      </c>
      <c r="E12" s="13">
        <v>232.8</v>
      </c>
      <c r="F12" s="13">
        <v>275.64999999999998</v>
      </c>
      <c r="G12" s="46">
        <f t="shared" si="0"/>
        <v>464.69</v>
      </c>
      <c r="H12" s="47"/>
      <c r="I12" s="57">
        <v>1</v>
      </c>
      <c r="J12" s="57"/>
      <c r="K12" s="49">
        <f t="shared" si="1"/>
        <v>464.69</v>
      </c>
      <c r="L12" s="50">
        <f t="shared" si="2"/>
        <v>1800499</v>
      </c>
      <c r="N12" s="51">
        <v>5102</v>
      </c>
      <c r="O12" s="52">
        <v>102</v>
      </c>
      <c r="P12" s="53"/>
      <c r="Q12" s="54"/>
      <c r="V12" s="623" t="s">
        <v>33</v>
      </c>
      <c r="W12" s="623"/>
      <c r="X12" s="618">
        <f>IF('4020 June Final'!K$84=1,'4020 June Final'!G12,0)</f>
        <v>0</v>
      </c>
      <c r="Y12" s="618"/>
      <c r="Z12" s="624">
        <v>1</v>
      </c>
      <c r="AA12" s="624"/>
      <c r="AB12" s="55">
        <f t="shared" si="3"/>
        <v>0</v>
      </c>
      <c r="AC12" s="56">
        <f t="shared" si="4"/>
        <v>0</v>
      </c>
      <c r="AD12" s="9"/>
    </row>
    <row r="13" spans="1:30" x14ac:dyDescent="0.25">
      <c r="A13" s="1" t="s">
        <v>34</v>
      </c>
      <c r="B13" s="13" t="s">
        <v>35</v>
      </c>
      <c r="C13" s="13"/>
      <c r="D13" s="13">
        <v>50.14</v>
      </c>
      <c r="E13" s="13">
        <v>48.19</v>
      </c>
      <c r="F13" s="13">
        <v>61.66</v>
      </c>
      <c r="G13" s="46">
        <f t="shared" si="0"/>
        <v>98.33</v>
      </c>
      <c r="H13" s="47"/>
      <c r="I13" s="57">
        <f>I12</f>
        <v>1</v>
      </c>
      <c r="J13" s="57"/>
      <c r="K13" s="49">
        <f t="shared" si="1"/>
        <v>98.33</v>
      </c>
      <c r="L13" s="50">
        <f t="shared" si="2"/>
        <v>380992</v>
      </c>
      <c r="M13" s="1" t="str">
        <f>IF(ROUND(G13,2)=ROUND(SUM(G31:G33),2)," ","CHECK 2. PK-3 Lines Below")</f>
        <v xml:space="preserve"> </v>
      </c>
      <c r="N13" s="51">
        <v>5102</v>
      </c>
      <c r="O13" s="58" t="s">
        <v>36</v>
      </c>
      <c r="P13" s="53"/>
      <c r="Q13" s="54"/>
      <c r="V13" s="623" t="s">
        <v>35</v>
      </c>
      <c r="W13" s="623"/>
      <c r="X13" s="618">
        <f>IF('4020 June Final'!K$84=1,'4020 June Final'!G13,0)</f>
        <v>0</v>
      </c>
      <c r="Y13" s="618"/>
      <c r="Z13" s="624">
        <v>1</v>
      </c>
      <c r="AA13" s="624"/>
      <c r="AB13" s="55">
        <f t="shared" si="3"/>
        <v>0</v>
      </c>
      <c r="AC13" s="56">
        <f t="shared" si="4"/>
        <v>0</v>
      </c>
      <c r="AD13" s="9"/>
    </row>
    <row r="14" spans="1:30" x14ac:dyDescent="0.25">
      <c r="A14" s="1" t="s">
        <v>37</v>
      </c>
      <c r="B14" s="13" t="s">
        <v>38</v>
      </c>
      <c r="C14" s="13"/>
      <c r="D14" s="13">
        <v>0</v>
      </c>
      <c r="E14" s="13">
        <v>0</v>
      </c>
      <c r="F14" s="13">
        <v>0</v>
      </c>
      <c r="G14" s="46">
        <f t="shared" si="0"/>
        <v>0</v>
      </c>
      <c r="H14" s="47"/>
      <c r="I14" s="57">
        <v>1.0109999999999999</v>
      </c>
      <c r="J14" s="57"/>
      <c r="K14" s="49">
        <f t="shared" si="1"/>
        <v>0</v>
      </c>
      <c r="L14" s="50">
        <f t="shared" si="2"/>
        <v>0</v>
      </c>
      <c r="N14" s="51">
        <v>5103</v>
      </c>
      <c r="O14" s="52">
        <v>103</v>
      </c>
      <c r="P14" s="53"/>
      <c r="Q14" s="54"/>
      <c r="V14" s="623" t="s">
        <v>38</v>
      </c>
      <c r="W14" s="623"/>
      <c r="X14" s="618">
        <f>IF('4020 June Final'!K$84=1,'4020 June Final'!G14,0)</f>
        <v>0</v>
      </c>
      <c r="Y14" s="618"/>
      <c r="Z14" s="624">
        <v>1</v>
      </c>
      <c r="AA14" s="624"/>
      <c r="AB14" s="55">
        <f t="shared" si="3"/>
        <v>0</v>
      </c>
      <c r="AC14" s="56">
        <f t="shared" si="4"/>
        <v>0</v>
      </c>
      <c r="AD14" s="9"/>
    </row>
    <row r="15" spans="1:30" x14ac:dyDescent="0.25">
      <c r="A15" s="1" t="s">
        <v>39</v>
      </c>
      <c r="B15" s="13" t="s">
        <v>40</v>
      </c>
      <c r="C15" s="13"/>
      <c r="D15" s="13">
        <v>0</v>
      </c>
      <c r="E15" s="13">
        <v>0</v>
      </c>
      <c r="F15" s="13">
        <v>0</v>
      </c>
      <c r="G15" s="46">
        <f t="shared" si="0"/>
        <v>0</v>
      </c>
      <c r="H15" s="47"/>
      <c r="I15" s="57">
        <f>I14</f>
        <v>1.0109999999999999</v>
      </c>
      <c r="J15" s="57"/>
      <c r="K15" s="49">
        <f t="shared" si="1"/>
        <v>0</v>
      </c>
      <c r="L15" s="59">
        <f t="shared" si="2"/>
        <v>0</v>
      </c>
      <c r="M15" s="1" t="str">
        <f>IF(ROUND(G15,2)=ROUND(SUM(G34:G36),2)," ","CHECK 2. PK-3 Lines Below")</f>
        <v xml:space="preserve"> </v>
      </c>
      <c r="N15" s="51">
        <v>5103</v>
      </c>
      <c r="O15" s="58" t="s">
        <v>41</v>
      </c>
      <c r="P15" s="53"/>
      <c r="Q15" s="54"/>
      <c r="V15" s="623" t="s">
        <v>40</v>
      </c>
      <c r="W15" s="623"/>
      <c r="X15" s="618">
        <f>IF('4020 June Final'!K$84=1,'4020 June Final'!G15,0)</f>
        <v>0</v>
      </c>
      <c r="Y15" s="618"/>
      <c r="Z15" s="624">
        <v>1</v>
      </c>
      <c r="AA15" s="624"/>
      <c r="AB15" s="55">
        <f t="shared" si="3"/>
        <v>0</v>
      </c>
      <c r="AC15" s="60">
        <f t="shared" si="4"/>
        <v>0</v>
      </c>
      <c r="AD15" s="9"/>
    </row>
    <row r="16" spans="1:30" x14ac:dyDescent="0.25">
      <c r="A16" s="1" t="s">
        <v>42</v>
      </c>
      <c r="B16" s="13" t="s">
        <v>43</v>
      </c>
      <c r="C16" s="13"/>
      <c r="D16" s="13">
        <v>0</v>
      </c>
      <c r="E16" s="13">
        <v>0</v>
      </c>
      <c r="F16" s="13">
        <v>0</v>
      </c>
      <c r="G16" s="46">
        <f t="shared" si="0"/>
        <v>0</v>
      </c>
      <c r="H16" s="47"/>
      <c r="I16" s="57">
        <v>3.5579999999999998</v>
      </c>
      <c r="J16" s="57"/>
      <c r="K16" s="49">
        <f t="shared" si="1"/>
        <v>0</v>
      </c>
      <c r="L16" s="50">
        <f t="shared" si="2"/>
        <v>0</v>
      </c>
      <c r="N16" s="51">
        <v>5101</v>
      </c>
      <c r="O16" s="53">
        <v>254</v>
      </c>
      <c r="P16" s="53"/>
      <c r="Q16" s="54"/>
      <c r="V16" s="623" t="s">
        <v>43</v>
      </c>
      <c r="W16" s="623"/>
      <c r="X16" s="618">
        <f>IF('4020 June Final'!K$84=1,'4020 June Final'!G16,0)</f>
        <v>0</v>
      </c>
      <c r="Y16" s="618"/>
      <c r="Z16" s="624">
        <v>1</v>
      </c>
      <c r="AA16" s="624"/>
      <c r="AB16" s="55">
        <f t="shared" si="3"/>
        <v>0</v>
      </c>
      <c r="AC16" s="56">
        <f t="shared" si="4"/>
        <v>0</v>
      </c>
      <c r="AD16" s="9"/>
    </row>
    <row r="17" spans="1:30" x14ac:dyDescent="0.25">
      <c r="A17" s="1" t="s">
        <v>44</v>
      </c>
      <c r="B17" s="13" t="s">
        <v>45</v>
      </c>
      <c r="C17" s="13"/>
      <c r="D17" s="13">
        <v>0</v>
      </c>
      <c r="E17" s="13">
        <v>0</v>
      </c>
      <c r="F17" s="13">
        <v>0</v>
      </c>
      <c r="G17" s="46">
        <f t="shared" si="0"/>
        <v>0</v>
      </c>
      <c r="H17" s="47"/>
      <c r="I17" s="57">
        <f>I16</f>
        <v>3.5579999999999998</v>
      </c>
      <c r="J17" s="57"/>
      <c r="K17" s="49">
        <f t="shared" si="1"/>
        <v>0</v>
      </c>
      <c r="L17" s="50">
        <f t="shared" si="2"/>
        <v>0</v>
      </c>
      <c r="N17" s="51">
        <v>5102</v>
      </c>
      <c r="O17" s="54">
        <v>254</v>
      </c>
      <c r="P17" s="53"/>
      <c r="Q17" s="54"/>
      <c r="V17" s="623" t="s">
        <v>45</v>
      </c>
      <c r="W17" s="623"/>
      <c r="X17" s="618">
        <f>IF('4020 June Final'!K$84=1,'4020 June Final'!G17,0)</f>
        <v>0</v>
      </c>
      <c r="Y17" s="618"/>
      <c r="Z17" s="624">
        <v>1</v>
      </c>
      <c r="AA17" s="624"/>
      <c r="AB17" s="55">
        <f t="shared" si="3"/>
        <v>0</v>
      </c>
      <c r="AC17" s="56">
        <f t="shared" si="4"/>
        <v>0</v>
      </c>
      <c r="AD17" s="9"/>
    </row>
    <row r="18" spans="1:30" x14ac:dyDescent="0.25">
      <c r="A18" s="1" t="s">
        <v>46</v>
      </c>
      <c r="B18" s="13" t="s">
        <v>47</v>
      </c>
      <c r="C18" s="13"/>
      <c r="D18" s="13">
        <v>0</v>
      </c>
      <c r="E18" s="13">
        <v>0</v>
      </c>
      <c r="F18" s="13">
        <v>0</v>
      </c>
      <c r="G18" s="46">
        <f t="shared" si="0"/>
        <v>0</v>
      </c>
      <c r="H18" s="47"/>
      <c r="I18" s="57">
        <f>I17</f>
        <v>3.5579999999999998</v>
      </c>
      <c r="J18" s="57"/>
      <c r="K18" s="49">
        <f t="shared" si="1"/>
        <v>0</v>
      </c>
      <c r="L18" s="50">
        <f t="shared" si="2"/>
        <v>0</v>
      </c>
      <c r="N18" s="51">
        <v>5103</v>
      </c>
      <c r="O18" s="54">
        <v>254</v>
      </c>
      <c r="P18" s="53"/>
      <c r="Q18" s="54"/>
      <c r="V18" s="623" t="s">
        <v>47</v>
      </c>
      <c r="W18" s="623"/>
      <c r="X18" s="618">
        <f>IF('4020 June Final'!K$84=1,'4020 June Final'!G18,0)</f>
        <v>0</v>
      </c>
      <c r="Y18" s="618"/>
      <c r="Z18" s="624">
        <v>1</v>
      </c>
      <c r="AA18" s="624"/>
      <c r="AB18" s="55">
        <f t="shared" si="3"/>
        <v>0</v>
      </c>
      <c r="AC18" s="56">
        <f t="shared" si="4"/>
        <v>0</v>
      </c>
      <c r="AD18" s="9"/>
    </row>
    <row r="19" spans="1:30" ht="15" customHeight="1" x14ac:dyDescent="0.25">
      <c r="A19" s="1" t="s">
        <v>48</v>
      </c>
      <c r="B19" s="13" t="s">
        <v>49</v>
      </c>
      <c r="C19" s="13"/>
      <c r="D19" s="13">
        <v>0</v>
      </c>
      <c r="E19" s="13">
        <v>0</v>
      </c>
      <c r="F19" s="13">
        <v>0</v>
      </c>
      <c r="G19" s="46">
        <f t="shared" si="0"/>
        <v>0</v>
      </c>
      <c r="H19" s="47"/>
      <c r="I19" s="57">
        <v>5.0890000000000004</v>
      </c>
      <c r="J19" s="57"/>
      <c r="K19" s="49">
        <f t="shared" si="1"/>
        <v>0</v>
      </c>
      <c r="L19" s="50">
        <f t="shared" si="2"/>
        <v>0</v>
      </c>
      <c r="N19" s="51">
        <v>5101</v>
      </c>
      <c r="O19" s="53">
        <v>255</v>
      </c>
      <c r="P19" s="53"/>
      <c r="Q19" s="54"/>
      <c r="V19" s="623" t="s">
        <v>49</v>
      </c>
      <c r="W19" s="623"/>
      <c r="X19" s="618">
        <f>IF('4020 June Final'!K$84=1,'4020 June Final'!G19,0)</f>
        <v>0</v>
      </c>
      <c r="Y19" s="618"/>
      <c r="Z19" s="624">
        <v>1</v>
      </c>
      <c r="AA19" s="624"/>
      <c r="AB19" s="55">
        <f t="shared" si="3"/>
        <v>0</v>
      </c>
      <c r="AC19" s="56">
        <f t="shared" si="4"/>
        <v>0</v>
      </c>
      <c r="AD19" s="9"/>
    </row>
    <row r="20" spans="1:30" ht="15" customHeight="1" x14ac:dyDescent="0.25">
      <c r="A20" s="1" t="s">
        <v>50</v>
      </c>
      <c r="B20" s="13" t="s">
        <v>51</v>
      </c>
      <c r="C20" s="13"/>
      <c r="D20" s="13">
        <v>0</v>
      </c>
      <c r="E20" s="13">
        <v>0</v>
      </c>
      <c r="F20" s="13">
        <v>0</v>
      </c>
      <c r="G20" s="46">
        <f t="shared" si="0"/>
        <v>0</v>
      </c>
      <c r="H20" s="47"/>
      <c r="I20" s="57">
        <f>I19</f>
        <v>5.0890000000000004</v>
      </c>
      <c r="J20" s="57"/>
      <c r="K20" s="49">
        <f t="shared" si="1"/>
        <v>0</v>
      </c>
      <c r="L20" s="50">
        <f t="shared" si="2"/>
        <v>0</v>
      </c>
      <c r="N20" s="51">
        <v>5102</v>
      </c>
      <c r="O20" s="54">
        <v>255</v>
      </c>
      <c r="P20" s="53"/>
      <c r="Q20" s="54"/>
      <c r="V20" s="623" t="s">
        <v>51</v>
      </c>
      <c r="W20" s="623"/>
      <c r="X20" s="618">
        <f>IF('4020 June Final'!K$84=1,'4020 June Final'!G20,0)</f>
        <v>0</v>
      </c>
      <c r="Y20" s="618"/>
      <c r="Z20" s="624">
        <v>1</v>
      </c>
      <c r="AA20" s="624"/>
      <c r="AB20" s="55">
        <f t="shared" si="3"/>
        <v>0</v>
      </c>
      <c r="AC20" s="56">
        <f t="shared" si="4"/>
        <v>0</v>
      </c>
      <c r="AD20" s="9"/>
    </row>
    <row r="21" spans="1:30" ht="15" customHeight="1" x14ac:dyDescent="0.25">
      <c r="A21" s="1" t="s">
        <v>52</v>
      </c>
      <c r="B21" s="13" t="s">
        <v>53</v>
      </c>
      <c r="C21" s="13"/>
      <c r="D21" s="13">
        <v>0</v>
      </c>
      <c r="E21" s="13">
        <v>0</v>
      </c>
      <c r="F21" s="13">
        <v>0</v>
      </c>
      <c r="G21" s="46">
        <f t="shared" si="0"/>
        <v>0</v>
      </c>
      <c r="H21" s="47"/>
      <c r="I21" s="57">
        <f>I20</f>
        <v>5.0890000000000004</v>
      </c>
      <c r="J21" s="57"/>
      <c r="K21" s="49">
        <f t="shared" si="1"/>
        <v>0</v>
      </c>
      <c r="L21" s="50">
        <f t="shared" si="2"/>
        <v>0</v>
      </c>
      <c r="N21" s="51">
        <v>5103</v>
      </c>
      <c r="O21" s="54">
        <v>255</v>
      </c>
      <c r="P21" s="53"/>
      <c r="Q21" s="54"/>
      <c r="V21" s="623" t="s">
        <v>53</v>
      </c>
      <c r="W21" s="623"/>
      <c r="X21" s="618">
        <f>IF('4020 June Final'!K$84=1,'4020 June Final'!G21,0)</f>
        <v>0</v>
      </c>
      <c r="Y21" s="618"/>
      <c r="Z21" s="624">
        <v>1</v>
      </c>
      <c r="AA21" s="624"/>
      <c r="AB21" s="55">
        <f t="shared" si="3"/>
        <v>0</v>
      </c>
      <c r="AC21" s="56">
        <f t="shared" si="4"/>
        <v>0</v>
      </c>
      <c r="AD21" s="9"/>
    </row>
    <row r="22" spans="1:30" x14ac:dyDescent="0.25">
      <c r="A22" s="1" t="s">
        <v>54</v>
      </c>
      <c r="B22" s="13" t="s">
        <v>55</v>
      </c>
      <c r="C22" s="13"/>
      <c r="D22" s="13">
        <v>10.42</v>
      </c>
      <c r="E22" s="13">
        <v>9.58</v>
      </c>
      <c r="F22" s="13">
        <v>17.11</v>
      </c>
      <c r="G22" s="46">
        <f t="shared" si="0"/>
        <v>20</v>
      </c>
      <c r="H22" s="47"/>
      <c r="I22" s="57">
        <v>1.145</v>
      </c>
      <c r="J22" s="57"/>
      <c r="K22" s="49">
        <f t="shared" si="1"/>
        <v>22.9</v>
      </c>
      <c r="L22" s="50">
        <f t="shared" si="2"/>
        <v>88729</v>
      </c>
      <c r="N22" s="51">
        <v>5101</v>
      </c>
      <c r="O22" s="52">
        <v>130</v>
      </c>
      <c r="P22" s="53"/>
      <c r="Q22" s="54"/>
      <c r="V22" s="623" t="s">
        <v>55</v>
      </c>
      <c r="W22" s="623"/>
      <c r="X22" s="618">
        <f>IF('4020 June Final'!K$84=1,'4020 June Final'!G22,0)</f>
        <v>0</v>
      </c>
      <c r="Y22" s="618"/>
      <c r="Z22" s="624">
        <v>1</v>
      </c>
      <c r="AA22" s="624"/>
      <c r="AB22" s="55">
        <f t="shared" si="3"/>
        <v>0</v>
      </c>
      <c r="AC22" s="56">
        <f t="shared" si="4"/>
        <v>0</v>
      </c>
      <c r="AD22" s="9"/>
    </row>
    <row r="23" spans="1:30" x14ac:dyDescent="0.25">
      <c r="A23" s="1" t="s">
        <v>56</v>
      </c>
      <c r="B23" s="13" t="s">
        <v>57</v>
      </c>
      <c r="C23" s="13"/>
      <c r="D23" s="13">
        <v>3.75</v>
      </c>
      <c r="E23" s="13">
        <v>3.3</v>
      </c>
      <c r="F23" s="13">
        <v>0</v>
      </c>
      <c r="G23" s="46">
        <f t="shared" si="0"/>
        <v>7.05</v>
      </c>
      <c r="H23" s="47"/>
      <c r="I23" s="57">
        <f>I22</f>
        <v>1.145</v>
      </c>
      <c r="J23" s="57"/>
      <c r="K23" s="49">
        <f t="shared" si="1"/>
        <v>8.0723000000000003</v>
      </c>
      <c r="L23" s="50">
        <f t="shared" si="2"/>
        <v>31277</v>
      </c>
      <c r="N23" s="51">
        <v>5102</v>
      </c>
      <c r="O23" s="52">
        <v>130</v>
      </c>
      <c r="P23" s="53"/>
      <c r="Q23" s="54"/>
      <c r="V23" s="623" t="s">
        <v>57</v>
      </c>
      <c r="W23" s="623"/>
      <c r="X23" s="618">
        <f>IF('4020 June Final'!K$84=1,'4020 June Final'!G23,0)</f>
        <v>0</v>
      </c>
      <c r="Y23" s="618"/>
      <c r="Z23" s="624">
        <v>1</v>
      </c>
      <c r="AA23" s="624"/>
      <c r="AB23" s="55">
        <f t="shared" si="3"/>
        <v>0</v>
      </c>
      <c r="AC23" s="56">
        <f t="shared" si="4"/>
        <v>0</v>
      </c>
      <c r="AD23" s="9"/>
    </row>
    <row r="24" spans="1:30" x14ac:dyDescent="0.25">
      <c r="A24" s="1" t="s">
        <v>58</v>
      </c>
      <c r="B24" s="13" t="s">
        <v>59</v>
      </c>
      <c r="C24" s="13"/>
      <c r="D24" s="13">
        <v>0</v>
      </c>
      <c r="E24" s="13">
        <v>0</v>
      </c>
      <c r="F24" s="13">
        <v>0</v>
      </c>
      <c r="G24" s="46">
        <f t="shared" si="0"/>
        <v>0</v>
      </c>
      <c r="H24" s="47"/>
      <c r="I24" s="57">
        <f>I23</f>
        <v>1.145</v>
      </c>
      <c r="J24" s="57"/>
      <c r="K24" s="49">
        <f t="shared" si="1"/>
        <v>0</v>
      </c>
      <c r="L24" s="50">
        <f t="shared" si="2"/>
        <v>0</v>
      </c>
      <c r="N24" s="51">
        <v>5103</v>
      </c>
      <c r="O24" s="52">
        <v>130</v>
      </c>
      <c r="P24" s="53"/>
      <c r="Q24" s="54"/>
      <c r="V24" s="623" t="s">
        <v>59</v>
      </c>
      <c r="W24" s="623"/>
      <c r="X24" s="618">
        <f>IF('4020 June Final'!K$84=1,'4020 June Final'!G24,0)</f>
        <v>0</v>
      </c>
      <c r="Y24" s="618"/>
      <c r="Z24" s="624">
        <v>1</v>
      </c>
      <c r="AA24" s="624"/>
      <c r="AB24" s="55">
        <f t="shared" si="3"/>
        <v>0</v>
      </c>
      <c r="AC24" s="56">
        <f t="shared" si="4"/>
        <v>0</v>
      </c>
      <c r="AD24" s="9"/>
    </row>
    <row r="25" spans="1:30" ht="16.5" thickBot="1" x14ac:dyDescent="0.3">
      <c r="A25" s="1" t="s">
        <v>60</v>
      </c>
      <c r="B25" s="13" t="s">
        <v>61</v>
      </c>
      <c r="C25" s="13"/>
      <c r="D25" s="13">
        <v>0</v>
      </c>
      <c r="E25" s="13">
        <v>0</v>
      </c>
      <c r="F25" s="13">
        <v>0</v>
      </c>
      <c r="G25" s="46">
        <f t="shared" si="0"/>
        <v>0</v>
      </c>
      <c r="H25" s="47"/>
      <c r="I25" s="57">
        <v>1.0109999999999999</v>
      </c>
      <c r="J25" s="57"/>
      <c r="K25" s="49">
        <f t="shared" si="1"/>
        <v>0</v>
      </c>
      <c r="L25" s="50">
        <f t="shared" si="2"/>
        <v>0</v>
      </c>
      <c r="N25" s="51">
        <v>5310</v>
      </c>
      <c r="O25" s="52">
        <v>300</v>
      </c>
      <c r="P25" s="53"/>
      <c r="Q25" s="54"/>
      <c r="V25" s="623" t="s">
        <v>61</v>
      </c>
      <c r="W25" s="623"/>
      <c r="X25" s="618">
        <f>IF('4020 June Final'!K$84=1,'4020 June Final'!G25,0)</f>
        <v>0</v>
      </c>
      <c r="Y25" s="618"/>
      <c r="Z25" s="624">
        <v>1</v>
      </c>
      <c r="AA25" s="624"/>
      <c r="AB25" s="55">
        <f t="shared" si="3"/>
        <v>0</v>
      </c>
      <c r="AC25" s="56">
        <f t="shared" si="4"/>
        <v>0</v>
      </c>
      <c r="AD25" s="9"/>
    </row>
    <row r="26" spans="1:30" ht="20.25" customHeight="1" thickBot="1" x14ac:dyDescent="0.3">
      <c r="B26" s="62" t="s">
        <v>62</v>
      </c>
      <c r="C26" s="62"/>
      <c r="D26" s="63">
        <f>SUM(D10:D25)</f>
        <v>565.14</v>
      </c>
      <c r="E26" s="63">
        <f>SUM(E10:E25)</f>
        <v>561.74</v>
      </c>
      <c r="F26" s="63"/>
      <c r="G26" s="63">
        <f>SUM(G10:G25)</f>
        <v>1126.8799999999999</v>
      </c>
      <c r="H26" s="64"/>
      <c r="I26" s="64"/>
      <c r="J26" s="65"/>
      <c r="K26" s="66">
        <f>SUM(K10:K25)</f>
        <v>1197.9036000000001</v>
      </c>
      <c r="L26" s="67">
        <f>SUM(L10:L25)</f>
        <v>4641426</v>
      </c>
      <c r="N26" s="54"/>
      <c r="O26" s="68"/>
      <c r="P26" s="54"/>
      <c r="Q26" s="54"/>
      <c r="V26" s="625" t="s">
        <v>62</v>
      </c>
      <c r="W26" s="625"/>
      <c r="X26" s="626">
        <f>SUM(X10:X25)</f>
        <v>0</v>
      </c>
      <c r="Y26" s="626"/>
      <c r="Z26" s="627"/>
      <c r="AA26" s="628"/>
      <c r="AB26" s="69">
        <f>SUM(AB10:AB25)</f>
        <v>0</v>
      </c>
      <c r="AC26" s="70">
        <f>SUM(AC10:AC25)</f>
        <v>0</v>
      </c>
      <c r="AD26" s="9"/>
    </row>
    <row r="27" spans="1:30" ht="51.75" customHeight="1" x14ac:dyDescent="0.25">
      <c r="B27" s="62" t="s">
        <v>63</v>
      </c>
      <c r="C27" s="62"/>
      <c r="D27" s="71" t="s">
        <v>13</v>
      </c>
      <c r="E27" s="71" t="s">
        <v>14</v>
      </c>
      <c r="F27" s="27"/>
      <c r="G27" s="72" t="s">
        <v>64</v>
      </c>
      <c r="H27" s="73"/>
      <c r="I27" s="74" t="s">
        <v>65</v>
      </c>
      <c r="J27" s="74" t="s">
        <v>66</v>
      </c>
      <c r="K27" s="75" t="s">
        <v>67</v>
      </c>
      <c r="N27" s="54"/>
      <c r="O27" s="68"/>
      <c r="P27" s="54"/>
      <c r="Q27" s="54"/>
      <c r="V27" s="629" t="s">
        <v>63</v>
      </c>
      <c r="W27" s="629"/>
      <c r="X27" s="630" t="s">
        <v>64</v>
      </c>
      <c r="Y27" s="630"/>
      <c r="Z27" s="76" t="s">
        <v>65</v>
      </c>
      <c r="AA27" s="77" t="s">
        <v>66</v>
      </c>
      <c r="AB27" s="78" t="s">
        <v>67</v>
      </c>
      <c r="AC27" s="9"/>
      <c r="AD27" s="9"/>
    </row>
    <row r="28" spans="1:30" ht="15.75" customHeight="1" x14ac:dyDescent="0.25">
      <c r="A28" s="1" t="s">
        <v>68</v>
      </c>
      <c r="B28" s="631" t="s">
        <v>69</v>
      </c>
      <c r="C28" s="632"/>
      <c r="D28" s="13">
        <v>31.19</v>
      </c>
      <c r="E28" s="13">
        <v>32.56</v>
      </c>
      <c r="F28" s="79">
        <v>0</v>
      </c>
      <c r="G28" s="46">
        <f t="shared" ref="G28:G36" si="5">D28+E28</f>
        <v>63.75</v>
      </c>
      <c r="H28" s="80"/>
      <c r="I28" s="81" t="s">
        <v>70</v>
      </c>
      <c r="J28" s="82">
        <v>251</v>
      </c>
      <c r="K28" s="83">
        <v>1047</v>
      </c>
      <c r="L28" s="84">
        <f t="shared" ref="L28:L36" si="6">ROUND(G28*K28,0)</f>
        <v>66746</v>
      </c>
      <c r="N28" s="337">
        <v>5101</v>
      </c>
      <c r="O28" s="54">
        <v>251</v>
      </c>
      <c r="P28" s="86"/>
      <c r="Q28" s="87"/>
      <c r="V28" s="637" t="s">
        <v>69</v>
      </c>
      <c r="W28" s="637"/>
      <c r="X28" s="638"/>
      <c r="Y28" s="638"/>
      <c r="Z28" s="88" t="s">
        <v>70</v>
      </c>
      <c r="AA28" s="330">
        <v>251</v>
      </c>
      <c r="AB28" s="90">
        <f t="shared" ref="AB28:AB36" si="7">+K28</f>
        <v>1047</v>
      </c>
      <c r="AC28" s="91">
        <f t="shared" ref="AC28:AC36" si="8">ROUND(X28*AB28,0)</f>
        <v>0</v>
      </c>
      <c r="AD28" s="9"/>
    </row>
    <row r="29" spans="1:30" x14ac:dyDescent="0.25">
      <c r="A29" s="1" t="s">
        <v>71</v>
      </c>
      <c r="B29" s="633"/>
      <c r="C29" s="634"/>
      <c r="D29" s="13">
        <v>4.51</v>
      </c>
      <c r="E29" s="13">
        <v>4.49</v>
      </c>
      <c r="F29" s="92">
        <v>0</v>
      </c>
      <c r="G29" s="46">
        <f t="shared" si="5"/>
        <v>9</v>
      </c>
      <c r="H29" s="80"/>
      <c r="I29" s="82" t="s">
        <v>70</v>
      </c>
      <c r="J29" s="82">
        <v>252</v>
      </c>
      <c r="K29" s="83">
        <v>3380</v>
      </c>
      <c r="L29" s="84">
        <f t="shared" si="6"/>
        <v>30420</v>
      </c>
      <c r="N29" s="337">
        <v>5101</v>
      </c>
      <c r="O29" s="54">
        <v>252</v>
      </c>
      <c r="P29" s="86"/>
      <c r="Q29" s="87"/>
      <c r="V29" s="637"/>
      <c r="W29" s="637"/>
      <c r="X29" s="638"/>
      <c r="Y29" s="638"/>
      <c r="Z29" s="330" t="s">
        <v>70</v>
      </c>
      <c r="AA29" s="330">
        <v>252</v>
      </c>
      <c r="AB29" s="90">
        <f t="shared" si="7"/>
        <v>3380</v>
      </c>
      <c r="AC29" s="91">
        <f t="shared" si="8"/>
        <v>0</v>
      </c>
      <c r="AD29" s="9"/>
    </row>
    <row r="30" spans="1:30" x14ac:dyDescent="0.25">
      <c r="A30" s="1" t="s">
        <v>72</v>
      </c>
      <c r="B30" s="633"/>
      <c r="C30" s="634"/>
      <c r="D30" s="13">
        <v>0.47</v>
      </c>
      <c r="E30" s="13">
        <v>1</v>
      </c>
      <c r="F30" s="92">
        <v>0</v>
      </c>
      <c r="G30" s="46">
        <f t="shared" si="5"/>
        <v>1.47</v>
      </c>
      <c r="H30" s="80"/>
      <c r="I30" s="82" t="s">
        <v>70</v>
      </c>
      <c r="J30" s="82">
        <v>253</v>
      </c>
      <c r="K30" s="83">
        <v>6896</v>
      </c>
      <c r="L30" s="84">
        <f t="shared" si="6"/>
        <v>10137</v>
      </c>
      <c r="N30" s="337">
        <v>5101</v>
      </c>
      <c r="O30" s="54">
        <v>253</v>
      </c>
      <c r="P30" s="86"/>
      <c r="Q30" s="68"/>
      <c r="V30" s="637"/>
      <c r="W30" s="637"/>
      <c r="X30" s="638"/>
      <c r="Y30" s="638"/>
      <c r="Z30" s="330" t="s">
        <v>70</v>
      </c>
      <c r="AA30" s="330">
        <v>253</v>
      </c>
      <c r="AB30" s="90">
        <f t="shared" si="7"/>
        <v>6896</v>
      </c>
      <c r="AC30" s="91">
        <f t="shared" si="8"/>
        <v>0</v>
      </c>
      <c r="AD30" s="9"/>
    </row>
    <row r="31" spans="1:30" x14ac:dyDescent="0.25">
      <c r="A31" s="1" t="s">
        <v>73</v>
      </c>
      <c r="B31" s="633"/>
      <c r="C31" s="634"/>
      <c r="D31" s="13">
        <v>48.62</v>
      </c>
      <c r="E31" s="13">
        <v>46.59</v>
      </c>
      <c r="F31" s="92">
        <v>0</v>
      </c>
      <c r="G31" s="46">
        <f t="shared" si="5"/>
        <v>95.210000000000008</v>
      </c>
      <c r="H31" s="80"/>
      <c r="I31" s="93" t="s">
        <v>74</v>
      </c>
      <c r="J31" s="82">
        <v>251</v>
      </c>
      <c r="K31" s="83">
        <v>1173</v>
      </c>
      <c r="L31" s="84">
        <f t="shared" si="6"/>
        <v>111681</v>
      </c>
      <c r="N31" s="337">
        <v>5102</v>
      </c>
      <c r="O31" s="54">
        <v>251</v>
      </c>
      <c r="P31" s="86"/>
      <c r="Q31" s="68"/>
      <c r="V31" s="637"/>
      <c r="W31" s="637"/>
      <c r="X31" s="638"/>
      <c r="Y31" s="638"/>
      <c r="Z31" s="94" t="s">
        <v>74</v>
      </c>
      <c r="AA31" s="330">
        <v>251</v>
      </c>
      <c r="AB31" s="90">
        <f t="shared" si="7"/>
        <v>1173</v>
      </c>
      <c r="AC31" s="91">
        <f t="shared" si="8"/>
        <v>0</v>
      </c>
      <c r="AD31" s="9"/>
    </row>
    <row r="32" spans="1:30" x14ac:dyDescent="0.25">
      <c r="A32" s="1" t="s">
        <v>75</v>
      </c>
      <c r="B32" s="633"/>
      <c r="C32" s="634"/>
      <c r="D32" s="13">
        <v>1.52</v>
      </c>
      <c r="E32" s="13">
        <v>1.6</v>
      </c>
      <c r="F32" s="92">
        <v>0</v>
      </c>
      <c r="G32" s="46">
        <f t="shared" si="5"/>
        <v>3.12</v>
      </c>
      <c r="H32" s="80"/>
      <c r="I32" s="93" t="s">
        <v>74</v>
      </c>
      <c r="J32" s="82">
        <v>252</v>
      </c>
      <c r="K32" s="83">
        <v>3506</v>
      </c>
      <c r="L32" s="84">
        <f t="shared" si="6"/>
        <v>10939</v>
      </c>
      <c r="N32" s="337">
        <v>5102</v>
      </c>
      <c r="O32" s="54">
        <v>252</v>
      </c>
      <c r="P32" s="86"/>
      <c r="Q32" s="54"/>
      <c r="V32" s="637"/>
      <c r="W32" s="637"/>
      <c r="X32" s="638"/>
      <c r="Y32" s="638"/>
      <c r="Z32" s="94" t="s">
        <v>74</v>
      </c>
      <c r="AA32" s="330">
        <v>252</v>
      </c>
      <c r="AB32" s="90">
        <f t="shared" si="7"/>
        <v>3506</v>
      </c>
      <c r="AC32" s="91">
        <f t="shared" si="8"/>
        <v>0</v>
      </c>
      <c r="AD32" s="9"/>
    </row>
    <row r="33" spans="1:30" x14ac:dyDescent="0.25">
      <c r="A33" s="1" t="s">
        <v>76</v>
      </c>
      <c r="B33" s="633"/>
      <c r="C33" s="634"/>
      <c r="D33" s="13">
        <v>0</v>
      </c>
      <c r="E33" s="13">
        <v>0</v>
      </c>
      <c r="F33" s="92">
        <v>0</v>
      </c>
      <c r="G33" s="46">
        <f t="shared" si="5"/>
        <v>0</v>
      </c>
      <c r="H33" s="80"/>
      <c r="I33" s="93" t="s">
        <v>74</v>
      </c>
      <c r="J33" s="82">
        <v>253</v>
      </c>
      <c r="K33" s="83">
        <v>7023</v>
      </c>
      <c r="L33" s="84">
        <f t="shared" si="6"/>
        <v>0</v>
      </c>
      <c r="N33" s="337">
        <v>5102</v>
      </c>
      <c r="O33" s="54">
        <v>253</v>
      </c>
      <c r="P33" s="86"/>
      <c r="Q33" s="87"/>
      <c r="V33" s="637"/>
      <c r="W33" s="637"/>
      <c r="X33" s="638"/>
      <c r="Y33" s="638"/>
      <c r="Z33" s="94" t="s">
        <v>74</v>
      </c>
      <c r="AA33" s="330">
        <v>253</v>
      </c>
      <c r="AB33" s="90">
        <f t="shared" si="7"/>
        <v>7023</v>
      </c>
      <c r="AC33" s="91">
        <f t="shared" si="8"/>
        <v>0</v>
      </c>
      <c r="AD33" s="9"/>
    </row>
    <row r="34" spans="1:30" x14ac:dyDescent="0.25">
      <c r="A34" s="1" t="s">
        <v>77</v>
      </c>
      <c r="B34" s="633"/>
      <c r="C34" s="634"/>
      <c r="D34" s="13">
        <v>0</v>
      </c>
      <c r="E34" s="13">
        <v>0</v>
      </c>
      <c r="F34" s="92">
        <v>0</v>
      </c>
      <c r="G34" s="46">
        <f t="shared" si="5"/>
        <v>0</v>
      </c>
      <c r="H34" s="80"/>
      <c r="I34" s="93" t="s">
        <v>78</v>
      </c>
      <c r="J34" s="82">
        <v>251</v>
      </c>
      <c r="K34" s="83">
        <v>835</v>
      </c>
      <c r="L34" s="84">
        <f t="shared" si="6"/>
        <v>0</v>
      </c>
      <c r="N34" s="337">
        <v>5103</v>
      </c>
      <c r="O34" s="54">
        <v>251</v>
      </c>
      <c r="P34" s="86"/>
      <c r="Q34" s="87"/>
      <c r="V34" s="637"/>
      <c r="W34" s="637"/>
      <c r="X34" s="638"/>
      <c r="Y34" s="638"/>
      <c r="Z34" s="94" t="s">
        <v>78</v>
      </c>
      <c r="AA34" s="330">
        <v>251</v>
      </c>
      <c r="AB34" s="90">
        <f t="shared" si="7"/>
        <v>835</v>
      </c>
      <c r="AC34" s="91">
        <f t="shared" si="8"/>
        <v>0</v>
      </c>
      <c r="AD34" s="9"/>
    </row>
    <row r="35" spans="1:30" x14ac:dyDescent="0.25">
      <c r="A35" s="1" t="s">
        <v>79</v>
      </c>
      <c r="B35" s="633"/>
      <c r="C35" s="634"/>
      <c r="D35" s="13">
        <v>0</v>
      </c>
      <c r="E35" s="13">
        <v>0</v>
      </c>
      <c r="F35" s="92">
        <v>0</v>
      </c>
      <c r="G35" s="46">
        <f t="shared" si="5"/>
        <v>0</v>
      </c>
      <c r="H35" s="80"/>
      <c r="I35" s="93" t="s">
        <v>78</v>
      </c>
      <c r="J35" s="82">
        <v>252</v>
      </c>
      <c r="K35" s="83">
        <v>3168</v>
      </c>
      <c r="L35" s="84">
        <f t="shared" si="6"/>
        <v>0</v>
      </c>
      <c r="N35" s="337">
        <v>5103</v>
      </c>
      <c r="O35" s="54">
        <v>252</v>
      </c>
      <c r="P35" s="86"/>
      <c r="Q35" s="95"/>
      <c r="V35" s="637"/>
      <c r="W35" s="637"/>
      <c r="X35" s="638"/>
      <c r="Y35" s="638"/>
      <c r="Z35" s="94" t="s">
        <v>78</v>
      </c>
      <c r="AA35" s="330">
        <v>252</v>
      </c>
      <c r="AB35" s="90">
        <f t="shared" si="7"/>
        <v>3168</v>
      </c>
      <c r="AC35" s="91">
        <f t="shared" si="8"/>
        <v>0</v>
      </c>
      <c r="AD35" s="9"/>
    </row>
    <row r="36" spans="1:30" ht="16.5" thickBot="1" x14ac:dyDescent="0.3">
      <c r="A36" s="1" t="s">
        <v>80</v>
      </c>
      <c r="B36" s="635"/>
      <c r="C36" s="636"/>
      <c r="D36" s="13">
        <v>0</v>
      </c>
      <c r="E36" s="13">
        <v>0</v>
      </c>
      <c r="F36" s="92">
        <v>0</v>
      </c>
      <c r="G36" s="46">
        <f t="shared" si="5"/>
        <v>0</v>
      </c>
      <c r="H36" s="80"/>
      <c r="I36" s="93" t="s">
        <v>78</v>
      </c>
      <c r="J36" s="82">
        <v>253</v>
      </c>
      <c r="K36" s="83">
        <v>6685</v>
      </c>
      <c r="L36" s="96">
        <f t="shared" si="6"/>
        <v>0</v>
      </c>
      <c r="N36" s="337">
        <v>5103</v>
      </c>
      <c r="O36" s="54">
        <v>253</v>
      </c>
      <c r="P36" s="86"/>
      <c r="Q36" s="97"/>
      <c r="V36" s="637"/>
      <c r="W36" s="637"/>
      <c r="X36" s="645"/>
      <c r="Y36" s="645"/>
      <c r="Z36" s="94" t="s">
        <v>78</v>
      </c>
      <c r="AA36" s="330">
        <v>253</v>
      </c>
      <c r="AB36" s="90">
        <f t="shared" si="7"/>
        <v>6685</v>
      </c>
      <c r="AC36" s="98">
        <f t="shared" si="8"/>
        <v>0</v>
      </c>
      <c r="AD36" s="9"/>
    </row>
    <row r="37" spans="1:30" ht="18.75" customHeight="1" x14ac:dyDescent="0.25">
      <c r="B37" s="13" t="s">
        <v>81</v>
      </c>
      <c r="C37" s="13"/>
      <c r="D37" s="63">
        <f>SUM(D28:D36)</f>
        <v>86.309999999999988</v>
      </c>
      <c r="E37" s="63">
        <f>SUM(E28:E36)</f>
        <v>86.240000000000009</v>
      </c>
      <c r="F37" s="63"/>
      <c r="G37" s="63">
        <f>SUM(G28:G36)</f>
        <v>172.55</v>
      </c>
      <c r="H37" s="64"/>
      <c r="I37" s="13" t="s">
        <v>82</v>
      </c>
      <c r="J37" s="13"/>
      <c r="K37" s="13"/>
      <c r="L37" s="50">
        <f>SUM(L28:L36)</f>
        <v>229923</v>
      </c>
      <c r="N37" s="54"/>
      <c r="O37" s="68"/>
      <c r="P37" s="54"/>
      <c r="Q37" s="54"/>
      <c r="V37" s="646" t="s">
        <v>81</v>
      </c>
      <c r="W37" s="646"/>
      <c r="X37" s="626">
        <f>SUM(X28:X36)</f>
        <v>0</v>
      </c>
      <c r="Y37" s="626"/>
      <c r="Z37" s="646" t="s">
        <v>82</v>
      </c>
      <c r="AA37" s="646"/>
      <c r="AB37" s="646"/>
      <c r="AC37" s="56">
        <f>SUM(AC28:AC36)</f>
        <v>0</v>
      </c>
      <c r="AD37" s="9"/>
    </row>
    <row r="38" spans="1:30" ht="30.75" customHeight="1" x14ac:dyDescent="0.25">
      <c r="B38" s="99" t="s">
        <v>83</v>
      </c>
      <c r="C38" s="99"/>
      <c r="D38" s="99"/>
      <c r="E38" s="99"/>
      <c r="F38" s="99"/>
      <c r="G38" s="99"/>
      <c r="H38" s="100"/>
      <c r="I38" s="99"/>
      <c r="J38" s="99"/>
      <c r="K38" s="99"/>
      <c r="L38" s="99"/>
      <c r="M38" s="101"/>
      <c r="N38" s="54"/>
      <c r="O38" s="68"/>
      <c r="P38" s="54"/>
      <c r="Q38" s="54"/>
      <c r="V38" s="639" t="s">
        <v>83</v>
      </c>
      <c r="W38" s="639"/>
      <c r="X38" s="639"/>
      <c r="Y38" s="639"/>
      <c r="Z38" s="639"/>
      <c r="AA38" s="639"/>
      <c r="AB38" s="639"/>
      <c r="AC38" s="639"/>
      <c r="AD38" s="102"/>
    </row>
    <row r="39" spans="1:30" ht="15.75" customHeight="1" x14ac:dyDescent="0.25">
      <c r="B39" s="103" t="s">
        <v>84</v>
      </c>
      <c r="C39" s="103"/>
      <c r="D39" s="103"/>
      <c r="E39" s="103"/>
      <c r="F39" s="103"/>
      <c r="G39" s="104">
        <v>34389540</v>
      </c>
      <c r="H39" s="104"/>
      <c r="I39" s="13" t="s">
        <v>85</v>
      </c>
      <c r="J39" s="13"/>
      <c r="K39" s="13"/>
      <c r="L39" s="13"/>
      <c r="O39" s="1"/>
      <c r="V39" s="640" t="s">
        <v>84</v>
      </c>
      <c r="W39" s="640"/>
      <c r="X39" s="641">
        <f>+G39</f>
        <v>34389540</v>
      </c>
      <c r="Y39" s="641"/>
      <c r="Z39" s="642" t="s">
        <v>85</v>
      </c>
      <c r="AA39" s="642"/>
      <c r="AB39" s="642"/>
      <c r="AC39" s="642"/>
      <c r="AD39" s="9"/>
    </row>
    <row r="40" spans="1:30" ht="15.75" customHeight="1" x14ac:dyDescent="0.25">
      <c r="B40" s="105" t="s">
        <v>86</v>
      </c>
      <c r="C40" s="105"/>
      <c r="D40" s="105"/>
      <c r="E40" s="105"/>
      <c r="F40" s="105"/>
      <c r="G40" s="106">
        <v>180284.81</v>
      </c>
      <c r="H40" s="106"/>
      <c r="I40" s="106"/>
      <c r="J40" s="106"/>
      <c r="K40" s="50">
        <f>ROUND(G39/G40,0)</f>
        <v>191</v>
      </c>
      <c r="L40" s="50">
        <f>ROUND(K40*$G$26,0)</f>
        <v>215234</v>
      </c>
      <c r="N40" s="107"/>
      <c r="O40" s="107"/>
      <c r="P40" s="107"/>
      <c r="Q40" s="107"/>
      <c r="V40" s="643" t="s">
        <v>86</v>
      </c>
      <c r="W40" s="643"/>
      <c r="X40" s="644">
        <f>+G40</f>
        <v>180284.81</v>
      </c>
      <c r="Y40" s="644"/>
      <c r="Z40" s="644"/>
      <c r="AA40" s="644"/>
      <c r="AB40" s="56">
        <f>ROUND(X39/X40,0)</f>
        <v>191</v>
      </c>
      <c r="AC40" s="56">
        <f>ROUND(AB40*$X$26,0)</f>
        <v>0</v>
      </c>
      <c r="AD40" s="9"/>
    </row>
    <row r="41" spans="1:30" ht="15.75" customHeight="1" x14ac:dyDescent="0.25">
      <c r="B41" s="108" t="s">
        <v>87</v>
      </c>
      <c r="C41" s="108"/>
      <c r="D41" s="108"/>
      <c r="E41" s="108"/>
      <c r="F41" s="108"/>
      <c r="G41" s="108"/>
      <c r="H41" s="108"/>
      <c r="I41" s="108"/>
      <c r="J41" s="108"/>
      <c r="K41" s="108"/>
      <c r="L41" s="108"/>
      <c r="N41" s="101"/>
      <c r="O41" s="109"/>
      <c r="P41" s="101"/>
      <c r="Q41" s="101"/>
      <c r="V41" s="652" t="s">
        <v>87</v>
      </c>
      <c r="W41" s="652"/>
      <c r="X41" s="652"/>
      <c r="Y41" s="652"/>
      <c r="Z41" s="652"/>
      <c r="AA41" s="652"/>
      <c r="AB41" s="652"/>
      <c r="AC41" s="652"/>
      <c r="AD41" s="9"/>
    </row>
    <row r="42" spans="1:30" ht="28.5" customHeight="1" x14ac:dyDescent="0.25">
      <c r="B42" s="99" t="s">
        <v>88</v>
      </c>
      <c r="C42" s="99"/>
      <c r="D42" s="99"/>
      <c r="E42" s="99"/>
      <c r="F42" s="99"/>
      <c r="G42" s="99"/>
      <c r="H42" s="99"/>
      <c r="I42" s="99"/>
      <c r="J42" s="99"/>
      <c r="K42" s="99"/>
      <c r="L42" s="99"/>
      <c r="M42" s="107"/>
      <c r="O42" s="1"/>
      <c r="V42" s="639" t="s">
        <v>88</v>
      </c>
      <c r="W42" s="639"/>
      <c r="X42" s="639"/>
      <c r="Y42" s="639"/>
      <c r="Z42" s="639"/>
      <c r="AA42" s="639"/>
      <c r="AB42" s="639"/>
      <c r="AC42" s="639"/>
      <c r="AD42" s="334"/>
    </row>
    <row r="43" spans="1:30" x14ac:dyDescent="0.25">
      <c r="B43" s="111" t="s">
        <v>89</v>
      </c>
      <c r="C43" s="111"/>
      <c r="D43" s="111"/>
      <c r="E43" s="111"/>
      <c r="F43" s="111"/>
      <c r="G43" s="111"/>
      <c r="H43" s="111"/>
      <c r="I43" s="111"/>
      <c r="J43" s="111"/>
      <c r="K43" s="111"/>
      <c r="L43" s="111"/>
      <c r="M43" s="112"/>
      <c r="N43" s="101"/>
      <c r="O43" s="101"/>
      <c r="P43" s="101"/>
      <c r="Q43" s="101"/>
      <c r="V43" s="653" t="s">
        <v>89</v>
      </c>
      <c r="W43" s="653"/>
      <c r="X43" s="653"/>
      <c r="Y43" s="653"/>
      <c r="Z43" s="653"/>
      <c r="AA43" s="653"/>
      <c r="AB43" s="653"/>
      <c r="AC43" s="653"/>
      <c r="AD43" s="113"/>
    </row>
    <row r="44" spans="1:30" ht="24" customHeight="1" x14ac:dyDescent="0.25">
      <c r="B44" s="62" t="s">
        <v>90</v>
      </c>
      <c r="C44" s="62"/>
      <c r="D44" s="62"/>
      <c r="E44" s="62"/>
      <c r="F44" s="62"/>
      <c r="G44" s="62"/>
      <c r="H44" s="62"/>
      <c r="I44" s="62"/>
      <c r="J44" s="62"/>
      <c r="K44" s="62"/>
      <c r="L44" s="114">
        <f>SUM(L26,L37,L40)</f>
        <v>5086583</v>
      </c>
      <c r="O44" s="1"/>
      <c r="V44" s="654" t="s">
        <v>90</v>
      </c>
      <c r="W44" s="654"/>
      <c r="X44" s="654"/>
      <c r="Y44" s="654"/>
      <c r="Z44" s="654"/>
      <c r="AA44" s="654"/>
      <c r="AB44" s="654"/>
      <c r="AC44" s="115">
        <f>SUM(AC26,AC37,AC40)</f>
        <v>0</v>
      </c>
      <c r="AD44" s="9"/>
    </row>
    <row r="45" spans="1:30" ht="30.75" customHeight="1" x14ac:dyDescent="0.25">
      <c r="B45" s="99" t="s">
        <v>91</v>
      </c>
      <c r="C45" s="99"/>
      <c r="D45" s="99"/>
      <c r="E45" s="99"/>
      <c r="F45" s="99"/>
      <c r="G45" s="99"/>
      <c r="H45" s="99"/>
      <c r="I45" s="99"/>
      <c r="J45" s="99"/>
      <c r="K45" s="99"/>
      <c r="L45" s="99"/>
      <c r="M45" s="116"/>
      <c r="O45" s="1"/>
      <c r="V45" s="639" t="s">
        <v>91</v>
      </c>
      <c r="W45" s="639"/>
      <c r="X45" s="639"/>
      <c r="Y45" s="639"/>
      <c r="Z45" s="639"/>
      <c r="AA45" s="639"/>
      <c r="AB45" s="639"/>
      <c r="AC45" s="639"/>
      <c r="AD45" s="333"/>
    </row>
    <row r="46" spans="1:30" ht="18.75" customHeight="1" x14ac:dyDescent="0.25">
      <c r="B46" s="1"/>
      <c r="C46" s="118" t="s">
        <v>92</v>
      </c>
      <c r="D46" s="118"/>
      <c r="E46" s="118"/>
      <c r="F46" s="118"/>
      <c r="G46" s="118" t="s">
        <v>93</v>
      </c>
      <c r="H46" s="119"/>
      <c r="I46" s="120" t="s">
        <v>94</v>
      </c>
      <c r="J46" s="121"/>
      <c r="K46" s="121"/>
      <c r="L46" s="121"/>
      <c r="M46" s="122"/>
      <c r="O46" s="1"/>
      <c r="V46" s="9"/>
      <c r="W46" s="336" t="s">
        <v>92</v>
      </c>
      <c r="X46" s="655" t="s">
        <v>95</v>
      </c>
      <c r="Y46" s="655"/>
      <c r="Z46" s="656" t="s">
        <v>94</v>
      </c>
      <c r="AA46" s="656"/>
      <c r="AB46" s="656"/>
      <c r="AC46" s="656"/>
      <c r="AD46" s="124"/>
    </row>
    <row r="47" spans="1:30" ht="18.75" customHeight="1" x14ac:dyDescent="0.25">
      <c r="B47" s="107" t="s">
        <v>96</v>
      </c>
      <c r="C47" s="125">
        <f>K10+K11+K16+K19+K22</f>
        <v>626.81129999999996</v>
      </c>
      <c r="D47" s="125"/>
      <c r="E47" s="125"/>
      <c r="F47" s="125"/>
      <c r="G47" s="126">
        <f>K7</f>
        <v>1.0326</v>
      </c>
      <c r="H47" s="126"/>
      <c r="I47" s="127">
        <v>1316.85</v>
      </c>
      <c r="J47" s="128" t="s">
        <v>97</v>
      </c>
      <c r="K47" s="129">
        <f>ROUND(C47*G47*I47,0)</f>
        <v>852325</v>
      </c>
      <c r="L47" s="130"/>
      <c r="O47" s="1"/>
      <c r="V47" s="334" t="s">
        <v>96</v>
      </c>
      <c r="W47" s="131">
        <f>AB10+AB11+AB16+AB19+AB22</f>
        <v>0</v>
      </c>
      <c r="X47" s="647">
        <f>AB7</f>
        <v>1.0326</v>
      </c>
      <c r="Y47" s="647"/>
      <c r="Z47" s="132">
        <f>+I47</f>
        <v>1316.85</v>
      </c>
      <c r="AA47" s="133" t="s">
        <v>97</v>
      </c>
      <c r="AB47" s="134">
        <f>ROUND(W47*X47*Z47,0)</f>
        <v>0</v>
      </c>
      <c r="AC47" s="135"/>
      <c r="AD47" s="9"/>
    </row>
    <row r="48" spans="1:30" ht="18" customHeight="1" x14ac:dyDescent="0.25">
      <c r="B48" s="136" t="s">
        <v>74</v>
      </c>
      <c r="C48" s="125">
        <f>K12+K13+K17+K20+K23</f>
        <v>571.09230000000002</v>
      </c>
      <c r="D48" s="125"/>
      <c r="E48" s="125"/>
      <c r="F48" s="125"/>
      <c r="G48" s="126">
        <f>K7</f>
        <v>1.0326</v>
      </c>
      <c r="H48" s="126"/>
      <c r="I48" s="127">
        <v>898.23</v>
      </c>
      <c r="J48" s="128" t="s">
        <v>97</v>
      </c>
      <c r="K48" s="129">
        <f>ROUND(C48*G48*I48,0)</f>
        <v>529695</v>
      </c>
      <c r="L48" s="62"/>
      <c r="O48" s="1"/>
      <c r="V48" s="137" t="s">
        <v>74</v>
      </c>
      <c r="W48" s="131">
        <f>AB12+AB13+AB17+AB20+AB23</f>
        <v>0</v>
      </c>
      <c r="X48" s="647">
        <f>AB7</f>
        <v>1.0326</v>
      </c>
      <c r="Y48" s="647"/>
      <c r="Z48" s="132">
        <f>+I48</f>
        <v>898.23</v>
      </c>
      <c r="AA48" s="133" t="s">
        <v>97</v>
      </c>
      <c r="AB48" s="134">
        <f>ROUND(W48*X48*Z48,0)</f>
        <v>0</v>
      </c>
      <c r="AC48" s="138"/>
      <c r="AD48" s="9"/>
    </row>
    <row r="49" spans="2:30" ht="19.5" customHeight="1" thickBot="1" x14ac:dyDescent="0.3">
      <c r="B49" s="139" t="s">
        <v>78</v>
      </c>
      <c r="C49" s="140">
        <f>K14+K15+K18+K21+K24+K25</f>
        <v>0</v>
      </c>
      <c r="D49" s="125"/>
      <c r="E49" s="125"/>
      <c r="F49" s="125"/>
      <c r="G49" s="126">
        <f>K7</f>
        <v>1.0326</v>
      </c>
      <c r="H49" s="126"/>
      <c r="I49" s="127">
        <v>900.39</v>
      </c>
      <c r="J49" s="128" t="s">
        <v>97</v>
      </c>
      <c r="K49" s="129">
        <f>ROUND(C49*G49*I49,0)</f>
        <v>0</v>
      </c>
      <c r="L49" s="62"/>
      <c r="M49" s="112"/>
      <c r="N49" s="141"/>
      <c r="O49" s="142"/>
      <c r="P49" s="101"/>
      <c r="Q49" s="143"/>
      <c r="V49" s="144" t="s">
        <v>78</v>
      </c>
      <c r="W49" s="145">
        <f>AB14+AB15+AB18+AB21+AB24+AB25</f>
        <v>0</v>
      </c>
      <c r="X49" s="647">
        <f>AB7</f>
        <v>1.0326</v>
      </c>
      <c r="Y49" s="647"/>
      <c r="Z49" s="132">
        <f>+I49</f>
        <v>900.39</v>
      </c>
      <c r="AA49" s="133" t="s">
        <v>97</v>
      </c>
      <c r="AB49" s="134">
        <f>ROUND(W49*X49*Z49,0)</f>
        <v>0</v>
      </c>
      <c r="AC49" s="138"/>
      <c r="AD49" s="113"/>
    </row>
    <row r="50" spans="2:30" ht="24" customHeight="1" thickBot="1" x14ac:dyDescent="0.3">
      <c r="B50" s="146" t="s">
        <v>98</v>
      </c>
      <c r="C50" s="147">
        <f>SUM(C47:C49)</f>
        <v>1197.9036000000001</v>
      </c>
      <c r="D50" s="148"/>
      <c r="E50" s="149"/>
      <c r="F50" s="149"/>
      <c r="G50" s="150" t="s">
        <v>99</v>
      </c>
      <c r="H50" s="150"/>
      <c r="I50" s="150"/>
      <c r="J50" s="150"/>
      <c r="K50" s="150"/>
      <c r="L50" s="50">
        <f>IF(B2=75,0,K49+K48+K47)</f>
        <v>1382020</v>
      </c>
      <c r="N50" s="3"/>
      <c r="O50" s="1"/>
      <c r="V50" s="335" t="s">
        <v>98</v>
      </c>
      <c r="W50" s="152">
        <f>SUM(W47:W49)</f>
        <v>0</v>
      </c>
      <c r="X50" s="648" t="s">
        <v>99</v>
      </c>
      <c r="Y50" s="649"/>
      <c r="Z50" s="649"/>
      <c r="AA50" s="649"/>
      <c r="AB50" s="649"/>
      <c r="AC50" s="56">
        <f>IF(V2=75,0,AB49+AB48+AB47)</f>
        <v>0</v>
      </c>
      <c r="AD50" s="9"/>
    </row>
    <row r="51" spans="2:30" ht="19.5" customHeight="1" x14ac:dyDescent="0.25">
      <c r="B51" s="153" t="s">
        <v>100</v>
      </c>
      <c r="C51" s="153"/>
      <c r="D51" s="153"/>
      <c r="E51" s="153"/>
      <c r="F51" s="153"/>
      <c r="G51" s="153"/>
      <c r="H51" s="153"/>
      <c r="I51" s="153"/>
      <c r="J51" s="153"/>
      <c r="K51" s="153"/>
      <c r="L51" s="153"/>
      <c r="M51" s="141"/>
      <c r="N51" s="101"/>
      <c r="O51" s="1"/>
      <c r="V51" s="650" t="s">
        <v>100</v>
      </c>
      <c r="W51" s="650"/>
      <c r="X51" s="650"/>
      <c r="Y51" s="650"/>
      <c r="Z51" s="650"/>
      <c r="AA51" s="650"/>
      <c r="AB51" s="650"/>
      <c r="AC51" s="650"/>
      <c r="AD51" s="154"/>
    </row>
    <row r="52" spans="2:30" ht="27.75" customHeight="1" x14ac:dyDescent="0.25">
      <c r="B52" s="13" t="s">
        <v>101</v>
      </c>
      <c r="C52" s="13"/>
      <c r="D52" s="13"/>
      <c r="E52" s="13"/>
      <c r="F52" s="13"/>
      <c r="G52" s="13"/>
      <c r="H52" s="13"/>
      <c r="I52" s="13"/>
      <c r="J52" s="13"/>
      <c r="K52" s="13"/>
      <c r="L52" s="13"/>
      <c r="O52" s="1"/>
      <c r="V52" s="651" t="s">
        <v>101</v>
      </c>
      <c r="W52" s="651"/>
      <c r="X52" s="651"/>
      <c r="Y52" s="651"/>
      <c r="Z52" s="651"/>
      <c r="AA52" s="651"/>
      <c r="AB52" s="651"/>
      <c r="AC52" s="651"/>
      <c r="AD52" s="9"/>
    </row>
    <row r="53" spans="2:30" x14ac:dyDescent="0.25">
      <c r="B53" s="13" t="s">
        <v>102</v>
      </c>
      <c r="C53" s="13"/>
      <c r="D53" s="13"/>
      <c r="E53" s="13"/>
      <c r="F53" s="13"/>
      <c r="G53" s="155">
        <f>K26</f>
        <v>1197.9036000000001</v>
      </c>
      <c r="H53" s="57" t="s">
        <v>103</v>
      </c>
      <c r="I53" s="57"/>
      <c r="J53" s="156">
        <v>197823.77</v>
      </c>
      <c r="K53" s="156"/>
      <c r="L53" s="156"/>
      <c r="N53" s="3"/>
      <c r="O53" s="1"/>
      <c r="V53" s="657" t="s">
        <v>102</v>
      </c>
      <c r="W53" s="657"/>
      <c r="X53" s="157">
        <f>AB26</f>
        <v>0</v>
      </c>
      <c r="Y53" s="658" t="s">
        <v>103</v>
      </c>
      <c r="Z53" s="658"/>
      <c r="AA53" s="659">
        <f>+J53</f>
        <v>197823.77</v>
      </c>
      <c r="AB53" s="659"/>
      <c r="AC53" s="659"/>
      <c r="AD53" s="9"/>
    </row>
    <row r="54" spans="2:30" x14ac:dyDescent="0.25">
      <c r="B54" s="13" t="s">
        <v>104</v>
      </c>
      <c r="C54" s="13"/>
      <c r="D54" s="13"/>
      <c r="E54" s="13"/>
      <c r="F54" s="13"/>
      <c r="G54" s="13"/>
      <c r="H54" s="13"/>
      <c r="I54" s="13"/>
      <c r="J54" s="13"/>
      <c r="K54" s="158">
        <f>ROUND(G53/J53,6)</f>
        <v>6.0549999999999996E-3</v>
      </c>
      <c r="L54" s="158"/>
      <c r="N54" s="101"/>
      <c r="O54" s="1"/>
      <c r="V54" s="657" t="s">
        <v>104</v>
      </c>
      <c r="W54" s="657"/>
      <c r="X54" s="657"/>
      <c r="Y54" s="657"/>
      <c r="Z54" s="657"/>
      <c r="AA54" s="657"/>
      <c r="AB54" s="660">
        <f>ROUND(X53/AA53,6)</f>
        <v>0</v>
      </c>
      <c r="AC54" s="660"/>
      <c r="AD54" s="9"/>
    </row>
    <row r="55" spans="2:30" ht="24" customHeight="1" x14ac:dyDescent="0.25">
      <c r="B55" s="13" t="s">
        <v>105</v>
      </c>
      <c r="C55" s="13"/>
      <c r="D55" s="13"/>
      <c r="E55" s="13"/>
      <c r="F55" s="13"/>
      <c r="G55" s="13"/>
      <c r="H55" s="13"/>
      <c r="I55" s="13"/>
      <c r="J55" s="13"/>
      <c r="K55" s="13"/>
      <c r="L55" s="13"/>
      <c r="O55" s="1"/>
      <c r="V55" s="651" t="s">
        <v>105</v>
      </c>
      <c r="W55" s="651"/>
      <c r="X55" s="651"/>
      <c r="Y55" s="651"/>
      <c r="Z55" s="651"/>
      <c r="AA55" s="651"/>
      <c r="AB55" s="651"/>
      <c r="AC55" s="651"/>
      <c r="AD55" s="9"/>
    </row>
    <row r="56" spans="2:30" x14ac:dyDescent="0.25">
      <c r="B56" s="13" t="s">
        <v>106</v>
      </c>
      <c r="C56" s="13"/>
      <c r="D56" s="13"/>
      <c r="E56" s="13"/>
      <c r="F56" s="13"/>
      <c r="G56" s="159">
        <f>G26</f>
        <v>1126.8799999999999</v>
      </c>
      <c r="H56" s="57" t="s">
        <v>107</v>
      </c>
      <c r="I56" s="57"/>
      <c r="J56" s="156">
        <f>+G40</f>
        <v>180284.81</v>
      </c>
      <c r="K56" s="156"/>
      <c r="L56" s="156"/>
      <c r="O56" s="1"/>
      <c r="V56" s="657" t="s">
        <v>106</v>
      </c>
      <c r="W56" s="657"/>
      <c r="X56" s="160">
        <f>X26</f>
        <v>0</v>
      </c>
      <c r="Y56" s="658" t="s">
        <v>107</v>
      </c>
      <c r="Z56" s="658"/>
      <c r="AA56" s="659">
        <f>+J56</f>
        <v>180284.81</v>
      </c>
      <c r="AB56" s="659"/>
      <c r="AC56" s="659"/>
      <c r="AD56" s="9"/>
    </row>
    <row r="57" spans="2:30" x14ac:dyDescent="0.25">
      <c r="B57" s="13" t="s">
        <v>108</v>
      </c>
      <c r="C57" s="13"/>
      <c r="D57" s="13"/>
      <c r="E57" s="13"/>
      <c r="F57" s="13"/>
      <c r="G57" s="13"/>
      <c r="H57" s="13"/>
      <c r="I57" s="13"/>
      <c r="J57" s="13"/>
      <c r="K57" s="158">
        <f>ROUND(G56/J56,6)</f>
        <v>6.2509999999999996E-3</v>
      </c>
      <c r="L57" s="158"/>
      <c r="O57" s="1"/>
      <c r="V57" s="657" t="s">
        <v>108</v>
      </c>
      <c r="W57" s="657"/>
      <c r="X57" s="657"/>
      <c r="Y57" s="657"/>
      <c r="Z57" s="657"/>
      <c r="AA57" s="657"/>
      <c r="AB57" s="660">
        <f>ROUND(X56/AA56,6)</f>
        <v>0</v>
      </c>
      <c r="AC57" s="660"/>
      <c r="AD57" s="9"/>
    </row>
    <row r="58" spans="2:30" ht="20.25" customHeight="1" x14ac:dyDescent="0.25">
      <c r="B58" s="161" t="s">
        <v>109</v>
      </c>
      <c r="C58" s="161"/>
      <c r="D58" s="161"/>
      <c r="E58" s="161"/>
      <c r="F58" s="161"/>
      <c r="G58" s="161"/>
      <c r="H58" s="161"/>
      <c r="I58" s="161"/>
      <c r="J58" s="161"/>
      <c r="K58" s="161"/>
      <c r="L58" s="161"/>
      <c r="N58" s="18"/>
      <c r="O58" s="18"/>
      <c r="V58" s="629" t="s">
        <v>110</v>
      </c>
      <c r="W58" s="629"/>
      <c r="X58" s="629"/>
      <c r="Y58" s="661">
        <f>X65+X64+X62+X61+X60</f>
        <v>4123852</v>
      </c>
      <c r="Z58" s="661"/>
      <c r="AA58" s="332" t="s">
        <v>111</v>
      </c>
      <c r="AB58" s="163">
        <f>AB54</f>
        <v>0</v>
      </c>
      <c r="AC58" s="56">
        <f>ROUND(Y58*AB58,0)</f>
        <v>0</v>
      </c>
      <c r="AD58" s="9"/>
    </row>
    <row r="59" spans="2:30" x14ac:dyDescent="0.25">
      <c r="B59" s="62" t="s">
        <v>110</v>
      </c>
      <c r="C59" s="62"/>
      <c r="D59" s="62"/>
      <c r="E59" s="62"/>
      <c r="F59" s="62"/>
      <c r="G59" s="62"/>
      <c r="H59" s="164" t="s">
        <v>22</v>
      </c>
      <c r="I59" s="129">
        <v>4123852</v>
      </c>
      <c r="J59" s="165" t="s">
        <v>111</v>
      </c>
      <c r="K59" s="166">
        <f>K54</f>
        <v>6.0549999999999996E-3</v>
      </c>
      <c r="L59" s="50">
        <f>ROUND(I59*K59,0)</f>
        <v>24970</v>
      </c>
      <c r="O59" s="1"/>
      <c r="P59" s="165"/>
      <c r="Q59" s="165"/>
      <c r="V59" s="662" t="s">
        <v>112</v>
      </c>
      <c r="W59" s="662"/>
      <c r="X59" s="662"/>
      <c r="Y59" s="662"/>
      <c r="Z59" s="662"/>
      <c r="AA59" s="662"/>
      <c r="AB59" s="662"/>
      <c r="AC59" s="662"/>
      <c r="AD59" s="9"/>
    </row>
    <row r="60" spans="2:30" x14ac:dyDescent="0.25">
      <c r="B60" s="62" t="s">
        <v>112</v>
      </c>
      <c r="C60" s="62"/>
      <c r="D60" s="62"/>
      <c r="E60" s="62"/>
      <c r="F60" s="62"/>
      <c r="G60" s="62"/>
      <c r="H60" s="62"/>
      <c r="I60" s="62"/>
      <c r="J60" s="62"/>
      <c r="K60" s="62"/>
      <c r="L60" s="62"/>
      <c r="O60" s="1"/>
      <c r="P60" s="165"/>
      <c r="Q60" s="165"/>
      <c r="V60" s="663" t="s">
        <v>113</v>
      </c>
      <c r="W60" s="663"/>
      <c r="X60" s="664">
        <f>+G61</f>
        <v>0</v>
      </c>
      <c r="Y60" s="664"/>
      <c r="Z60" s="664"/>
      <c r="AA60" s="664"/>
      <c r="AB60" s="664"/>
      <c r="AC60" s="664"/>
      <c r="AD60" s="9"/>
    </row>
    <row r="61" spans="2:30" ht="15" customHeight="1" x14ac:dyDescent="0.25">
      <c r="B61" s="167" t="s">
        <v>113</v>
      </c>
      <c r="C61" s="62"/>
      <c r="D61" s="62"/>
      <c r="E61" s="62"/>
      <c r="F61" s="62"/>
      <c r="G61" s="168">
        <v>0</v>
      </c>
      <c r="H61" s="168"/>
      <c r="I61" s="168"/>
      <c r="J61" s="168"/>
      <c r="K61" s="168"/>
      <c r="L61" s="168"/>
      <c r="O61" s="1"/>
      <c r="P61" s="165"/>
      <c r="Q61" s="165"/>
      <c r="V61" s="663" t="s">
        <v>114</v>
      </c>
      <c r="W61" s="663"/>
      <c r="X61" s="664">
        <f>+G62</f>
        <v>0</v>
      </c>
      <c r="Y61" s="664"/>
      <c r="Z61" s="664"/>
      <c r="AA61" s="664"/>
      <c r="AB61" s="664"/>
      <c r="AC61" s="664"/>
      <c r="AD61" s="9"/>
    </row>
    <row r="62" spans="2:30" ht="13.5" customHeight="1" x14ac:dyDescent="0.25">
      <c r="B62" s="167" t="s">
        <v>114</v>
      </c>
      <c r="C62" s="62"/>
      <c r="D62" s="62"/>
      <c r="E62" s="62"/>
      <c r="F62" s="62"/>
      <c r="G62" s="168">
        <v>0</v>
      </c>
      <c r="H62" s="168"/>
      <c r="I62" s="168"/>
      <c r="J62" s="168"/>
      <c r="K62" s="168"/>
      <c r="L62" s="168"/>
      <c r="N62" s="165"/>
      <c r="O62" s="165"/>
      <c r="P62" s="165"/>
      <c r="Q62" s="165"/>
      <c r="V62" s="663" t="s">
        <v>115</v>
      </c>
      <c r="W62" s="663"/>
      <c r="X62" s="664">
        <v>0</v>
      </c>
      <c r="Y62" s="664"/>
      <c r="Z62" s="664"/>
      <c r="AA62" s="664"/>
      <c r="AB62" s="664"/>
      <c r="AC62" s="664"/>
      <c r="AD62" s="9"/>
    </row>
    <row r="63" spans="2:30" ht="13.5" hidden="1" customHeight="1" x14ac:dyDescent="0.25">
      <c r="B63" s="62" t="s">
        <v>115</v>
      </c>
      <c r="C63" s="62"/>
      <c r="D63" s="62"/>
      <c r="E63" s="62"/>
      <c r="F63" s="62"/>
      <c r="G63" s="168">
        <v>0</v>
      </c>
      <c r="H63" s="168"/>
      <c r="I63" s="168"/>
      <c r="J63" s="168"/>
      <c r="K63" s="168"/>
      <c r="L63" s="168"/>
      <c r="O63" s="1"/>
      <c r="P63" s="165"/>
      <c r="Q63" s="165"/>
      <c r="V63" s="662" t="s">
        <v>116</v>
      </c>
      <c r="W63" s="662"/>
      <c r="X63" s="662"/>
      <c r="Y63" s="662"/>
      <c r="Z63" s="662"/>
      <c r="AA63" s="662"/>
      <c r="AB63" s="662"/>
      <c r="AC63" s="662"/>
      <c r="AD63" s="333"/>
    </row>
    <row r="64" spans="2:30" ht="13.5" customHeight="1" x14ac:dyDescent="0.25">
      <c r="B64" s="62" t="s">
        <v>116</v>
      </c>
      <c r="C64" s="62"/>
      <c r="D64" s="62"/>
      <c r="E64" s="62"/>
      <c r="F64" s="62"/>
      <c r="G64" s="62"/>
      <c r="H64" s="62"/>
      <c r="I64" s="62"/>
      <c r="J64" s="62"/>
      <c r="K64" s="62"/>
      <c r="L64" s="62"/>
      <c r="M64" s="116"/>
      <c r="N64" s="18"/>
      <c r="O64" s="1"/>
      <c r="V64" s="663" t="s">
        <v>117</v>
      </c>
      <c r="W64" s="663"/>
      <c r="X64" s="664">
        <f>+G65</f>
        <v>4123852</v>
      </c>
      <c r="Y64" s="664"/>
      <c r="Z64" s="664"/>
      <c r="AA64" s="664"/>
      <c r="AB64" s="664"/>
      <c r="AC64" s="664"/>
      <c r="AD64" s="9"/>
    </row>
    <row r="65" spans="1:30" ht="12.75" customHeight="1" x14ac:dyDescent="0.25">
      <c r="B65" s="167" t="s">
        <v>117</v>
      </c>
      <c r="C65" s="62"/>
      <c r="D65" s="62"/>
      <c r="E65" s="62"/>
      <c r="F65" s="62"/>
      <c r="G65" s="168">
        <f>+I59</f>
        <v>4123852</v>
      </c>
      <c r="H65" s="168"/>
      <c r="I65" s="168"/>
      <c r="J65" s="168"/>
      <c r="K65" s="168"/>
      <c r="L65" s="168"/>
      <c r="O65" s="1"/>
      <c r="V65" s="663" t="s">
        <v>118</v>
      </c>
      <c r="W65" s="663"/>
      <c r="X65" s="664">
        <f>+G66</f>
        <v>0</v>
      </c>
      <c r="Y65" s="664"/>
      <c r="Z65" s="664"/>
      <c r="AA65" s="664"/>
      <c r="AB65" s="664"/>
      <c r="AC65" s="664"/>
      <c r="AD65" s="20"/>
    </row>
    <row r="66" spans="1:30" ht="15" customHeight="1" x14ac:dyDescent="0.25">
      <c r="B66" s="167" t="s">
        <v>118</v>
      </c>
      <c r="C66" s="62"/>
      <c r="D66" s="62"/>
      <c r="E66" s="62"/>
      <c r="F66" s="62"/>
      <c r="G66" s="168">
        <v>0</v>
      </c>
      <c r="H66" s="168"/>
      <c r="I66" s="168"/>
      <c r="J66" s="168"/>
      <c r="K66" s="168"/>
      <c r="L66" s="168"/>
      <c r="M66" s="18"/>
      <c r="N66" s="3"/>
      <c r="O66" s="169"/>
      <c r="P66" s="169"/>
      <c r="Q66" s="169"/>
      <c r="V66" s="651" t="s">
        <v>119</v>
      </c>
      <c r="W66" s="651"/>
      <c r="X66" s="651"/>
      <c r="Y66" s="661">
        <f>+I67</f>
        <v>96774526</v>
      </c>
      <c r="Z66" s="661"/>
      <c r="AA66" s="332" t="s">
        <v>111</v>
      </c>
      <c r="AB66" s="163">
        <f>AB54</f>
        <v>0</v>
      </c>
      <c r="AC66" s="56">
        <f>ROUND(Y66*AB66,0)</f>
        <v>0</v>
      </c>
      <c r="AD66" s="9"/>
    </row>
    <row r="67" spans="1:30" ht="20.25" customHeight="1" x14ac:dyDescent="0.25">
      <c r="B67" s="13" t="s">
        <v>119</v>
      </c>
      <c r="C67" s="13"/>
      <c r="D67" s="13"/>
      <c r="E67" s="13"/>
      <c r="F67" s="13"/>
      <c r="H67" s="164" t="s">
        <v>25</v>
      </c>
      <c r="I67" s="129">
        <v>96774526</v>
      </c>
      <c r="J67" s="165" t="s">
        <v>111</v>
      </c>
      <c r="K67" s="166">
        <f>K54</f>
        <v>6.0549999999999996E-3</v>
      </c>
      <c r="L67" s="50">
        <f>ROUND(I67*K67,0)</f>
        <v>585970</v>
      </c>
      <c r="O67" s="1"/>
      <c r="V67" s="651" t="s">
        <v>120</v>
      </c>
      <c r="W67" s="651"/>
      <c r="X67" s="651"/>
      <c r="Y67" s="651"/>
      <c r="Z67" s="651"/>
      <c r="AA67" s="651"/>
      <c r="AB67" s="651"/>
      <c r="AC67" s="651"/>
      <c r="AD67" s="9"/>
    </row>
    <row r="68" spans="1:30" ht="20.25" customHeight="1" x14ac:dyDescent="0.25">
      <c r="B68" s="13" t="s">
        <v>120</v>
      </c>
      <c r="C68" s="13"/>
      <c r="D68" s="13"/>
      <c r="E68" s="13"/>
      <c r="F68" s="13"/>
      <c r="H68" s="13"/>
      <c r="I68" s="13"/>
      <c r="J68" s="82"/>
      <c r="K68" s="13"/>
      <c r="L68" s="13"/>
      <c r="O68" s="1"/>
      <c r="V68" s="667" t="s">
        <v>121</v>
      </c>
      <c r="W68" s="667"/>
      <c r="X68" s="667"/>
      <c r="Y68" s="661">
        <f>+I69</f>
        <v>0</v>
      </c>
      <c r="Z68" s="661"/>
      <c r="AA68" s="332" t="s">
        <v>111</v>
      </c>
      <c r="AB68" s="163">
        <f>AB57</f>
        <v>0</v>
      </c>
      <c r="AC68" s="56">
        <f>ROUND(Y68*AB68,0)</f>
        <v>0</v>
      </c>
      <c r="AD68" s="9"/>
    </row>
    <row r="69" spans="1:30" ht="15" customHeight="1" x14ac:dyDescent="0.25">
      <c r="B69" s="170" t="s">
        <v>121</v>
      </c>
      <c r="C69" s="13"/>
      <c r="D69" s="13"/>
      <c r="E69" s="13"/>
      <c r="F69" s="13"/>
      <c r="H69" s="164" t="s">
        <v>23</v>
      </c>
      <c r="I69" s="129">
        <v>0</v>
      </c>
      <c r="J69" s="165" t="s">
        <v>111</v>
      </c>
      <c r="K69" s="166">
        <f>K57</f>
        <v>6.2509999999999996E-3</v>
      </c>
      <c r="L69" s="50">
        <f>ROUND(I69*K69,0)</f>
        <v>0</v>
      </c>
      <c r="O69" s="1"/>
      <c r="V69" s="651" t="s">
        <v>122</v>
      </c>
      <c r="W69" s="651"/>
      <c r="X69" s="651"/>
      <c r="Y69" s="668">
        <f>+I70</f>
        <v>-3460775</v>
      </c>
      <c r="Z69" s="668"/>
      <c r="AA69" s="332" t="s">
        <v>111</v>
      </c>
      <c r="AB69" s="163">
        <f>AB54</f>
        <v>0</v>
      </c>
      <c r="AC69" s="56">
        <f>ROUND(Y69*AB69,0)</f>
        <v>0</v>
      </c>
      <c r="AD69" s="9"/>
    </row>
    <row r="70" spans="1:30" ht="20.25" customHeight="1" x14ac:dyDescent="0.25">
      <c r="B70" s="13" t="s">
        <v>122</v>
      </c>
      <c r="C70" s="13"/>
      <c r="D70" s="13"/>
      <c r="E70" s="13"/>
      <c r="F70" s="13"/>
      <c r="H70" s="164" t="s">
        <v>22</v>
      </c>
      <c r="I70" s="129">
        <v>-3460775</v>
      </c>
      <c r="J70" s="165" t="s">
        <v>111</v>
      </c>
      <c r="K70" s="166">
        <f>K54</f>
        <v>6.0549999999999996E-3</v>
      </c>
      <c r="L70" s="50">
        <f>ROUND(I70*K70,0)</f>
        <v>-20955</v>
      </c>
      <c r="O70" s="1"/>
      <c r="V70" s="651" t="s">
        <v>123</v>
      </c>
      <c r="W70" s="651"/>
      <c r="X70" s="651"/>
      <c r="Y70" s="665">
        <f>+I71</f>
        <v>1874788</v>
      </c>
      <c r="Z70" s="665"/>
      <c r="AA70" s="332" t="s">
        <v>111</v>
      </c>
      <c r="AB70" s="163">
        <f>AB54</f>
        <v>0</v>
      </c>
      <c r="AC70" s="56">
        <f>ROUND(Y70*AB70,0)</f>
        <v>0</v>
      </c>
      <c r="AD70" s="9"/>
    </row>
    <row r="71" spans="1:30" ht="20.25" customHeight="1" x14ac:dyDescent="0.25">
      <c r="B71" s="13" t="s">
        <v>123</v>
      </c>
      <c r="C71" s="13"/>
      <c r="D71" s="13"/>
      <c r="E71" s="13"/>
      <c r="F71" s="13"/>
      <c r="H71" s="164" t="s">
        <v>22</v>
      </c>
      <c r="I71" s="129">
        <v>1874788</v>
      </c>
      <c r="J71" s="165" t="s">
        <v>111</v>
      </c>
      <c r="K71" s="166">
        <f>K54</f>
        <v>6.0549999999999996E-3</v>
      </c>
      <c r="L71" s="50">
        <f>ROUND(I71*K71,0)</f>
        <v>11352</v>
      </c>
      <c r="O71" s="1"/>
      <c r="V71" s="651" t="s">
        <v>124</v>
      </c>
      <c r="W71" s="651"/>
      <c r="X71" s="651"/>
      <c r="Y71" s="665">
        <f>+I72</f>
        <v>14223298</v>
      </c>
      <c r="Z71" s="665"/>
      <c r="AA71" s="332" t="s">
        <v>111</v>
      </c>
      <c r="AB71" s="163">
        <f>AB57</f>
        <v>0</v>
      </c>
      <c r="AC71" s="56">
        <f>ROUND(Y71*AB71,0)</f>
        <v>0</v>
      </c>
      <c r="AD71" s="9"/>
    </row>
    <row r="72" spans="1:30" ht="21" customHeight="1" x14ac:dyDescent="0.25">
      <c r="B72" s="13" t="s">
        <v>124</v>
      </c>
      <c r="C72" s="13"/>
      <c r="D72" s="13"/>
      <c r="E72" s="13"/>
      <c r="F72" s="13"/>
      <c r="H72" s="164" t="s">
        <v>23</v>
      </c>
      <c r="I72" s="171">
        <v>14223298</v>
      </c>
      <c r="J72" s="165" t="s">
        <v>111</v>
      </c>
      <c r="K72" s="166">
        <f>K57</f>
        <v>6.2509999999999996E-3</v>
      </c>
      <c r="L72" s="50">
        <f>ROUND(I72*K72,0)</f>
        <v>88910</v>
      </c>
      <c r="O72" s="1"/>
      <c r="V72" s="623" t="s">
        <v>125</v>
      </c>
      <c r="W72" s="623"/>
      <c r="X72" s="623"/>
      <c r="Y72" s="623"/>
      <c r="Z72" s="623"/>
      <c r="AA72" s="623"/>
      <c r="AB72" s="623"/>
      <c r="AC72" s="60"/>
      <c r="AD72" s="9"/>
    </row>
    <row r="73" spans="1:30" ht="17.25" customHeight="1" x14ac:dyDescent="0.25">
      <c r="B73" s="13" t="s">
        <v>125</v>
      </c>
      <c r="C73" s="13"/>
      <c r="D73" s="13"/>
      <c r="E73" s="13"/>
      <c r="F73" s="13"/>
      <c r="H73" s="13"/>
      <c r="I73" s="13"/>
      <c r="J73" s="82"/>
      <c r="K73" s="13"/>
      <c r="L73" s="59"/>
      <c r="O73" s="1"/>
      <c r="V73" s="651" t="s">
        <v>126</v>
      </c>
      <c r="W73" s="651"/>
      <c r="X73" s="651"/>
      <c r="Y73" s="651"/>
      <c r="Z73" s="651"/>
      <c r="AA73" s="651"/>
      <c r="AB73" s="651"/>
      <c r="AC73" s="651"/>
      <c r="AD73" s="9"/>
    </row>
    <row r="74" spans="1:30" ht="31.5" x14ac:dyDescent="0.25">
      <c r="B74" s="13" t="s">
        <v>126</v>
      </c>
      <c r="C74" s="13"/>
      <c r="D74" s="27" t="s">
        <v>13</v>
      </c>
      <c r="E74" s="27" t="s">
        <v>14</v>
      </c>
      <c r="F74" s="27"/>
      <c r="H74" s="164" t="s">
        <v>26</v>
      </c>
      <c r="I74" s="172"/>
      <c r="J74" s="164"/>
      <c r="K74" s="172"/>
      <c r="L74" s="112"/>
      <c r="O74" s="1"/>
      <c r="V74" s="666" t="s">
        <v>127</v>
      </c>
      <c r="W74" s="666"/>
      <c r="X74" s="173" t="s">
        <v>128</v>
      </c>
      <c r="Y74" s="174"/>
      <c r="Z74" s="175">
        <f>+I75</f>
        <v>232.5</v>
      </c>
      <c r="AA74" s="331" t="s">
        <v>129</v>
      </c>
      <c r="AB74" s="177">
        <f>+K75</f>
        <v>361</v>
      </c>
      <c r="AC74" s="56">
        <f>ROUND(AB74*Z74,0)</f>
        <v>83933</v>
      </c>
      <c r="AD74" s="9"/>
    </row>
    <row r="75" spans="1:30" ht="19.5" customHeight="1" x14ac:dyDescent="0.25">
      <c r="A75" s="1" t="s">
        <v>130</v>
      </c>
      <c r="B75" s="178" t="s">
        <v>127</v>
      </c>
      <c r="C75" s="179" t="s">
        <v>128</v>
      </c>
      <c r="D75" s="178">
        <v>209</v>
      </c>
      <c r="E75" s="178">
        <v>256</v>
      </c>
      <c r="F75" s="178">
        <v>0</v>
      </c>
      <c r="G75" s="180">
        <f>IF(E75=0,D75,E75)</f>
        <v>256</v>
      </c>
      <c r="H75" s="181"/>
      <c r="I75" s="182">
        <f>AVERAGE(G75,D75)</f>
        <v>232.5</v>
      </c>
      <c r="J75" s="183" t="s">
        <v>129</v>
      </c>
      <c r="K75" s="184">
        <v>361</v>
      </c>
      <c r="L75" s="50">
        <f>ROUND(K75*I75,0)</f>
        <v>83933</v>
      </c>
      <c r="N75" s="1">
        <v>7802</v>
      </c>
      <c r="O75" s="1">
        <v>0</v>
      </c>
      <c r="V75" s="666" t="s">
        <v>127</v>
      </c>
      <c r="W75" s="666"/>
      <c r="X75" s="173" t="s">
        <v>131</v>
      </c>
      <c r="Y75" s="185"/>
      <c r="Z75" s="186">
        <f>+I76</f>
        <v>1</v>
      </c>
      <c r="AA75" s="331" t="s">
        <v>129</v>
      </c>
      <c r="AB75" s="187">
        <f>+K76</f>
        <v>1358</v>
      </c>
      <c r="AC75" s="56">
        <f>ROUND(AB75*Z75,0)</f>
        <v>1358</v>
      </c>
      <c r="AD75" s="9"/>
    </row>
    <row r="76" spans="1:30" ht="19.5" customHeight="1" x14ac:dyDescent="0.25">
      <c r="A76" s="1" t="s">
        <v>132</v>
      </c>
      <c r="B76" s="178" t="s">
        <v>127</v>
      </c>
      <c r="C76" s="179" t="s">
        <v>131</v>
      </c>
      <c r="D76" s="178">
        <v>1</v>
      </c>
      <c r="E76" s="178">
        <v>1</v>
      </c>
      <c r="F76" s="178">
        <v>0</v>
      </c>
      <c r="G76" s="180">
        <f>IF(E76=0,D76,E76)</f>
        <v>1</v>
      </c>
      <c r="H76" s="181"/>
      <c r="I76" s="182">
        <f>AVERAGE(G76,D76)</f>
        <v>1</v>
      </c>
      <c r="J76" s="183" t="s">
        <v>129</v>
      </c>
      <c r="K76" s="188">
        <v>1358</v>
      </c>
      <c r="L76" s="50">
        <f>ROUND(K76*I76,0)</f>
        <v>1358</v>
      </c>
      <c r="N76" s="1">
        <v>7802</v>
      </c>
      <c r="O76" s="1">
        <v>110</v>
      </c>
      <c r="V76" s="651" t="s">
        <v>133</v>
      </c>
      <c r="W76" s="651"/>
      <c r="X76" s="651"/>
      <c r="Y76" s="661">
        <f>+I77</f>
        <v>33305823</v>
      </c>
      <c r="Z76" s="661"/>
      <c r="AA76" s="331" t="s">
        <v>129</v>
      </c>
      <c r="AB76" s="163">
        <f>AB54</f>
        <v>0</v>
      </c>
      <c r="AC76" s="56">
        <f>ROUND(Y76*AB76,0)</f>
        <v>0</v>
      </c>
      <c r="AD76" s="9"/>
    </row>
    <row r="77" spans="1:30" ht="26.25" customHeight="1" x14ac:dyDescent="0.25">
      <c r="B77" s="13" t="s">
        <v>133</v>
      </c>
      <c r="C77" s="13"/>
      <c r="D77" s="13"/>
      <c r="E77" s="13"/>
      <c r="F77" s="13"/>
      <c r="H77" s="164" t="s">
        <v>134</v>
      </c>
      <c r="I77" s="189">
        <v>33305823</v>
      </c>
      <c r="J77" s="165" t="s">
        <v>111</v>
      </c>
      <c r="K77" s="166">
        <f>K54</f>
        <v>6.0549999999999996E-3</v>
      </c>
      <c r="L77" s="50">
        <f>ROUND(K77*I77,0)</f>
        <v>201667</v>
      </c>
      <c r="O77" s="1"/>
      <c r="V77" s="651" t="str">
        <f>+B78</f>
        <v>15.  Additional Allocation (WFTE share)</v>
      </c>
      <c r="W77" s="651"/>
      <c r="X77" s="651"/>
      <c r="Y77" s="661">
        <f>+I78</f>
        <v>680688</v>
      </c>
      <c r="Z77" s="661"/>
      <c r="AA77" s="331" t="s">
        <v>129</v>
      </c>
      <c r="AB77" s="163">
        <f>AB54</f>
        <v>0</v>
      </c>
      <c r="AC77" s="56">
        <f>ROUND(Y77*AB77,0)</f>
        <v>0</v>
      </c>
      <c r="AD77" s="9"/>
    </row>
    <row r="78" spans="1:30" ht="26.25" customHeight="1" x14ac:dyDescent="0.25">
      <c r="B78" s="669" t="s">
        <v>135</v>
      </c>
      <c r="C78" s="669"/>
      <c r="D78" s="669"/>
      <c r="E78" s="13"/>
      <c r="F78" s="13"/>
      <c r="H78" s="164" t="s">
        <v>136</v>
      </c>
      <c r="I78" s="190">
        <v>680688</v>
      </c>
      <c r="J78" s="165" t="s">
        <v>111</v>
      </c>
      <c r="K78" s="166">
        <f>K54</f>
        <v>6.0549999999999996E-3</v>
      </c>
      <c r="L78" s="50">
        <f>ROUND(I78*K78,0)</f>
        <v>4122</v>
      </c>
      <c r="O78" s="1"/>
      <c r="V78" s="651" t="str">
        <f>+B79</f>
        <v>16.  Florida Teachers Lead Program Stipend</v>
      </c>
      <c r="W78" s="651"/>
      <c r="X78" s="651"/>
      <c r="Y78" s="191"/>
      <c r="Z78" s="191"/>
      <c r="AA78" s="191"/>
      <c r="AB78" s="191"/>
      <c r="AC78" s="134"/>
      <c r="AD78" s="9"/>
    </row>
    <row r="79" spans="1:30" ht="21" customHeight="1" x14ac:dyDescent="0.25">
      <c r="B79" s="669" t="s">
        <v>137</v>
      </c>
      <c r="C79" s="669"/>
      <c r="D79" s="669"/>
      <c r="E79" s="13"/>
      <c r="F79" s="13"/>
      <c r="H79" s="164"/>
      <c r="I79" s="172"/>
      <c r="J79" s="172"/>
      <c r="K79" s="172"/>
      <c r="L79" s="129"/>
      <c r="N79" s="192"/>
      <c r="O79" s="1"/>
      <c r="Q79" s="164"/>
      <c r="V79" s="651" t="str">
        <f>+B80</f>
        <v>17.  Food Service Allocation</v>
      </c>
      <c r="W79" s="651"/>
      <c r="X79" s="651"/>
      <c r="Y79" s="191"/>
      <c r="Z79" s="191"/>
      <c r="AA79" s="191"/>
      <c r="AB79" s="191"/>
      <c r="AC79" s="193"/>
      <c r="AD79" s="9"/>
    </row>
    <row r="80" spans="1:30" ht="21" customHeight="1" x14ac:dyDescent="0.25">
      <c r="B80" s="669" t="s">
        <v>138</v>
      </c>
      <c r="C80" s="669"/>
      <c r="D80" s="669"/>
      <c r="E80" s="13"/>
      <c r="F80" s="13"/>
      <c r="H80" s="194" t="s">
        <v>139</v>
      </c>
      <c r="I80" s="195"/>
      <c r="J80" s="195"/>
      <c r="K80" s="195"/>
      <c r="L80" s="196"/>
      <c r="N80" s="197"/>
      <c r="O80" s="1"/>
      <c r="Q80" s="164"/>
      <c r="V80" s="191"/>
      <c r="W80" s="191"/>
      <c r="X80" s="191"/>
      <c r="Y80" s="191"/>
      <c r="Z80" s="191"/>
      <c r="AA80" s="191"/>
      <c r="AB80" s="191"/>
      <c r="AC80" s="193"/>
      <c r="AD80" s="9"/>
    </row>
    <row r="81" spans="1:30" ht="21" customHeight="1" thickBot="1" x14ac:dyDescent="0.3">
      <c r="B81" s="13"/>
      <c r="C81" s="13"/>
      <c r="D81" s="13"/>
      <c r="E81" s="13"/>
      <c r="F81" s="13"/>
      <c r="G81" s="13"/>
      <c r="H81" s="13"/>
      <c r="I81" s="13"/>
      <c r="J81" s="13"/>
      <c r="K81" s="13"/>
      <c r="L81" s="196"/>
      <c r="M81" s="198"/>
      <c r="N81" s="197"/>
      <c r="O81" s="1"/>
      <c r="Q81" s="164"/>
      <c r="V81" s="191" t="s">
        <v>140</v>
      </c>
      <c r="W81" s="191"/>
      <c r="X81" s="191"/>
      <c r="Y81" s="191"/>
      <c r="Z81" s="191"/>
      <c r="AA81" s="191"/>
      <c r="AB81" s="191"/>
      <c r="AC81" s="199">
        <f>SUM(AC44:AC80)</f>
        <v>85291</v>
      </c>
      <c r="AD81" s="200"/>
    </row>
    <row r="82" spans="1:30" ht="22.5" customHeight="1" thickTop="1" thickBot="1" x14ac:dyDescent="0.3">
      <c r="B82" s="13" t="s">
        <v>141</v>
      </c>
      <c r="C82" s="13"/>
      <c r="D82" s="13"/>
      <c r="E82" s="13"/>
      <c r="F82" s="13"/>
      <c r="G82" s="13"/>
      <c r="H82" s="13"/>
      <c r="I82" s="13"/>
      <c r="J82" s="13"/>
      <c r="K82" s="13"/>
      <c r="L82" s="201">
        <f>SUM(L44:L81)</f>
        <v>7449930</v>
      </c>
      <c r="M82" s="202"/>
      <c r="N82" s="203"/>
      <c r="O82" s="1"/>
      <c r="Q82" s="164"/>
      <c r="V82" s="191"/>
      <c r="W82" s="191"/>
      <c r="X82" s="191"/>
      <c r="Y82" s="191"/>
      <c r="Z82" s="191"/>
      <c r="AA82" s="191"/>
      <c r="AB82" s="191"/>
      <c r="AC82" s="204"/>
      <c r="AD82" s="200"/>
    </row>
    <row r="83" spans="1:30" ht="27.75" customHeight="1" thickTop="1" x14ac:dyDescent="0.25">
      <c r="B83" s="13" t="s">
        <v>142</v>
      </c>
      <c r="C83" s="13"/>
      <c r="D83" s="13"/>
      <c r="E83" s="13"/>
      <c r="F83" s="13"/>
      <c r="G83" s="13"/>
      <c r="H83" s="13"/>
      <c r="I83" s="13"/>
      <c r="J83" s="13"/>
      <c r="K83" s="82" t="s">
        <v>143</v>
      </c>
      <c r="L83" s="205" t="s">
        <v>144</v>
      </c>
      <c r="M83" s="202"/>
      <c r="N83" s="203"/>
      <c r="O83" s="1"/>
      <c r="Q83" s="164"/>
      <c r="V83" s="9" t="s">
        <v>145</v>
      </c>
      <c r="W83" s="9"/>
      <c r="X83" s="9"/>
      <c r="Y83" s="9"/>
      <c r="Z83" s="9"/>
      <c r="AA83" s="9"/>
      <c r="AB83" s="9"/>
      <c r="AC83" s="9"/>
      <c r="AD83" s="206"/>
    </row>
    <row r="84" spans="1:30" ht="18.75" customHeight="1" thickBot="1" x14ac:dyDescent="0.3">
      <c r="B84" s="13" t="s">
        <v>146</v>
      </c>
      <c r="C84" s="13"/>
      <c r="D84" s="13"/>
      <c r="E84" s="13"/>
      <c r="F84" s="13"/>
      <c r="G84" s="13"/>
      <c r="H84" s="13"/>
      <c r="I84" s="13"/>
      <c r="J84" s="13"/>
      <c r="K84" s="207" t="str">
        <f>IF(G26=0,"",IF((G11+G13+SUM(G15:G21))/G26&gt;0.75,1,""))</f>
        <v/>
      </c>
      <c r="L84" s="201">
        <f>'4020 June Final'!AC81</f>
        <v>85291</v>
      </c>
      <c r="M84" s="202"/>
      <c r="N84" s="203"/>
      <c r="O84" s="1"/>
      <c r="Q84" s="164"/>
      <c r="V84" s="208" t="s">
        <v>147</v>
      </c>
      <c r="W84" s="208"/>
      <c r="X84" s="208"/>
      <c r="Y84" s="208"/>
      <c r="Z84" s="208"/>
      <c r="AA84" s="208"/>
      <c r="AB84" s="208"/>
      <c r="AC84" s="208"/>
      <c r="AD84" s="9"/>
    </row>
    <row r="85" spans="1:30" ht="18.75" customHeight="1" thickTop="1" x14ac:dyDescent="0.25">
      <c r="B85" s="13"/>
      <c r="C85" s="13"/>
      <c r="D85" s="13"/>
      <c r="E85" s="13"/>
      <c r="F85" s="13"/>
      <c r="G85" s="13"/>
      <c r="H85" s="13"/>
      <c r="I85" s="13"/>
      <c r="J85" s="13"/>
      <c r="M85" s="202"/>
      <c r="N85" s="203"/>
      <c r="O85" s="1"/>
      <c r="Q85" s="164"/>
      <c r="V85" s="208" t="s">
        <v>148</v>
      </c>
      <c r="W85" s="208"/>
      <c r="X85" s="208"/>
      <c r="Y85" s="208"/>
      <c r="Z85" s="208"/>
      <c r="AA85" s="208"/>
      <c r="AB85" s="208"/>
      <c r="AC85" s="208"/>
      <c r="AD85" s="206"/>
    </row>
    <row r="86" spans="1:30" ht="18.75" customHeight="1" x14ac:dyDescent="0.25">
      <c r="B86" s="2" t="s">
        <v>149</v>
      </c>
      <c r="C86" s="13"/>
      <c r="D86" s="13"/>
      <c r="E86" s="13"/>
      <c r="F86" s="13"/>
      <c r="G86" s="13"/>
      <c r="H86" s="13"/>
      <c r="I86" s="13"/>
      <c r="J86" s="209" t="s">
        <v>150</v>
      </c>
      <c r="K86" s="210">
        <f>IF(K84=1,L84,L82)</f>
        <v>7449930</v>
      </c>
      <c r="L86" s="211">
        <f>IF(G26=0,0,IF(G26&gt;250,-(((250/G26)*K86)*IF(M86="H",0.02,0.05)),IF(M86="H",-0.02*K86,-0.05*K86)))</f>
        <v>-82638.90121397133</v>
      </c>
      <c r="M86" s="212" t="str">
        <f>IF(B123="2801","H",IF(B123="2911","H",IF(B123="3382","H"," ")))</f>
        <v xml:space="preserve"> </v>
      </c>
      <c r="N86" s="203"/>
      <c r="O86" s="1"/>
      <c r="Q86" s="164"/>
      <c r="V86" s="208" t="s">
        <v>151</v>
      </c>
      <c r="W86" s="208"/>
      <c r="X86" s="208"/>
      <c r="Y86" s="208"/>
      <c r="Z86" s="208"/>
      <c r="AA86" s="208"/>
      <c r="AB86" s="208"/>
      <c r="AC86" s="208"/>
      <c r="AD86" s="206"/>
    </row>
    <row r="87" spans="1:30" ht="18.75" customHeight="1" x14ac:dyDescent="0.25">
      <c r="B87" s="2" t="s">
        <v>152</v>
      </c>
      <c r="C87" s="13"/>
      <c r="D87" s="13"/>
      <c r="E87" s="13"/>
      <c r="F87" s="13"/>
      <c r="G87" s="13"/>
      <c r="H87" s="13"/>
      <c r="I87" s="13"/>
      <c r="J87" s="13"/>
      <c r="K87" s="213"/>
      <c r="L87" s="205">
        <f>L82+L86</f>
        <v>7367291.098786029</v>
      </c>
      <c r="M87" s="202"/>
      <c r="N87" s="203"/>
      <c r="O87" s="1"/>
      <c r="Q87" s="164"/>
      <c r="V87" s="198"/>
      <c r="W87" s="198"/>
      <c r="X87" s="198"/>
      <c r="Y87" s="198"/>
      <c r="Z87" s="198"/>
      <c r="AA87" s="198"/>
      <c r="AB87" s="198"/>
      <c r="AC87" s="198"/>
      <c r="AD87" s="214"/>
    </row>
    <row r="88" spans="1:30" x14ac:dyDescent="0.25">
      <c r="V88" s="198"/>
      <c r="W88" s="198"/>
      <c r="X88" s="198"/>
      <c r="Y88" s="198"/>
      <c r="Z88" s="198"/>
      <c r="AA88" s="198"/>
      <c r="AB88" s="198"/>
      <c r="AC88" s="198"/>
      <c r="AD88" s="215"/>
    </row>
    <row r="89" spans="1:30" ht="18.75" customHeight="1" x14ac:dyDescent="0.25">
      <c r="A89" s="1" t="s">
        <v>153</v>
      </c>
      <c r="B89" s="13" t="s">
        <v>154</v>
      </c>
      <c r="C89" s="13"/>
      <c r="D89" s="13">
        <v>3538425</v>
      </c>
      <c r="E89" s="13">
        <v>633919</v>
      </c>
      <c r="F89" s="13">
        <v>6007452</v>
      </c>
      <c r="G89" s="13"/>
      <c r="H89" s="13"/>
      <c r="I89" s="13"/>
      <c r="J89" s="13"/>
      <c r="K89" s="213"/>
      <c r="L89" s="84">
        <v>-7370720.6297387499</v>
      </c>
      <c r="M89" s="202"/>
      <c r="N89" s="203"/>
      <c r="O89" s="1"/>
      <c r="Q89" s="164"/>
      <c r="V89" s="198">
        <v>2801</v>
      </c>
      <c r="W89" s="198"/>
      <c r="X89" s="198"/>
      <c r="Y89" s="198"/>
      <c r="Z89" s="198"/>
      <c r="AA89" s="198"/>
      <c r="AB89" s="198"/>
      <c r="AC89" s="198"/>
      <c r="AD89" s="214"/>
    </row>
    <row r="90" spans="1:30" ht="18.75" customHeight="1" x14ac:dyDescent="0.25">
      <c r="B90" s="13" t="s">
        <v>155</v>
      </c>
      <c r="C90" s="13"/>
      <c r="D90" s="13"/>
      <c r="E90" s="13"/>
      <c r="F90" s="13"/>
      <c r="G90" s="13"/>
      <c r="H90" s="13"/>
      <c r="I90" s="13"/>
      <c r="J90" s="13"/>
      <c r="K90" s="213"/>
      <c r="L90" s="205">
        <f>L87+L89</f>
        <v>-3429.5309527209029</v>
      </c>
      <c r="M90" s="202"/>
      <c r="N90" s="203"/>
      <c r="O90" s="1"/>
      <c r="Q90" s="164"/>
      <c r="V90" s="198">
        <v>2911</v>
      </c>
      <c r="W90" s="216"/>
      <c r="X90" s="216"/>
      <c r="Y90" s="216"/>
      <c r="Z90" s="216"/>
      <c r="AA90" s="216"/>
      <c r="AB90" s="216"/>
      <c r="AC90" s="216"/>
      <c r="AD90" s="214"/>
    </row>
    <row r="91" spans="1:30" ht="18.75" customHeight="1" x14ac:dyDescent="0.25">
      <c r="B91" s="13" t="s">
        <v>156</v>
      </c>
      <c r="C91" s="13"/>
      <c r="D91" s="13"/>
      <c r="E91" s="13"/>
      <c r="F91" s="13"/>
      <c r="G91" s="13"/>
      <c r="H91" s="13"/>
      <c r="I91" s="13"/>
      <c r="J91" s="13"/>
      <c r="K91" s="213"/>
      <c r="L91" s="205">
        <v>1</v>
      </c>
      <c r="M91" s="202"/>
      <c r="N91" s="203"/>
      <c r="O91" s="1"/>
      <c r="Q91" s="164"/>
      <c r="V91" s="198">
        <v>3382</v>
      </c>
      <c r="W91" s="216"/>
      <c r="X91" s="216"/>
      <c r="Y91" s="216"/>
      <c r="Z91" s="216"/>
      <c r="AA91" s="216"/>
      <c r="AB91" s="216"/>
      <c r="AC91" s="216"/>
      <c r="AD91" s="214"/>
    </row>
    <row r="92" spans="1:30" ht="18.75" customHeight="1" thickBot="1" x14ac:dyDescent="0.3">
      <c r="B92" s="13" t="s">
        <v>434</v>
      </c>
      <c r="C92" s="13"/>
      <c r="D92" s="13"/>
      <c r="E92" s="13"/>
      <c r="F92" s="13"/>
      <c r="G92" s="13"/>
      <c r="H92" s="13"/>
      <c r="I92" s="13"/>
      <c r="J92" s="13"/>
      <c r="K92" s="213"/>
      <c r="L92" s="217">
        <f>L90/L91</f>
        <v>-3429.5309527209029</v>
      </c>
      <c r="M92" s="202"/>
      <c r="N92" s="203"/>
      <c r="O92" s="1"/>
      <c r="Q92" s="164"/>
      <c r="V92" s="218"/>
      <c r="W92" s="218"/>
      <c r="X92" s="218"/>
      <c r="Y92" s="218"/>
      <c r="Z92" s="218"/>
      <c r="AA92" s="218"/>
      <c r="AB92" s="218"/>
      <c r="AC92" s="218"/>
      <c r="AD92" s="219"/>
    </row>
    <row r="93" spans="1:30" ht="18.75" customHeight="1" thickTop="1" x14ac:dyDescent="0.25">
      <c r="N93" s="219"/>
      <c r="O93" s="220"/>
      <c r="P93" s="219"/>
      <c r="Q93" s="219"/>
      <c r="V93" s="218"/>
      <c r="W93" s="218"/>
      <c r="X93" s="218"/>
      <c r="Y93" s="218"/>
      <c r="Z93" s="218"/>
      <c r="AA93" s="218"/>
      <c r="AB93" s="218"/>
      <c r="AC93" s="218"/>
      <c r="AD93" s="214"/>
    </row>
    <row r="94" spans="1:30" ht="18.75" customHeight="1" thickBot="1" x14ac:dyDescent="0.3">
      <c r="B94" s="221" t="s">
        <v>158</v>
      </c>
      <c r="C94" s="13"/>
      <c r="D94" s="13"/>
      <c r="E94" s="13"/>
      <c r="G94" s="13"/>
      <c r="H94" s="13"/>
      <c r="I94" s="13"/>
      <c r="J94" s="13"/>
      <c r="L94" s="222">
        <v>0</v>
      </c>
      <c r="M94" s="202"/>
      <c r="V94" s="223"/>
      <c r="W94" s="223"/>
      <c r="X94" s="223"/>
      <c r="Y94" s="223"/>
      <c r="Z94" s="223"/>
      <c r="AA94" s="223"/>
      <c r="AB94" s="223"/>
      <c r="AC94" s="223"/>
      <c r="AD94" s="214"/>
    </row>
    <row r="95" spans="1:30" ht="21.75" customHeight="1" thickTop="1" x14ac:dyDescent="0.25">
      <c r="B95" s="224" t="s">
        <v>159</v>
      </c>
      <c r="C95" s="224"/>
      <c r="D95" s="224"/>
      <c r="E95" s="224"/>
      <c r="F95" s="224"/>
      <c r="G95" s="224"/>
      <c r="H95" s="224"/>
      <c r="I95" s="224"/>
      <c r="J95" s="224"/>
      <c r="K95" s="224"/>
      <c r="L95" s="224"/>
      <c r="M95" s="219"/>
      <c r="V95" s="223"/>
      <c r="W95" s="223"/>
      <c r="X95" s="223"/>
      <c r="Y95" s="223"/>
      <c r="Z95" s="223"/>
      <c r="AA95" s="223"/>
      <c r="AB95" s="223"/>
      <c r="AC95" s="223"/>
      <c r="AD95" s="214"/>
    </row>
    <row r="96" spans="1:30" x14ac:dyDescent="0.25">
      <c r="B96" s="225"/>
      <c r="V96" s="223"/>
      <c r="W96" s="223"/>
      <c r="X96" s="223"/>
      <c r="Y96" s="223"/>
      <c r="Z96" s="223"/>
      <c r="AA96" s="223"/>
      <c r="AB96" s="223"/>
      <c r="AC96" s="223"/>
      <c r="AD96" s="219"/>
    </row>
    <row r="97" spans="2:30" x14ac:dyDescent="0.25">
      <c r="B97" s="225"/>
      <c r="V97" s="223"/>
      <c r="W97" s="223"/>
      <c r="X97" s="223"/>
      <c r="Y97" s="223"/>
      <c r="Z97" s="223"/>
      <c r="AA97" s="223"/>
      <c r="AB97" s="223"/>
      <c r="AC97" s="223"/>
      <c r="AD97" s="219"/>
    </row>
    <row r="98" spans="2:30" hidden="1" x14ac:dyDescent="0.25">
      <c r="B98" s="226" t="s">
        <v>160</v>
      </c>
      <c r="C98" s="227"/>
      <c r="V98" s="228"/>
      <c r="W98" s="228"/>
      <c r="X98" s="228"/>
      <c r="Y98" s="228"/>
      <c r="Z98" s="228"/>
      <c r="AA98" s="228"/>
      <c r="AB98" s="228"/>
      <c r="AC98" s="228"/>
    </row>
    <row r="99" spans="2:30" hidden="1" x14ac:dyDescent="0.25">
      <c r="B99" s="229"/>
      <c r="C99" s="227"/>
      <c r="V99" s="225"/>
      <c r="W99" s="13"/>
      <c r="X99" s="13"/>
      <c r="Y99" s="13"/>
      <c r="Z99" s="13"/>
      <c r="AA99" s="13"/>
      <c r="AB99" s="13"/>
      <c r="AC99" s="13"/>
    </row>
    <row r="100" spans="2:30" hidden="1" x14ac:dyDescent="0.25">
      <c r="B100" s="230" t="s">
        <v>161</v>
      </c>
      <c r="C100" s="226" t="s">
        <v>162</v>
      </c>
      <c r="V100" s="225"/>
    </row>
    <row r="101" spans="2:30" hidden="1" x14ac:dyDescent="0.25">
      <c r="B101" s="230" t="s">
        <v>163</v>
      </c>
      <c r="C101" s="226" t="s">
        <v>164</v>
      </c>
      <c r="V101" s="225"/>
    </row>
    <row r="102" spans="2:30" hidden="1" x14ac:dyDescent="0.25">
      <c r="B102" s="230" t="s">
        <v>165</v>
      </c>
      <c r="C102" s="226" t="s">
        <v>166</v>
      </c>
      <c r="V102" s="225"/>
      <c r="W102" s="231"/>
      <c r="X102" s="231"/>
      <c r="Y102" s="231"/>
      <c r="Z102" s="231"/>
      <c r="AA102" s="231"/>
      <c r="AB102" s="231"/>
      <c r="AC102" s="231"/>
      <c r="AD102" s="231"/>
    </row>
    <row r="103" spans="2:30" hidden="1" x14ac:dyDescent="0.25">
      <c r="B103" s="230" t="s">
        <v>167</v>
      </c>
      <c r="C103" s="226" t="s">
        <v>168</v>
      </c>
      <c r="V103" s="225"/>
    </row>
    <row r="104" spans="2:30" hidden="1" x14ac:dyDescent="0.25">
      <c r="B104" s="232"/>
      <c r="C104" s="226" t="s">
        <v>169</v>
      </c>
      <c r="V104" s="225"/>
    </row>
    <row r="105" spans="2:30" hidden="1" x14ac:dyDescent="0.25">
      <c r="B105" s="230" t="s">
        <v>170</v>
      </c>
      <c r="C105" s="226" t="s">
        <v>171</v>
      </c>
      <c r="V105" s="225"/>
    </row>
    <row r="106" spans="2:30" hidden="1" x14ac:dyDescent="0.25">
      <c r="B106" s="230" t="s">
        <v>172</v>
      </c>
      <c r="C106" s="226" t="s">
        <v>173</v>
      </c>
      <c r="V106" s="225"/>
    </row>
    <row r="107" spans="2:30" hidden="1" x14ac:dyDescent="0.25">
      <c r="B107" s="230" t="s">
        <v>336</v>
      </c>
      <c r="C107" s="226" t="s">
        <v>175</v>
      </c>
      <c r="V107" s="225"/>
    </row>
    <row r="108" spans="2:30" hidden="1" x14ac:dyDescent="0.25">
      <c r="B108" s="230" t="s">
        <v>176</v>
      </c>
      <c r="C108" s="226" t="s">
        <v>177</v>
      </c>
      <c r="V108" s="225"/>
    </row>
    <row r="109" spans="2:30" hidden="1" x14ac:dyDescent="0.25">
      <c r="B109" s="230" t="s">
        <v>178</v>
      </c>
      <c r="C109" s="226" t="s">
        <v>179</v>
      </c>
      <c r="V109" s="225"/>
    </row>
    <row r="110" spans="2:30" hidden="1" x14ac:dyDescent="0.25">
      <c r="B110" s="232"/>
      <c r="C110" s="226"/>
      <c r="V110" s="225"/>
    </row>
    <row r="111" spans="2:30" hidden="1" x14ac:dyDescent="0.25">
      <c r="B111" s="230" t="s">
        <v>180</v>
      </c>
      <c r="C111" s="226" t="s">
        <v>181</v>
      </c>
      <c r="V111" s="225"/>
    </row>
    <row r="112" spans="2:30" hidden="1" x14ac:dyDescent="0.25">
      <c r="B112" s="230" t="s">
        <v>180</v>
      </c>
      <c r="C112" s="226" t="s">
        <v>182</v>
      </c>
    </row>
    <row r="113" spans="2:3" hidden="1" x14ac:dyDescent="0.25">
      <c r="B113" s="230" t="s">
        <v>183</v>
      </c>
      <c r="C113" s="226" t="s">
        <v>184</v>
      </c>
    </row>
    <row r="114" spans="2:3" hidden="1" x14ac:dyDescent="0.25">
      <c r="B114" s="230" t="s">
        <v>185</v>
      </c>
      <c r="C114" s="226" t="s">
        <v>186</v>
      </c>
    </row>
    <row r="115" spans="2:3" hidden="1" x14ac:dyDescent="0.25">
      <c r="B115" s="230" t="s">
        <v>183</v>
      </c>
      <c r="C115" s="226" t="s">
        <v>187</v>
      </c>
    </row>
    <row r="116" spans="2:3" hidden="1" x14ac:dyDescent="0.25">
      <c r="B116" s="230" t="s">
        <v>188</v>
      </c>
      <c r="C116" s="226" t="s">
        <v>189</v>
      </c>
    </row>
    <row r="117" spans="2:3" hidden="1" x14ac:dyDescent="0.25">
      <c r="B117" s="230" t="s">
        <v>190</v>
      </c>
      <c r="C117" s="226" t="s">
        <v>191</v>
      </c>
    </row>
    <row r="118" spans="2:3" hidden="1" x14ac:dyDescent="0.25">
      <c r="B118" s="232" t="s">
        <v>192</v>
      </c>
      <c r="C118" s="226" t="s">
        <v>193</v>
      </c>
    </row>
    <row r="119" spans="2:3" hidden="1" x14ac:dyDescent="0.25">
      <c r="B119" s="232"/>
      <c r="C119" s="226"/>
    </row>
    <row r="120" spans="2:3" hidden="1" x14ac:dyDescent="0.25">
      <c r="B120" s="230" t="s">
        <v>161</v>
      </c>
      <c r="C120" s="226" t="s">
        <v>194</v>
      </c>
    </row>
    <row r="121" spans="2:3" hidden="1" x14ac:dyDescent="0.25">
      <c r="B121" s="230" t="s">
        <v>195</v>
      </c>
      <c r="C121" s="226" t="s">
        <v>196</v>
      </c>
    </row>
    <row r="122" spans="2:3" hidden="1" x14ac:dyDescent="0.25">
      <c r="B122" s="230" t="s">
        <v>197</v>
      </c>
      <c r="C122" s="226" t="s">
        <v>198</v>
      </c>
    </row>
    <row r="123" spans="2:3" hidden="1" x14ac:dyDescent="0.25">
      <c r="B123" s="230" t="s">
        <v>337</v>
      </c>
      <c r="C123" s="226" t="s">
        <v>200</v>
      </c>
    </row>
    <row r="124" spans="2:3" hidden="1" x14ac:dyDescent="0.25">
      <c r="B124" s="230" t="s">
        <v>338</v>
      </c>
      <c r="C124" s="226" t="s">
        <v>202</v>
      </c>
    </row>
    <row r="125" spans="2:3" hidden="1" x14ac:dyDescent="0.25">
      <c r="B125" s="230" t="s">
        <v>203</v>
      </c>
      <c r="C125" s="226" t="s">
        <v>204</v>
      </c>
    </row>
    <row r="126" spans="2:3" hidden="1" x14ac:dyDescent="0.25">
      <c r="B126" s="230" t="s">
        <v>203</v>
      </c>
      <c r="C126" s="226" t="s">
        <v>205</v>
      </c>
    </row>
    <row r="127" spans="2:3" hidden="1" x14ac:dyDescent="0.25">
      <c r="B127" s="230" t="s">
        <v>203</v>
      </c>
      <c r="C127" s="226" t="s">
        <v>206</v>
      </c>
    </row>
    <row r="128" spans="2:3" hidden="1" x14ac:dyDescent="0.25">
      <c r="B128" s="230" t="s">
        <v>203</v>
      </c>
      <c r="C128" s="226" t="s">
        <v>207</v>
      </c>
    </row>
    <row r="129" spans="2:3" hidden="1" x14ac:dyDescent="0.25">
      <c r="B129" s="230" t="s">
        <v>167</v>
      </c>
      <c r="C129" s="226" t="s">
        <v>208</v>
      </c>
    </row>
    <row r="130" spans="2:3" hidden="1" x14ac:dyDescent="0.25">
      <c r="B130" s="230" t="s">
        <v>209</v>
      </c>
      <c r="C130" s="226" t="s">
        <v>210</v>
      </c>
    </row>
    <row r="131" spans="2:3" hidden="1" x14ac:dyDescent="0.25">
      <c r="B131" s="230" t="s">
        <v>203</v>
      </c>
      <c r="C131" s="226" t="s">
        <v>211</v>
      </c>
    </row>
    <row r="132" spans="2:3" hidden="1" x14ac:dyDescent="0.25">
      <c r="B132" s="226"/>
      <c r="C132" s="226"/>
    </row>
    <row r="133" spans="2:3" hidden="1" x14ac:dyDescent="0.25">
      <c r="B133" s="226"/>
      <c r="C133" s="226"/>
    </row>
    <row r="134" spans="2:3" hidden="1" x14ac:dyDescent="0.25">
      <c r="B134" s="232"/>
      <c r="C134" s="232"/>
    </row>
    <row r="135" spans="2:3" hidden="1" x14ac:dyDescent="0.25">
      <c r="B135" s="232">
        <f>NvsElapsedTime</f>
        <v>1.15740695036948E-5</v>
      </c>
      <c r="C135" s="232"/>
    </row>
    <row r="136" spans="2:3" hidden="1" x14ac:dyDescent="0.25">
      <c r="B136" s="233">
        <f>NvsEndTime</f>
        <v>41754.488194444399</v>
      </c>
      <c r="C136" s="233" t="s">
        <v>212</v>
      </c>
    </row>
    <row r="137" spans="2:3" x14ac:dyDescent="0.25">
      <c r="B137" s="226"/>
      <c r="C137" s="234"/>
    </row>
    <row r="138" spans="2:3" x14ac:dyDescent="0.25">
      <c r="B138" s="226"/>
      <c r="C138" s="226"/>
    </row>
    <row r="139" spans="2:3" x14ac:dyDescent="0.25">
      <c r="B139" s="226"/>
      <c r="C139" s="226"/>
    </row>
    <row r="140" spans="2:3" x14ac:dyDescent="0.25">
      <c r="B140" s="226"/>
      <c r="C140" s="226"/>
    </row>
    <row r="141" spans="2:3" x14ac:dyDescent="0.25">
      <c r="B141" s="226"/>
      <c r="C141" s="226"/>
    </row>
    <row r="142" spans="2:3" x14ac:dyDescent="0.25">
      <c r="B142" s="226"/>
      <c r="C142" s="226"/>
    </row>
    <row r="143" spans="2:3" x14ac:dyDescent="0.25">
      <c r="B143" s="226"/>
      <c r="C143" s="226"/>
    </row>
    <row r="144" spans="2:3" x14ac:dyDescent="0.25">
      <c r="B144" s="226"/>
      <c r="C144" s="226"/>
    </row>
    <row r="145" spans="2:3" x14ac:dyDescent="0.25">
      <c r="B145" s="226"/>
      <c r="C145" s="226"/>
    </row>
    <row r="146" spans="2:3" x14ac:dyDescent="0.25">
      <c r="B146" s="226"/>
      <c r="C146" s="226"/>
    </row>
    <row r="147" spans="2:3" x14ac:dyDescent="0.25">
      <c r="B147" s="226"/>
      <c r="C147" s="226"/>
    </row>
    <row r="148" spans="2:3" x14ac:dyDescent="0.25">
      <c r="B148" s="226"/>
      <c r="C148" s="226"/>
    </row>
    <row r="149" spans="2:3" x14ac:dyDescent="0.25">
      <c r="B149" s="226"/>
      <c r="C149" s="226"/>
    </row>
    <row r="150" spans="2:3" x14ac:dyDescent="0.25">
      <c r="B150" s="226"/>
      <c r="C150" s="226"/>
    </row>
    <row r="151" spans="2:3" x14ac:dyDescent="0.25">
      <c r="B151" s="226"/>
      <c r="C151" s="226"/>
    </row>
  </sheetData>
  <mergeCells count="151">
    <mergeCell ref="B80:D80"/>
    <mergeCell ref="V76:X76"/>
    <mergeCell ref="Y76:Z76"/>
    <mergeCell ref="V77:X77"/>
    <mergeCell ref="Y77:Z77"/>
    <mergeCell ref="B78:D78"/>
    <mergeCell ref="V78:X78"/>
    <mergeCell ref="V70:X70"/>
    <mergeCell ref="Y70:Z70"/>
    <mergeCell ref="V71:X71"/>
    <mergeCell ref="Y71:Z71"/>
    <mergeCell ref="V72:AB72"/>
    <mergeCell ref="V73:AC73"/>
    <mergeCell ref="V74:W74"/>
    <mergeCell ref="V75:W75"/>
    <mergeCell ref="B79:D79"/>
    <mergeCell ref="V79:X79"/>
    <mergeCell ref="V65:W65"/>
    <mergeCell ref="X65:AC65"/>
    <mergeCell ref="V66:X66"/>
    <mergeCell ref="Y66:Z66"/>
    <mergeCell ref="V67:AC67"/>
    <mergeCell ref="V68:X68"/>
    <mergeCell ref="Y68:Z68"/>
    <mergeCell ref="V69:X69"/>
    <mergeCell ref="Y69:Z69"/>
    <mergeCell ref="V60:W60"/>
    <mergeCell ref="X60:AC60"/>
    <mergeCell ref="V61:W61"/>
    <mergeCell ref="X61:AC61"/>
    <mergeCell ref="V62:W62"/>
    <mergeCell ref="X62:AC62"/>
    <mergeCell ref="V63:AC63"/>
    <mergeCell ref="V64:W64"/>
    <mergeCell ref="X64:AC64"/>
    <mergeCell ref="V55:AC55"/>
    <mergeCell ref="V56:W56"/>
    <mergeCell ref="Y56:Z56"/>
    <mergeCell ref="AA56:AC56"/>
    <mergeCell ref="V57:AA57"/>
    <mergeCell ref="AB57:AC57"/>
    <mergeCell ref="V58:X58"/>
    <mergeCell ref="Y58:Z58"/>
    <mergeCell ref="V59:AC59"/>
    <mergeCell ref="X49:Y49"/>
    <mergeCell ref="X50:AB50"/>
    <mergeCell ref="V51:AC51"/>
    <mergeCell ref="V52:AC52"/>
    <mergeCell ref="V53:W53"/>
    <mergeCell ref="Y53:Z53"/>
    <mergeCell ref="AA53:AC53"/>
    <mergeCell ref="V54:AA54"/>
    <mergeCell ref="AB54:AC54"/>
    <mergeCell ref="V41:AC41"/>
    <mergeCell ref="V42:AC42"/>
    <mergeCell ref="V43:AC43"/>
    <mergeCell ref="V44:AB44"/>
    <mergeCell ref="V45:AC45"/>
    <mergeCell ref="X46:Y46"/>
    <mergeCell ref="Z46:AC46"/>
    <mergeCell ref="X47:Y47"/>
    <mergeCell ref="X48:Y48"/>
    <mergeCell ref="V37:W37"/>
    <mergeCell ref="X37:Y37"/>
    <mergeCell ref="Z37:AB37"/>
    <mergeCell ref="V38:AC38"/>
    <mergeCell ref="V39:W39"/>
    <mergeCell ref="X39:Y39"/>
    <mergeCell ref="Z39:AC39"/>
    <mergeCell ref="V40:W40"/>
    <mergeCell ref="X40:AA40"/>
    <mergeCell ref="V26:W26"/>
    <mergeCell ref="X26:Y26"/>
    <mergeCell ref="Z26:AA26"/>
    <mergeCell ref="V27:W27"/>
    <mergeCell ref="X27:Y27"/>
    <mergeCell ref="B28:C36"/>
    <mergeCell ref="V28:W36"/>
    <mergeCell ref="X28:Y28"/>
    <mergeCell ref="X29:Y29"/>
    <mergeCell ref="X30:Y30"/>
    <mergeCell ref="X31:Y31"/>
    <mergeCell ref="X32:Y32"/>
    <mergeCell ref="X33:Y33"/>
    <mergeCell ref="X34:Y34"/>
    <mergeCell ref="X35:Y35"/>
    <mergeCell ref="X36:Y36"/>
    <mergeCell ref="V23:W23"/>
    <mergeCell ref="X23:Y23"/>
    <mergeCell ref="Z23:AA23"/>
    <mergeCell ref="V24:W24"/>
    <mergeCell ref="X24:Y24"/>
    <mergeCell ref="Z24:AA24"/>
    <mergeCell ref="V25:W25"/>
    <mergeCell ref="X25:Y25"/>
    <mergeCell ref="Z25:AA25"/>
    <mergeCell ref="V20:W20"/>
    <mergeCell ref="X20:Y20"/>
    <mergeCell ref="Z20:AA20"/>
    <mergeCell ref="V21:W21"/>
    <mergeCell ref="X21:Y21"/>
    <mergeCell ref="Z21:AA21"/>
    <mergeCell ref="V22:W22"/>
    <mergeCell ref="X22:Y22"/>
    <mergeCell ref="Z22:AA22"/>
    <mergeCell ref="V17:W17"/>
    <mergeCell ref="X17:Y17"/>
    <mergeCell ref="Z17:AA17"/>
    <mergeCell ref="V18:W18"/>
    <mergeCell ref="X18:Y18"/>
    <mergeCell ref="Z18:AA18"/>
    <mergeCell ref="V19:W19"/>
    <mergeCell ref="X19:Y19"/>
    <mergeCell ref="Z19:AA19"/>
    <mergeCell ref="V14:W14"/>
    <mergeCell ref="X14:Y14"/>
    <mergeCell ref="Z14:AA14"/>
    <mergeCell ref="V15:W15"/>
    <mergeCell ref="X15:Y15"/>
    <mergeCell ref="Z15:AA15"/>
    <mergeCell ref="V16:W16"/>
    <mergeCell ref="X16:Y16"/>
    <mergeCell ref="Z16:AA16"/>
    <mergeCell ref="V11:W11"/>
    <mergeCell ref="X11:Y11"/>
    <mergeCell ref="Z11:AA11"/>
    <mergeCell ref="V12:W12"/>
    <mergeCell ref="X12:Y12"/>
    <mergeCell ref="Z12:AA12"/>
    <mergeCell ref="V13:W13"/>
    <mergeCell ref="X13:Y13"/>
    <mergeCell ref="Z13:AA13"/>
    <mergeCell ref="V8:W8"/>
    <mergeCell ref="X8:Y8"/>
    <mergeCell ref="Z8:AA8"/>
    <mergeCell ref="V9:W9"/>
    <mergeCell ref="X9:Y9"/>
    <mergeCell ref="Z9:AA9"/>
    <mergeCell ref="V10:W10"/>
    <mergeCell ref="X10:Y10"/>
    <mergeCell ref="Z10:AA10"/>
    <mergeCell ref="W2:AC2"/>
    <mergeCell ref="V3:AC3"/>
    <mergeCell ref="V4:AC4"/>
    <mergeCell ref="V5:W5"/>
    <mergeCell ref="X5:Y5"/>
    <mergeCell ref="V6:AC6"/>
    <mergeCell ref="V7:W7"/>
    <mergeCell ref="X7:Y7"/>
    <mergeCell ref="Z7:AA7"/>
    <mergeCell ref="AB7:AC7"/>
  </mergeCells>
  <printOptions horizontalCentered="1"/>
  <pageMargins left="0" right="0" top="0.67" bottom="0.2" header="0.25" footer="0.196850393700787"/>
  <pageSetup scale="72" fitToHeight="2" orientation="portrait" r:id="rId1"/>
  <headerFooter alignWithMargins="0">
    <oddHeader>&amp;L&amp;8&amp;F
&amp;D &amp;T</oddHeader>
    <oddFooter>&amp;C&amp;P</oddFooter>
  </headerFooter>
  <rowBreaks count="1" manualBreakCount="1">
    <brk id="51" max="16383" man="1"/>
  </rowBreaks>
  <legacyDrawing r:id="rId2"/>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pageSetUpPr fitToPage="1"/>
  </sheetPr>
  <dimension ref="A1:AD151"/>
  <sheetViews>
    <sheetView topLeftCell="B2" zoomScale="70" zoomScaleNormal="70" workbookViewId="0">
      <selection activeCell="L71" sqref="L70:L71"/>
    </sheetView>
  </sheetViews>
  <sheetFormatPr defaultColWidth="8.85546875" defaultRowHeight="15.75" x14ac:dyDescent="0.25"/>
  <cols>
    <col min="1" max="1" width="11.28515625" style="1" hidden="1" customWidth="1"/>
    <col min="2" max="2" width="10.28515625" style="2" customWidth="1"/>
    <col min="3" max="3" width="29" style="1" customWidth="1"/>
    <col min="4" max="5" width="12.28515625" style="1" customWidth="1"/>
    <col min="6" max="6" width="12.28515625" style="1" hidden="1" customWidth="1"/>
    <col min="7" max="7" width="16.140625" style="1" customWidth="1"/>
    <col min="8" max="8" width="6.7109375" style="1" customWidth="1"/>
    <col min="9" max="9" width="14.28515625" style="1" customWidth="1"/>
    <col min="10" max="10" width="12.85546875" style="1" customWidth="1"/>
    <col min="11" max="11" width="16.140625" style="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28515625" style="1" customWidth="1"/>
    <col min="18" max="18" width="8.85546875" style="1"/>
    <col min="19" max="21" width="0" style="1" hidden="1" customWidth="1"/>
    <col min="22" max="23" width="8.85546875" style="1"/>
    <col min="24" max="24" width="12.7109375" style="1" customWidth="1"/>
    <col min="25" max="25" width="8.85546875" style="1"/>
    <col min="26" max="26" width="13.140625" style="1" bestFit="1" customWidth="1"/>
    <col min="27" max="27" width="8.85546875" style="1"/>
    <col min="28" max="28" width="13.140625" style="1" bestFit="1" customWidth="1"/>
    <col min="29" max="29" width="15.5703125" style="1" bestFit="1" customWidth="1"/>
    <col min="30" max="16384" width="8.85546875" style="1"/>
  </cols>
  <sheetData>
    <row r="1" spans="1:30" ht="15.6"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7"/>
      <c r="N2" s="3"/>
      <c r="O2" s="1"/>
      <c r="V2" s="8">
        <f>'4037'!B2</f>
        <v>50</v>
      </c>
      <c r="W2" s="606" t="s">
        <v>4</v>
      </c>
      <c r="X2" s="607"/>
      <c r="Y2" s="608"/>
      <c r="Z2" s="608"/>
      <c r="AA2" s="608"/>
      <c r="AB2" s="608"/>
      <c r="AC2" s="608"/>
      <c r="AD2" s="9"/>
    </row>
    <row r="3" spans="1:30" ht="20.25" x14ac:dyDescent="0.3">
      <c r="B3" s="10" t="str">
        <f>"Revenue Estimate Worksheet for "&amp;B124</f>
        <v>Revenue Estimate Worksheet for Learning Path Academy</v>
      </c>
      <c r="C3" s="11"/>
      <c r="D3" s="11"/>
      <c r="E3" s="11"/>
      <c r="F3" s="11"/>
      <c r="G3" s="11"/>
      <c r="H3" s="11"/>
      <c r="I3" s="11"/>
      <c r="J3" s="11"/>
      <c r="K3" s="11"/>
      <c r="L3" s="11"/>
      <c r="M3" s="10"/>
      <c r="N3" s="10"/>
      <c r="O3" s="10"/>
      <c r="P3" s="10"/>
      <c r="Q3" s="10"/>
      <c r="V3" s="609" t="s">
        <v>5</v>
      </c>
      <c r="W3" s="609"/>
      <c r="X3" s="609"/>
      <c r="Y3" s="609"/>
      <c r="Z3" s="609"/>
      <c r="AA3" s="609"/>
      <c r="AB3" s="609"/>
      <c r="AC3" s="609"/>
      <c r="AD3" s="12"/>
    </row>
    <row r="4" spans="1:30" ht="18.75" x14ac:dyDescent="0.3">
      <c r="B4" s="2" t="s">
        <v>6</v>
      </c>
      <c r="C4" s="13"/>
      <c r="D4" s="13"/>
      <c r="E4" s="13"/>
      <c r="F4" s="13"/>
      <c r="G4" s="13"/>
      <c r="H4" s="13"/>
      <c r="I4" s="13"/>
      <c r="J4" s="13"/>
      <c r="K4" s="13"/>
      <c r="L4" s="13"/>
      <c r="M4" s="14"/>
      <c r="N4" s="14"/>
      <c r="O4" s="14"/>
      <c r="P4" s="14"/>
      <c r="Q4" s="14"/>
      <c r="V4" s="610" t="str">
        <f>+Based_on_the_Second_Calculation_of_the_FEFP_2010_11</f>
        <v>Based on the Fourth Calculation of the FEFP 2013-14</v>
      </c>
      <c r="W4" s="610"/>
      <c r="X4" s="610"/>
      <c r="Y4" s="610"/>
      <c r="Z4" s="610"/>
      <c r="AA4" s="610"/>
      <c r="AB4" s="610"/>
      <c r="AC4" s="610"/>
      <c r="AD4" s="15"/>
    </row>
    <row r="5" spans="1:30" ht="18.75" customHeight="1" x14ac:dyDescent="0.25">
      <c r="B5" s="16" t="s">
        <v>7</v>
      </c>
      <c r="C5" s="16"/>
      <c r="D5" s="16"/>
      <c r="E5" s="16"/>
      <c r="F5" s="16"/>
      <c r="G5" s="17" t="s">
        <v>8</v>
      </c>
      <c r="H5" s="17"/>
      <c r="I5" s="17"/>
      <c r="J5" s="17"/>
      <c r="K5" s="17"/>
      <c r="L5" s="17"/>
      <c r="M5" s="18"/>
      <c r="N5" s="18"/>
      <c r="O5" s="18"/>
      <c r="P5" s="18"/>
      <c r="Q5" s="18"/>
      <c r="V5" s="611" t="s">
        <v>7</v>
      </c>
      <c r="W5" s="611"/>
      <c r="X5" s="612" t="s">
        <v>8</v>
      </c>
      <c r="Y5" s="612"/>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613" t="s">
        <v>9</v>
      </c>
      <c r="W6" s="613"/>
      <c r="X6" s="613"/>
      <c r="Y6" s="613"/>
      <c r="Z6" s="613"/>
      <c r="AA6" s="613"/>
      <c r="AB6" s="613"/>
      <c r="AC6" s="613"/>
      <c r="AD6" s="22"/>
    </row>
    <row r="7" spans="1:30" ht="18" customHeight="1" x14ac:dyDescent="0.25">
      <c r="B7" s="23" t="s">
        <v>10</v>
      </c>
      <c r="C7" s="23"/>
      <c r="D7" s="23"/>
      <c r="E7" s="23"/>
      <c r="F7" s="23"/>
      <c r="G7" s="24">
        <v>3752.3</v>
      </c>
      <c r="H7" s="24"/>
      <c r="I7" s="23" t="s">
        <v>11</v>
      </c>
      <c r="J7" s="23"/>
      <c r="K7" s="25">
        <v>1.0326</v>
      </c>
      <c r="L7" s="25"/>
      <c r="O7" s="1"/>
      <c r="V7" s="620" t="s">
        <v>10</v>
      </c>
      <c r="W7" s="620"/>
      <c r="X7" s="621">
        <f>'4037'!G7</f>
        <v>3752.3</v>
      </c>
      <c r="Y7" s="621"/>
      <c r="Z7" s="622" t="s">
        <v>11</v>
      </c>
      <c r="AA7" s="622"/>
      <c r="AB7" s="602">
        <f>+K7</f>
        <v>1.0326</v>
      </c>
      <c r="AC7" s="602"/>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603" t="s">
        <v>12</v>
      </c>
      <c r="W8" s="603"/>
      <c r="X8" s="604" t="s">
        <v>15</v>
      </c>
      <c r="Y8" s="604"/>
      <c r="Z8" s="605" t="s">
        <v>16</v>
      </c>
      <c r="AA8" s="605"/>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614" t="s">
        <v>22</v>
      </c>
      <c r="W9" s="614"/>
      <c r="X9" s="615" t="s">
        <v>23</v>
      </c>
      <c r="Y9" s="615"/>
      <c r="Z9" s="616" t="s">
        <v>24</v>
      </c>
      <c r="AA9" s="616"/>
      <c r="AB9" s="43" t="s">
        <v>25</v>
      </c>
      <c r="AC9" s="44" t="s">
        <v>26</v>
      </c>
      <c r="AD9" s="9"/>
    </row>
    <row r="10" spans="1:30" x14ac:dyDescent="0.25">
      <c r="A10" s="1" t="s">
        <v>27</v>
      </c>
      <c r="B10" s="45" t="s">
        <v>28</v>
      </c>
      <c r="C10" s="45"/>
      <c r="D10" s="45">
        <v>5.68</v>
      </c>
      <c r="E10" s="45">
        <v>6.07</v>
      </c>
      <c r="F10" s="45">
        <v>6.51</v>
      </c>
      <c r="G10" s="46">
        <f>D10+E10</f>
        <v>11.75</v>
      </c>
      <c r="H10" s="47"/>
      <c r="I10" s="48">
        <v>1.125</v>
      </c>
      <c r="J10" s="48"/>
      <c r="K10" s="49">
        <f>ROUND(G10*I10,4)</f>
        <v>13.2188</v>
      </c>
      <c r="L10" s="50">
        <f>ROUND(ROUND(K10*$G$7,4)*($K$7),0)</f>
        <v>51218</v>
      </c>
      <c r="N10" s="51">
        <v>5101</v>
      </c>
      <c r="O10" s="52">
        <v>101</v>
      </c>
      <c r="P10" s="53"/>
      <c r="Q10" s="54"/>
      <c r="V10" s="617" t="s">
        <v>28</v>
      </c>
      <c r="W10" s="617"/>
      <c r="X10" s="618">
        <f>IF('4037'!K$84=1,'4037'!G10,0)</f>
        <v>11.75</v>
      </c>
      <c r="Y10" s="618"/>
      <c r="Z10" s="619">
        <v>1</v>
      </c>
      <c r="AA10" s="619"/>
      <c r="AB10" s="55">
        <f t="shared" ref="AB10:AB25" si="0">ROUND(X10*Z10,4)</f>
        <v>11.75</v>
      </c>
      <c r="AC10" s="56">
        <f t="shared" ref="AC10:AC25" si="1">ROUND(ROUND(AB10*$X$7,4)*($AB$7),0)</f>
        <v>45527</v>
      </c>
      <c r="AD10" s="9">
        <v>1</v>
      </c>
    </row>
    <row r="11" spans="1:30" x14ac:dyDescent="0.25">
      <c r="A11" s="1" t="s">
        <v>29</v>
      </c>
      <c r="B11" s="13" t="s">
        <v>30</v>
      </c>
      <c r="C11" s="13"/>
      <c r="D11" s="13">
        <v>40.43</v>
      </c>
      <c r="E11" s="13">
        <v>44.91</v>
      </c>
      <c r="F11" s="13">
        <v>61.25</v>
      </c>
      <c r="G11" s="46">
        <f t="shared" ref="G11:G25" si="2">D11+E11</f>
        <v>85.34</v>
      </c>
      <c r="H11" s="47"/>
      <c r="I11" s="57">
        <f>I10</f>
        <v>1.125</v>
      </c>
      <c r="J11" s="57"/>
      <c r="K11" s="49">
        <f t="shared" ref="K11:K25" si="3">ROUND(G11*I11,4)</f>
        <v>96.007499999999993</v>
      </c>
      <c r="L11" s="50">
        <f t="shared" ref="L11:L25" si="4">ROUND(ROUND(K11*$G$7,4)*($K$7),0)</f>
        <v>371993</v>
      </c>
      <c r="M11" s="1" t="str">
        <f>IF(ROUND(G11,2)=ROUND(SUM(G28:G30),2)," ","CHECK 2. PK-3 Lines Below")</f>
        <v xml:space="preserve"> </v>
      </c>
      <c r="N11" s="51">
        <v>5101</v>
      </c>
      <c r="O11" s="58" t="s">
        <v>31</v>
      </c>
      <c r="P11" s="53"/>
      <c r="Q11" s="54"/>
      <c r="V11" s="623" t="s">
        <v>30</v>
      </c>
      <c r="W11" s="623"/>
      <c r="X11" s="618">
        <f>IF('4037'!K$84=1,'4037'!G11,0)</f>
        <v>85.34</v>
      </c>
      <c r="Y11" s="618"/>
      <c r="Z11" s="624">
        <v>1</v>
      </c>
      <c r="AA11" s="624"/>
      <c r="AB11" s="55">
        <f t="shared" si="0"/>
        <v>85.34</v>
      </c>
      <c r="AC11" s="56">
        <f t="shared" si="1"/>
        <v>330660</v>
      </c>
      <c r="AD11" s="9"/>
    </row>
    <row r="12" spans="1:30" x14ac:dyDescent="0.25">
      <c r="A12" s="1" t="s">
        <v>32</v>
      </c>
      <c r="B12" s="13" t="s">
        <v>33</v>
      </c>
      <c r="C12" s="13"/>
      <c r="D12" s="13">
        <v>1.06</v>
      </c>
      <c r="E12" s="13">
        <v>1.06</v>
      </c>
      <c r="F12" s="13">
        <v>1.25</v>
      </c>
      <c r="G12" s="46">
        <f t="shared" si="2"/>
        <v>2.12</v>
      </c>
      <c r="H12" s="47"/>
      <c r="I12" s="57">
        <v>1</v>
      </c>
      <c r="J12" s="57"/>
      <c r="K12" s="49">
        <f t="shared" si="3"/>
        <v>2.12</v>
      </c>
      <c r="L12" s="50">
        <f t="shared" si="4"/>
        <v>8214</v>
      </c>
      <c r="N12" s="51">
        <v>5102</v>
      </c>
      <c r="O12" s="52">
        <v>102</v>
      </c>
      <c r="P12" s="53"/>
      <c r="Q12" s="54"/>
      <c r="V12" s="623" t="s">
        <v>33</v>
      </c>
      <c r="W12" s="623"/>
      <c r="X12" s="618">
        <f>IF('4037'!K$84=1,'4037'!G12,0)</f>
        <v>2.12</v>
      </c>
      <c r="Y12" s="618"/>
      <c r="Z12" s="624">
        <v>1</v>
      </c>
      <c r="AA12" s="624"/>
      <c r="AB12" s="55">
        <f t="shared" si="0"/>
        <v>2.12</v>
      </c>
      <c r="AC12" s="56">
        <f t="shared" si="1"/>
        <v>8214</v>
      </c>
      <c r="AD12" s="9"/>
    </row>
    <row r="13" spans="1:30" x14ac:dyDescent="0.25">
      <c r="A13" s="1" t="s">
        <v>34</v>
      </c>
      <c r="B13" s="13" t="s">
        <v>35</v>
      </c>
      <c r="C13" s="13"/>
      <c r="D13" s="13">
        <v>3.06</v>
      </c>
      <c r="E13" s="13">
        <v>2.98</v>
      </c>
      <c r="F13" s="13">
        <v>3.83</v>
      </c>
      <c r="G13" s="46">
        <f t="shared" si="2"/>
        <v>6.04</v>
      </c>
      <c r="H13" s="47"/>
      <c r="I13" s="57">
        <f>I12</f>
        <v>1</v>
      </c>
      <c r="J13" s="57"/>
      <c r="K13" s="49">
        <f t="shared" si="3"/>
        <v>6.04</v>
      </c>
      <c r="L13" s="50">
        <f t="shared" si="4"/>
        <v>23403</v>
      </c>
      <c r="M13" s="1" t="str">
        <f>IF(ROUND(G13,2)=ROUND(SUM(G31:G33),2)," ","CHECK 2. PK-3 Lines Below")</f>
        <v xml:space="preserve"> </v>
      </c>
      <c r="N13" s="51">
        <v>5102</v>
      </c>
      <c r="O13" s="58" t="s">
        <v>36</v>
      </c>
      <c r="P13" s="53"/>
      <c r="Q13" s="54"/>
      <c r="V13" s="623" t="s">
        <v>35</v>
      </c>
      <c r="W13" s="623"/>
      <c r="X13" s="618">
        <f>IF('4037'!K$84=1,'4037'!G13,0)</f>
        <v>6.04</v>
      </c>
      <c r="Y13" s="618"/>
      <c r="Z13" s="624">
        <v>1</v>
      </c>
      <c r="AA13" s="624"/>
      <c r="AB13" s="55">
        <f t="shared" si="0"/>
        <v>6.04</v>
      </c>
      <c r="AC13" s="56">
        <f t="shared" si="1"/>
        <v>23403</v>
      </c>
      <c r="AD13" s="9"/>
    </row>
    <row r="14" spans="1:30" x14ac:dyDescent="0.25">
      <c r="A14" s="1" t="s">
        <v>37</v>
      </c>
      <c r="B14" s="13" t="s">
        <v>38</v>
      </c>
      <c r="C14" s="13"/>
      <c r="D14" s="13">
        <v>0</v>
      </c>
      <c r="E14" s="13">
        <v>0</v>
      </c>
      <c r="F14" s="13">
        <v>0</v>
      </c>
      <c r="G14" s="46">
        <f t="shared" si="2"/>
        <v>0</v>
      </c>
      <c r="H14" s="47"/>
      <c r="I14" s="57">
        <v>1.0109999999999999</v>
      </c>
      <c r="J14" s="57"/>
      <c r="K14" s="49">
        <f t="shared" si="3"/>
        <v>0</v>
      </c>
      <c r="L14" s="50">
        <f t="shared" si="4"/>
        <v>0</v>
      </c>
      <c r="N14" s="51">
        <v>5103</v>
      </c>
      <c r="O14" s="52">
        <v>103</v>
      </c>
      <c r="P14" s="53"/>
      <c r="Q14" s="54"/>
      <c r="V14" s="623" t="s">
        <v>38</v>
      </c>
      <c r="W14" s="623"/>
      <c r="X14" s="618">
        <f>IF('4037'!K$84=1,'4037'!G14,0)</f>
        <v>0</v>
      </c>
      <c r="Y14" s="618"/>
      <c r="Z14" s="624">
        <v>1</v>
      </c>
      <c r="AA14" s="624"/>
      <c r="AB14" s="55">
        <f t="shared" si="0"/>
        <v>0</v>
      </c>
      <c r="AC14" s="56">
        <f t="shared" si="1"/>
        <v>0</v>
      </c>
      <c r="AD14" s="9"/>
    </row>
    <row r="15" spans="1:30" x14ac:dyDescent="0.25">
      <c r="A15" s="1" t="s">
        <v>39</v>
      </c>
      <c r="B15" s="13" t="s">
        <v>40</v>
      </c>
      <c r="C15" s="13"/>
      <c r="D15" s="13">
        <v>0</v>
      </c>
      <c r="E15" s="13">
        <v>0</v>
      </c>
      <c r="F15" s="13">
        <v>0</v>
      </c>
      <c r="G15" s="46">
        <f t="shared" si="2"/>
        <v>0</v>
      </c>
      <c r="H15" s="47"/>
      <c r="I15" s="57">
        <f>I14</f>
        <v>1.0109999999999999</v>
      </c>
      <c r="J15" s="57"/>
      <c r="K15" s="49">
        <f t="shared" si="3"/>
        <v>0</v>
      </c>
      <c r="L15" s="59">
        <f t="shared" si="4"/>
        <v>0</v>
      </c>
      <c r="M15" s="1" t="str">
        <f>IF(ROUND(G15,2)=ROUND(SUM(G34:G36),2)," ","CHECK 2. PK-3 Lines Below")</f>
        <v xml:space="preserve"> </v>
      </c>
      <c r="N15" s="51">
        <v>5103</v>
      </c>
      <c r="O15" s="58" t="s">
        <v>41</v>
      </c>
      <c r="P15" s="53"/>
      <c r="Q15" s="54"/>
      <c r="V15" s="623" t="s">
        <v>40</v>
      </c>
      <c r="W15" s="623"/>
      <c r="X15" s="618">
        <f>IF('4037'!K$84=1,'4037'!G15,0)</f>
        <v>0</v>
      </c>
      <c r="Y15" s="618"/>
      <c r="Z15" s="624">
        <v>1</v>
      </c>
      <c r="AA15" s="624"/>
      <c r="AB15" s="55">
        <f t="shared" si="0"/>
        <v>0</v>
      </c>
      <c r="AC15" s="60">
        <f t="shared" si="1"/>
        <v>0</v>
      </c>
      <c r="AD15" s="9"/>
    </row>
    <row r="16" spans="1:30" x14ac:dyDescent="0.25">
      <c r="A16" s="1" t="s">
        <v>42</v>
      </c>
      <c r="B16" s="13" t="s">
        <v>43</v>
      </c>
      <c r="C16" s="13"/>
      <c r="D16" s="13">
        <v>0.5</v>
      </c>
      <c r="E16" s="13">
        <v>0.5</v>
      </c>
      <c r="F16" s="13">
        <v>0.68</v>
      </c>
      <c r="G16" s="46">
        <f t="shared" si="2"/>
        <v>1</v>
      </c>
      <c r="H16" s="47"/>
      <c r="I16" s="57">
        <v>3.5579999999999998</v>
      </c>
      <c r="J16" s="57"/>
      <c r="K16" s="49">
        <f t="shared" si="3"/>
        <v>3.5579999999999998</v>
      </c>
      <c r="L16" s="50">
        <f t="shared" si="4"/>
        <v>13786</v>
      </c>
      <c r="N16" s="51">
        <v>5101</v>
      </c>
      <c r="O16" s="53">
        <v>254</v>
      </c>
      <c r="P16" s="53"/>
      <c r="Q16" s="54"/>
      <c r="V16" s="623" t="s">
        <v>43</v>
      </c>
      <c r="W16" s="623"/>
      <c r="X16" s="618">
        <f>IF('4037'!K$84=1,'4037'!G16,0)</f>
        <v>1</v>
      </c>
      <c r="Y16" s="618"/>
      <c r="Z16" s="624">
        <v>1</v>
      </c>
      <c r="AA16" s="624"/>
      <c r="AB16" s="55">
        <f t="shared" si="0"/>
        <v>1</v>
      </c>
      <c r="AC16" s="56">
        <f t="shared" si="1"/>
        <v>3875</v>
      </c>
      <c r="AD16" s="9"/>
    </row>
    <row r="17" spans="1:30" x14ac:dyDescent="0.25">
      <c r="A17" s="1" t="s">
        <v>44</v>
      </c>
      <c r="B17" s="13" t="s">
        <v>45</v>
      </c>
      <c r="C17" s="13"/>
      <c r="D17" s="13">
        <v>0</v>
      </c>
      <c r="E17" s="13">
        <v>0</v>
      </c>
      <c r="F17" s="13">
        <v>0.68</v>
      </c>
      <c r="G17" s="46">
        <f t="shared" si="2"/>
        <v>0</v>
      </c>
      <c r="H17" s="47"/>
      <c r="I17" s="57">
        <f>I16</f>
        <v>3.5579999999999998</v>
      </c>
      <c r="J17" s="57"/>
      <c r="K17" s="49">
        <f t="shared" si="3"/>
        <v>0</v>
      </c>
      <c r="L17" s="50">
        <f t="shared" si="4"/>
        <v>0</v>
      </c>
      <c r="N17" s="51">
        <v>5102</v>
      </c>
      <c r="O17" s="54">
        <v>254</v>
      </c>
      <c r="P17" s="53"/>
      <c r="Q17" s="54"/>
      <c r="V17" s="623" t="s">
        <v>45</v>
      </c>
      <c r="W17" s="623"/>
      <c r="X17" s="618">
        <f>IF('4037'!K$84=1,'4037'!G17,0)</f>
        <v>0</v>
      </c>
      <c r="Y17" s="618"/>
      <c r="Z17" s="624">
        <v>1</v>
      </c>
      <c r="AA17" s="624"/>
      <c r="AB17" s="55">
        <f t="shared" si="0"/>
        <v>0</v>
      </c>
      <c r="AC17" s="56">
        <f t="shared" si="1"/>
        <v>0</v>
      </c>
      <c r="AD17" s="9"/>
    </row>
    <row r="18" spans="1:30" x14ac:dyDescent="0.25">
      <c r="A18" s="1" t="s">
        <v>46</v>
      </c>
      <c r="B18" s="13" t="s">
        <v>47</v>
      </c>
      <c r="C18" s="13"/>
      <c r="D18" s="13">
        <v>0</v>
      </c>
      <c r="E18" s="13">
        <v>0</v>
      </c>
      <c r="F18" s="13">
        <v>0.68</v>
      </c>
      <c r="G18" s="46">
        <f t="shared" si="2"/>
        <v>0</v>
      </c>
      <c r="H18" s="47"/>
      <c r="I18" s="57">
        <f>I17</f>
        <v>3.5579999999999998</v>
      </c>
      <c r="J18" s="57"/>
      <c r="K18" s="49">
        <f t="shared" si="3"/>
        <v>0</v>
      </c>
      <c r="L18" s="50">
        <f t="shared" si="4"/>
        <v>0</v>
      </c>
      <c r="N18" s="51">
        <v>5103</v>
      </c>
      <c r="O18" s="54">
        <v>254</v>
      </c>
      <c r="P18" s="53"/>
      <c r="Q18" s="54"/>
      <c r="V18" s="623" t="s">
        <v>47</v>
      </c>
      <c r="W18" s="623"/>
      <c r="X18" s="618">
        <f>IF('4037'!K$84=1,'4037'!G18,0)</f>
        <v>0</v>
      </c>
      <c r="Y18" s="618"/>
      <c r="Z18" s="624">
        <v>1</v>
      </c>
      <c r="AA18" s="624"/>
      <c r="AB18" s="55">
        <f t="shared" si="0"/>
        <v>0</v>
      </c>
      <c r="AC18" s="56">
        <f t="shared" si="1"/>
        <v>0</v>
      </c>
      <c r="AD18" s="9"/>
    </row>
    <row r="19" spans="1:30" ht="15" customHeight="1" x14ac:dyDescent="0.25">
      <c r="A19" s="1" t="s">
        <v>48</v>
      </c>
      <c r="B19" s="13" t="s">
        <v>49</v>
      </c>
      <c r="C19" s="13"/>
      <c r="D19" s="13">
        <v>0.5</v>
      </c>
      <c r="E19" s="13">
        <v>0.5</v>
      </c>
      <c r="F19" s="13">
        <v>0.66</v>
      </c>
      <c r="G19" s="46">
        <f t="shared" si="2"/>
        <v>1</v>
      </c>
      <c r="H19" s="47"/>
      <c r="I19" s="57">
        <v>5.0890000000000004</v>
      </c>
      <c r="J19" s="57"/>
      <c r="K19" s="49">
        <f t="shared" si="3"/>
        <v>5.0890000000000004</v>
      </c>
      <c r="L19" s="50">
        <f t="shared" si="4"/>
        <v>19718</v>
      </c>
      <c r="N19" s="51">
        <v>5101</v>
      </c>
      <c r="O19" s="53">
        <v>255</v>
      </c>
      <c r="P19" s="53"/>
      <c r="Q19" s="54"/>
      <c r="V19" s="623" t="s">
        <v>49</v>
      </c>
      <c r="W19" s="623"/>
      <c r="X19" s="618">
        <f>IF('4037'!K$84=1,'4037'!G19,0)</f>
        <v>1</v>
      </c>
      <c r="Y19" s="618"/>
      <c r="Z19" s="624">
        <v>1</v>
      </c>
      <c r="AA19" s="624"/>
      <c r="AB19" s="55">
        <f t="shared" si="0"/>
        <v>1</v>
      </c>
      <c r="AC19" s="56">
        <f t="shared" si="1"/>
        <v>3875</v>
      </c>
      <c r="AD19" s="9"/>
    </row>
    <row r="20" spans="1:30" ht="15" customHeight="1" x14ac:dyDescent="0.25">
      <c r="A20" s="1" t="s">
        <v>50</v>
      </c>
      <c r="B20" s="13" t="s">
        <v>51</v>
      </c>
      <c r="C20" s="13"/>
      <c r="D20" s="13">
        <v>0</v>
      </c>
      <c r="E20" s="13">
        <v>0</v>
      </c>
      <c r="F20" s="13">
        <v>0.66</v>
      </c>
      <c r="G20" s="46">
        <f t="shared" si="2"/>
        <v>0</v>
      </c>
      <c r="H20" s="47"/>
      <c r="I20" s="57">
        <f>I19</f>
        <v>5.0890000000000004</v>
      </c>
      <c r="J20" s="57"/>
      <c r="K20" s="49">
        <f t="shared" si="3"/>
        <v>0</v>
      </c>
      <c r="L20" s="50">
        <f t="shared" si="4"/>
        <v>0</v>
      </c>
      <c r="N20" s="51">
        <v>5102</v>
      </c>
      <c r="O20" s="54">
        <v>255</v>
      </c>
      <c r="P20" s="53"/>
      <c r="Q20" s="54"/>
      <c r="V20" s="623" t="s">
        <v>51</v>
      </c>
      <c r="W20" s="623"/>
      <c r="X20" s="618">
        <f>IF('4037'!K$84=1,'4037'!G20,0)</f>
        <v>0</v>
      </c>
      <c r="Y20" s="618"/>
      <c r="Z20" s="624">
        <v>1</v>
      </c>
      <c r="AA20" s="624"/>
      <c r="AB20" s="55">
        <f t="shared" si="0"/>
        <v>0</v>
      </c>
      <c r="AC20" s="56">
        <f t="shared" si="1"/>
        <v>0</v>
      </c>
      <c r="AD20" s="9"/>
    </row>
    <row r="21" spans="1:30" ht="15" customHeight="1" x14ac:dyDescent="0.25">
      <c r="A21" s="1" t="s">
        <v>52</v>
      </c>
      <c r="B21" s="13" t="s">
        <v>53</v>
      </c>
      <c r="C21" s="13"/>
      <c r="D21" s="13">
        <v>0</v>
      </c>
      <c r="E21" s="13">
        <v>0</v>
      </c>
      <c r="F21" s="13">
        <v>0.66</v>
      </c>
      <c r="G21" s="46">
        <f t="shared" si="2"/>
        <v>0</v>
      </c>
      <c r="H21" s="47"/>
      <c r="I21" s="57">
        <f>I20</f>
        <v>5.0890000000000004</v>
      </c>
      <c r="J21" s="57"/>
      <c r="K21" s="49">
        <f t="shared" si="3"/>
        <v>0</v>
      </c>
      <c r="L21" s="50">
        <f t="shared" si="4"/>
        <v>0</v>
      </c>
      <c r="N21" s="51">
        <v>5103</v>
      </c>
      <c r="O21" s="54">
        <v>255</v>
      </c>
      <c r="P21" s="53"/>
      <c r="Q21" s="54"/>
      <c r="V21" s="623" t="s">
        <v>53</v>
      </c>
      <c r="W21" s="623"/>
      <c r="X21" s="618">
        <f>IF('4037'!K$84=1,'4037'!G21,0)</f>
        <v>0</v>
      </c>
      <c r="Y21" s="618"/>
      <c r="Z21" s="624">
        <v>1</v>
      </c>
      <c r="AA21" s="624"/>
      <c r="AB21" s="55">
        <f t="shared" si="0"/>
        <v>0</v>
      </c>
      <c r="AC21" s="56">
        <f t="shared" si="1"/>
        <v>0</v>
      </c>
      <c r="AD21" s="9"/>
    </row>
    <row r="22" spans="1:30" x14ac:dyDescent="0.25">
      <c r="A22" s="1" t="s">
        <v>54</v>
      </c>
      <c r="B22" s="13" t="s">
        <v>55</v>
      </c>
      <c r="C22" s="13"/>
      <c r="D22" s="13">
        <v>7.75</v>
      </c>
      <c r="E22" s="13">
        <v>7.31</v>
      </c>
      <c r="F22" s="13">
        <v>9</v>
      </c>
      <c r="G22" s="46">
        <f t="shared" si="2"/>
        <v>15.059999999999999</v>
      </c>
      <c r="H22" s="47"/>
      <c r="I22" s="57">
        <v>1.145</v>
      </c>
      <c r="J22" s="57"/>
      <c r="K22" s="49">
        <f t="shared" si="3"/>
        <v>17.2437</v>
      </c>
      <c r="L22" s="50">
        <f t="shared" si="4"/>
        <v>66813</v>
      </c>
      <c r="N22" s="51">
        <v>5101</v>
      </c>
      <c r="O22" s="52">
        <v>130</v>
      </c>
      <c r="P22" s="53"/>
      <c r="Q22" s="54"/>
      <c r="V22" s="623" t="s">
        <v>55</v>
      </c>
      <c r="W22" s="623"/>
      <c r="X22" s="618">
        <f>IF('4037'!K$84=1,'4037'!G22,0)</f>
        <v>15.059999999999999</v>
      </c>
      <c r="Y22" s="618"/>
      <c r="Z22" s="624">
        <v>1</v>
      </c>
      <c r="AA22" s="624"/>
      <c r="AB22" s="55">
        <f t="shared" si="0"/>
        <v>15.06</v>
      </c>
      <c r="AC22" s="56">
        <f t="shared" si="1"/>
        <v>58352</v>
      </c>
      <c r="AD22" s="9"/>
    </row>
    <row r="23" spans="1:30" x14ac:dyDescent="0.25">
      <c r="A23" s="1" t="s">
        <v>56</v>
      </c>
      <c r="B23" s="13" t="s">
        <v>57</v>
      </c>
      <c r="C23" s="13"/>
      <c r="D23" s="13">
        <v>0</v>
      </c>
      <c r="E23" s="13">
        <v>0</v>
      </c>
      <c r="F23" s="13">
        <v>0</v>
      </c>
      <c r="G23" s="46">
        <f t="shared" si="2"/>
        <v>0</v>
      </c>
      <c r="H23" s="47"/>
      <c r="I23" s="57">
        <f>I22</f>
        <v>1.145</v>
      </c>
      <c r="J23" s="57"/>
      <c r="K23" s="49">
        <f t="shared" si="3"/>
        <v>0</v>
      </c>
      <c r="L23" s="50">
        <f t="shared" si="4"/>
        <v>0</v>
      </c>
      <c r="N23" s="51">
        <v>5102</v>
      </c>
      <c r="O23" s="52">
        <v>130</v>
      </c>
      <c r="P23" s="53"/>
      <c r="Q23" s="54"/>
      <c r="V23" s="623" t="s">
        <v>57</v>
      </c>
      <c r="W23" s="623"/>
      <c r="X23" s="618">
        <f>IF('4037'!K$84=1,'4037'!G23,0)</f>
        <v>0</v>
      </c>
      <c r="Y23" s="618"/>
      <c r="Z23" s="624">
        <v>1</v>
      </c>
      <c r="AA23" s="624"/>
      <c r="AB23" s="55">
        <f t="shared" si="0"/>
        <v>0</v>
      </c>
      <c r="AC23" s="56">
        <f t="shared" si="1"/>
        <v>0</v>
      </c>
      <c r="AD23" s="9"/>
    </row>
    <row r="24" spans="1:30" x14ac:dyDescent="0.25">
      <c r="A24" s="1" t="s">
        <v>58</v>
      </c>
      <c r="B24" s="13" t="s">
        <v>59</v>
      </c>
      <c r="C24" s="13"/>
      <c r="D24" s="13">
        <v>0</v>
      </c>
      <c r="E24" s="13">
        <v>0</v>
      </c>
      <c r="F24" s="13">
        <v>0</v>
      </c>
      <c r="G24" s="46">
        <f t="shared" si="2"/>
        <v>0</v>
      </c>
      <c r="H24" s="47"/>
      <c r="I24" s="57">
        <f>I23</f>
        <v>1.145</v>
      </c>
      <c r="J24" s="57"/>
      <c r="K24" s="49">
        <f t="shared" si="3"/>
        <v>0</v>
      </c>
      <c r="L24" s="50">
        <f t="shared" si="4"/>
        <v>0</v>
      </c>
      <c r="N24" s="51">
        <v>5103</v>
      </c>
      <c r="O24" s="52">
        <v>130</v>
      </c>
      <c r="P24" s="53"/>
      <c r="Q24" s="54"/>
      <c r="V24" s="623" t="s">
        <v>59</v>
      </c>
      <c r="W24" s="623"/>
      <c r="X24" s="618">
        <f>IF('4037'!K$84=1,'4037'!G24,0)</f>
        <v>0</v>
      </c>
      <c r="Y24" s="618"/>
      <c r="Z24" s="624">
        <v>1</v>
      </c>
      <c r="AA24" s="624"/>
      <c r="AB24" s="55">
        <f t="shared" si="0"/>
        <v>0</v>
      </c>
      <c r="AC24" s="56">
        <f t="shared" si="1"/>
        <v>0</v>
      </c>
      <c r="AD24" s="9"/>
    </row>
    <row r="25" spans="1:30" ht="16.5" thickBot="1" x14ac:dyDescent="0.3">
      <c r="A25" s="1" t="s">
        <v>60</v>
      </c>
      <c r="B25" s="13" t="s">
        <v>61</v>
      </c>
      <c r="C25" s="13"/>
      <c r="D25" s="13">
        <v>0</v>
      </c>
      <c r="E25" s="13">
        <v>0</v>
      </c>
      <c r="F25" s="13">
        <v>0</v>
      </c>
      <c r="G25" s="46">
        <f t="shared" si="2"/>
        <v>0</v>
      </c>
      <c r="H25" s="47"/>
      <c r="I25" s="57">
        <v>1.0109999999999999</v>
      </c>
      <c r="J25" s="57"/>
      <c r="K25" s="49">
        <f t="shared" si="3"/>
        <v>0</v>
      </c>
      <c r="L25" s="50">
        <f t="shared" si="4"/>
        <v>0</v>
      </c>
      <c r="N25" s="51">
        <v>5310</v>
      </c>
      <c r="O25" s="52">
        <v>300</v>
      </c>
      <c r="P25" s="53"/>
      <c r="Q25" s="54"/>
      <c r="V25" s="623" t="s">
        <v>61</v>
      </c>
      <c r="W25" s="623"/>
      <c r="X25" s="618">
        <f>IF('4037'!K$84=1,'4037'!G25,0)</f>
        <v>0</v>
      </c>
      <c r="Y25" s="618"/>
      <c r="Z25" s="624">
        <v>1</v>
      </c>
      <c r="AA25" s="624"/>
      <c r="AB25" s="55">
        <f t="shared" si="0"/>
        <v>0</v>
      </c>
      <c r="AC25" s="56">
        <f t="shared" si="1"/>
        <v>0</v>
      </c>
      <c r="AD25" s="9"/>
    </row>
    <row r="26" spans="1:30" ht="20.25" customHeight="1" thickBot="1" x14ac:dyDescent="0.3">
      <c r="B26" s="62" t="s">
        <v>62</v>
      </c>
      <c r="C26" s="62"/>
      <c r="D26" s="63">
        <f t="shared" ref="D26:E26" si="5">SUM(D10:D25)</f>
        <v>58.980000000000004</v>
      </c>
      <c r="E26" s="63">
        <f t="shared" si="5"/>
        <v>63.33</v>
      </c>
      <c r="F26" s="63"/>
      <c r="G26" s="63">
        <f>SUM(G10:G25)</f>
        <v>122.31000000000002</v>
      </c>
      <c r="H26" s="64"/>
      <c r="I26" s="64"/>
      <c r="J26" s="65"/>
      <c r="K26" s="66">
        <f>SUM(K10:K25)</f>
        <v>143.27699999999999</v>
      </c>
      <c r="L26" s="67">
        <f>SUM(L10:L25)</f>
        <v>555145</v>
      </c>
      <c r="N26" s="54"/>
      <c r="O26" s="68"/>
      <c r="P26" s="54"/>
      <c r="Q26" s="54"/>
      <c r="V26" s="625" t="s">
        <v>62</v>
      </c>
      <c r="W26" s="625"/>
      <c r="X26" s="626">
        <f>SUM(X10:X25)</f>
        <v>122.31000000000002</v>
      </c>
      <c r="Y26" s="626"/>
      <c r="Z26" s="627"/>
      <c r="AA26" s="628"/>
      <c r="AB26" s="69">
        <f>SUM(AB10:AB25)</f>
        <v>122.31000000000002</v>
      </c>
      <c r="AC26" s="70">
        <f>SUM(AC10:AC25)</f>
        <v>473906</v>
      </c>
      <c r="AD26" s="9"/>
    </row>
    <row r="27" spans="1:30" ht="51.75" customHeight="1" x14ac:dyDescent="0.25">
      <c r="B27" s="62" t="s">
        <v>63</v>
      </c>
      <c r="C27" s="62"/>
      <c r="D27" s="71" t="s">
        <v>13</v>
      </c>
      <c r="E27" s="71" t="s">
        <v>14</v>
      </c>
      <c r="F27" s="27"/>
      <c r="G27" s="72" t="s">
        <v>64</v>
      </c>
      <c r="H27" s="73"/>
      <c r="I27" s="74" t="s">
        <v>65</v>
      </c>
      <c r="J27" s="74" t="s">
        <v>66</v>
      </c>
      <c r="K27" s="75" t="s">
        <v>67</v>
      </c>
      <c r="N27" s="54"/>
      <c r="O27" s="68"/>
      <c r="P27" s="54"/>
      <c r="Q27" s="54"/>
      <c r="V27" s="629" t="s">
        <v>63</v>
      </c>
      <c r="W27" s="629"/>
      <c r="X27" s="630" t="s">
        <v>64</v>
      </c>
      <c r="Y27" s="630"/>
      <c r="Z27" s="76" t="s">
        <v>65</v>
      </c>
      <c r="AA27" s="77" t="s">
        <v>66</v>
      </c>
      <c r="AB27" s="78" t="s">
        <v>67</v>
      </c>
      <c r="AC27" s="9"/>
      <c r="AD27" s="9"/>
    </row>
    <row r="28" spans="1:30" ht="15.75" customHeight="1" x14ac:dyDescent="0.25">
      <c r="A28" s="1" t="s">
        <v>68</v>
      </c>
      <c r="B28" s="631" t="s">
        <v>69</v>
      </c>
      <c r="C28" s="632"/>
      <c r="D28" s="13">
        <v>18.97</v>
      </c>
      <c r="E28" s="13">
        <v>20.05</v>
      </c>
      <c r="F28" s="79">
        <v>10</v>
      </c>
      <c r="G28" s="46">
        <f t="shared" ref="G28:G36" si="6">D28+E28</f>
        <v>39.019999999999996</v>
      </c>
      <c r="H28" s="80"/>
      <c r="I28" s="81" t="s">
        <v>70</v>
      </c>
      <c r="J28" s="82">
        <v>251</v>
      </c>
      <c r="K28" s="83">
        <v>1047</v>
      </c>
      <c r="L28" s="84">
        <f>ROUND(G28*K28,0)</f>
        <v>40854</v>
      </c>
      <c r="N28" s="85">
        <v>5101</v>
      </c>
      <c r="O28" s="54">
        <v>251</v>
      </c>
      <c r="P28" s="86"/>
      <c r="Q28" s="87"/>
      <c r="V28" s="637" t="s">
        <v>69</v>
      </c>
      <c r="W28" s="637"/>
      <c r="X28" s="638"/>
      <c r="Y28" s="638"/>
      <c r="Z28" s="88" t="s">
        <v>70</v>
      </c>
      <c r="AA28" s="89">
        <v>251</v>
      </c>
      <c r="AB28" s="90">
        <f>+K28</f>
        <v>1047</v>
      </c>
      <c r="AC28" s="91">
        <f t="shared" ref="AC28:AC36" si="7">ROUND(X28*AB28,0)</f>
        <v>0</v>
      </c>
      <c r="AD28" s="9"/>
    </row>
    <row r="29" spans="1:30" x14ac:dyDescent="0.25">
      <c r="A29" s="1" t="s">
        <v>71</v>
      </c>
      <c r="B29" s="633"/>
      <c r="C29" s="634"/>
      <c r="D29" s="13">
        <v>8.4600000000000009</v>
      </c>
      <c r="E29" s="13">
        <v>10.199999999999999</v>
      </c>
      <c r="F29" s="92">
        <v>3.5</v>
      </c>
      <c r="G29" s="46">
        <f t="shared" si="6"/>
        <v>18.66</v>
      </c>
      <c r="H29" s="80"/>
      <c r="I29" s="82" t="s">
        <v>70</v>
      </c>
      <c r="J29" s="82">
        <v>252</v>
      </c>
      <c r="K29" s="83">
        <v>3380</v>
      </c>
      <c r="L29" s="84">
        <f t="shared" ref="L29:L36" si="8">ROUND(G29*K29,0)</f>
        <v>63071</v>
      </c>
      <c r="N29" s="85">
        <v>5101</v>
      </c>
      <c r="O29" s="54">
        <v>252</v>
      </c>
      <c r="P29" s="86"/>
      <c r="Q29" s="87"/>
      <c r="V29" s="637"/>
      <c r="W29" s="637"/>
      <c r="X29" s="638"/>
      <c r="Y29" s="638"/>
      <c r="Z29" s="89" t="s">
        <v>70</v>
      </c>
      <c r="AA29" s="89">
        <v>252</v>
      </c>
      <c r="AB29" s="90">
        <f t="shared" ref="AB29:AB36" si="9">+K29</f>
        <v>3380</v>
      </c>
      <c r="AC29" s="91">
        <f t="shared" si="7"/>
        <v>0</v>
      </c>
      <c r="AD29" s="9"/>
    </row>
    <row r="30" spans="1:30" x14ac:dyDescent="0.25">
      <c r="A30" s="1" t="s">
        <v>72</v>
      </c>
      <c r="B30" s="633"/>
      <c r="C30" s="634"/>
      <c r="D30" s="13">
        <v>13</v>
      </c>
      <c r="E30" s="13">
        <v>14.66</v>
      </c>
      <c r="F30" s="92">
        <v>7</v>
      </c>
      <c r="G30" s="46">
        <f t="shared" si="6"/>
        <v>27.66</v>
      </c>
      <c r="H30" s="80"/>
      <c r="I30" s="82" t="s">
        <v>70</v>
      </c>
      <c r="J30" s="82">
        <v>253</v>
      </c>
      <c r="K30" s="83">
        <v>6896</v>
      </c>
      <c r="L30" s="84">
        <f t="shared" si="8"/>
        <v>190743</v>
      </c>
      <c r="N30" s="85">
        <v>5101</v>
      </c>
      <c r="O30" s="54">
        <v>253</v>
      </c>
      <c r="P30" s="86"/>
      <c r="Q30" s="68"/>
      <c r="V30" s="637"/>
      <c r="W30" s="637"/>
      <c r="X30" s="638"/>
      <c r="Y30" s="638"/>
      <c r="Z30" s="89" t="s">
        <v>70</v>
      </c>
      <c r="AA30" s="89">
        <v>253</v>
      </c>
      <c r="AB30" s="90">
        <f t="shared" si="9"/>
        <v>6896</v>
      </c>
      <c r="AC30" s="91">
        <f t="shared" si="7"/>
        <v>0</v>
      </c>
      <c r="AD30" s="9"/>
    </row>
    <row r="31" spans="1:30" x14ac:dyDescent="0.25">
      <c r="A31" s="1" t="s">
        <v>73</v>
      </c>
      <c r="B31" s="633"/>
      <c r="C31" s="634"/>
      <c r="D31" s="13">
        <v>2.04</v>
      </c>
      <c r="E31" s="13">
        <v>2</v>
      </c>
      <c r="F31" s="92">
        <v>1</v>
      </c>
      <c r="G31" s="46">
        <f t="shared" si="6"/>
        <v>4.04</v>
      </c>
      <c r="H31" s="80"/>
      <c r="I31" s="93" t="s">
        <v>74</v>
      </c>
      <c r="J31" s="82">
        <v>251</v>
      </c>
      <c r="K31" s="83">
        <v>1173</v>
      </c>
      <c r="L31" s="84">
        <f t="shared" si="8"/>
        <v>4739</v>
      </c>
      <c r="N31" s="85">
        <v>5102</v>
      </c>
      <c r="O31" s="54">
        <v>251</v>
      </c>
      <c r="P31" s="86"/>
      <c r="Q31" s="68"/>
      <c r="V31" s="637"/>
      <c r="W31" s="637"/>
      <c r="X31" s="638"/>
      <c r="Y31" s="638"/>
      <c r="Z31" s="94" t="s">
        <v>74</v>
      </c>
      <c r="AA31" s="89">
        <v>251</v>
      </c>
      <c r="AB31" s="90">
        <f t="shared" si="9"/>
        <v>1173</v>
      </c>
      <c r="AC31" s="91">
        <f t="shared" si="7"/>
        <v>0</v>
      </c>
      <c r="AD31" s="9"/>
    </row>
    <row r="32" spans="1:30" x14ac:dyDescent="0.25">
      <c r="A32" s="1" t="s">
        <v>75</v>
      </c>
      <c r="B32" s="633"/>
      <c r="C32" s="634"/>
      <c r="D32" s="13">
        <v>1.02</v>
      </c>
      <c r="E32" s="13">
        <v>0.98</v>
      </c>
      <c r="F32" s="92">
        <v>0.5</v>
      </c>
      <c r="G32" s="46">
        <f t="shared" si="6"/>
        <v>2</v>
      </c>
      <c r="H32" s="80"/>
      <c r="I32" s="93" t="s">
        <v>74</v>
      </c>
      <c r="J32" s="82">
        <v>252</v>
      </c>
      <c r="K32" s="83">
        <v>3506</v>
      </c>
      <c r="L32" s="84">
        <f t="shared" si="8"/>
        <v>7012</v>
      </c>
      <c r="N32" s="85">
        <v>5102</v>
      </c>
      <c r="O32" s="54">
        <v>252</v>
      </c>
      <c r="P32" s="86"/>
      <c r="Q32" s="54"/>
      <c r="V32" s="637"/>
      <c r="W32" s="637"/>
      <c r="X32" s="638"/>
      <c r="Y32" s="638"/>
      <c r="Z32" s="94" t="s">
        <v>74</v>
      </c>
      <c r="AA32" s="89">
        <v>252</v>
      </c>
      <c r="AB32" s="90">
        <f t="shared" si="9"/>
        <v>3506</v>
      </c>
      <c r="AC32" s="91">
        <f t="shared" si="7"/>
        <v>0</v>
      </c>
      <c r="AD32" s="9"/>
    </row>
    <row r="33" spans="1:30" x14ac:dyDescent="0.25">
      <c r="A33" s="1" t="s">
        <v>76</v>
      </c>
      <c r="B33" s="633"/>
      <c r="C33" s="634"/>
      <c r="D33" s="13">
        <v>0</v>
      </c>
      <c r="E33" s="13">
        <v>0</v>
      </c>
      <c r="F33" s="92">
        <v>0</v>
      </c>
      <c r="G33" s="46">
        <f t="shared" si="6"/>
        <v>0</v>
      </c>
      <c r="H33" s="80"/>
      <c r="I33" s="93" t="s">
        <v>74</v>
      </c>
      <c r="J33" s="82">
        <v>253</v>
      </c>
      <c r="K33" s="83">
        <v>7023</v>
      </c>
      <c r="L33" s="84">
        <f t="shared" si="8"/>
        <v>0</v>
      </c>
      <c r="N33" s="85">
        <v>5102</v>
      </c>
      <c r="O33" s="54">
        <v>253</v>
      </c>
      <c r="P33" s="86"/>
      <c r="Q33" s="87"/>
      <c r="V33" s="637"/>
      <c r="W33" s="637"/>
      <c r="X33" s="638"/>
      <c r="Y33" s="638"/>
      <c r="Z33" s="94" t="s">
        <v>74</v>
      </c>
      <c r="AA33" s="89">
        <v>253</v>
      </c>
      <c r="AB33" s="90">
        <f t="shared" si="9"/>
        <v>7023</v>
      </c>
      <c r="AC33" s="91">
        <f t="shared" si="7"/>
        <v>0</v>
      </c>
      <c r="AD33" s="9"/>
    </row>
    <row r="34" spans="1:30" x14ac:dyDescent="0.25">
      <c r="A34" s="1" t="s">
        <v>77</v>
      </c>
      <c r="B34" s="633"/>
      <c r="C34" s="634"/>
      <c r="D34" s="13">
        <v>0</v>
      </c>
      <c r="E34" s="13">
        <v>0</v>
      </c>
      <c r="F34" s="92">
        <v>0</v>
      </c>
      <c r="G34" s="46">
        <f t="shared" si="6"/>
        <v>0</v>
      </c>
      <c r="H34" s="80"/>
      <c r="I34" s="93" t="s">
        <v>78</v>
      </c>
      <c r="J34" s="82">
        <v>251</v>
      </c>
      <c r="K34" s="83">
        <v>835</v>
      </c>
      <c r="L34" s="84">
        <f t="shared" si="8"/>
        <v>0</v>
      </c>
      <c r="N34" s="85">
        <v>5103</v>
      </c>
      <c r="O34" s="54">
        <v>251</v>
      </c>
      <c r="P34" s="86"/>
      <c r="Q34" s="87"/>
      <c r="V34" s="637"/>
      <c r="W34" s="637"/>
      <c r="X34" s="638"/>
      <c r="Y34" s="638"/>
      <c r="Z34" s="94" t="s">
        <v>78</v>
      </c>
      <c r="AA34" s="89">
        <v>251</v>
      </c>
      <c r="AB34" s="90">
        <f t="shared" si="9"/>
        <v>835</v>
      </c>
      <c r="AC34" s="91">
        <f t="shared" si="7"/>
        <v>0</v>
      </c>
      <c r="AD34" s="9"/>
    </row>
    <row r="35" spans="1:30" x14ac:dyDescent="0.25">
      <c r="A35" s="1" t="s">
        <v>79</v>
      </c>
      <c r="B35" s="633"/>
      <c r="C35" s="634"/>
      <c r="D35" s="13">
        <v>0</v>
      </c>
      <c r="E35" s="13">
        <v>0</v>
      </c>
      <c r="F35" s="92">
        <v>0</v>
      </c>
      <c r="G35" s="46">
        <f t="shared" si="6"/>
        <v>0</v>
      </c>
      <c r="H35" s="80"/>
      <c r="I35" s="93" t="s">
        <v>78</v>
      </c>
      <c r="J35" s="82">
        <v>252</v>
      </c>
      <c r="K35" s="83">
        <v>3168</v>
      </c>
      <c r="L35" s="84">
        <f t="shared" si="8"/>
        <v>0</v>
      </c>
      <c r="N35" s="85">
        <v>5103</v>
      </c>
      <c r="O35" s="54">
        <v>252</v>
      </c>
      <c r="P35" s="86"/>
      <c r="Q35" s="95"/>
      <c r="V35" s="637"/>
      <c r="W35" s="637"/>
      <c r="X35" s="638"/>
      <c r="Y35" s="638"/>
      <c r="Z35" s="94" t="s">
        <v>78</v>
      </c>
      <c r="AA35" s="89">
        <v>252</v>
      </c>
      <c r="AB35" s="90">
        <f t="shared" si="9"/>
        <v>3168</v>
      </c>
      <c r="AC35" s="91">
        <f t="shared" si="7"/>
        <v>0</v>
      </c>
      <c r="AD35" s="9"/>
    </row>
    <row r="36" spans="1:30" ht="16.5" thickBot="1" x14ac:dyDescent="0.3">
      <c r="A36" s="1" t="s">
        <v>80</v>
      </c>
      <c r="B36" s="635"/>
      <c r="C36" s="636"/>
      <c r="D36" s="13">
        <v>0</v>
      </c>
      <c r="E36" s="13">
        <v>0</v>
      </c>
      <c r="F36" s="92">
        <v>0</v>
      </c>
      <c r="G36" s="46">
        <f t="shared" si="6"/>
        <v>0</v>
      </c>
      <c r="H36" s="80"/>
      <c r="I36" s="93" t="s">
        <v>78</v>
      </c>
      <c r="J36" s="82">
        <v>253</v>
      </c>
      <c r="K36" s="83">
        <v>6685</v>
      </c>
      <c r="L36" s="96">
        <f t="shared" si="8"/>
        <v>0</v>
      </c>
      <c r="N36" s="85">
        <v>5103</v>
      </c>
      <c r="O36" s="54">
        <v>253</v>
      </c>
      <c r="P36" s="86"/>
      <c r="Q36" s="97"/>
      <c r="V36" s="637"/>
      <c r="W36" s="637"/>
      <c r="X36" s="645"/>
      <c r="Y36" s="645"/>
      <c r="Z36" s="94" t="s">
        <v>78</v>
      </c>
      <c r="AA36" s="89">
        <v>253</v>
      </c>
      <c r="AB36" s="90">
        <f t="shared" si="9"/>
        <v>6685</v>
      </c>
      <c r="AC36" s="98">
        <f t="shared" si="7"/>
        <v>0</v>
      </c>
      <c r="AD36" s="9"/>
    </row>
    <row r="37" spans="1:30" ht="18.75" customHeight="1" x14ac:dyDescent="0.25">
      <c r="B37" s="13" t="s">
        <v>81</v>
      </c>
      <c r="C37" s="13"/>
      <c r="D37" s="63">
        <f t="shared" ref="D37:E37" si="10">SUM(D28:D36)</f>
        <v>43.49</v>
      </c>
      <c r="E37" s="63">
        <f t="shared" si="10"/>
        <v>47.889999999999993</v>
      </c>
      <c r="F37" s="63"/>
      <c r="G37" s="63">
        <f>SUM(G28:G36)</f>
        <v>91.38</v>
      </c>
      <c r="H37" s="64"/>
      <c r="I37" s="13" t="s">
        <v>82</v>
      </c>
      <c r="J37" s="13"/>
      <c r="K37" s="13"/>
      <c r="L37" s="50">
        <f>SUM(L28:L36)</f>
        <v>306419</v>
      </c>
      <c r="N37" s="54"/>
      <c r="O37" s="68"/>
      <c r="P37" s="54"/>
      <c r="Q37" s="54"/>
      <c r="V37" s="646" t="s">
        <v>81</v>
      </c>
      <c r="W37" s="646"/>
      <c r="X37" s="626">
        <f>SUM(X28:X36)</f>
        <v>0</v>
      </c>
      <c r="Y37" s="626"/>
      <c r="Z37" s="646" t="s">
        <v>82</v>
      </c>
      <c r="AA37" s="646"/>
      <c r="AB37" s="646"/>
      <c r="AC37" s="56">
        <f>SUM(AC28:AC36)</f>
        <v>0</v>
      </c>
      <c r="AD37" s="9"/>
    </row>
    <row r="38" spans="1:30" ht="30.75" customHeight="1" x14ac:dyDescent="0.25">
      <c r="B38" s="99" t="s">
        <v>83</v>
      </c>
      <c r="C38" s="99"/>
      <c r="D38" s="99"/>
      <c r="E38" s="99"/>
      <c r="F38" s="99"/>
      <c r="G38" s="99"/>
      <c r="H38" s="100"/>
      <c r="I38" s="99"/>
      <c r="J38" s="99"/>
      <c r="K38" s="99"/>
      <c r="L38" s="99"/>
      <c r="M38" s="101"/>
      <c r="N38" s="54"/>
      <c r="O38" s="68"/>
      <c r="P38" s="54"/>
      <c r="Q38" s="54"/>
      <c r="V38" s="639" t="s">
        <v>83</v>
      </c>
      <c r="W38" s="639"/>
      <c r="X38" s="639"/>
      <c r="Y38" s="639"/>
      <c r="Z38" s="639"/>
      <c r="AA38" s="639"/>
      <c r="AB38" s="639"/>
      <c r="AC38" s="639"/>
      <c r="AD38" s="102"/>
    </row>
    <row r="39" spans="1:30" ht="15.75" customHeight="1" x14ac:dyDescent="0.25">
      <c r="B39" s="103" t="s">
        <v>84</v>
      </c>
      <c r="C39" s="103"/>
      <c r="D39" s="103"/>
      <c r="E39" s="103"/>
      <c r="F39" s="103"/>
      <c r="G39" s="104">
        <v>34389540</v>
      </c>
      <c r="H39" s="104"/>
      <c r="I39" s="13" t="s">
        <v>85</v>
      </c>
      <c r="J39" s="13"/>
      <c r="K39" s="13"/>
      <c r="L39" s="13"/>
      <c r="O39" s="1"/>
      <c r="V39" s="640" t="s">
        <v>84</v>
      </c>
      <c r="W39" s="640"/>
      <c r="X39" s="641">
        <f>+G39</f>
        <v>34389540</v>
      </c>
      <c r="Y39" s="641"/>
      <c r="Z39" s="642" t="s">
        <v>85</v>
      </c>
      <c r="AA39" s="642"/>
      <c r="AB39" s="642"/>
      <c r="AC39" s="642"/>
      <c r="AD39" s="9"/>
    </row>
    <row r="40" spans="1:30" ht="15.75" customHeight="1" x14ac:dyDescent="0.25">
      <c r="B40" s="105" t="s">
        <v>86</v>
      </c>
      <c r="C40" s="105"/>
      <c r="D40" s="105"/>
      <c r="E40" s="105"/>
      <c r="F40" s="105"/>
      <c r="G40" s="106">
        <v>180284.81</v>
      </c>
      <c r="H40" s="106"/>
      <c r="I40" s="106"/>
      <c r="J40" s="106"/>
      <c r="K40" s="50">
        <f>ROUND(G39/G40,0)</f>
        <v>191</v>
      </c>
      <c r="L40" s="50">
        <f>ROUND(K40*$G$26,0)</f>
        <v>23361</v>
      </c>
      <c r="N40" s="107"/>
      <c r="O40" s="107"/>
      <c r="P40" s="107"/>
      <c r="Q40" s="107"/>
      <c r="V40" s="643" t="s">
        <v>86</v>
      </c>
      <c r="W40" s="643"/>
      <c r="X40" s="644">
        <f>+G40</f>
        <v>180284.81</v>
      </c>
      <c r="Y40" s="644"/>
      <c r="Z40" s="644"/>
      <c r="AA40" s="644"/>
      <c r="AB40" s="56">
        <f>ROUND(X39/X40,0)</f>
        <v>191</v>
      </c>
      <c r="AC40" s="56">
        <f>ROUND(AB40*$X$26,0)</f>
        <v>23361</v>
      </c>
      <c r="AD40" s="9"/>
    </row>
    <row r="41" spans="1:30" ht="15.75" customHeight="1" x14ac:dyDescent="0.25">
      <c r="B41" s="108" t="s">
        <v>87</v>
      </c>
      <c r="C41" s="108"/>
      <c r="D41" s="108"/>
      <c r="E41" s="108"/>
      <c r="F41" s="108"/>
      <c r="G41" s="108"/>
      <c r="H41" s="108"/>
      <c r="I41" s="108"/>
      <c r="J41" s="108"/>
      <c r="K41" s="108"/>
      <c r="L41" s="108"/>
      <c r="N41" s="101"/>
      <c r="O41" s="109"/>
      <c r="P41" s="101"/>
      <c r="Q41" s="101"/>
      <c r="V41" s="652" t="s">
        <v>87</v>
      </c>
      <c r="W41" s="652"/>
      <c r="X41" s="652"/>
      <c r="Y41" s="652"/>
      <c r="Z41" s="652"/>
      <c r="AA41" s="652"/>
      <c r="AB41" s="652"/>
      <c r="AC41" s="652"/>
      <c r="AD41" s="9"/>
    </row>
    <row r="42" spans="1:30" ht="28.5" customHeight="1" x14ac:dyDescent="0.25">
      <c r="B42" s="99" t="s">
        <v>88</v>
      </c>
      <c r="C42" s="99"/>
      <c r="D42" s="99"/>
      <c r="E42" s="99"/>
      <c r="F42" s="99"/>
      <c r="G42" s="99"/>
      <c r="H42" s="99"/>
      <c r="I42" s="99"/>
      <c r="J42" s="99"/>
      <c r="K42" s="99"/>
      <c r="L42" s="99"/>
      <c r="M42" s="107"/>
      <c r="O42" s="1"/>
      <c r="V42" s="639" t="s">
        <v>88</v>
      </c>
      <c r="W42" s="639"/>
      <c r="X42" s="639"/>
      <c r="Y42" s="639"/>
      <c r="Z42" s="639"/>
      <c r="AA42" s="639"/>
      <c r="AB42" s="639"/>
      <c r="AC42" s="639"/>
      <c r="AD42" s="110"/>
    </row>
    <row r="43" spans="1:30" x14ac:dyDescent="0.25">
      <c r="B43" s="111" t="s">
        <v>89</v>
      </c>
      <c r="C43" s="111"/>
      <c r="D43" s="111"/>
      <c r="E43" s="111"/>
      <c r="F43" s="111"/>
      <c r="G43" s="111"/>
      <c r="H43" s="111"/>
      <c r="I43" s="111"/>
      <c r="J43" s="111"/>
      <c r="K43" s="111"/>
      <c r="L43" s="111"/>
      <c r="M43" s="112"/>
      <c r="N43" s="101"/>
      <c r="O43" s="101"/>
      <c r="P43" s="101"/>
      <c r="Q43" s="101"/>
      <c r="V43" s="653" t="s">
        <v>89</v>
      </c>
      <c r="W43" s="653"/>
      <c r="X43" s="653"/>
      <c r="Y43" s="653"/>
      <c r="Z43" s="653"/>
      <c r="AA43" s="653"/>
      <c r="AB43" s="653"/>
      <c r="AC43" s="653"/>
      <c r="AD43" s="113"/>
    </row>
    <row r="44" spans="1:30" ht="24" customHeight="1" x14ac:dyDescent="0.25">
      <c r="B44" s="62" t="s">
        <v>90</v>
      </c>
      <c r="C44" s="62"/>
      <c r="D44" s="62"/>
      <c r="E44" s="62"/>
      <c r="F44" s="62"/>
      <c r="G44" s="62"/>
      <c r="H44" s="62"/>
      <c r="I44" s="62"/>
      <c r="J44" s="62"/>
      <c r="K44" s="62"/>
      <c r="L44" s="114">
        <f>SUM(L26,L37,L40)</f>
        <v>884925</v>
      </c>
      <c r="O44" s="1"/>
      <c r="V44" s="654" t="s">
        <v>90</v>
      </c>
      <c r="W44" s="654"/>
      <c r="X44" s="654"/>
      <c r="Y44" s="654"/>
      <c r="Z44" s="654"/>
      <c r="AA44" s="654"/>
      <c r="AB44" s="654"/>
      <c r="AC44" s="115">
        <f>SUM(AC26,AC37,AC40)</f>
        <v>497267</v>
      </c>
      <c r="AD44" s="9"/>
    </row>
    <row r="45" spans="1:30" ht="30.75" customHeight="1" x14ac:dyDescent="0.25">
      <c r="B45" s="99" t="s">
        <v>91</v>
      </c>
      <c r="C45" s="99"/>
      <c r="D45" s="99"/>
      <c r="E45" s="99"/>
      <c r="F45" s="99"/>
      <c r="G45" s="99"/>
      <c r="H45" s="99"/>
      <c r="I45" s="99"/>
      <c r="J45" s="99"/>
      <c r="K45" s="99"/>
      <c r="L45" s="99"/>
      <c r="M45" s="116"/>
      <c r="O45" s="1"/>
      <c r="V45" s="639" t="s">
        <v>91</v>
      </c>
      <c r="W45" s="639"/>
      <c r="X45" s="639"/>
      <c r="Y45" s="639"/>
      <c r="Z45" s="639"/>
      <c r="AA45" s="639"/>
      <c r="AB45" s="639"/>
      <c r="AC45" s="639"/>
      <c r="AD45" s="117"/>
    </row>
    <row r="46" spans="1:30" ht="18.75" customHeight="1" x14ac:dyDescent="0.25">
      <c r="B46" s="1"/>
      <c r="C46" s="118" t="s">
        <v>92</v>
      </c>
      <c r="D46" s="118"/>
      <c r="E46" s="118"/>
      <c r="F46" s="118"/>
      <c r="G46" s="118" t="s">
        <v>93</v>
      </c>
      <c r="H46" s="119"/>
      <c r="I46" s="120" t="s">
        <v>94</v>
      </c>
      <c r="J46" s="121"/>
      <c r="K46" s="121"/>
      <c r="L46" s="121"/>
      <c r="M46" s="122"/>
      <c r="O46" s="1"/>
      <c r="V46" s="9"/>
      <c r="W46" s="123" t="s">
        <v>92</v>
      </c>
      <c r="X46" s="655" t="s">
        <v>95</v>
      </c>
      <c r="Y46" s="655"/>
      <c r="Z46" s="656" t="s">
        <v>94</v>
      </c>
      <c r="AA46" s="656"/>
      <c r="AB46" s="656"/>
      <c r="AC46" s="656"/>
      <c r="AD46" s="124"/>
    </row>
    <row r="47" spans="1:30" ht="18.75" customHeight="1" x14ac:dyDescent="0.25">
      <c r="B47" s="107" t="s">
        <v>96</v>
      </c>
      <c r="C47" s="125">
        <f>K10+K11+K16+K19+K22</f>
        <v>135.11699999999999</v>
      </c>
      <c r="D47" s="125"/>
      <c r="E47" s="125"/>
      <c r="F47" s="125"/>
      <c r="G47" s="126">
        <f>K7</f>
        <v>1.0326</v>
      </c>
      <c r="H47" s="126"/>
      <c r="I47" s="127">
        <v>1316.85</v>
      </c>
      <c r="J47" s="128" t="s">
        <v>97</v>
      </c>
      <c r="K47" s="129">
        <f>ROUND(C47*G47*I47,0)</f>
        <v>183729</v>
      </c>
      <c r="L47" s="130"/>
      <c r="O47" s="1"/>
      <c r="V47" s="110" t="s">
        <v>96</v>
      </c>
      <c r="W47" s="131">
        <f>AB10+AB11+AB16+AB19+AB22</f>
        <v>114.15</v>
      </c>
      <c r="X47" s="647">
        <f>AB7</f>
        <v>1.0326</v>
      </c>
      <c r="Y47" s="647"/>
      <c r="Z47" s="132">
        <f>+I47</f>
        <v>1316.85</v>
      </c>
      <c r="AA47" s="133" t="s">
        <v>97</v>
      </c>
      <c r="AB47" s="134">
        <f>ROUND(W47*X47*Z47,0)</f>
        <v>155219</v>
      </c>
      <c r="AC47" s="135"/>
      <c r="AD47" s="9"/>
    </row>
    <row r="48" spans="1:30" ht="18" customHeight="1" x14ac:dyDescent="0.25">
      <c r="B48" s="136" t="s">
        <v>74</v>
      </c>
      <c r="C48" s="125">
        <f>K12+K13+K17+K20+K23</f>
        <v>8.16</v>
      </c>
      <c r="D48" s="125"/>
      <c r="E48" s="125"/>
      <c r="F48" s="125"/>
      <c r="G48" s="126">
        <f>K7</f>
        <v>1.0326</v>
      </c>
      <c r="H48" s="126"/>
      <c r="I48" s="127">
        <v>898.23</v>
      </c>
      <c r="J48" s="128" t="s">
        <v>97</v>
      </c>
      <c r="K48" s="129">
        <f>ROUND(C48*G48*I48,0)</f>
        <v>7569</v>
      </c>
      <c r="L48" s="62"/>
      <c r="O48" s="1"/>
      <c r="V48" s="137" t="s">
        <v>74</v>
      </c>
      <c r="W48" s="131">
        <f>AB12+AB13+AB17+AB20+AB23</f>
        <v>8.16</v>
      </c>
      <c r="X48" s="647">
        <f>AB7</f>
        <v>1.0326</v>
      </c>
      <c r="Y48" s="647"/>
      <c r="Z48" s="132">
        <f>+I48</f>
        <v>898.23</v>
      </c>
      <c r="AA48" s="133" t="s">
        <v>97</v>
      </c>
      <c r="AB48" s="134">
        <f>ROUND(W48*X48*Z48,0)</f>
        <v>7569</v>
      </c>
      <c r="AC48" s="138"/>
      <c r="AD48" s="9"/>
    </row>
    <row r="49" spans="2:30" ht="19.5" customHeight="1" thickBot="1" x14ac:dyDescent="0.3">
      <c r="B49" s="139" t="s">
        <v>78</v>
      </c>
      <c r="C49" s="140">
        <f>K14+K15+K18+K21+K24+K25</f>
        <v>0</v>
      </c>
      <c r="D49" s="125"/>
      <c r="E49" s="125"/>
      <c r="F49" s="125"/>
      <c r="G49" s="126">
        <f>K7</f>
        <v>1.0326</v>
      </c>
      <c r="H49" s="126"/>
      <c r="I49" s="127">
        <v>900.39</v>
      </c>
      <c r="J49" s="128" t="s">
        <v>97</v>
      </c>
      <c r="K49" s="129">
        <f>ROUND(C49*G49*I49,0)</f>
        <v>0</v>
      </c>
      <c r="L49" s="62"/>
      <c r="M49" s="112"/>
      <c r="N49" s="141"/>
      <c r="O49" s="142"/>
      <c r="P49" s="101"/>
      <c r="Q49" s="143"/>
      <c r="V49" s="144" t="s">
        <v>78</v>
      </c>
      <c r="W49" s="145">
        <f>AB14+AB15+AB18+AB21+AB24+AB25</f>
        <v>0</v>
      </c>
      <c r="X49" s="647">
        <f>AB7</f>
        <v>1.0326</v>
      </c>
      <c r="Y49" s="647"/>
      <c r="Z49" s="132">
        <f>+I49</f>
        <v>900.39</v>
      </c>
      <c r="AA49" s="133" t="s">
        <v>97</v>
      </c>
      <c r="AB49" s="134">
        <f>ROUND(W49*X49*Z49,0)</f>
        <v>0</v>
      </c>
      <c r="AC49" s="138"/>
      <c r="AD49" s="113"/>
    </row>
    <row r="50" spans="2:30" ht="24" customHeight="1" thickBot="1" x14ac:dyDescent="0.3">
      <c r="B50" s="146" t="s">
        <v>98</v>
      </c>
      <c r="C50" s="147">
        <f>SUM(C47:C49)</f>
        <v>143.27699999999999</v>
      </c>
      <c r="D50" s="148"/>
      <c r="E50" s="149"/>
      <c r="F50" s="149"/>
      <c r="G50" s="150" t="s">
        <v>99</v>
      </c>
      <c r="H50" s="150"/>
      <c r="I50" s="150"/>
      <c r="J50" s="150"/>
      <c r="K50" s="150"/>
      <c r="L50" s="50">
        <f>IF(B2=75,0,K49+K48+K47)</f>
        <v>191298</v>
      </c>
      <c r="N50" s="3"/>
      <c r="O50" s="1"/>
      <c r="V50" s="151" t="s">
        <v>98</v>
      </c>
      <c r="W50" s="152">
        <f>SUM(W47:W49)</f>
        <v>122.31</v>
      </c>
      <c r="X50" s="648" t="s">
        <v>99</v>
      </c>
      <c r="Y50" s="649"/>
      <c r="Z50" s="649"/>
      <c r="AA50" s="649"/>
      <c r="AB50" s="649"/>
      <c r="AC50" s="56">
        <f>IF(V2=75,0,AB49+AB48+AB47)</f>
        <v>162788</v>
      </c>
      <c r="AD50" s="9"/>
    </row>
    <row r="51" spans="2:30" ht="19.5" customHeight="1" x14ac:dyDescent="0.25">
      <c r="B51" s="153" t="s">
        <v>100</v>
      </c>
      <c r="C51" s="153"/>
      <c r="D51" s="153"/>
      <c r="E51" s="153"/>
      <c r="F51" s="153"/>
      <c r="G51" s="153"/>
      <c r="H51" s="153"/>
      <c r="I51" s="153"/>
      <c r="J51" s="153"/>
      <c r="K51" s="153"/>
      <c r="L51" s="153"/>
      <c r="M51" s="141"/>
      <c r="N51" s="101"/>
      <c r="O51" s="1"/>
      <c r="V51" s="650" t="s">
        <v>100</v>
      </c>
      <c r="W51" s="650"/>
      <c r="X51" s="650"/>
      <c r="Y51" s="650"/>
      <c r="Z51" s="650"/>
      <c r="AA51" s="650"/>
      <c r="AB51" s="650"/>
      <c r="AC51" s="650"/>
      <c r="AD51" s="154"/>
    </row>
    <row r="52" spans="2:30" ht="27.75" customHeight="1" x14ac:dyDescent="0.25">
      <c r="B52" s="13" t="s">
        <v>101</v>
      </c>
      <c r="C52" s="13"/>
      <c r="D52" s="13"/>
      <c r="E52" s="13"/>
      <c r="F52" s="13"/>
      <c r="G52" s="13"/>
      <c r="H52" s="13"/>
      <c r="I52" s="13"/>
      <c r="J52" s="13"/>
      <c r="K52" s="13"/>
      <c r="L52" s="13"/>
      <c r="O52" s="1"/>
      <c r="V52" s="651" t="s">
        <v>101</v>
      </c>
      <c r="W52" s="651"/>
      <c r="X52" s="651"/>
      <c r="Y52" s="651"/>
      <c r="Z52" s="651"/>
      <c r="AA52" s="651"/>
      <c r="AB52" s="651"/>
      <c r="AC52" s="651"/>
      <c r="AD52" s="9"/>
    </row>
    <row r="53" spans="2:30" x14ac:dyDescent="0.25">
      <c r="B53" s="13" t="s">
        <v>102</v>
      </c>
      <c r="C53" s="13"/>
      <c r="D53" s="13"/>
      <c r="E53" s="13"/>
      <c r="F53" s="13"/>
      <c r="G53" s="155">
        <f>K26</f>
        <v>143.27699999999999</v>
      </c>
      <c r="H53" s="57" t="s">
        <v>103</v>
      </c>
      <c r="I53" s="57"/>
      <c r="J53" s="156">
        <v>197823.77</v>
      </c>
      <c r="K53" s="156"/>
      <c r="L53" s="156"/>
      <c r="N53" s="3"/>
      <c r="O53" s="1"/>
      <c r="V53" s="657" t="s">
        <v>102</v>
      </c>
      <c r="W53" s="657"/>
      <c r="X53" s="157">
        <f>AB26</f>
        <v>122.31000000000002</v>
      </c>
      <c r="Y53" s="658" t="s">
        <v>103</v>
      </c>
      <c r="Z53" s="658"/>
      <c r="AA53" s="659">
        <f>+J53</f>
        <v>197823.77</v>
      </c>
      <c r="AB53" s="659"/>
      <c r="AC53" s="659"/>
      <c r="AD53" s="9"/>
    </row>
    <row r="54" spans="2:30" x14ac:dyDescent="0.25">
      <c r="B54" s="13" t="s">
        <v>104</v>
      </c>
      <c r="C54" s="13"/>
      <c r="D54" s="13"/>
      <c r="E54" s="13"/>
      <c r="F54" s="13"/>
      <c r="G54" s="13"/>
      <c r="H54" s="13"/>
      <c r="I54" s="13"/>
      <c r="J54" s="13"/>
      <c r="K54" s="158">
        <f>ROUND(G53/J53,6)</f>
        <v>7.2400000000000003E-4</v>
      </c>
      <c r="L54" s="158"/>
      <c r="N54" s="101"/>
      <c r="O54" s="1"/>
      <c r="V54" s="657" t="s">
        <v>104</v>
      </c>
      <c r="W54" s="657"/>
      <c r="X54" s="657"/>
      <c r="Y54" s="657"/>
      <c r="Z54" s="657"/>
      <c r="AA54" s="657"/>
      <c r="AB54" s="660">
        <f>ROUND(X53/AA53,6)</f>
        <v>6.1799999999999995E-4</v>
      </c>
      <c r="AC54" s="660"/>
      <c r="AD54" s="9"/>
    </row>
    <row r="55" spans="2:30" ht="24" customHeight="1" x14ac:dyDescent="0.25">
      <c r="B55" s="13" t="s">
        <v>105</v>
      </c>
      <c r="C55" s="13"/>
      <c r="D55" s="13"/>
      <c r="E55" s="13"/>
      <c r="F55" s="13"/>
      <c r="G55" s="13"/>
      <c r="H55" s="13"/>
      <c r="I55" s="13"/>
      <c r="J55" s="13"/>
      <c r="K55" s="13"/>
      <c r="L55" s="13"/>
      <c r="O55" s="1"/>
      <c r="V55" s="651" t="s">
        <v>105</v>
      </c>
      <c r="W55" s="651"/>
      <c r="X55" s="651"/>
      <c r="Y55" s="651"/>
      <c r="Z55" s="651"/>
      <c r="AA55" s="651"/>
      <c r="AB55" s="651"/>
      <c r="AC55" s="651"/>
      <c r="AD55" s="9"/>
    </row>
    <row r="56" spans="2:30" x14ac:dyDescent="0.25">
      <c r="B56" s="13" t="s">
        <v>106</v>
      </c>
      <c r="C56" s="13"/>
      <c r="D56" s="13"/>
      <c r="E56" s="13"/>
      <c r="F56" s="13"/>
      <c r="G56" s="159">
        <f>G26</f>
        <v>122.31000000000002</v>
      </c>
      <c r="H56" s="57" t="s">
        <v>107</v>
      </c>
      <c r="I56" s="57"/>
      <c r="J56" s="156">
        <f>+G40</f>
        <v>180284.81</v>
      </c>
      <c r="K56" s="156"/>
      <c r="L56" s="156"/>
      <c r="O56" s="1"/>
      <c r="V56" s="657" t="s">
        <v>106</v>
      </c>
      <c r="W56" s="657"/>
      <c r="X56" s="160">
        <f>X26</f>
        <v>122.31000000000002</v>
      </c>
      <c r="Y56" s="658" t="s">
        <v>107</v>
      </c>
      <c r="Z56" s="658"/>
      <c r="AA56" s="659">
        <f>+J56</f>
        <v>180284.81</v>
      </c>
      <c r="AB56" s="659"/>
      <c r="AC56" s="659"/>
      <c r="AD56" s="9"/>
    </row>
    <row r="57" spans="2:30" x14ac:dyDescent="0.25">
      <c r="B57" s="13" t="s">
        <v>108</v>
      </c>
      <c r="C57" s="13"/>
      <c r="D57" s="13"/>
      <c r="E57" s="13"/>
      <c r="F57" s="13"/>
      <c r="G57" s="13"/>
      <c r="H57" s="13"/>
      <c r="I57" s="13"/>
      <c r="J57" s="13"/>
      <c r="K57" s="158">
        <f>ROUND(G56/J56,6)</f>
        <v>6.78E-4</v>
      </c>
      <c r="L57" s="158"/>
      <c r="O57" s="1"/>
      <c r="V57" s="657" t="s">
        <v>108</v>
      </c>
      <c r="W57" s="657"/>
      <c r="X57" s="657"/>
      <c r="Y57" s="657"/>
      <c r="Z57" s="657"/>
      <c r="AA57" s="657"/>
      <c r="AB57" s="660">
        <f>ROUND(X56/AA56,6)</f>
        <v>6.78E-4</v>
      </c>
      <c r="AC57" s="660"/>
      <c r="AD57" s="9"/>
    </row>
    <row r="58" spans="2:30" ht="20.25" customHeight="1" x14ac:dyDescent="0.25">
      <c r="B58" s="161" t="s">
        <v>109</v>
      </c>
      <c r="C58" s="161"/>
      <c r="D58" s="161"/>
      <c r="E58" s="161"/>
      <c r="F58" s="161"/>
      <c r="G58" s="161"/>
      <c r="H58" s="161"/>
      <c r="I58" s="161"/>
      <c r="J58" s="161"/>
      <c r="K58" s="161"/>
      <c r="L58" s="161"/>
      <c r="N58" s="18"/>
      <c r="O58" s="18"/>
      <c r="V58" s="629" t="s">
        <v>110</v>
      </c>
      <c r="W58" s="629"/>
      <c r="X58" s="629"/>
      <c r="Y58" s="661">
        <f>X65+X64+X62+X61+X60</f>
        <v>4123852</v>
      </c>
      <c r="Z58" s="661"/>
      <c r="AA58" s="162" t="s">
        <v>111</v>
      </c>
      <c r="AB58" s="163">
        <f>AB54</f>
        <v>6.1799999999999995E-4</v>
      </c>
      <c r="AC58" s="56">
        <f>ROUND(Y58*AB58,0)</f>
        <v>2549</v>
      </c>
      <c r="AD58" s="9"/>
    </row>
    <row r="59" spans="2:30" x14ac:dyDescent="0.25">
      <c r="B59" s="62" t="s">
        <v>110</v>
      </c>
      <c r="C59" s="62"/>
      <c r="D59" s="62"/>
      <c r="E59" s="62"/>
      <c r="F59" s="62"/>
      <c r="G59" s="62"/>
      <c r="H59" s="164" t="s">
        <v>22</v>
      </c>
      <c r="I59" s="129">
        <v>4123852</v>
      </c>
      <c r="J59" s="165" t="s">
        <v>111</v>
      </c>
      <c r="K59" s="166">
        <f>K54</f>
        <v>7.2400000000000003E-4</v>
      </c>
      <c r="L59" s="50">
        <f>ROUND(I59*K59,0)</f>
        <v>2986</v>
      </c>
      <c r="O59" s="1"/>
      <c r="P59" s="165"/>
      <c r="Q59" s="165"/>
      <c r="V59" s="662" t="s">
        <v>112</v>
      </c>
      <c r="W59" s="662"/>
      <c r="X59" s="662"/>
      <c r="Y59" s="662"/>
      <c r="Z59" s="662"/>
      <c r="AA59" s="662"/>
      <c r="AB59" s="662"/>
      <c r="AC59" s="662"/>
      <c r="AD59" s="9"/>
    </row>
    <row r="60" spans="2:30" x14ac:dyDescent="0.25">
      <c r="B60" s="62" t="s">
        <v>112</v>
      </c>
      <c r="C60" s="62"/>
      <c r="D60" s="62"/>
      <c r="E60" s="62"/>
      <c r="F60" s="62"/>
      <c r="G60" s="62"/>
      <c r="H60" s="62"/>
      <c r="I60" s="62"/>
      <c r="J60" s="62"/>
      <c r="K60" s="62"/>
      <c r="L60" s="62"/>
      <c r="O60" s="1"/>
      <c r="P60" s="165"/>
      <c r="Q60" s="165"/>
      <c r="V60" s="663" t="s">
        <v>113</v>
      </c>
      <c r="W60" s="663"/>
      <c r="X60" s="664">
        <f>+G61</f>
        <v>0</v>
      </c>
      <c r="Y60" s="664"/>
      <c r="Z60" s="664"/>
      <c r="AA60" s="664"/>
      <c r="AB60" s="664"/>
      <c r="AC60" s="664"/>
      <c r="AD60" s="9"/>
    </row>
    <row r="61" spans="2:30" ht="15" customHeight="1" x14ac:dyDescent="0.25">
      <c r="B61" s="167" t="s">
        <v>113</v>
      </c>
      <c r="C61" s="62"/>
      <c r="D61" s="62"/>
      <c r="E61" s="62"/>
      <c r="F61" s="62"/>
      <c r="G61" s="168">
        <v>0</v>
      </c>
      <c r="H61" s="168"/>
      <c r="I61" s="168"/>
      <c r="J61" s="168"/>
      <c r="K61" s="168"/>
      <c r="L61" s="168"/>
      <c r="O61" s="1"/>
      <c r="P61" s="165"/>
      <c r="Q61" s="165"/>
      <c r="V61" s="663" t="s">
        <v>114</v>
      </c>
      <c r="W61" s="663"/>
      <c r="X61" s="664">
        <f>+G62</f>
        <v>0</v>
      </c>
      <c r="Y61" s="664"/>
      <c r="Z61" s="664"/>
      <c r="AA61" s="664"/>
      <c r="AB61" s="664"/>
      <c r="AC61" s="664"/>
      <c r="AD61" s="9"/>
    </row>
    <row r="62" spans="2:30" ht="13.5" customHeight="1" x14ac:dyDescent="0.25">
      <c r="B62" s="167" t="s">
        <v>114</v>
      </c>
      <c r="C62" s="62"/>
      <c r="D62" s="62"/>
      <c r="E62" s="62"/>
      <c r="F62" s="62"/>
      <c r="G62" s="168">
        <v>0</v>
      </c>
      <c r="H62" s="168"/>
      <c r="I62" s="168"/>
      <c r="J62" s="168"/>
      <c r="K62" s="168"/>
      <c r="L62" s="168"/>
      <c r="N62" s="165"/>
      <c r="O62" s="165"/>
      <c r="P62" s="165"/>
      <c r="Q62" s="165"/>
      <c r="V62" s="663" t="s">
        <v>115</v>
      </c>
      <c r="W62" s="663"/>
      <c r="X62" s="664">
        <v>0</v>
      </c>
      <c r="Y62" s="664"/>
      <c r="Z62" s="664"/>
      <c r="AA62" s="664"/>
      <c r="AB62" s="664"/>
      <c r="AC62" s="664"/>
      <c r="AD62" s="9"/>
    </row>
    <row r="63" spans="2:30" ht="13.5" hidden="1" customHeight="1" x14ac:dyDescent="0.25">
      <c r="B63" s="62" t="s">
        <v>115</v>
      </c>
      <c r="C63" s="62"/>
      <c r="D63" s="62"/>
      <c r="E63" s="62"/>
      <c r="F63" s="62"/>
      <c r="G63" s="168">
        <v>0</v>
      </c>
      <c r="H63" s="168"/>
      <c r="I63" s="168"/>
      <c r="J63" s="168"/>
      <c r="K63" s="168"/>
      <c r="L63" s="168"/>
      <c r="O63" s="1"/>
      <c r="P63" s="165"/>
      <c r="Q63" s="165"/>
      <c r="V63" s="662" t="s">
        <v>116</v>
      </c>
      <c r="W63" s="662"/>
      <c r="X63" s="662"/>
      <c r="Y63" s="662"/>
      <c r="Z63" s="662"/>
      <c r="AA63" s="662"/>
      <c r="AB63" s="662"/>
      <c r="AC63" s="662"/>
      <c r="AD63" s="117"/>
    </row>
    <row r="64" spans="2:30" ht="13.5" customHeight="1" x14ac:dyDescent="0.25">
      <c r="B64" s="62" t="s">
        <v>116</v>
      </c>
      <c r="C64" s="62"/>
      <c r="D64" s="62"/>
      <c r="E64" s="62"/>
      <c r="F64" s="62"/>
      <c r="G64" s="62"/>
      <c r="H64" s="62"/>
      <c r="I64" s="62"/>
      <c r="J64" s="62"/>
      <c r="K64" s="62"/>
      <c r="L64" s="62"/>
      <c r="M64" s="116"/>
      <c r="N64" s="18"/>
      <c r="O64" s="1"/>
      <c r="V64" s="663" t="s">
        <v>117</v>
      </c>
      <c r="W64" s="663"/>
      <c r="X64" s="664">
        <f>+G65</f>
        <v>4123852</v>
      </c>
      <c r="Y64" s="664"/>
      <c r="Z64" s="664"/>
      <c r="AA64" s="664"/>
      <c r="AB64" s="664"/>
      <c r="AC64" s="664"/>
      <c r="AD64" s="9"/>
    </row>
    <row r="65" spans="1:30" ht="12.75" customHeight="1" x14ac:dyDescent="0.25">
      <c r="B65" s="167" t="s">
        <v>117</v>
      </c>
      <c r="C65" s="62"/>
      <c r="D65" s="62"/>
      <c r="E65" s="62"/>
      <c r="F65" s="62"/>
      <c r="G65" s="168">
        <f>+I59</f>
        <v>4123852</v>
      </c>
      <c r="H65" s="168"/>
      <c r="I65" s="168"/>
      <c r="J65" s="168"/>
      <c r="K65" s="168"/>
      <c r="L65" s="168"/>
      <c r="O65" s="1"/>
      <c r="V65" s="663" t="s">
        <v>118</v>
      </c>
      <c r="W65" s="663"/>
      <c r="X65" s="664">
        <f>+G66</f>
        <v>0</v>
      </c>
      <c r="Y65" s="664"/>
      <c r="Z65" s="664"/>
      <c r="AA65" s="664"/>
      <c r="AB65" s="664"/>
      <c r="AC65" s="664"/>
      <c r="AD65" s="20"/>
    </row>
    <row r="66" spans="1:30" ht="15" customHeight="1" x14ac:dyDescent="0.25">
      <c r="B66" s="167" t="s">
        <v>118</v>
      </c>
      <c r="C66" s="62"/>
      <c r="D66" s="62"/>
      <c r="E66" s="62"/>
      <c r="F66" s="62"/>
      <c r="G66" s="168">
        <v>0</v>
      </c>
      <c r="H66" s="168"/>
      <c r="I66" s="168"/>
      <c r="J66" s="168"/>
      <c r="K66" s="168"/>
      <c r="L66" s="168"/>
      <c r="M66" s="18"/>
      <c r="N66" s="3"/>
      <c r="O66" s="169"/>
      <c r="P66" s="169"/>
      <c r="Q66" s="169"/>
      <c r="V66" s="651" t="s">
        <v>119</v>
      </c>
      <c r="W66" s="651"/>
      <c r="X66" s="651"/>
      <c r="Y66" s="661">
        <f>+I67</f>
        <v>96774526</v>
      </c>
      <c r="Z66" s="661"/>
      <c r="AA66" s="162" t="s">
        <v>111</v>
      </c>
      <c r="AB66" s="163">
        <f>AB54</f>
        <v>6.1799999999999995E-4</v>
      </c>
      <c r="AC66" s="56">
        <f>ROUND(Y66*AB66,0)</f>
        <v>59807</v>
      </c>
      <c r="AD66" s="9"/>
    </row>
    <row r="67" spans="1:30" ht="20.25" customHeight="1" x14ac:dyDescent="0.25">
      <c r="B67" s="13" t="s">
        <v>119</v>
      </c>
      <c r="C67" s="13"/>
      <c r="D67" s="13"/>
      <c r="E67" s="13"/>
      <c r="F67" s="13"/>
      <c r="H67" s="164" t="s">
        <v>25</v>
      </c>
      <c r="I67" s="129">
        <v>96774526</v>
      </c>
      <c r="J67" s="165" t="s">
        <v>111</v>
      </c>
      <c r="K67" s="166">
        <f>K54</f>
        <v>7.2400000000000003E-4</v>
      </c>
      <c r="L67" s="50">
        <f>ROUND(I67*K67,0)</f>
        <v>70065</v>
      </c>
      <c r="O67" s="1"/>
      <c r="V67" s="651" t="s">
        <v>120</v>
      </c>
      <c r="W67" s="651"/>
      <c r="X67" s="651"/>
      <c r="Y67" s="651"/>
      <c r="Z67" s="651"/>
      <c r="AA67" s="651"/>
      <c r="AB67" s="651"/>
      <c r="AC67" s="651"/>
      <c r="AD67" s="9"/>
    </row>
    <row r="68" spans="1:30" ht="20.25" customHeight="1" x14ac:dyDescent="0.25">
      <c r="B68" s="13" t="s">
        <v>120</v>
      </c>
      <c r="C68" s="13"/>
      <c r="D68" s="13"/>
      <c r="E68" s="13"/>
      <c r="F68" s="13"/>
      <c r="H68" s="13"/>
      <c r="I68" s="13"/>
      <c r="J68" s="82"/>
      <c r="K68" s="13"/>
      <c r="L68" s="13"/>
      <c r="O68" s="1"/>
      <c r="V68" s="667" t="s">
        <v>121</v>
      </c>
      <c r="W68" s="667"/>
      <c r="X68" s="667"/>
      <c r="Y68" s="661">
        <f>+I69</f>
        <v>0</v>
      </c>
      <c r="Z68" s="661"/>
      <c r="AA68" s="162" t="s">
        <v>111</v>
      </c>
      <c r="AB68" s="163">
        <f>AB57</f>
        <v>6.78E-4</v>
      </c>
      <c r="AC68" s="56">
        <f>ROUND(Y68*AB68,0)</f>
        <v>0</v>
      </c>
      <c r="AD68" s="9"/>
    </row>
    <row r="69" spans="1:30" ht="15" customHeight="1" x14ac:dyDescent="0.25">
      <c r="B69" s="170" t="s">
        <v>121</v>
      </c>
      <c r="C69" s="13"/>
      <c r="D69" s="13"/>
      <c r="E69" s="13"/>
      <c r="F69" s="13"/>
      <c r="H69" s="164" t="s">
        <v>23</v>
      </c>
      <c r="I69" s="129">
        <v>0</v>
      </c>
      <c r="J69" s="165" t="s">
        <v>111</v>
      </c>
      <c r="K69" s="166">
        <f>K57</f>
        <v>6.78E-4</v>
      </c>
      <c r="L69" s="50">
        <f>ROUND(I69*K69,0)</f>
        <v>0</v>
      </c>
      <c r="O69" s="1"/>
      <c r="V69" s="651" t="s">
        <v>122</v>
      </c>
      <c r="W69" s="651"/>
      <c r="X69" s="651"/>
      <c r="Y69" s="668">
        <f>+I70</f>
        <v>-3460775</v>
      </c>
      <c r="Z69" s="668"/>
      <c r="AA69" s="162" t="s">
        <v>111</v>
      </c>
      <c r="AB69" s="163">
        <f>AB54</f>
        <v>6.1799999999999995E-4</v>
      </c>
      <c r="AC69" s="56">
        <f>ROUND(Y69*AB69,0)</f>
        <v>-2139</v>
      </c>
      <c r="AD69" s="9"/>
    </row>
    <row r="70" spans="1:30" ht="20.25" customHeight="1" x14ac:dyDescent="0.25">
      <c r="B70" s="13" t="s">
        <v>122</v>
      </c>
      <c r="C70" s="13"/>
      <c r="D70" s="13"/>
      <c r="E70" s="13"/>
      <c r="F70" s="13"/>
      <c r="H70" s="164" t="s">
        <v>22</v>
      </c>
      <c r="I70" s="129">
        <v>-3460775</v>
      </c>
      <c r="J70" s="165" t="s">
        <v>111</v>
      </c>
      <c r="K70" s="166">
        <f>K54</f>
        <v>7.2400000000000003E-4</v>
      </c>
      <c r="L70" s="50">
        <f>ROUND(I70*K70,0)</f>
        <v>-2506</v>
      </c>
      <c r="O70" s="1"/>
      <c r="V70" s="651" t="s">
        <v>123</v>
      </c>
      <c r="W70" s="651"/>
      <c r="X70" s="651"/>
      <c r="Y70" s="665">
        <f>+I71</f>
        <v>1874788</v>
      </c>
      <c r="Z70" s="665"/>
      <c r="AA70" s="162" t="s">
        <v>111</v>
      </c>
      <c r="AB70" s="163">
        <f>AB54</f>
        <v>6.1799999999999995E-4</v>
      </c>
      <c r="AC70" s="56">
        <f>ROUND(Y70*AB70,0)</f>
        <v>1159</v>
      </c>
      <c r="AD70" s="9"/>
    </row>
    <row r="71" spans="1:30" ht="20.25" customHeight="1" x14ac:dyDescent="0.25">
      <c r="B71" s="13" t="s">
        <v>123</v>
      </c>
      <c r="C71" s="13"/>
      <c r="D71" s="13"/>
      <c r="E71" s="13"/>
      <c r="F71" s="13"/>
      <c r="H71" s="164" t="s">
        <v>22</v>
      </c>
      <c r="I71" s="129">
        <v>1874788</v>
      </c>
      <c r="J71" s="165" t="s">
        <v>111</v>
      </c>
      <c r="K71" s="166">
        <f>K54</f>
        <v>7.2400000000000003E-4</v>
      </c>
      <c r="L71" s="50">
        <f>ROUND(I71*K71,0)</f>
        <v>1357</v>
      </c>
      <c r="O71" s="1"/>
      <c r="V71" s="651" t="s">
        <v>124</v>
      </c>
      <c r="W71" s="651"/>
      <c r="X71" s="651"/>
      <c r="Y71" s="665">
        <f>+I72</f>
        <v>14223298</v>
      </c>
      <c r="Z71" s="665"/>
      <c r="AA71" s="162" t="s">
        <v>111</v>
      </c>
      <c r="AB71" s="163">
        <f>AB57</f>
        <v>6.78E-4</v>
      </c>
      <c r="AC71" s="56">
        <f>ROUND(Y71*AB71,0)</f>
        <v>9643</v>
      </c>
      <c r="AD71" s="9"/>
    </row>
    <row r="72" spans="1:30" ht="21" customHeight="1" x14ac:dyDescent="0.25">
      <c r="B72" s="13" t="s">
        <v>124</v>
      </c>
      <c r="C72" s="13"/>
      <c r="D72" s="13"/>
      <c r="E72" s="13"/>
      <c r="F72" s="13"/>
      <c r="H72" s="164" t="s">
        <v>23</v>
      </c>
      <c r="I72" s="171">
        <v>14223298</v>
      </c>
      <c r="J72" s="165" t="s">
        <v>111</v>
      </c>
      <c r="K72" s="166">
        <f>K57</f>
        <v>6.78E-4</v>
      </c>
      <c r="L72" s="50">
        <f>ROUND(I72*K72,0)</f>
        <v>9643</v>
      </c>
      <c r="O72" s="1"/>
      <c r="V72" s="623" t="s">
        <v>125</v>
      </c>
      <c r="W72" s="623"/>
      <c r="X72" s="623"/>
      <c r="Y72" s="623"/>
      <c r="Z72" s="623"/>
      <c r="AA72" s="623"/>
      <c r="AB72" s="623"/>
      <c r="AC72" s="60"/>
      <c r="AD72" s="9"/>
    </row>
    <row r="73" spans="1:30" ht="17.25" customHeight="1" x14ac:dyDescent="0.25">
      <c r="B73" s="13" t="s">
        <v>125</v>
      </c>
      <c r="C73" s="13"/>
      <c r="D73" s="13"/>
      <c r="E73" s="13"/>
      <c r="F73" s="13"/>
      <c r="H73" s="13"/>
      <c r="I73" s="13"/>
      <c r="J73" s="82"/>
      <c r="K73" s="13"/>
      <c r="L73" s="59"/>
      <c r="O73" s="1"/>
      <c r="V73" s="651" t="s">
        <v>126</v>
      </c>
      <c r="W73" s="651"/>
      <c r="X73" s="651"/>
      <c r="Y73" s="651"/>
      <c r="Z73" s="651"/>
      <c r="AA73" s="651"/>
      <c r="AB73" s="651"/>
      <c r="AC73" s="651"/>
      <c r="AD73" s="9"/>
    </row>
    <row r="74" spans="1:30" ht="31.5" x14ac:dyDescent="0.25">
      <c r="B74" s="13" t="s">
        <v>126</v>
      </c>
      <c r="C74" s="13"/>
      <c r="D74" s="27" t="s">
        <v>13</v>
      </c>
      <c r="E74" s="27" t="s">
        <v>14</v>
      </c>
      <c r="F74" s="27"/>
      <c r="H74" s="164" t="s">
        <v>26</v>
      </c>
      <c r="I74" s="172"/>
      <c r="J74" s="164"/>
      <c r="K74" s="172"/>
      <c r="L74" s="112"/>
      <c r="O74" s="1"/>
      <c r="V74" s="666" t="s">
        <v>127</v>
      </c>
      <c r="W74" s="666"/>
      <c r="X74" s="173" t="s">
        <v>128</v>
      </c>
      <c r="Y74" s="174"/>
      <c r="Z74" s="175">
        <f>+I75</f>
        <v>71.5</v>
      </c>
      <c r="AA74" s="176" t="s">
        <v>129</v>
      </c>
      <c r="AB74" s="177">
        <f>+K75</f>
        <v>361</v>
      </c>
      <c r="AC74" s="56">
        <f>ROUND(AB74*Z74,0)</f>
        <v>25812</v>
      </c>
      <c r="AD74" s="9"/>
    </row>
    <row r="75" spans="1:30" ht="19.5" customHeight="1" x14ac:dyDescent="0.25">
      <c r="A75" s="1" t="s">
        <v>130</v>
      </c>
      <c r="B75" s="178" t="s">
        <v>127</v>
      </c>
      <c r="C75" s="179" t="s">
        <v>128</v>
      </c>
      <c r="D75" s="178">
        <v>69</v>
      </c>
      <c r="E75" s="178">
        <v>74</v>
      </c>
      <c r="F75" s="178">
        <v>0</v>
      </c>
      <c r="G75" s="180">
        <f>IF(E75=0,D75,E75)</f>
        <v>74</v>
      </c>
      <c r="H75" s="181"/>
      <c r="I75" s="182">
        <f>AVERAGE(G75,D75)</f>
        <v>71.5</v>
      </c>
      <c r="J75" s="183" t="s">
        <v>129</v>
      </c>
      <c r="K75" s="184">
        <v>361</v>
      </c>
      <c r="L75" s="50">
        <f>ROUND(K75*I75,0)</f>
        <v>25812</v>
      </c>
      <c r="N75" s="1">
        <v>7802</v>
      </c>
      <c r="O75" s="1">
        <v>0</v>
      </c>
      <c r="V75" s="666" t="s">
        <v>127</v>
      </c>
      <c r="W75" s="666"/>
      <c r="X75" s="173" t="s">
        <v>131</v>
      </c>
      <c r="Y75" s="185"/>
      <c r="Z75" s="186"/>
      <c r="AA75" s="176" t="s">
        <v>129</v>
      </c>
      <c r="AB75" s="187">
        <f>+K76</f>
        <v>1358</v>
      </c>
      <c r="AC75" s="56">
        <f>ROUND(AB75*Z75,0)</f>
        <v>0</v>
      </c>
      <c r="AD75" s="9"/>
    </row>
    <row r="76" spans="1:30" ht="19.5" customHeight="1" x14ac:dyDescent="0.25">
      <c r="A76" s="1" t="s">
        <v>132</v>
      </c>
      <c r="B76" s="178" t="s">
        <v>127</v>
      </c>
      <c r="C76" s="179" t="s">
        <v>131</v>
      </c>
      <c r="D76" s="178">
        <v>21</v>
      </c>
      <c r="E76" s="178">
        <v>25</v>
      </c>
      <c r="F76" s="178">
        <v>0</v>
      </c>
      <c r="G76" s="180">
        <f>IF(E76=0,D76,E76)</f>
        <v>25</v>
      </c>
      <c r="H76" s="181"/>
      <c r="I76" s="182">
        <f>AVERAGE(G76,D76)</f>
        <v>23</v>
      </c>
      <c r="J76" s="183" t="s">
        <v>129</v>
      </c>
      <c r="K76" s="188">
        <v>1358</v>
      </c>
      <c r="L76" s="50">
        <f>ROUND(K76*I76,0)</f>
        <v>31234</v>
      </c>
      <c r="N76" s="1">
        <v>7802</v>
      </c>
      <c r="O76" s="1">
        <v>110</v>
      </c>
      <c r="V76" s="651" t="s">
        <v>133</v>
      </c>
      <c r="W76" s="651"/>
      <c r="X76" s="651"/>
      <c r="Y76" s="661">
        <f>+I77</f>
        <v>33305823</v>
      </c>
      <c r="Z76" s="661"/>
      <c r="AA76" s="176" t="s">
        <v>129</v>
      </c>
      <c r="AB76" s="163">
        <f>AB54</f>
        <v>6.1799999999999995E-4</v>
      </c>
      <c r="AC76" s="56">
        <f>ROUND(Y76*AB76,0)</f>
        <v>20583</v>
      </c>
      <c r="AD76" s="9"/>
    </row>
    <row r="77" spans="1:30" ht="26.25" customHeight="1" x14ac:dyDescent="0.25">
      <c r="B77" s="13" t="s">
        <v>133</v>
      </c>
      <c r="C77" s="13"/>
      <c r="D77" s="13"/>
      <c r="E77" s="13"/>
      <c r="F77" s="13"/>
      <c r="H77" s="164" t="s">
        <v>134</v>
      </c>
      <c r="I77" s="189">
        <v>33305823</v>
      </c>
      <c r="J77" s="165" t="s">
        <v>111</v>
      </c>
      <c r="K77" s="166">
        <f>K54</f>
        <v>7.2400000000000003E-4</v>
      </c>
      <c r="L77" s="50">
        <f>ROUND(I77*K77,0)</f>
        <v>24113</v>
      </c>
      <c r="O77" s="1"/>
      <c r="V77" s="651" t="str">
        <f>+B78</f>
        <v>15.  Additional Allocation (WFTE share)</v>
      </c>
      <c r="W77" s="651"/>
      <c r="X77" s="651"/>
      <c r="Y77" s="661">
        <f>+I78</f>
        <v>680688</v>
      </c>
      <c r="Z77" s="661"/>
      <c r="AA77" s="176" t="s">
        <v>129</v>
      </c>
      <c r="AB77" s="163">
        <f>AB54</f>
        <v>6.1799999999999995E-4</v>
      </c>
      <c r="AC77" s="56">
        <f>ROUND(Y77*AB77,0)</f>
        <v>421</v>
      </c>
      <c r="AD77" s="9"/>
    </row>
    <row r="78" spans="1:30" ht="26.25" customHeight="1" x14ac:dyDescent="0.25">
      <c r="B78" s="669" t="s">
        <v>135</v>
      </c>
      <c r="C78" s="669"/>
      <c r="D78" s="669"/>
      <c r="E78" s="13"/>
      <c r="F78" s="13"/>
      <c r="H78" s="164" t="s">
        <v>136</v>
      </c>
      <c r="I78" s="190">
        <v>680688</v>
      </c>
      <c r="J78" s="165" t="s">
        <v>111</v>
      </c>
      <c r="K78" s="166">
        <f>K54</f>
        <v>7.2400000000000003E-4</v>
      </c>
      <c r="L78" s="50">
        <f>ROUND(I78*K78,0)</f>
        <v>493</v>
      </c>
      <c r="O78" s="1"/>
      <c r="V78" s="651" t="str">
        <f t="shared" ref="V78:V79" si="11">+B79</f>
        <v>16.  Florida Teachers Lead Program Stipend</v>
      </c>
      <c r="W78" s="651"/>
      <c r="X78" s="651"/>
      <c r="Y78" s="191"/>
      <c r="Z78" s="191"/>
      <c r="AA78" s="191"/>
      <c r="AB78" s="191"/>
      <c r="AC78" s="134"/>
      <c r="AD78" s="9"/>
    </row>
    <row r="79" spans="1:30" ht="21" customHeight="1" x14ac:dyDescent="0.25">
      <c r="B79" s="669" t="s">
        <v>137</v>
      </c>
      <c r="C79" s="669"/>
      <c r="D79" s="669"/>
      <c r="E79" s="13"/>
      <c r="F79" s="13"/>
      <c r="H79" s="164"/>
      <c r="I79" s="172"/>
      <c r="J79" s="172"/>
      <c r="K79" s="172"/>
      <c r="L79" s="129"/>
      <c r="N79" s="192"/>
      <c r="O79" s="1"/>
      <c r="Q79" s="164"/>
      <c r="V79" s="651" t="str">
        <f t="shared" si="11"/>
        <v>17.  Food Service Allocation</v>
      </c>
      <c r="W79" s="651"/>
      <c r="X79" s="651"/>
      <c r="Y79" s="191"/>
      <c r="Z79" s="191"/>
      <c r="AA79" s="191"/>
      <c r="AB79" s="191"/>
      <c r="AC79" s="193"/>
      <c r="AD79" s="9"/>
    </row>
    <row r="80" spans="1:30" ht="21" customHeight="1" x14ac:dyDescent="0.25">
      <c r="B80" s="669" t="s">
        <v>138</v>
      </c>
      <c r="C80" s="669"/>
      <c r="D80" s="669"/>
      <c r="E80" s="13"/>
      <c r="F80" s="13"/>
      <c r="H80" s="194" t="s">
        <v>139</v>
      </c>
      <c r="I80" s="195"/>
      <c r="J80" s="195"/>
      <c r="K80" s="195"/>
      <c r="L80" s="196"/>
      <c r="N80" s="197"/>
      <c r="O80" s="1"/>
      <c r="Q80" s="164"/>
      <c r="V80" s="191"/>
      <c r="W80" s="191"/>
      <c r="X80" s="191"/>
      <c r="Y80" s="191"/>
      <c r="Z80" s="191"/>
      <c r="AA80" s="191"/>
      <c r="AB80" s="191"/>
      <c r="AC80" s="193"/>
      <c r="AD80" s="9"/>
    </row>
    <row r="81" spans="1:30" ht="21" customHeight="1" thickBot="1" x14ac:dyDescent="0.3">
      <c r="B81" s="13"/>
      <c r="C81" s="13"/>
      <c r="D81" s="13"/>
      <c r="E81" s="13"/>
      <c r="F81" s="13"/>
      <c r="G81" s="13"/>
      <c r="H81" s="13"/>
      <c r="I81" s="13"/>
      <c r="J81" s="13"/>
      <c r="K81" s="13"/>
      <c r="L81" s="196"/>
      <c r="M81" s="198"/>
      <c r="N81" s="197"/>
      <c r="O81" s="1"/>
      <c r="Q81" s="164"/>
      <c r="V81" s="191" t="s">
        <v>140</v>
      </c>
      <c r="W81" s="191"/>
      <c r="X81" s="191"/>
      <c r="Y81" s="191"/>
      <c r="Z81" s="191"/>
      <c r="AA81" s="191"/>
      <c r="AB81" s="191"/>
      <c r="AC81" s="199">
        <f>SUM(AC44:AC80)</f>
        <v>777890</v>
      </c>
      <c r="AD81" s="200"/>
    </row>
    <row r="82" spans="1:30" ht="22.5" customHeight="1" thickTop="1" thickBot="1" x14ac:dyDescent="0.3">
      <c r="B82" s="13" t="s">
        <v>141</v>
      </c>
      <c r="C82" s="13"/>
      <c r="D82" s="13"/>
      <c r="E82" s="13"/>
      <c r="F82" s="13"/>
      <c r="G82" s="13"/>
      <c r="H82" s="13"/>
      <c r="I82" s="13"/>
      <c r="J82" s="13"/>
      <c r="K82" s="13"/>
      <c r="L82" s="201">
        <f>SUM(L44:L81)</f>
        <v>1239420</v>
      </c>
      <c r="M82" s="202"/>
      <c r="N82" s="203"/>
      <c r="O82" s="1"/>
      <c r="Q82" s="164"/>
      <c r="V82" s="191"/>
      <c r="W82" s="191"/>
      <c r="X82" s="191"/>
      <c r="Y82" s="191"/>
      <c r="Z82" s="191"/>
      <c r="AA82" s="191"/>
      <c r="AB82" s="191"/>
      <c r="AC82" s="204"/>
      <c r="AD82" s="200"/>
    </row>
    <row r="83" spans="1:30" ht="27.75" customHeight="1" thickTop="1" x14ac:dyDescent="0.25">
      <c r="B83" s="13" t="s">
        <v>142</v>
      </c>
      <c r="C83" s="13"/>
      <c r="D83" s="13"/>
      <c r="E83" s="13"/>
      <c r="F83" s="13"/>
      <c r="G83" s="13"/>
      <c r="H83" s="13"/>
      <c r="I83" s="13"/>
      <c r="J83" s="13"/>
      <c r="K83" s="82" t="s">
        <v>143</v>
      </c>
      <c r="L83" s="205" t="s">
        <v>144</v>
      </c>
      <c r="M83" s="202"/>
      <c r="N83" s="203"/>
      <c r="O83" s="1"/>
      <c r="Q83" s="164"/>
      <c r="V83" s="9" t="s">
        <v>145</v>
      </c>
      <c r="W83" s="9"/>
      <c r="X83" s="9"/>
      <c r="Y83" s="9"/>
      <c r="Z83" s="9"/>
      <c r="AA83" s="9"/>
      <c r="AB83" s="9"/>
      <c r="AC83" s="9"/>
      <c r="AD83" s="206"/>
    </row>
    <row r="84" spans="1:30" ht="18.75" customHeight="1" thickBot="1" x14ac:dyDescent="0.3">
      <c r="B84" s="13" t="s">
        <v>146</v>
      </c>
      <c r="C84" s="13"/>
      <c r="D84" s="13"/>
      <c r="E84" s="13"/>
      <c r="F84" s="13"/>
      <c r="G84" s="13"/>
      <c r="H84" s="13"/>
      <c r="I84" s="13"/>
      <c r="J84" s="13"/>
      <c r="K84" s="207">
        <f>IF(G26=0,"",IF((G11+G13+SUM(G15:G21))/G26&gt;0.75,1,""))</f>
        <v>1</v>
      </c>
      <c r="L84" s="201">
        <f>'4037'!AC81</f>
        <v>777890</v>
      </c>
      <c r="M84" s="202"/>
      <c r="N84" s="203"/>
      <c r="O84" s="1"/>
      <c r="Q84" s="164"/>
      <c r="V84" s="208" t="s">
        <v>147</v>
      </c>
      <c r="W84" s="208"/>
      <c r="X84" s="208"/>
      <c r="Y84" s="208"/>
      <c r="Z84" s="208"/>
      <c r="AA84" s="208"/>
      <c r="AB84" s="208"/>
      <c r="AC84" s="208"/>
      <c r="AD84" s="9"/>
    </row>
    <row r="85" spans="1:30" ht="18.75" customHeight="1" thickTop="1" x14ac:dyDescent="0.25">
      <c r="B85" s="13"/>
      <c r="C85" s="13"/>
      <c r="D85" s="13"/>
      <c r="E85" s="13"/>
      <c r="F85" s="13"/>
      <c r="G85" s="13"/>
      <c r="H85" s="13"/>
      <c r="I85" s="13"/>
      <c r="J85" s="13"/>
      <c r="M85" s="202"/>
      <c r="N85" s="203"/>
      <c r="O85" s="1"/>
      <c r="Q85" s="164"/>
      <c r="V85" s="208" t="s">
        <v>148</v>
      </c>
      <c r="W85" s="208"/>
      <c r="X85" s="208"/>
      <c r="Y85" s="208"/>
      <c r="Z85" s="208"/>
      <c r="AA85" s="208"/>
      <c r="AB85" s="208"/>
      <c r="AC85" s="208"/>
      <c r="AD85" s="206"/>
    </row>
    <row r="86" spans="1:30" ht="18.75" customHeight="1" x14ac:dyDescent="0.25">
      <c r="B86" s="2" t="s">
        <v>149</v>
      </c>
      <c r="C86" s="13"/>
      <c r="D86" s="13"/>
      <c r="E86" s="13"/>
      <c r="F86" s="13"/>
      <c r="G86" s="13"/>
      <c r="H86" s="13"/>
      <c r="I86" s="13"/>
      <c r="J86" s="209" t="s">
        <v>150</v>
      </c>
      <c r="K86" s="210">
        <f>IF(K84=1,L84,L82)</f>
        <v>777890</v>
      </c>
      <c r="L86" s="211">
        <f>IF(G26=0,0,IF(G26&gt;250,-(((250/G26)*K86)*IF(M86="H",0.02,0.05)),IF(M86="H",-0.02*K86,-0.05*K86)))</f>
        <v>-38894.5</v>
      </c>
      <c r="M86" s="212" t="str">
        <f>IF(B123="2801","H",IF(B123="2911","H",IF(B123="3382","H"," ")))</f>
        <v xml:space="preserve"> </v>
      </c>
      <c r="N86" s="203"/>
      <c r="O86" s="1"/>
      <c r="Q86" s="164"/>
      <c r="V86" s="208" t="s">
        <v>151</v>
      </c>
      <c r="W86" s="208"/>
      <c r="X86" s="208"/>
      <c r="Y86" s="208"/>
      <c r="Z86" s="208"/>
      <c r="AA86" s="208"/>
      <c r="AB86" s="208"/>
      <c r="AC86" s="208"/>
      <c r="AD86" s="206"/>
    </row>
    <row r="87" spans="1:30" ht="18.75" customHeight="1" x14ac:dyDescent="0.25">
      <c r="B87" s="2" t="s">
        <v>152</v>
      </c>
      <c r="C87" s="13"/>
      <c r="D87" s="13"/>
      <c r="E87" s="13"/>
      <c r="F87" s="13"/>
      <c r="G87" s="13"/>
      <c r="H87" s="13"/>
      <c r="I87" s="13"/>
      <c r="J87" s="13"/>
      <c r="K87" s="213"/>
      <c r="L87" s="205">
        <f>L82+L86</f>
        <v>1200525.5</v>
      </c>
      <c r="M87" s="202"/>
      <c r="N87" s="203"/>
      <c r="O87" s="1"/>
      <c r="Q87" s="164"/>
      <c r="V87" s="198"/>
      <c r="W87" s="198"/>
      <c r="X87" s="198"/>
      <c r="Y87" s="198"/>
      <c r="Z87" s="198"/>
      <c r="AA87" s="198"/>
      <c r="AB87" s="198"/>
      <c r="AC87" s="198"/>
      <c r="AD87" s="214"/>
    </row>
    <row r="88" spans="1:30" x14ac:dyDescent="0.25">
      <c r="V88" s="198"/>
      <c r="W88" s="198"/>
      <c r="X88" s="198"/>
      <c r="Y88" s="198"/>
      <c r="Z88" s="198"/>
      <c r="AA88" s="198"/>
      <c r="AB88" s="198"/>
      <c r="AC88" s="198"/>
      <c r="AD88" s="215"/>
    </row>
    <row r="89" spans="1:30" ht="18.75" customHeight="1" x14ac:dyDescent="0.25">
      <c r="A89" s="1" t="s">
        <v>153</v>
      </c>
      <c r="B89" s="13" t="s">
        <v>154</v>
      </c>
      <c r="C89" s="13"/>
      <c r="D89" s="13">
        <v>416775</v>
      </c>
      <c r="E89" s="13">
        <v>105481</v>
      </c>
      <c r="F89" s="13">
        <v>837262</v>
      </c>
      <c r="G89" s="13"/>
      <c r="H89" s="13"/>
      <c r="I89" s="13"/>
      <c r="J89" s="13"/>
      <c r="K89" s="213"/>
      <c r="L89" s="84">
        <f>-F89-181632</f>
        <v>-1018894</v>
      </c>
      <c r="M89" s="202"/>
      <c r="N89" s="203"/>
      <c r="O89" s="1"/>
      <c r="Q89" s="164"/>
      <c r="V89" s="198">
        <v>2801</v>
      </c>
      <c r="W89" s="198"/>
      <c r="X89" s="198"/>
      <c r="Y89" s="198"/>
      <c r="Z89" s="198"/>
      <c r="AA89" s="198"/>
      <c r="AB89" s="198"/>
      <c r="AC89" s="198"/>
      <c r="AD89" s="214"/>
    </row>
    <row r="90" spans="1:30" ht="18.75" customHeight="1" x14ac:dyDescent="0.25">
      <c r="B90" s="13" t="s">
        <v>155</v>
      </c>
      <c r="C90" s="13"/>
      <c r="D90" s="13"/>
      <c r="E90" s="13"/>
      <c r="F90" s="13"/>
      <c r="G90" s="13"/>
      <c r="H90" s="13"/>
      <c r="I90" s="13"/>
      <c r="J90" s="13"/>
      <c r="K90" s="213"/>
      <c r="L90" s="205">
        <f>L87+L89</f>
        <v>181631.5</v>
      </c>
      <c r="M90" s="202"/>
      <c r="N90" s="203"/>
      <c r="O90" s="1"/>
      <c r="Q90" s="164"/>
      <c r="V90" s="198">
        <v>2911</v>
      </c>
      <c r="W90" s="216"/>
      <c r="X90" s="216"/>
      <c r="Y90" s="216"/>
      <c r="Z90" s="216"/>
      <c r="AA90" s="216"/>
      <c r="AB90" s="216"/>
      <c r="AC90" s="216"/>
      <c r="AD90" s="214"/>
    </row>
    <row r="91" spans="1:30" ht="18.75" customHeight="1" x14ac:dyDescent="0.25">
      <c r="B91" s="13" t="s">
        <v>156</v>
      </c>
      <c r="C91" s="13"/>
      <c r="D91" s="13"/>
      <c r="E91" s="13"/>
      <c r="F91" s="13"/>
      <c r="G91" s="13"/>
      <c r="H91" s="13"/>
      <c r="I91" s="13"/>
      <c r="J91" s="13"/>
      <c r="K91" s="213"/>
      <c r="L91" s="205">
        <v>1</v>
      </c>
      <c r="M91" s="202"/>
      <c r="N91" s="203"/>
      <c r="O91" s="1"/>
      <c r="Q91" s="164"/>
      <c r="V91" s="198">
        <v>3382</v>
      </c>
      <c r="W91" s="216"/>
      <c r="X91" s="216"/>
      <c r="Y91" s="216"/>
      <c r="Z91" s="216"/>
      <c r="AA91" s="216"/>
      <c r="AB91" s="216"/>
      <c r="AC91" s="216"/>
      <c r="AD91" s="214"/>
    </row>
    <row r="92" spans="1:30" ht="18.75" customHeight="1" thickBot="1" x14ac:dyDescent="0.3">
      <c r="B92" s="13" t="s">
        <v>157</v>
      </c>
      <c r="C92" s="13"/>
      <c r="D92" s="13"/>
      <c r="E92" s="13"/>
      <c r="F92" s="13"/>
      <c r="G92" s="13"/>
      <c r="H92" s="13"/>
      <c r="I92" s="13"/>
      <c r="J92" s="13"/>
      <c r="K92" s="213"/>
      <c r="L92" s="217">
        <f>L90/L91</f>
        <v>181631.5</v>
      </c>
      <c r="M92" s="202"/>
      <c r="N92" s="203"/>
      <c r="O92" s="1"/>
      <c r="Q92" s="164"/>
      <c r="V92" s="218"/>
      <c r="W92" s="218"/>
      <c r="X92" s="218"/>
      <c r="Y92" s="218"/>
      <c r="Z92" s="218"/>
      <c r="AA92" s="218"/>
      <c r="AB92" s="218"/>
      <c r="AC92" s="218"/>
      <c r="AD92" s="219"/>
    </row>
    <row r="93" spans="1:30" ht="18.75" customHeight="1" thickTop="1" x14ac:dyDescent="0.25">
      <c r="N93" s="219"/>
      <c r="O93" s="220"/>
      <c r="P93" s="219"/>
      <c r="Q93" s="219"/>
      <c r="V93" s="218"/>
      <c r="W93" s="218"/>
      <c r="X93" s="218"/>
      <c r="Y93" s="218"/>
      <c r="Z93" s="218"/>
      <c r="AA93" s="218"/>
      <c r="AB93" s="218"/>
      <c r="AC93" s="218"/>
      <c r="AD93" s="214"/>
    </row>
    <row r="94" spans="1:30" ht="18.75" customHeight="1" thickBot="1" x14ac:dyDescent="0.3">
      <c r="B94" s="221" t="s">
        <v>158</v>
      </c>
      <c r="C94" s="13"/>
      <c r="D94" s="13"/>
      <c r="E94" s="13"/>
      <c r="G94" s="13"/>
      <c r="H94" s="13"/>
      <c r="I94" s="13"/>
      <c r="J94" s="13"/>
      <c r="L94" s="222">
        <f>IF(M86="H",(K86*0.02)+L86,(K86*0.05)+L86)</f>
        <v>0</v>
      </c>
      <c r="M94" s="202"/>
      <c r="V94" s="223"/>
      <c r="W94" s="223"/>
      <c r="X94" s="223"/>
      <c r="Y94" s="223"/>
      <c r="Z94" s="223"/>
      <c r="AA94" s="223"/>
      <c r="AB94" s="223"/>
      <c r="AC94" s="223"/>
      <c r="AD94" s="214"/>
    </row>
    <row r="95" spans="1:30" ht="21.75" customHeight="1" thickTop="1" x14ac:dyDescent="0.25">
      <c r="B95" s="224" t="s">
        <v>159</v>
      </c>
      <c r="C95" s="224"/>
      <c r="D95" s="224"/>
      <c r="E95" s="224"/>
      <c r="F95" s="224"/>
      <c r="G95" s="224"/>
      <c r="H95" s="224"/>
      <c r="I95" s="224"/>
      <c r="J95" s="224"/>
      <c r="K95" s="224"/>
      <c r="L95" s="224"/>
      <c r="M95" s="219"/>
      <c r="V95" s="223"/>
      <c r="W95" s="223"/>
      <c r="X95" s="223"/>
      <c r="Y95" s="223"/>
      <c r="Z95" s="223"/>
      <c r="AA95" s="223"/>
      <c r="AB95" s="223"/>
      <c r="AC95" s="223"/>
      <c r="AD95" s="214"/>
    </row>
    <row r="96" spans="1:30" x14ac:dyDescent="0.25">
      <c r="B96" s="225"/>
      <c r="V96" s="223"/>
      <c r="W96" s="223"/>
      <c r="X96" s="223"/>
      <c r="Y96" s="223"/>
      <c r="Z96" s="223"/>
      <c r="AA96" s="223"/>
      <c r="AB96" s="223"/>
      <c r="AC96" s="223"/>
      <c r="AD96" s="219"/>
    </row>
    <row r="97" spans="2:30" x14ac:dyDescent="0.25">
      <c r="B97" s="225"/>
      <c r="V97" s="223"/>
      <c r="W97" s="223"/>
      <c r="X97" s="223"/>
      <c r="Y97" s="223"/>
      <c r="Z97" s="223"/>
      <c r="AA97" s="223"/>
      <c r="AB97" s="223"/>
      <c r="AC97" s="223"/>
      <c r="AD97" s="219"/>
    </row>
    <row r="98" spans="2:30" hidden="1" x14ac:dyDescent="0.25">
      <c r="B98" s="226" t="s">
        <v>160</v>
      </c>
      <c r="C98" s="227"/>
      <c r="V98" s="228"/>
      <c r="W98" s="228"/>
      <c r="X98" s="228"/>
      <c r="Y98" s="228"/>
      <c r="Z98" s="228"/>
      <c r="AA98" s="228"/>
      <c r="AB98" s="228"/>
      <c r="AC98" s="228"/>
    </row>
    <row r="99" spans="2:30" hidden="1" x14ac:dyDescent="0.25">
      <c r="B99" s="229"/>
      <c r="C99" s="227"/>
      <c r="V99" s="225"/>
      <c r="W99" s="13"/>
      <c r="X99" s="13"/>
      <c r="Y99" s="13"/>
      <c r="Z99" s="13"/>
      <c r="AA99" s="13"/>
      <c r="AB99" s="13"/>
      <c r="AC99" s="13"/>
    </row>
    <row r="100" spans="2:30" hidden="1" x14ac:dyDescent="0.25">
      <c r="B100" s="230" t="s">
        <v>161</v>
      </c>
      <c r="C100" s="226" t="s">
        <v>162</v>
      </c>
      <c r="V100" s="225"/>
    </row>
    <row r="101" spans="2:30" hidden="1" x14ac:dyDescent="0.25">
      <c r="B101" s="230" t="s">
        <v>163</v>
      </c>
      <c r="C101" s="226" t="s">
        <v>164</v>
      </c>
      <c r="V101" s="225"/>
    </row>
    <row r="102" spans="2:30" hidden="1" x14ac:dyDescent="0.25">
      <c r="B102" s="230" t="s">
        <v>165</v>
      </c>
      <c r="C102" s="226" t="s">
        <v>166</v>
      </c>
      <c r="V102" s="225"/>
      <c r="W102" s="231"/>
      <c r="X102" s="231"/>
      <c r="Y102" s="231"/>
      <c r="Z102" s="231"/>
      <c r="AA102" s="231"/>
      <c r="AB102" s="231"/>
      <c r="AC102" s="231"/>
      <c r="AD102" s="231"/>
    </row>
    <row r="103" spans="2:30" hidden="1" x14ac:dyDescent="0.25">
      <c r="B103" s="230" t="s">
        <v>167</v>
      </c>
      <c r="C103" s="226" t="s">
        <v>168</v>
      </c>
      <c r="V103" s="225"/>
    </row>
    <row r="104" spans="2:30" hidden="1" x14ac:dyDescent="0.25">
      <c r="B104" s="232"/>
      <c r="C104" s="226" t="s">
        <v>169</v>
      </c>
      <c r="V104" s="225"/>
    </row>
    <row r="105" spans="2:30" hidden="1" x14ac:dyDescent="0.25">
      <c r="B105" s="230" t="s">
        <v>170</v>
      </c>
      <c r="C105" s="226" t="s">
        <v>171</v>
      </c>
      <c r="V105" s="225"/>
    </row>
    <row r="106" spans="2:30" hidden="1" x14ac:dyDescent="0.25">
      <c r="B106" s="230" t="s">
        <v>172</v>
      </c>
      <c r="C106" s="226" t="s">
        <v>173</v>
      </c>
      <c r="V106" s="225"/>
    </row>
    <row r="107" spans="2:30" hidden="1" x14ac:dyDescent="0.25">
      <c r="B107" s="230" t="s">
        <v>339</v>
      </c>
      <c r="C107" s="226" t="s">
        <v>175</v>
      </c>
      <c r="V107" s="225"/>
    </row>
    <row r="108" spans="2:30" hidden="1" x14ac:dyDescent="0.25">
      <c r="B108" s="230" t="s">
        <v>176</v>
      </c>
      <c r="C108" s="226" t="s">
        <v>177</v>
      </c>
      <c r="V108" s="225"/>
    </row>
    <row r="109" spans="2:30" hidden="1" x14ac:dyDescent="0.25">
      <c r="B109" s="230" t="s">
        <v>178</v>
      </c>
      <c r="C109" s="226" t="s">
        <v>179</v>
      </c>
      <c r="V109" s="225"/>
    </row>
    <row r="110" spans="2:30" hidden="1" x14ac:dyDescent="0.25">
      <c r="B110" s="232"/>
      <c r="C110" s="226"/>
      <c r="V110" s="225"/>
    </row>
    <row r="111" spans="2:30" hidden="1" x14ac:dyDescent="0.25">
      <c r="B111" s="230" t="s">
        <v>180</v>
      </c>
      <c r="C111" s="226" t="s">
        <v>181</v>
      </c>
      <c r="V111" s="225"/>
    </row>
    <row r="112" spans="2:30" hidden="1" x14ac:dyDescent="0.25">
      <c r="B112" s="230" t="s">
        <v>180</v>
      </c>
      <c r="C112" s="226" t="s">
        <v>182</v>
      </c>
    </row>
    <row r="113" spans="2:3" hidden="1" x14ac:dyDescent="0.25">
      <c r="B113" s="230" t="s">
        <v>183</v>
      </c>
      <c r="C113" s="226" t="s">
        <v>184</v>
      </c>
    </row>
    <row r="114" spans="2:3" hidden="1" x14ac:dyDescent="0.25">
      <c r="B114" s="230" t="s">
        <v>185</v>
      </c>
      <c r="C114" s="226" t="s">
        <v>186</v>
      </c>
    </row>
    <row r="115" spans="2:3" hidden="1" x14ac:dyDescent="0.25">
      <c r="B115" s="230" t="s">
        <v>183</v>
      </c>
      <c r="C115" s="226" t="s">
        <v>187</v>
      </c>
    </row>
    <row r="116" spans="2:3" hidden="1" x14ac:dyDescent="0.25">
      <c r="B116" s="230" t="s">
        <v>188</v>
      </c>
      <c r="C116" s="226" t="s">
        <v>189</v>
      </c>
    </row>
    <row r="117" spans="2:3" hidden="1" x14ac:dyDescent="0.25">
      <c r="B117" s="230" t="s">
        <v>190</v>
      </c>
      <c r="C117" s="226" t="s">
        <v>191</v>
      </c>
    </row>
    <row r="118" spans="2:3" hidden="1" x14ac:dyDescent="0.25">
      <c r="B118" s="232" t="s">
        <v>192</v>
      </c>
      <c r="C118" s="226" t="s">
        <v>193</v>
      </c>
    </row>
    <row r="119" spans="2:3" hidden="1" x14ac:dyDescent="0.25">
      <c r="B119" s="232"/>
      <c r="C119" s="226"/>
    </row>
    <row r="120" spans="2:3" hidden="1" x14ac:dyDescent="0.25">
      <c r="B120" s="230" t="s">
        <v>161</v>
      </c>
      <c r="C120" s="226" t="s">
        <v>194</v>
      </c>
    </row>
    <row r="121" spans="2:3" hidden="1" x14ac:dyDescent="0.25">
      <c r="B121" s="230" t="s">
        <v>195</v>
      </c>
      <c r="C121" s="226" t="s">
        <v>196</v>
      </c>
    </row>
    <row r="122" spans="2:3" hidden="1" x14ac:dyDescent="0.25">
      <c r="B122" s="230" t="s">
        <v>197</v>
      </c>
      <c r="C122" s="226" t="s">
        <v>198</v>
      </c>
    </row>
    <row r="123" spans="2:3" hidden="1" x14ac:dyDescent="0.25">
      <c r="B123" s="230" t="s">
        <v>340</v>
      </c>
      <c r="C123" s="226" t="s">
        <v>200</v>
      </c>
    </row>
    <row r="124" spans="2:3" hidden="1" x14ac:dyDescent="0.25">
      <c r="B124" s="230" t="s">
        <v>341</v>
      </c>
      <c r="C124" s="226" t="s">
        <v>202</v>
      </c>
    </row>
    <row r="125" spans="2:3" hidden="1" x14ac:dyDescent="0.25">
      <c r="B125" s="230" t="s">
        <v>203</v>
      </c>
      <c r="C125" s="226" t="s">
        <v>204</v>
      </c>
    </row>
    <row r="126" spans="2:3" hidden="1" x14ac:dyDescent="0.25">
      <c r="B126" s="230" t="s">
        <v>203</v>
      </c>
      <c r="C126" s="226" t="s">
        <v>205</v>
      </c>
    </row>
    <row r="127" spans="2:3" hidden="1" x14ac:dyDescent="0.25">
      <c r="B127" s="230" t="s">
        <v>203</v>
      </c>
      <c r="C127" s="226" t="s">
        <v>206</v>
      </c>
    </row>
    <row r="128" spans="2:3" hidden="1" x14ac:dyDescent="0.25">
      <c r="B128" s="230" t="s">
        <v>203</v>
      </c>
      <c r="C128" s="226" t="s">
        <v>207</v>
      </c>
    </row>
    <row r="129" spans="2:3" hidden="1" x14ac:dyDescent="0.25">
      <c r="B129" s="230" t="s">
        <v>167</v>
      </c>
      <c r="C129" s="226" t="s">
        <v>208</v>
      </c>
    </row>
    <row r="130" spans="2:3" hidden="1" x14ac:dyDescent="0.25">
      <c r="B130" s="230" t="s">
        <v>209</v>
      </c>
      <c r="C130" s="226" t="s">
        <v>210</v>
      </c>
    </row>
    <row r="131" spans="2:3" hidden="1" x14ac:dyDescent="0.25">
      <c r="B131" s="230" t="s">
        <v>203</v>
      </c>
      <c r="C131" s="226" t="s">
        <v>211</v>
      </c>
    </row>
    <row r="132" spans="2:3" hidden="1" x14ac:dyDescent="0.25">
      <c r="B132" s="226"/>
      <c r="C132" s="226"/>
    </row>
    <row r="133" spans="2:3" hidden="1" x14ac:dyDescent="0.25">
      <c r="B133" s="226"/>
      <c r="C133" s="226"/>
    </row>
    <row r="134" spans="2:3" hidden="1" x14ac:dyDescent="0.25">
      <c r="B134" s="232"/>
      <c r="C134" s="232"/>
    </row>
    <row r="135" spans="2:3" hidden="1" x14ac:dyDescent="0.25">
      <c r="B135" s="232">
        <f>NvsElapsedTime</f>
        <v>1.15740767796524E-5</v>
      </c>
      <c r="C135" s="232"/>
    </row>
    <row r="136" spans="2:3" hidden="1" x14ac:dyDescent="0.25">
      <c r="B136" s="233">
        <f>NvsEndTime</f>
        <v>41754.488206018497</v>
      </c>
      <c r="C136" s="233" t="s">
        <v>212</v>
      </c>
    </row>
    <row r="137" spans="2:3" x14ac:dyDescent="0.25">
      <c r="B137" s="226"/>
      <c r="C137" s="234"/>
    </row>
    <row r="138" spans="2:3" x14ac:dyDescent="0.25">
      <c r="B138" s="226"/>
      <c r="C138" s="226"/>
    </row>
    <row r="139" spans="2:3" x14ac:dyDescent="0.25">
      <c r="B139" s="226"/>
      <c r="C139" s="226"/>
    </row>
    <row r="140" spans="2:3" x14ac:dyDescent="0.25">
      <c r="B140" s="226"/>
      <c r="C140" s="226"/>
    </row>
    <row r="141" spans="2:3" x14ac:dyDescent="0.25">
      <c r="B141" s="226"/>
      <c r="C141" s="226"/>
    </row>
    <row r="142" spans="2:3" x14ac:dyDescent="0.25">
      <c r="B142" s="226"/>
      <c r="C142" s="226"/>
    </row>
    <row r="143" spans="2:3" x14ac:dyDescent="0.25">
      <c r="B143" s="226"/>
      <c r="C143" s="226"/>
    </row>
    <row r="144" spans="2:3" x14ac:dyDescent="0.25">
      <c r="B144" s="226"/>
      <c r="C144" s="226"/>
    </row>
    <row r="145" spans="2:3" x14ac:dyDescent="0.25">
      <c r="B145" s="226"/>
      <c r="C145" s="226"/>
    </row>
    <row r="146" spans="2:3" x14ac:dyDescent="0.25">
      <c r="B146" s="226"/>
      <c r="C146" s="226"/>
    </row>
    <row r="147" spans="2:3" x14ac:dyDescent="0.25">
      <c r="B147" s="226"/>
      <c r="C147" s="226"/>
    </row>
    <row r="148" spans="2:3" x14ac:dyDescent="0.25">
      <c r="B148" s="226"/>
      <c r="C148" s="226"/>
    </row>
    <row r="149" spans="2:3" x14ac:dyDescent="0.25">
      <c r="B149" s="226"/>
      <c r="C149" s="226"/>
    </row>
    <row r="150" spans="2:3" x14ac:dyDescent="0.25">
      <c r="B150" s="226"/>
      <c r="C150" s="226"/>
    </row>
    <row r="151" spans="2:3" x14ac:dyDescent="0.25">
      <c r="B151" s="226"/>
      <c r="C151" s="226"/>
    </row>
  </sheetData>
  <mergeCells count="151">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9:W9"/>
    <mergeCell ref="X9:Y9"/>
    <mergeCell ref="Z9:AA9"/>
    <mergeCell ref="V10:W10"/>
    <mergeCell ref="X10:Y10"/>
    <mergeCell ref="Z10:AA10"/>
    <mergeCell ref="V7:W7"/>
    <mergeCell ref="X7:Y7"/>
    <mergeCell ref="Z7:AA7"/>
    <mergeCell ref="AB7:AC7"/>
    <mergeCell ref="V8:W8"/>
    <mergeCell ref="X8:Y8"/>
    <mergeCell ref="Z8:AA8"/>
    <mergeCell ref="W2:AC2"/>
    <mergeCell ref="V3:AC3"/>
    <mergeCell ref="V4:AC4"/>
    <mergeCell ref="V5:W5"/>
    <mergeCell ref="X5:Y5"/>
    <mergeCell ref="V6:AC6"/>
  </mergeCells>
  <printOptions horizontalCentered="1"/>
  <pageMargins left="0" right="0" top="0.67" bottom="0.2" header="0.25" footer="0.196850393700787"/>
  <pageSetup scale="72" fitToHeight="2" orientation="portrait" r:id="rId1"/>
  <headerFooter alignWithMargins="0">
    <oddHeader>&amp;L&amp;8&amp;F
&amp;D &amp;T</oddHeader>
    <oddFooter>&amp;C&amp;P</oddFooter>
  </headerFooter>
  <rowBreaks count="1" manualBreakCount="1">
    <brk id="51" max="16383" man="1"/>
  </rowBreaks>
  <legacyDrawing r:id="rId2"/>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D151"/>
  <sheetViews>
    <sheetView topLeftCell="B2" zoomScale="70" zoomScaleNormal="70" workbookViewId="0">
      <selection activeCell="L71" sqref="L70:L71"/>
    </sheetView>
  </sheetViews>
  <sheetFormatPr defaultColWidth="8.85546875" defaultRowHeight="15.75" x14ac:dyDescent="0.25"/>
  <cols>
    <col min="1" max="1" width="11.28515625" style="1" hidden="1" customWidth="1"/>
    <col min="2" max="2" width="10.28515625" style="2" customWidth="1"/>
    <col min="3" max="3" width="29" style="1" customWidth="1"/>
    <col min="4" max="5" width="12.28515625" style="1" customWidth="1"/>
    <col min="6" max="6" width="12.28515625" style="1" hidden="1" customWidth="1"/>
    <col min="7" max="7" width="16.140625" style="1" customWidth="1"/>
    <col min="8" max="8" width="6.7109375" style="1" customWidth="1"/>
    <col min="9" max="9" width="14.28515625" style="1" customWidth="1"/>
    <col min="10" max="10" width="12.85546875" style="1" customWidth="1"/>
    <col min="11" max="11" width="16.140625" style="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28515625" style="1" customWidth="1"/>
    <col min="18" max="18" width="8.85546875" style="1"/>
    <col min="19" max="21" width="0" style="1" hidden="1" customWidth="1"/>
    <col min="22" max="23" width="8.85546875" style="1"/>
    <col min="24" max="24" width="12.7109375" style="1" customWidth="1"/>
    <col min="25" max="25" width="8.85546875" style="1"/>
    <col min="26" max="26" width="13.140625" style="1" bestFit="1" customWidth="1"/>
    <col min="27" max="27" width="8.85546875" style="1"/>
    <col min="28" max="28" width="13.140625" style="1" bestFit="1" customWidth="1"/>
    <col min="29" max="29" width="15.5703125" style="1" bestFit="1" customWidth="1"/>
    <col min="30" max="16384" width="8.85546875" style="1"/>
  </cols>
  <sheetData>
    <row r="1" spans="1:30" ht="15.6"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7"/>
      <c r="N2" s="3"/>
      <c r="O2" s="1"/>
      <c r="V2" s="8">
        <f>'4037 June Final'!B2</f>
        <v>50</v>
      </c>
      <c r="W2" s="606" t="s">
        <v>4</v>
      </c>
      <c r="X2" s="607"/>
      <c r="Y2" s="608"/>
      <c r="Z2" s="608"/>
      <c r="AA2" s="608"/>
      <c r="AB2" s="608"/>
      <c r="AC2" s="608"/>
      <c r="AD2" s="9"/>
    </row>
    <row r="3" spans="1:30" ht="20.25" x14ac:dyDescent="0.3">
      <c r="B3" s="10" t="str">
        <f>"Revenue Estimate Worksheet for "&amp;B124</f>
        <v>Revenue Estimate Worksheet for Learning Path Academy</v>
      </c>
      <c r="C3" s="11"/>
      <c r="D3" s="11"/>
      <c r="E3" s="11"/>
      <c r="F3" s="11"/>
      <c r="G3" s="11"/>
      <c r="H3" s="11"/>
      <c r="I3" s="11"/>
      <c r="J3" s="11"/>
      <c r="K3" s="11"/>
      <c r="L3" s="11"/>
      <c r="M3" s="10"/>
      <c r="N3" s="10"/>
      <c r="O3" s="10"/>
      <c r="P3" s="10"/>
      <c r="Q3" s="10"/>
      <c r="V3" s="609" t="s">
        <v>5</v>
      </c>
      <c r="W3" s="609"/>
      <c r="X3" s="609"/>
      <c r="Y3" s="609"/>
      <c r="Z3" s="609"/>
      <c r="AA3" s="609"/>
      <c r="AB3" s="609"/>
      <c r="AC3" s="609"/>
      <c r="AD3" s="12"/>
    </row>
    <row r="4" spans="1:30" ht="18.75" x14ac:dyDescent="0.3">
      <c r="B4" s="2" t="s">
        <v>6</v>
      </c>
      <c r="C4" s="13"/>
      <c r="D4" s="13"/>
      <c r="E4" s="13"/>
      <c r="F4" s="13"/>
      <c r="G4" s="13"/>
      <c r="H4" s="13"/>
      <c r="I4" s="13"/>
      <c r="J4" s="13"/>
      <c r="K4" s="13"/>
      <c r="L4" s="13"/>
      <c r="M4" s="14"/>
      <c r="N4" s="14"/>
      <c r="O4" s="14"/>
      <c r="P4" s="14"/>
      <c r="Q4" s="14"/>
      <c r="V4" s="610" t="str">
        <f>+Based_on_the_Second_Calculation_of_the_FEFP_2010_11</f>
        <v>Based on the Fourth Calculation of the FEFP 2013-14</v>
      </c>
      <c r="W4" s="610"/>
      <c r="X4" s="610"/>
      <c r="Y4" s="610"/>
      <c r="Z4" s="610"/>
      <c r="AA4" s="610"/>
      <c r="AB4" s="610"/>
      <c r="AC4" s="610"/>
      <c r="AD4" s="15"/>
    </row>
    <row r="5" spans="1:30" ht="18.75" customHeight="1" x14ac:dyDescent="0.25">
      <c r="B5" s="16" t="s">
        <v>7</v>
      </c>
      <c r="C5" s="16"/>
      <c r="D5" s="16"/>
      <c r="E5" s="16"/>
      <c r="F5" s="16"/>
      <c r="G5" s="17" t="s">
        <v>8</v>
      </c>
      <c r="H5" s="17"/>
      <c r="I5" s="17"/>
      <c r="J5" s="17"/>
      <c r="K5" s="17"/>
      <c r="L5" s="17"/>
      <c r="M5" s="18"/>
      <c r="N5" s="18"/>
      <c r="O5" s="18"/>
      <c r="P5" s="18"/>
      <c r="Q5" s="18"/>
      <c r="V5" s="611" t="s">
        <v>7</v>
      </c>
      <c r="W5" s="611"/>
      <c r="X5" s="612" t="s">
        <v>8</v>
      </c>
      <c r="Y5" s="612"/>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613" t="s">
        <v>9</v>
      </c>
      <c r="W6" s="613"/>
      <c r="X6" s="613"/>
      <c r="Y6" s="613"/>
      <c r="Z6" s="613"/>
      <c r="AA6" s="613"/>
      <c r="AB6" s="613"/>
      <c r="AC6" s="613"/>
      <c r="AD6" s="22"/>
    </row>
    <row r="7" spans="1:30" ht="18" customHeight="1" x14ac:dyDescent="0.25">
      <c r="B7" s="23" t="s">
        <v>10</v>
      </c>
      <c r="C7" s="23"/>
      <c r="D7" s="23"/>
      <c r="E7" s="23"/>
      <c r="F7" s="23"/>
      <c r="G7" s="24">
        <v>3752.3</v>
      </c>
      <c r="H7" s="24"/>
      <c r="I7" s="23" t="s">
        <v>11</v>
      </c>
      <c r="J7" s="23"/>
      <c r="K7" s="25">
        <v>1.0326</v>
      </c>
      <c r="L7" s="25"/>
      <c r="O7" s="1"/>
      <c r="V7" s="620" t="s">
        <v>10</v>
      </c>
      <c r="W7" s="620"/>
      <c r="X7" s="621">
        <f>'4037 June Final'!G7</f>
        <v>3752.3</v>
      </c>
      <c r="Y7" s="621"/>
      <c r="Z7" s="622" t="s">
        <v>11</v>
      </c>
      <c r="AA7" s="622"/>
      <c r="AB7" s="602">
        <f>+K7</f>
        <v>1.0326</v>
      </c>
      <c r="AC7" s="602"/>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603" t="s">
        <v>12</v>
      </c>
      <c r="W8" s="603"/>
      <c r="X8" s="604" t="s">
        <v>15</v>
      </c>
      <c r="Y8" s="604"/>
      <c r="Z8" s="605" t="s">
        <v>16</v>
      </c>
      <c r="AA8" s="605"/>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614" t="s">
        <v>22</v>
      </c>
      <c r="W9" s="614"/>
      <c r="X9" s="615" t="s">
        <v>23</v>
      </c>
      <c r="Y9" s="615"/>
      <c r="Z9" s="616" t="s">
        <v>24</v>
      </c>
      <c r="AA9" s="616"/>
      <c r="AB9" s="43" t="s">
        <v>25</v>
      </c>
      <c r="AC9" s="44" t="s">
        <v>26</v>
      </c>
      <c r="AD9" s="9"/>
    </row>
    <row r="10" spans="1:30" x14ac:dyDescent="0.25">
      <c r="A10" s="1" t="s">
        <v>27</v>
      </c>
      <c r="B10" s="45" t="s">
        <v>28</v>
      </c>
      <c r="C10" s="45"/>
      <c r="D10" s="45">
        <v>5.68</v>
      </c>
      <c r="E10" s="45">
        <v>6.07</v>
      </c>
      <c r="F10" s="45">
        <v>6.51</v>
      </c>
      <c r="G10" s="46">
        <f t="shared" ref="G10:G25" si="0">D10+E10</f>
        <v>11.75</v>
      </c>
      <c r="H10" s="47"/>
      <c r="I10" s="48">
        <v>1.125</v>
      </c>
      <c r="J10" s="48"/>
      <c r="K10" s="49">
        <f t="shared" ref="K10:K25" si="1">ROUND(G10*I10,4)</f>
        <v>13.2188</v>
      </c>
      <c r="L10" s="50">
        <f t="shared" ref="L10:L25" si="2">ROUND(ROUND(K10*$G$7,4)*($K$7),0)</f>
        <v>51218</v>
      </c>
      <c r="N10" s="51">
        <v>5101</v>
      </c>
      <c r="O10" s="52">
        <v>101</v>
      </c>
      <c r="P10" s="53"/>
      <c r="Q10" s="54"/>
      <c r="V10" s="617" t="s">
        <v>28</v>
      </c>
      <c r="W10" s="617"/>
      <c r="X10" s="618">
        <f>IF('4037 June Final'!K$84=1,'4037 June Final'!G10,0)</f>
        <v>11.75</v>
      </c>
      <c r="Y10" s="618"/>
      <c r="Z10" s="619">
        <v>1</v>
      </c>
      <c r="AA10" s="619"/>
      <c r="AB10" s="55">
        <f t="shared" ref="AB10:AB25" si="3">ROUND(X10*Z10,4)</f>
        <v>11.75</v>
      </c>
      <c r="AC10" s="56">
        <f t="shared" ref="AC10:AC25" si="4">ROUND(ROUND(AB10*$X$7,4)*($AB$7),0)</f>
        <v>45527</v>
      </c>
      <c r="AD10" s="9">
        <v>1</v>
      </c>
    </row>
    <row r="11" spans="1:30" x14ac:dyDescent="0.25">
      <c r="A11" s="1" t="s">
        <v>29</v>
      </c>
      <c r="B11" s="13" t="s">
        <v>30</v>
      </c>
      <c r="C11" s="13"/>
      <c r="D11" s="13">
        <v>40.43</v>
      </c>
      <c r="E11" s="13">
        <v>44.91</v>
      </c>
      <c r="F11" s="13">
        <v>61.25</v>
      </c>
      <c r="G11" s="46">
        <f t="shared" si="0"/>
        <v>85.34</v>
      </c>
      <c r="H11" s="47"/>
      <c r="I11" s="57">
        <f>I10</f>
        <v>1.125</v>
      </c>
      <c r="J11" s="57"/>
      <c r="K11" s="49">
        <f t="shared" si="1"/>
        <v>96.007499999999993</v>
      </c>
      <c r="L11" s="50">
        <f t="shared" si="2"/>
        <v>371993</v>
      </c>
      <c r="M11" s="1" t="str">
        <f>IF(ROUND(G11,2)=ROUND(SUM(G28:G30),2)," ","CHECK 2. PK-3 Lines Below")</f>
        <v xml:space="preserve"> </v>
      </c>
      <c r="N11" s="51">
        <v>5101</v>
      </c>
      <c r="O11" s="58" t="s">
        <v>31</v>
      </c>
      <c r="P11" s="53"/>
      <c r="Q11" s="54"/>
      <c r="V11" s="623" t="s">
        <v>30</v>
      </c>
      <c r="W11" s="623"/>
      <c r="X11" s="618">
        <f>IF('4037 June Final'!K$84=1,'4037 June Final'!G11,0)</f>
        <v>85.34</v>
      </c>
      <c r="Y11" s="618"/>
      <c r="Z11" s="624">
        <v>1</v>
      </c>
      <c r="AA11" s="624"/>
      <c r="AB11" s="55">
        <f t="shared" si="3"/>
        <v>85.34</v>
      </c>
      <c r="AC11" s="56">
        <f t="shared" si="4"/>
        <v>330660</v>
      </c>
      <c r="AD11" s="9"/>
    </row>
    <row r="12" spans="1:30" x14ac:dyDescent="0.25">
      <c r="A12" s="1" t="s">
        <v>32</v>
      </c>
      <c r="B12" s="13" t="s">
        <v>33</v>
      </c>
      <c r="C12" s="13"/>
      <c r="D12" s="13">
        <v>1.06</v>
      </c>
      <c r="E12" s="13">
        <v>1.06</v>
      </c>
      <c r="F12" s="13">
        <v>1.25</v>
      </c>
      <c r="G12" s="46">
        <f t="shared" si="0"/>
        <v>2.12</v>
      </c>
      <c r="H12" s="47"/>
      <c r="I12" s="57">
        <v>1</v>
      </c>
      <c r="J12" s="57"/>
      <c r="K12" s="49">
        <f t="shared" si="1"/>
        <v>2.12</v>
      </c>
      <c r="L12" s="50">
        <f t="shared" si="2"/>
        <v>8214</v>
      </c>
      <c r="N12" s="51">
        <v>5102</v>
      </c>
      <c r="O12" s="52">
        <v>102</v>
      </c>
      <c r="P12" s="53"/>
      <c r="Q12" s="54"/>
      <c r="V12" s="623" t="s">
        <v>33</v>
      </c>
      <c r="W12" s="623"/>
      <c r="X12" s="618">
        <f>IF('4037 June Final'!K$84=1,'4037 June Final'!G12,0)</f>
        <v>2.12</v>
      </c>
      <c r="Y12" s="618"/>
      <c r="Z12" s="624">
        <v>1</v>
      </c>
      <c r="AA12" s="624"/>
      <c r="AB12" s="55">
        <f t="shared" si="3"/>
        <v>2.12</v>
      </c>
      <c r="AC12" s="56">
        <f t="shared" si="4"/>
        <v>8214</v>
      </c>
      <c r="AD12" s="9"/>
    </row>
    <row r="13" spans="1:30" x14ac:dyDescent="0.25">
      <c r="A13" s="1" t="s">
        <v>34</v>
      </c>
      <c r="B13" s="13" t="s">
        <v>35</v>
      </c>
      <c r="C13" s="13"/>
      <c r="D13" s="13">
        <v>3.06</v>
      </c>
      <c r="E13" s="13">
        <v>2.98</v>
      </c>
      <c r="F13" s="13">
        <v>3.83</v>
      </c>
      <c r="G13" s="46">
        <f t="shared" si="0"/>
        <v>6.04</v>
      </c>
      <c r="H13" s="47"/>
      <c r="I13" s="57">
        <f>I12</f>
        <v>1</v>
      </c>
      <c r="J13" s="57"/>
      <c r="K13" s="49">
        <f t="shared" si="1"/>
        <v>6.04</v>
      </c>
      <c r="L13" s="50">
        <f t="shared" si="2"/>
        <v>23403</v>
      </c>
      <c r="M13" s="1" t="str">
        <f>IF(ROUND(G13,2)=ROUND(SUM(G31:G33),2)," ","CHECK 2. PK-3 Lines Below")</f>
        <v xml:space="preserve"> </v>
      </c>
      <c r="N13" s="51">
        <v>5102</v>
      </c>
      <c r="O13" s="58" t="s">
        <v>36</v>
      </c>
      <c r="P13" s="53"/>
      <c r="Q13" s="54"/>
      <c r="V13" s="623" t="s">
        <v>35</v>
      </c>
      <c r="W13" s="623"/>
      <c r="X13" s="618">
        <f>IF('4037 June Final'!K$84=1,'4037 June Final'!G13,0)</f>
        <v>6.04</v>
      </c>
      <c r="Y13" s="618"/>
      <c r="Z13" s="624">
        <v>1</v>
      </c>
      <c r="AA13" s="624"/>
      <c r="AB13" s="55">
        <f t="shared" si="3"/>
        <v>6.04</v>
      </c>
      <c r="AC13" s="56">
        <f t="shared" si="4"/>
        <v>23403</v>
      </c>
      <c r="AD13" s="9"/>
    </row>
    <row r="14" spans="1:30" x14ac:dyDescent="0.25">
      <c r="A14" s="1" t="s">
        <v>37</v>
      </c>
      <c r="B14" s="13" t="s">
        <v>38</v>
      </c>
      <c r="C14" s="13"/>
      <c r="D14" s="13">
        <v>0</v>
      </c>
      <c r="E14" s="13">
        <v>0</v>
      </c>
      <c r="F14" s="13">
        <v>0</v>
      </c>
      <c r="G14" s="46">
        <f t="shared" si="0"/>
        <v>0</v>
      </c>
      <c r="H14" s="47"/>
      <c r="I14" s="57">
        <v>1.0109999999999999</v>
      </c>
      <c r="J14" s="57"/>
      <c r="K14" s="49">
        <f t="shared" si="1"/>
        <v>0</v>
      </c>
      <c r="L14" s="50">
        <f t="shared" si="2"/>
        <v>0</v>
      </c>
      <c r="N14" s="51">
        <v>5103</v>
      </c>
      <c r="O14" s="52">
        <v>103</v>
      </c>
      <c r="P14" s="53"/>
      <c r="Q14" s="54"/>
      <c r="V14" s="623" t="s">
        <v>38</v>
      </c>
      <c r="W14" s="623"/>
      <c r="X14" s="618">
        <f>IF('4037 June Final'!K$84=1,'4037 June Final'!G14,0)</f>
        <v>0</v>
      </c>
      <c r="Y14" s="618"/>
      <c r="Z14" s="624">
        <v>1</v>
      </c>
      <c r="AA14" s="624"/>
      <c r="AB14" s="55">
        <f t="shared" si="3"/>
        <v>0</v>
      </c>
      <c r="AC14" s="56">
        <f t="shared" si="4"/>
        <v>0</v>
      </c>
      <c r="AD14" s="9"/>
    </row>
    <row r="15" spans="1:30" x14ac:dyDescent="0.25">
      <c r="A15" s="1" t="s">
        <v>39</v>
      </c>
      <c r="B15" s="13" t="s">
        <v>40</v>
      </c>
      <c r="C15" s="13"/>
      <c r="D15" s="13">
        <v>0</v>
      </c>
      <c r="E15" s="13">
        <v>0</v>
      </c>
      <c r="F15" s="13">
        <v>0</v>
      </c>
      <c r="G15" s="46">
        <f t="shared" si="0"/>
        <v>0</v>
      </c>
      <c r="H15" s="47"/>
      <c r="I15" s="57">
        <f>I14</f>
        <v>1.0109999999999999</v>
      </c>
      <c r="J15" s="57"/>
      <c r="K15" s="49">
        <f t="shared" si="1"/>
        <v>0</v>
      </c>
      <c r="L15" s="59">
        <f t="shared" si="2"/>
        <v>0</v>
      </c>
      <c r="M15" s="1" t="str">
        <f>IF(ROUND(G15,2)=ROUND(SUM(G34:G36),2)," ","CHECK 2. PK-3 Lines Below")</f>
        <v xml:space="preserve"> </v>
      </c>
      <c r="N15" s="51">
        <v>5103</v>
      </c>
      <c r="O15" s="58" t="s">
        <v>41</v>
      </c>
      <c r="P15" s="53"/>
      <c r="Q15" s="54"/>
      <c r="V15" s="623" t="s">
        <v>40</v>
      </c>
      <c r="W15" s="623"/>
      <c r="X15" s="618">
        <f>IF('4037 June Final'!K$84=1,'4037 June Final'!G15,0)</f>
        <v>0</v>
      </c>
      <c r="Y15" s="618"/>
      <c r="Z15" s="624">
        <v>1</v>
      </c>
      <c r="AA15" s="624"/>
      <c r="AB15" s="55">
        <f t="shared" si="3"/>
        <v>0</v>
      </c>
      <c r="AC15" s="60">
        <f t="shared" si="4"/>
        <v>0</v>
      </c>
      <c r="AD15" s="9"/>
    </row>
    <row r="16" spans="1:30" x14ac:dyDescent="0.25">
      <c r="A16" s="1" t="s">
        <v>42</v>
      </c>
      <c r="B16" s="13" t="s">
        <v>43</v>
      </c>
      <c r="C16" s="13"/>
      <c r="D16" s="13">
        <v>0.5</v>
      </c>
      <c r="E16" s="13">
        <v>0.5</v>
      </c>
      <c r="F16" s="13">
        <v>0.68</v>
      </c>
      <c r="G16" s="46">
        <f t="shared" si="0"/>
        <v>1</v>
      </c>
      <c r="H16" s="47"/>
      <c r="I16" s="57">
        <v>3.5579999999999998</v>
      </c>
      <c r="J16" s="57"/>
      <c r="K16" s="49">
        <f t="shared" si="1"/>
        <v>3.5579999999999998</v>
      </c>
      <c r="L16" s="50">
        <f t="shared" si="2"/>
        <v>13786</v>
      </c>
      <c r="N16" s="51">
        <v>5101</v>
      </c>
      <c r="O16" s="53">
        <v>254</v>
      </c>
      <c r="P16" s="53"/>
      <c r="Q16" s="54"/>
      <c r="V16" s="623" t="s">
        <v>43</v>
      </c>
      <c r="W16" s="623"/>
      <c r="X16" s="618">
        <f>IF('4037 June Final'!K$84=1,'4037 June Final'!G16,0)</f>
        <v>1</v>
      </c>
      <c r="Y16" s="618"/>
      <c r="Z16" s="624">
        <v>1</v>
      </c>
      <c r="AA16" s="624"/>
      <c r="AB16" s="55">
        <f t="shared" si="3"/>
        <v>1</v>
      </c>
      <c r="AC16" s="56">
        <f t="shared" si="4"/>
        <v>3875</v>
      </c>
      <c r="AD16" s="9"/>
    </row>
    <row r="17" spans="1:30" x14ac:dyDescent="0.25">
      <c r="A17" s="1" t="s">
        <v>44</v>
      </c>
      <c r="B17" s="13" t="s">
        <v>45</v>
      </c>
      <c r="C17" s="13"/>
      <c r="D17" s="13">
        <v>0</v>
      </c>
      <c r="E17" s="13">
        <v>0</v>
      </c>
      <c r="F17" s="13">
        <v>0.68</v>
      </c>
      <c r="G17" s="46">
        <f t="shared" si="0"/>
        <v>0</v>
      </c>
      <c r="H17" s="47"/>
      <c r="I17" s="57">
        <f>I16</f>
        <v>3.5579999999999998</v>
      </c>
      <c r="J17" s="57"/>
      <c r="K17" s="49">
        <f t="shared" si="1"/>
        <v>0</v>
      </c>
      <c r="L17" s="50">
        <f t="shared" si="2"/>
        <v>0</v>
      </c>
      <c r="N17" s="51">
        <v>5102</v>
      </c>
      <c r="O17" s="54">
        <v>254</v>
      </c>
      <c r="P17" s="53"/>
      <c r="Q17" s="54"/>
      <c r="V17" s="623" t="s">
        <v>45</v>
      </c>
      <c r="W17" s="623"/>
      <c r="X17" s="618">
        <f>IF('4037 June Final'!K$84=1,'4037 June Final'!G17,0)</f>
        <v>0</v>
      </c>
      <c r="Y17" s="618"/>
      <c r="Z17" s="624">
        <v>1</v>
      </c>
      <c r="AA17" s="624"/>
      <c r="AB17" s="55">
        <f t="shared" si="3"/>
        <v>0</v>
      </c>
      <c r="AC17" s="56">
        <f t="shared" si="4"/>
        <v>0</v>
      </c>
      <c r="AD17" s="9"/>
    </row>
    <row r="18" spans="1:30" x14ac:dyDescent="0.25">
      <c r="A18" s="1" t="s">
        <v>46</v>
      </c>
      <c r="B18" s="13" t="s">
        <v>47</v>
      </c>
      <c r="C18" s="13"/>
      <c r="D18" s="13">
        <v>0</v>
      </c>
      <c r="E18" s="13">
        <v>0</v>
      </c>
      <c r="F18" s="13">
        <v>0.68</v>
      </c>
      <c r="G18" s="46">
        <f t="shared" si="0"/>
        <v>0</v>
      </c>
      <c r="H18" s="47"/>
      <c r="I18" s="57">
        <f>I17</f>
        <v>3.5579999999999998</v>
      </c>
      <c r="J18" s="57"/>
      <c r="K18" s="49">
        <f t="shared" si="1"/>
        <v>0</v>
      </c>
      <c r="L18" s="50">
        <f t="shared" si="2"/>
        <v>0</v>
      </c>
      <c r="N18" s="51">
        <v>5103</v>
      </c>
      <c r="O18" s="54">
        <v>254</v>
      </c>
      <c r="P18" s="53"/>
      <c r="Q18" s="54"/>
      <c r="V18" s="623" t="s">
        <v>47</v>
      </c>
      <c r="W18" s="623"/>
      <c r="X18" s="618">
        <f>IF('4037 June Final'!K$84=1,'4037 June Final'!G18,0)</f>
        <v>0</v>
      </c>
      <c r="Y18" s="618"/>
      <c r="Z18" s="624">
        <v>1</v>
      </c>
      <c r="AA18" s="624"/>
      <c r="AB18" s="55">
        <f t="shared" si="3"/>
        <v>0</v>
      </c>
      <c r="AC18" s="56">
        <f t="shared" si="4"/>
        <v>0</v>
      </c>
      <c r="AD18" s="9"/>
    </row>
    <row r="19" spans="1:30" ht="15" customHeight="1" x14ac:dyDescent="0.25">
      <c r="A19" s="1" t="s">
        <v>48</v>
      </c>
      <c r="B19" s="13" t="s">
        <v>49</v>
      </c>
      <c r="C19" s="13"/>
      <c r="D19" s="13">
        <v>0.5</v>
      </c>
      <c r="E19" s="13">
        <v>0.5</v>
      </c>
      <c r="F19" s="13">
        <v>0.66</v>
      </c>
      <c r="G19" s="46">
        <f t="shared" si="0"/>
        <v>1</v>
      </c>
      <c r="H19" s="47"/>
      <c r="I19" s="57">
        <v>5.0890000000000004</v>
      </c>
      <c r="J19" s="57"/>
      <c r="K19" s="49">
        <f t="shared" si="1"/>
        <v>5.0890000000000004</v>
      </c>
      <c r="L19" s="50">
        <f t="shared" si="2"/>
        <v>19718</v>
      </c>
      <c r="N19" s="51">
        <v>5101</v>
      </c>
      <c r="O19" s="53">
        <v>255</v>
      </c>
      <c r="P19" s="53"/>
      <c r="Q19" s="54"/>
      <c r="V19" s="623" t="s">
        <v>49</v>
      </c>
      <c r="W19" s="623"/>
      <c r="X19" s="618">
        <f>IF('4037 June Final'!K$84=1,'4037 June Final'!G19,0)</f>
        <v>1</v>
      </c>
      <c r="Y19" s="618"/>
      <c r="Z19" s="624">
        <v>1</v>
      </c>
      <c r="AA19" s="624"/>
      <c r="AB19" s="55">
        <f t="shared" si="3"/>
        <v>1</v>
      </c>
      <c r="AC19" s="56">
        <f t="shared" si="4"/>
        <v>3875</v>
      </c>
      <c r="AD19" s="9"/>
    </row>
    <row r="20" spans="1:30" ht="15" customHeight="1" x14ac:dyDescent="0.25">
      <c r="A20" s="1" t="s">
        <v>50</v>
      </c>
      <c r="B20" s="13" t="s">
        <v>51</v>
      </c>
      <c r="C20" s="13"/>
      <c r="D20" s="13">
        <v>0</v>
      </c>
      <c r="E20" s="13">
        <v>0</v>
      </c>
      <c r="F20" s="13">
        <v>0.66</v>
      </c>
      <c r="G20" s="46">
        <f t="shared" si="0"/>
        <v>0</v>
      </c>
      <c r="H20" s="47"/>
      <c r="I20" s="57">
        <f>I19</f>
        <v>5.0890000000000004</v>
      </c>
      <c r="J20" s="57"/>
      <c r="K20" s="49">
        <f t="shared" si="1"/>
        <v>0</v>
      </c>
      <c r="L20" s="50">
        <f t="shared" si="2"/>
        <v>0</v>
      </c>
      <c r="N20" s="51">
        <v>5102</v>
      </c>
      <c r="O20" s="54">
        <v>255</v>
      </c>
      <c r="P20" s="53"/>
      <c r="Q20" s="54"/>
      <c r="V20" s="623" t="s">
        <v>51</v>
      </c>
      <c r="W20" s="623"/>
      <c r="X20" s="618">
        <f>IF('4037 June Final'!K$84=1,'4037 June Final'!G20,0)</f>
        <v>0</v>
      </c>
      <c r="Y20" s="618"/>
      <c r="Z20" s="624">
        <v>1</v>
      </c>
      <c r="AA20" s="624"/>
      <c r="AB20" s="55">
        <f t="shared" si="3"/>
        <v>0</v>
      </c>
      <c r="AC20" s="56">
        <f t="shared" si="4"/>
        <v>0</v>
      </c>
      <c r="AD20" s="9"/>
    </row>
    <row r="21" spans="1:30" ht="15" customHeight="1" x14ac:dyDescent="0.25">
      <c r="A21" s="1" t="s">
        <v>52</v>
      </c>
      <c r="B21" s="13" t="s">
        <v>53</v>
      </c>
      <c r="C21" s="13"/>
      <c r="D21" s="13">
        <v>0</v>
      </c>
      <c r="E21" s="13">
        <v>0</v>
      </c>
      <c r="F21" s="13">
        <v>0.66</v>
      </c>
      <c r="G21" s="46">
        <f t="shared" si="0"/>
        <v>0</v>
      </c>
      <c r="H21" s="47"/>
      <c r="I21" s="57">
        <f>I20</f>
        <v>5.0890000000000004</v>
      </c>
      <c r="J21" s="57"/>
      <c r="K21" s="49">
        <f t="shared" si="1"/>
        <v>0</v>
      </c>
      <c r="L21" s="50">
        <f t="shared" si="2"/>
        <v>0</v>
      </c>
      <c r="N21" s="51">
        <v>5103</v>
      </c>
      <c r="O21" s="54">
        <v>255</v>
      </c>
      <c r="P21" s="53"/>
      <c r="Q21" s="54"/>
      <c r="V21" s="623" t="s">
        <v>53</v>
      </c>
      <c r="W21" s="623"/>
      <c r="X21" s="618">
        <f>IF('4037 June Final'!K$84=1,'4037 June Final'!G21,0)</f>
        <v>0</v>
      </c>
      <c r="Y21" s="618"/>
      <c r="Z21" s="624">
        <v>1</v>
      </c>
      <c r="AA21" s="624"/>
      <c r="AB21" s="55">
        <f t="shared" si="3"/>
        <v>0</v>
      </c>
      <c r="AC21" s="56">
        <f t="shared" si="4"/>
        <v>0</v>
      </c>
      <c r="AD21" s="9"/>
    </row>
    <row r="22" spans="1:30" x14ac:dyDescent="0.25">
      <c r="A22" s="1" t="s">
        <v>54</v>
      </c>
      <c r="B22" s="13" t="s">
        <v>55</v>
      </c>
      <c r="C22" s="13"/>
      <c r="D22" s="13">
        <v>6.84</v>
      </c>
      <c r="E22" s="13">
        <v>6.38</v>
      </c>
      <c r="F22" s="13">
        <v>9</v>
      </c>
      <c r="G22" s="46">
        <f t="shared" si="0"/>
        <v>13.219999999999999</v>
      </c>
      <c r="H22" s="47"/>
      <c r="I22" s="57">
        <v>1.145</v>
      </c>
      <c r="J22" s="57"/>
      <c r="K22" s="49">
        <f t="shared" si="1"/>
        <v>15.136900000000001</v>
      </c>
      <c r="L22" s="50">
        <f t="shared" si="2"/>
        <v>58650</v>
      </c>
      <c r="N22" s="51">
        <v>5101</v>
      </c>
      <c r="O22" s="52">
        <v>130</v>
      </c>
      <c r="P22" s="53"/>
      <c r="Q22" s="54"/>
      <c r="V22" s="623" t="s">
        <v>55</v>
      </c>
      <c r="W22" s="623"/>
      <c r="X22" s="618">
        <f>IF('4037 June Final'!K$84=1,'4037 June Final'!G22,0)</f>
        <v>13.219999999999999</v>
      </c>
      <c r="Y22" s="618"/>
      <c r="Z22" s="624">
        <v>1</v>
      </c>
      <c r="AA22" s="624"/>
      <c r="AB22" s="55">
        <f t="shared" si="3"/>
        <v>13.22</v>
      </c>
      <c r="AC22" s="56">
        <f t="shared" si="4"/>
        <v>51223</v>
      </c>
      <c r="AD22" s="9"/>
    </row>
    <row r="23" spans="1:30" x14ac:dyDescent="0.25">
      <c r="A23" s="1" t="s">
        <v>56</v>
      </c>
      <c r="B23" s="13" t="s">
        <v>57</v>
      </c>
      <c r="C23" s="13"/>
      <c r="D23" s="13">
        <v>0.9</v>
      </c>
      <c r="E23" s="13">
        <v>0.91</v>
      </c>
      <c r="F23" s="13">
        <v>0</v>
      </c>
      <c r="G23" s="46">
        <f t="shared" si="0"/>
        <v>1.81</v>
      </c>
      <c r="H23" s="47"/>
      <c r="I23" s="57">
        <f>I22</f>
        <v>1.145</v>
      </c>
      <c r="J23" s="57"/>
      <c r="K23" s="49">
        <f t="shared" si="1"/>
        <v>2.0724999999999998</v>
      </c>
      <c r="L23" s="50">
        <f t="shared" si="2"/>
        <v>8030</v>
      </c>
      <c r="N23" s="51">
        <v>5102</v>
      </c>
      <c r="O23" s="52">
        <v>130</v>
      </c>
      <c r="P23" s="53"/>
      <c r="Q23" s="54"/>
      <c r="V23" s="623" t="s">
        <v>57</v>
      </c>
      <c r="W23" s="623"/>
      <c r="X23" s="618">
        <f>IF('4037 June Final'!K$84=1,'4037 June Final'!G23,0)</f>
        <v>1.81</v>
      </c>
      <c r="Y23" s="618"/>
      <c r="Z23" s="624">
        <v>1</v>
      </c>
      <c r="AA23" s="624"/>
      <c r="AB23" s="55">
        <f t="shared" si="3"/>
        <v>1.81</v>
      </c>
      <c r="AC23" s="56">
        <f t="shared" si="4"/>
        <v>7013</v>
      </c>
      <c r="AD23" s="9"/>
    </row>
    <row r="24" spans="1:30" x14ac:dyDescent="0.25">
      <c r="A24" s="1" t="s">
        <v>58</v>
      </c>
      <c r="B24" s="13" t="s">
        <v>59</v>
      </c>
      <c r="C24" s="13"/>
      <c r="D24" s="13">
        <v>0</v>
      </c>
      <c r="E24" s="13">
        <v>0</v>
      </c>
      <c r="F24" s="13">
        <v>0</v>
      </c>
      <c r="G24" s="46">
        <f t="shared" si="0"/>
        <v>0</v>
      </c>
      <c r="H24" s="47"/>
      <c r="I24" s="57">
        <f>I23</f>
        <v>1.145</v>
      </c>
      <c r="J24" s="57"/>
      <c r="K24" s="49">
        <f t="shared" si="1"/>
        <v>0</v>
      </c>
      <c r="L24" s="50">
        <f t="shared" si="2"/>
        <v>0</v>
      </c>
      <c r="N24" s="51">
        <v>5103</v>
      </c>
      <c r="O24" s="52">
        <v>130</v>
      </c>
      <c r="P24" s="53"/>
      <c r="Q24" s="54"/>
      <c r="V24" s="623" t="s">
        <v>59</v>
      </c>
      <c r="W24" s="623"/>
      <c r="X24" s="618">
        <f>IF('4037 June Final'!K$84=1,'4037 June Final'!G24,0)</f>
        <v>0</v>
      </c>
      <c r="Y24" s="618"/>
      <c r="Z24" s="624">
        <v>1</v>
      </c>
      <c r="AA24" s="624"/>
      <c r="AB24" s="55">
        <f t="shared" si="3"/>
        <v>0</v>
      </c>
      <c r="AC24" s="56">
        <f t="shared" si="4"/>
        <v>0</v>
      </c>
      <c r="AD24" s="9"/>
    </row>
    <row r="25" spans="1:30" ht="16.5" thickBot="1" x14ac:dyDescent="0.3">
      <c r="A25" s="1" t="s">
        <v>60</v>
      </c>
      <c r="B25" s="13" t="s">
        <v>61</v>
      </c>
      <c r="C25" s="13"/>
      <c r="D25" s="13">
        <v>0</v>
      </c>
      <c r="E25" s="13">
        <v>0</v>
      </c>
      <c r="F25" s="13">
        <v>0</v>
      </c>
      <c r="G25" s="46">
        <f t="shared" si="0"/>
        <v>0</v>
      </c>
      <c r="H25" s="47"/>
      <c r="I25" s="57">
        <v>1.0109999999999999</v>
      </c>
      <c r="J25" s="57"/>
      <c r="K25" s="49">
        <f t="shared" si="1"/>
        <v>0</v>
      </c>
      <c r="L25" s="50">
        <f t="shared" si="2"/>
        <v>0</v>
      </c>
      <c r="N25" s="51">
        <v>5310</v>
      </c>
      <c r="O25" s="52">
        <v>300</v>
      </c>
      <c r="P25" s="53"/>
      <c r="Q25" s="54"/>
      <c r="V25" s="623" t="s">
        <v>61</v>
      </c>
      <c r="W25" s="623"/>
      <c r="X25" s="618">
        <f>IF('4037 June Final'!K$84=1,'4037 June Final'!G25,0)</f>
        <v>0</v>
      </c>
      <c r="Y25" s="618"/>
      <c r="Z25" s="624">
        <v>1</v>
      </c>
      <c r="AA25" s="624"/>
      <c r="AB25" s="55">
        <f t="shared" si="3"/>
        <v>0</v>
      </c>
      <c r="AC25" s="56">
        <f t="shared" si="4"/>
        <v>0</v>
      </c>
      <c r="AD25" s="9"/>
    </row>
    <row r="26" spans="1:30" ht="20.25" customHeight="1" thickBot="1" x14ac:dyDescent="0.3">
      <c r="B26" s="62" t="s">
        <v>62</v>
      </c>
      <c r="C26" s="62"/>
      <c r="D26" s="63">
        <f>SUM(D10:D25)</f>
        <v>58.970000000000006</v>
      </c>
      <c r="E26" s="63">
        <f>SUM(E10:E25)</f>
        <v>63.309999999999995</v>
      </c>
      <c r="F26" s="63"/>
      <c r="G26" s="63">
        <f>SUM(G10:G25)</f>
        <v>122.28000000000002</v>
      </c>
      <c r="H26" s="64"/>
      <c r="I26" s="64"/>
      <c r="J26" s="65"/>
      <c r="K26" s="66">
        <f>SUM(K10:K25)</f>
        <v>143.24269999999999</v>
      </c>
      <c r="L26" s="67">
        <f>SUM(L10:L25)</f>
        <v>555012</v>
      </c>
      <c r="N26" s="54"/>
      <c r="O26" s="68"/>
      <c r="P26" s="54"/>
      <c r="Q26" s="54"/>
      <c r="V26" s="625" t="s">
        <v>62</v>
      </c>
      <c r="W26" s="625"/>
      <c r="X26" s="626">
        <f>SUM(X10:X25)</f>
        <v>122.28000000000002</v>
      </c>
      <c r="Y26" s="626"/>
      <c r="Z26" s="627"/>
      <c r="AA26" s="628"/>
      <c r="AB26" s="69">
        <f>SUM(AB10:AB25)</f>
        <v>122.28000000000002</v>
      </c>
      <c r="AC26" s="70">
        <f>SUM(AC10:AC25)</f>
        <v>473790</v>
      </c>
      <c r="AD26" s="9"/>
    </row>
    <row r="27" spans="1:30" ht="51.75" customHeight="1" x14ac:dyDescent="0.25">
      <c r="B27" s="62" t="s">
        <v>63</v>
      </c>
      <c r="C27" s="62"/>
      <c r="D27" s="71" t="s">
        <v>13</v>
      </c>
      <c r="E27" s="71" t="s">
        <v>14</v>
      </c>
      <c r="F27" s="27"/>
      <c r="G27" s="72" t="s">
        <v>64</v>
      </c>
      <c r="H27" s="73"/>
      <c r="I27" s="74" t="s">
        <v>65</v>
      </c>
      <c r="J27" s="74" t="s">
        <v>66</v>
      </c>
      <c r="K27" s="75" t="s">
        <v>67</v>
      </c>
      <c r="N27" s="54"/>
      <c r="O27" s="68"/>
      <c r="P27" s="54"/>
      <c r="Q27" s="54"/>
      <c r="V27" s="629" t="s">
        <v>63</v>
      </c>
      <c r="W27" s="629"/>
      <c r="X27" s="630" t="s">
        <v>64</v>
      </c>
      <c r="Y27" s="630"/>
      <c r="Z27" s="76" t="s">
        <v>65</v>
      </c>
      <c r="AA27" s="77" t="s">
        <v>66</v>
      </c>
      <c r="AB27" s="78" t="s">
        <v>67</v>
      </c>
      <c r="AC27" s="9"/>
      <c r="AD27" s="9"/>
    </row>
    <row r="28" spans="1:30" ht="15.75" customHeight="1" x14ac:dyDescent="0.25">
      <c r="A28" s="1" t="s">
        <v>68</v>
      </c>
      <c r="B28" s="631" t="s">
        <v>69</v>
      </c>
      <c r="C28" s="632"/>
      <c r="D28" s="13">
        <v>18.97</v>
      </c>
      <c r="E28" s="13">
        <v>20.05</v>
      </c>
      <c r="F28" s="79">
        <v>10</v>
      </c>
      <c r="G28" s="46">
        <f t="shared" ref="G28:G36" si="5">D28+E28</f>
        <v>39.019999999999996</v>
      </c>
      <c r="H28" s="80"/>
      <c r="I28" s="81" t="s">
        <v>70</v>
      </c>
      <c r="J28" s="82">
        <v>251</v>
      </c>
      <c r="K28" s="83">
        <v>1047</v>
      </c>
      <c r="L28" s="84">
        <f t="shared" ref="L28:L36" si="6">ROUND(G28*K28,0)</f>
        <v>40854</v>
      </c>
      <c r="N28" s="337">
        <v>5101</v>
      </c>
      <c r="O28" s="54">
        <v>251</v>
      </c>
      <c r="P28" s="86"/>
      <c r="Q28" s="87"/>
      <c r="V28" s="637" t="s">
        <v>69</v>
      </c>
      <c r="W28" s="637"/>
      <c r="X28" s="638"/>
      <c r="Y28" s="638"/>
      <c r="Z28" s="88" t="s">
        <v>70</v>
      </c>
      <c r="AA28" s="330">
        <v>251</v>
      </c>
      <c r="AB28" s="90">
        <f t="shared" ref="AB28:AB36" si="7">+K28</f>
        <v>1047</v>
      </c>
      <c r="AC28" s="91">
        <f t="shared" ref="AC28:AC36" si="8">ROUND(X28*AB28,0)</f>
        <v>0</v>
      </c>
      <c r="AD28" s="9"/>
    </row>
    <row r="29" spans="1:30" x14ac:dyDescent="0.25">
      <c r="A29" s="1" t="s">
        <v>71</v>
      </c>
      <c r="B29" s="633"/>
      <c r="C29" s="634"/>
      <c r="D29" s="13">
        <v>8.4600000000000009</v>
      </c>
      <c r="E29" s="13">
        <v>10.199999999999999</v>
      </c>
      <c r="F29" s="92">
        <v>3.5</v>
      </c>
      <c r="G29" s="46">
        <f t="shared" si="5"/>
        <v>18.66</v>
      </c>
      <c r="H29" s="80"/>
      <c r="I29" s="82" t="s">
        <v>70</v>
      </c>
      <c r="J29" s="82">
        <v>252</v>
      </c>
      <c r="K29" s="83">
        <v>3380</v>
      </c>
      <c r="L29" s="84">
        <f t="shared" si="6"/>
        <v>63071</v>
      </c>
      <c r="N29" s="337">
        <v>5101</v>
      </c>
      <c r="O29" s="54">
        <v>252</v>
      </c>
      <c r="P29" s="86"/>
      <c r="Q29" s="87"/>
      <c r="V29" s="637"/>
      <c r="W29" s="637"/>
      <c r="X29" s="638"/>
      <c r="Y29" s="638"/>
      <c r="Z29" s="330" t="s">
        <v>70</v>
      </c>
      <c r="AA29" s="330">
        <v>252</v>
      </c>
      <c r="AB29" s="90">
        <f t="shared" si="7"/>
        <v>3380</v>
      </c>
      <c r="AC29" s="91">
        <f t="shared" si="8"/>
        <v>0</v>
      </c>
      <c r="AD29" s="9"/>
    </row>
    <row r="30" spans="1:30" x14ac:dyDescent="0.25">
      <c r="A30" s="1" t="s">
        <v>72</v>
      </c>
      <c r="B30" s="633"/>
      <c r="C30" s="634"/>
      <c r="D30" s="13">
        <v>13</v>
      </c>
      <c r="E30" s="13">
        <v>14.66</v>
      </c>
      <c r="F30" s="92">
        <v>7</v>
      </c>
      <c r="G30" s="46">
        <f t="shared" si="5"/>
        <v>27.66</v>
      </c>
      <c r="H30" s="80"/>
      <c r="I30" s="82" t="s">
        <v>70</v>
      </c>
      <c r="J30" s="82">
        <v>253</v>
      </c>
      <c r="K30" s="83">
        <v>6896</v>
      </c>
      <c r="L30" s="84">
        <f t="shared" si="6"/>
        <v>190743</v>
      </c>
      <c r="N30" s="337">
        <v>5101</v>
      </c>
      <c r="O30" s="54">
        <v>253</v>
      </c>
      <c r="P30" s="86"/>
      <c r="Q30" s="68"/>
      <c r="V30" s="637"/>
      <c r="W30" s="637"/>
      <c r="X30" s="638"/>
      <c r="Y30" s="638"/>
      <c r="Z30" s="330" t="s">
        <v>70</v>
      </c>
      <c r="AA30" s="330">
        <v>253</v>
      </c>
      <c r="AB30" s="90">
        <f t="shared" si="7"/>
        <v>6896</v>
      </c>
      <c r="AC30" s="91">
        <f t="shared" si="8"/>
        <v>0</v>
      </c>
      <c r="AD30" s="9"/>
    </row>
    <row r="31" spans="1:30" x14ac:dyDescent="0.25">
      <c r="A31" s="1" t="s">
        <v>73</v>
      </c>
      <c r="B31" s="633"/>
      <c r="C31" s="634"/>
      <c r="D31" s="13">
        <v>2.04</v>
      </c>
      <c r="E31" s="13">
        <v>2</v>
      </c>
      <c r="F31" s="92">
        <v>1</v>
      </c>
      <c r="G31" s="46">
        <f t="shared" si="5"/>
        <v>4.04</v>
      </c>
      <c r="H31" s="80"/>
      <c r="I31" s="93" t="s">
        <v>74</v>
      </c>
      <c r="J31" s="82">
        <v>251</v>
      </c>
      <c r="K31" s="83">
        <v>1173</v>
      </c>
      <c r="L31" s="84">
        <f t="shared" si="6"/>
        <v>4739</v>
      </c>
      <c r="N31" s="337">
        <v>5102</v>
      </c>
      <c r="O31" s="54">
        <v>251</v>
      </c>
      <c r="P31" s="86"/>
      <c r="Q31" s="68"/>
      <c r="V31" s="637"/>
      <c r="W31" s="637"/>
      <c r="X31" s="638"/>
      <c r="Y31" s="638"/>
      <c r="Z31" s="94" t="s">
        <v>74</v>
      </c>
      <c r="AA31" s="330">
        <v>251</v>
      </c>
      <c r="AB31" s="90">
        <f t="shared" si="7"/>
        <v>1173</v>
      </c>
      <c r="AC31" s="91">
        <f t="shared" si="8"/>
        <v>0</v>
      </c>
      <c r="AD31" s="9"/>
    </row>
    <row r="32" spans="1:30" x14ac:dyDescent="0.25">
      <c r="A32" s="1" t="s">
        <v>75</v>
      </c>
      <c r="B32" s="633"/>
      <c r="C32" s="634"/>
      <c r="D32" s="13">
        <v>1.02</v>
      </c>
      <c r="E32" s="13">
        <v>0.98</v>
      </c>
      <c r="F32" s="92">
        <v>0.5</v>
      </c>
      <c r="G32" s="46">
        <f t="shared" si="5"/>
        <v>2</v>
      </c>
      <c r="H32" s="80"/>
      <c r="I32" s="93" t="s">
        <v>74</v>
      </c>
      <c r="J32" s="82">
        <v>252</v>
      </c>
      <c r="K32" s="83">
        <v>3506</v>
      </c>
      <c r="L32" s="84">
        <f t="shared" si="6"/>
        <v>7012</v>
      </c>
      <c r="N32" s="337">
        <v>5102</v>
      </c>
      <c r="O32" s="54">
        <v>252</v>
      </c>
      <c r="P32" s="86"/>
      <c r="Q32" s="54"/>
      <c r="V32" s="637"/>
      <c r="W32" s="637"/>
      <c r="X32" s="638"/>
      <c r="Y32" s="638"/>
      <c r="Z32" s="94" t="s">
        <v>74</v>
      </c>
      <c r="AA32" s="330">
        <v>252</v>
      </c>
      <c r="AB32" s="90">
        <f t="shared" si="7"/>
        <v>3506</v>
      </c>
      <c r="AC32" s="91">
        <f t="shared" si="8"/>
        <v>0</v>
      </c>
      <c r="AD32" s="9"/>
    </row>
    <row r="33" spans="1:30" x14ac:dyDescent="0.25">
      <c r="A33" s="1" t="s">
        <v>76</v>
      </c>
      <c r="B33" s="633"/>
      <c r="C33" s="634"/>
      <c r="D33" s="13">
        <v>0</v>
      </c>
      <c r="E33" s="13">
        <v>0</v>
      </c>
      <c r="F33" s="92">
        <v>0</v>
      </c>
      <c r="G33" s="46">
        <f t="shared" si="5"/>
        <v>0</v>
      </c>
      <c r="H33" s="80"/>
      <c r="I33" s="93" t="s">
        <v>74</v>
      </c>
      <c r="J33" s="82">
        <v>253</v>
      </c>
      <c r="K33" s="83">
        <v>7023</v>
      </c>
      <c r="L33" s="84">
        <f t="shared" si="6"/>
        <v>0</v>
      </c>
      <c r="N33" s="337">
        <v>5102</v>
      </c>
      <c r="O33" s="54">
        <v>253</v>
      </c>
      <c r="P33" s="86"/>
      <c r="Q33" s="87"/>
      <c r="V33" s="637"/>
      <c r="W33" s="637"/>
      <c r="X33" s="638"/>
      <c r="Y33" s="638"/>
      <c r="Z33" s="94" t="s">
        <v>74</v>
      </c>
      <c r="AA33" s="330">
        <v>253</v>
      </c>
      <c r="AB33" s="90">
        <f t="shared" si="7"/>
        <v>7023</v>
      </c>
      <c r="AC33" s="91">
        <f t="shared" si="8"/>
        <v>0</v>
      </c>
      <c r="AD33" s="9"/>
    </row>
    <row r="34" spans="1:30" x14ac:dyDescent="0.25">
      <c r="A34" s="1" t="s">
        <v>77</v>
      </c>
      <c r="B34" s="633"/>
      <c r="C34" s="634"/>
      <c r="D34" s="13">
        <v>0</v>
      </c>
      <c r="E34" s="13">
        <v>0</v>
      </c>
      <c r="F34" s="92">
        <v>0</v>
      </c>
      <c r="G34" s="46">
        <f t="shared" si="5"/>
        <v>0</v>
      </c>
      <c r="H34" s="80"/>
      <c r="I34" s="93" t="s">
        <v>78</v>
      </c>
      <c r="J34" s="82">
        <v>251</v>
      </c>
      <c r="K34" s="83">
        <v>835</v>
      </c>
      <c r="L34" s="84">
        <f t="shared" si="6"/>
        <v>0</v>
      </c>
      <c r="N34" s="337">
        <v>5103</v>
      </c>
      <c r="O34" s="54">
        <v>251</v>
      </c>
      <c r="P34" s="86"/>
      <c r="Q34" s="87"/>
      <c r="V34" s="637"/>
      <c r="W34" s="637"/>
      <c r="X34" s="638"/>
      <c r="Y34" s="638"/>
      <c r="Z34" s="94" t="s">
        <v>78</v>
      </c>
      <c r="AA34" s="330">
        <v>251</v>
      </c>
      <c r="AB34" s="90">
        <f t="shared" si="7"/>
        <v>835</v>
      </c>
      <c r="AC34" s="91">
        <f t="shared" si="8"/>
        <v>0</v>
      </c>
      <c r="AD34" s="9"/>
    </row>
    <row r="35" spans="1:30" x14ac:dyDescent="0.25">
      <c r="A35" s="1" t="s">
        <v>79</v>
      </c>
      <c r="B35" s="633"/>
      <c r="C35" s="634"/>
      <c r="D35" s="13">
        <v>0</v>
      </c>
      <c r="E35" s="13">
        <v>0</v>
      </c>
      <c r="F35" s="92">
        <v>0</v>
      </c>
      <c r="G35" s="46">
        <f t="shared" si="5"/>
        <v>0</v>
      </c>
      <c r="H35" s="80"/>
      <c r="I35" s="93" t="s">
        <v>78</v>
      </c>
      <c r="J35" s="82">
        <v>252</v>
      </c>
      <c r="K35" s="83">
        <v>3168</v>
      </c>
      <c r="L35" s="84">
        <f t="shared" si="6"/>
        <v>0</v>
      </c>
      <c r="N35" s="337">
        <v>5103</v>
      </c>
      <c r="O35" s="54">
        <v>252</v>
      </c>
      <c r="P35" s="86"/>
      <c r="Q35" s="95"/>
      <c r="V35" s="637"/>
      <c r="W35" s="637"/>
      <c r="X35" s="638"/>
      <c r="Y35" s="638"/>
      <c r="Z35" s="94" t="s">
        <v>78</v>
      </c>
      <c r="AA35" s="330">
        <v>252</v>
      </c>
      <c r="AB35" s="90">
        <f t="shared" si="7"/>
        <v>3168</v>
      </c>
      <c r="AC35" s="91">
        <f t="shared" si="8"/>
        <v>0</v>
      </c>
      <c r="AD35" s="9"/>
    </row>
    <row r="36" spans="1:30" ht="16.5" thickBot="1" x14ac:dyDescent="0.3">
      <c r="A36" s="1" t="s">
        <v>80</v>
      </c>
      <c r="B36" s="635"/>
      <c r="C36" s="636"/>
      <c r="D36" s="13">
        <v>0</v>
      </c>
      <c r="E36" s="13">
        <v>0</v>
      </c>
      <c r="F36" s="92">
        <v>0</v>
      </c>
      <c r="G36" s="46">
        <f t="shared" si="5"/>
        <v>0</v>
      </c>
      <c r="H36" s="80"/>
      <c r="I36" s="93" t="s">
        <v>78</v>
      </c>
      <c r="J36" s="82">
        <v>253</v>
      </c>
      <c r="K36" s="83">
        <v>6685</v>
      </c>
      <c r="L36" s="96">
        <f t="shared" si="6"/>
        <v>0</v>
      </c>
      <c r="N36" s="337">
        <v>5103</v>
      </c>
      <c r="O36" s="54">
        <v>253</v>
      </c>
      <c r="P36" s="86"/>
      <c r="Q36" s="97"/>
      <c r="V36" s="637"/>
      <c r="W36" s="637"/>
      <c r="X36" s="645"/>
      <c r="Y36" s="645"/>
      <c r="Z36" s="94" t="s">
        <v>78</v>
      </c>
      <c r="AA36" s="330">
        <v>253</v>
      </c>
      <c r="AB36" s="90">
        <f t="shared" si="7"/>
        <v>6685</v>
      </c>
      <c r="AC36" s="98">
        <f t="shared" si="8"/>
        <v>0</v>
      </c>
      <c r="AD36" s="9"/>
    </row>
    <row r="37" spans="1:30" ht="18.75" customHeight="1" x14ac:dyDescent="0.25">
      <c r="B37" s="13" t="s">
        <v>81</v>
      </c>
      <c r="C37" s="13"/>
      <c r="D37" s="63">
        <f>SUM(D28:D36)</f>
        <v>43.49</v>
      </c>
      <c r="E37" s="63">
        <f>SUM(E28:E36)</f>
        <v>47.889999999999993</v>
      </c>
      <c r="F37" s="63"/>
      <c r="G37" s="63">
        <f>SUM(G28:G36)</f>
        <v>91.38</v>
      </c>
      <c r="H37" s="64"/>
      <c r="I37" s="13" t="s">
        <v>82</v>
      </c>
      <c r="J37" s="13"/>
      <c r="K37" s="13"/>
      <c r="L37" s="50">
        <f>SUM(L28:L36)</f>
        <v>306419</v>
      </c>
      <c r="N37" s="54"/>
      <c r="O37" s="68"/>
      <c r="P37" s="54"/>
      <c r="Q37" s="54"/>
      <c r="V37" s="646" t="s">
        <v>81</v>
      </c>
      <c r="W37" s="646"/>
      <c r="X37" s="626">
        <f>SUM(X28:X36)</f>
        <v>0</v>
      </c>
      <c r="Y37" s="626"/>
      <c r="Z37" s="646" t="s">
        <v>82</v>
      </c>
      <c r="AA37" s="646"/>
      <c r="AB37" s="646"/>
      <c r="AC37" s="56">
        <f>SUM(AC28:AC36)</f>
        <v>0</v>
      </c>
      <c r="AD37" s="9"/>
    </row>
    <row r="38" spans="1:30" ht="30.75" customHeight="1" x14ac:dyDescent="0.25">
      <c r="B38" s="99" t="s">
        <v>83</v>
      </c>
      <c r="C38" s="99"/>
      <c r="D38" s="99"/>
      <c r="E38" s="99"/>
      <c r="F38" s="99"/>
      <c r="G38" s="99"/>
      <c r="H38" s="100"/>
      <c r="I38" s="99"/>
      <c r="J38" s="99"/>
      <c r="K38" s="99"/>
      <c r="L38" s="99"/>
      <c r="M38" s="101"/>
      <c r="N38" s="54"/>
      <c r="O38" s="68"/>
      <c r="P38" s="54"/>
      <c r="Q38" s="54"/>
      <c r="V38" s="639" t="s">
        <v>83</v>
      </c>
      <c r="W38" s="639"/>
      <c r="X38" s="639"/>
      <c r="Y38" s="639"/>
      <c r="Z38" s="639"/>
      <c r="AA38" s="639"/>
      <c r="AB38" s="639"/>
      <c r="AC38" s="639"/>
      <c r="AD38" s="102"/>
    </row>
    <row r="39" spans="1:30" ht="15.75" customHeight="1" x14ac:dyDescent="0.25">
      <c r="B39" s="103" t="s">
        <v>84</v>
      </c>
      <c r="C39" s="103"/>
      <c r="D39" s="103"/>
      <c r="E39" s="103"/>
      <c r="F39" s="103"/>
      <c r="G39" s="104">
        <v>34389540</v>
      </c>
      <c r="H39" s="104"/>
      <c r="I39" s="13" t="s">
        <v>85</v>
      </c>
      <c r="J39" s="13"/>
      <c r="K39" s="13"/>
      <c r="L39" s="13"/>
      <c r="O39" s="1"/>
      <c r="V39" s="640" t="s">
        <v>84</v>
      </c>
      <c r="W39" s="640"/>
      <c r="X39" s="641">
        <f>+G39</f>
        <v>34389540</v>
      </c>
      <c r="Y39" s="641"/>
      <c r="Z39" s="642" t="s">
        <v>85</v>
      </c>
      <c r="AA39" s="642"/>
      <c r="AB39" s="642"/>
      <c r="AC39" s="642"/>
      <c r="AD39" s="9"/>
    </row>
    <row r="40" spans="1:30" ht="15.75" customHeight="1" x14ac:dyDescent="0.25">
      <c r="B40" s="105" t="s">
        <v>86</v>
      </c>
      <c r="C40" s="105"/>
      <c r="D40" s="105"/>
      <c r="E40" s="105"/>
      <c r="F40" s="105"/>
      <c r="G40" s="106">
        <v>180284.81</v>
      </c>
      <c r="H40" s="106"/>
      <c r="I40" s="106"/>
      <c r="J40" s="106"/>
      <c r="K40" s="50">
        <f>ROUND(G39/G40,0)</f>
        <v>191</v>
      </c>
      <c r="L40" s="50">
        <f>ROUND(K40*$G$26,0)</f>
        <v>23355</v>
      </c>
      <c r="N40" s="107"/>
      <c r="O40" s="107"/>
      <c r="P40" s="107"/>
      <c r="Q40" s="107"/>
      <c r="V40" s="643" t="s">
        <v>86</v>
      </c>
      <c r="W40" s="643"/>
      <c r="X40" s="644">
        <f>+G40</f>
        <v>180284.81</v>
      </c>
      <c r="Y40" s="644"/>
      <c r="Z40" s="644"/>
      <c r="AA40" s="644"/>
      <c r="AB40" s="56">
        <f>ROUND(X39/X40,0)</f>
        <v>191</v>
      </c>
      <c r="AC40" s="56">
        <f>ROUND(AB40*$X$26,0)</f>
        <v>23355</v>
      </c>
      <c r="AD40" s="9"/>
    </row>
    <row r="41" spans="1:30" ht="15.75" customHeight="1" x14ac:dyDescent="0.25">
      <c r="B41" s="108" t="s">
        <v>87</v>
      </c>
      <c r="C41" s="108"/>
      <c r="D41" s="108"/>
      <c r="E41" s="108"/>
      <c r="F41" s="108"/>
      <c r="G41" s="108"/>
      <c r="H41" s="108"/>
      <c r="I41" s="108"/>
      <c r="J41" s="108"/>
      <c r="K41" s="108"/>
      <c r="L41" s="108"/>
      <c r="N41" s="101"/>
      <c r="O41" s="109"/>
      <c r="P41" s="101"/>
      <c r="Q41" s="101"/>
      <c r="V41" s="652" t="s">
        <v>87</v>
      </c>
      <c r="W41" s="652"/>
      <c r="X41" s="652"/>
      <c r="Y41" s="652"/>
      <c r="Z41" s="652"/>
      <c r="AA41" s="652"/>
      <c r="AB41" s="652"/>
      <c r="AC41" s="652"/>
      <c r="AD41" s="9"/>
    </row>
    <row r="42" spans="1:30" ht="28.5" customHeight="1" x14ac:dyDescent="0.25">
      <c r="B42" s="99" t="s">
        <v>88</v>
      </c>
      <c r="C42" s="99"/>
      <c r="D42" s="99"/>
      <c r="E42" s="99"/>
      <c r="F42" s="99"/>
      <c r="G42" s="99"/>
      <c r="H42" s="99"/>
      <c r="I42" s="99"/>
      <c r="J42" s="99"/>
      <c r="K42" s="99"/>
      <c r="L42" s="99"/>
      <c r="M42" s="107"/>
      <c r="O42" s="1"/>
      <c r="V42" s="639" t="s">
        <v>88</v>
      </c>
      <c r="W42" s="639"/>
      <c r="X42" s="639"/>
      <c r="Y42" s="639"/>
      <c r="Z42" s="639"/>
      <c r="AA42" s="639"/>
      <c r="AB42" s="639"/>
      <c r="AC42" s="639"/>
      <c r="AD42" s="334"/>
    </row>
    <row r="43" spans="1:30" x14ac:dyDescent="0.25">
      <c r="B43" s="111" t="s">
        <v>89</v>
      </c>
      <c r="C43" s="111"/>
      <c r="D43" s="111"/>
      <c r="E43" s="111"/>
      <c r="F43" s="111"/>
      <c r="G43" s="111"/>
      <c r="H43" s="111"/>
      <c r="I43" s="111"/>
      <c r="J43" s="111"/>
      <c r="K43" s="111"/>
      <c r="L43" s="111"/>
      <c r="M43" s="112"/>
      <c r="N43" s="101"/>
      <c r="O43" s="101"/>
      <c r="P43" s="101"/>
      <c r="Q43" s="101"/>
      <c r="V43" s="653" t="s">
        <v>89</v>
      </c>
      <c r="W43" s="653"/>
      <c r="X43" s="653"/>
      <c r="Y43" s="653"/>
      <c r="Z43" s="653"/>
      <c r="AA43" s="653"/>
      <c r="AB43" s="653"/>
      <c r="AC43" s="653"/>
      <c r="AD43" s="113"/>
    </row>
    <row r="44" spans="1:30" ht="24" customHeight="1" x14ac:dyDescent="0.25">
      <c r="B44" s="62" t="s">
        <v>90</v>
      </c>
      <c r="C44" s="62"/>
      <c r="D44" s="62"/>
      <c r="E44" s="62"/>
      <c r="F44" s="62"/>
      <c r="G44" s="62"/>
      <c r="H44" s="62"/>
      <c r="I44" s="62"/>
      <c r="J44" s="62"/>
      <c r="K44" s="62"/>
      <c r="L44" s="114">
        <f>SUM(L26,L37,L40)</f>
        <v>884786</v>
      </c>
      <c r="O44" s="1"/>
      <c r="V44" s="654" t="s">
        <v>90</v>
      </c>
      <c r="W44" s="654"/>
      <c r="X44" s="654"/>
      <c r="Y44" s="654"/>
      <c r="Z44" s="654"/>
      <c r="AA44" s="654"/>
      <c r="AB44" s="654"/>
      <c r="AC44" s="115">
        <f>SUM(AC26,AC37,AC40)</f>
        <v>497145</v>
      </c>
      <c r="AD44" s="9"/>
    </row>
    <row r="45" spans="1:30" ht="30.75" customHeight="1" x14ac:dyDescent="0.25">
      <c r="B45" s="99" t="s">
        <v>91</v>
      </c>
      <c r="C45" s="99"/>
      <c r="D45" s="99"/>
      <c r="E45" s="99"/>
      <c r="F45" s="99"/>
      <c r="G45" s="99"/>
      <c r="H45" s="99"/>
      <c r="I45" s="99"/>
      <c r="J45" s="99"/>
      <c r="K45" s="99"/>
      <c r="L45" s="99"/>
      <c r="M45" s="116"/>
      <c r="O45" s="1"/>
      <c r="V45" s="639" t="s">
        <v>91</v>
      </c>
      <c r="W45" s="639"/>
      <c r="X45" s="639"/>
      <c r="Y45" s="639"/>
      <c r="Z45" s="639"/>
      <c r="AA45" s="639"/>
      <c r="AB45" s="639"/>
      <c r="AC45" s="639"/>
      <c r="AD45" s="333"/>
    </row>
    <row r="46" spans="1:30" ht="18.75" customHeight="1" x14ac:dyDescent="0.25">
      <c r="B46" s="1"/>
      <c r="C46" s="118" t="s">
        <v>92</v>
      </c>
      <c r="D46" s="118"/>
      <c r="E46" s="118"/>
      <c r="F46" s="118"/>
      <c r="G46" s="118" t="s">
        <v>93</v>
      </c>
      <c r="H46" s="119"/>
      <c r="I46" s="120" t="s">
        <v>94</v>
      </c>
      <c r="J46" s="121"/>
      <c r="K46" s="121"/>
      <c r="L46" s="121"/>
      <c r="M46" s="122"/>
      <c r="O46" s="1"/>
      <c r="V46" s="9"/>
      <c r="W46" s="336" t="s">
        <v>92</v>
      </c>
      <c r="X46" s="655" t="s">
        <v>95</v>
      </c>
      <c r="Y46" s="655"/>
      <c r="Z46" s="656" t="s">
        <v>94</v>
      </c>
      <c r="AA46" s="656"/>
      <c r="AB46" s="656"/>
      <c r="AC46" s="656"/>
      <c r="AD46" s="124"/>
    </row>
    <row r="47" spans="1:30" ht="18.75" customHeight="1" x14ac:dyDescent="0.25">
      <c r="B47" s="107" t="s">
        <v>96</v>
      </c>
      <c r="C47" s="125">
        <f>K10+K11+K16+K19+K22</f>
        <v>133.0102</v>
      </c>
      <c r="D47" s="125"/>
      <c r="E47" s="125"/>
      <c r="F47" s="125"/>
      <c r="G47" s="126">
        <f>K7</f>
        <v>1.0326</v>
      </c>
      <c r="H47" s="126"/>
      <c r="I47" s="127">
        <v>1316.85</v>
      </c>
      <c r="J47" s="128" t="s">
        <v>97</v>
      </c>
      <c r="K47" s="129">
        <f>ROUND(C47*G47*I47,0)</f>
        <v>180865</v>
      </c>
      <c r="L47" s="130"/>
      <c r="O47" s="1"/>
      <c r="V47" s="334" t="s">
        <v>96</v>
      </c>
      <c r="W47" s="131">
        <f>AB10+AB11+AB16+AB19+AB22</f>
        <v>112.31</v>
      </c>
      <c r="X47" s="647">
        <f>AB7</f>
        <v>1.0326</v>
      </c>
      <c r="Y47" s="647"/>
      <c r="Z47" s="132">
        <f>+I47</f>
        <v>1316.85</v>
      </c>
      <c r="AA47" s="133" t="s">
        <v>97</v>
      </c>
      <c r="AB47" s="134">
        <f>ROUND(W47*X47*Z47,0)</f>
        <v>152717</v>
      </c>
      <c r="AC47" s="135"/>
      <c r="AD47" s="9"/>
    </row>
    <row r="48" spans="1:30" ht="18" customHeight="1" x14ac:dyDescent="0.25">
      <c r="B48" s="136" t="s">
        <v>74</v>
      </c>
      <c r="C48" s="125">
        <f>K12+K13+K17+K20+K23</f>
        <v>10.2325</v>
      </c>
      <c r="D48" s="125"/>
      <c r="E48" s="125"/>
      <c r="F48" s="125"/>
      <c r="G48" s="126">
        <f>K7</f>
        <v>1.0326</v>
      </c>
      <c r="H48" s="126"/>
      <c r="I48" s="127">
        <v>898.23</v>
      </c>
      <c r="J48" s="128" t="s">
        <v>97</v>
      </c>
      <c r="K48" s="129">
        <f>ROUND(C48*G48*I48,0)</f>
        <v>9491</v>
      </c>
      <c r="L48" s="62"/>
      <c r="O48" s="1"/>
      <c r="V48" s="137" t="s">
        <v>74</v>
      </c>
      <c r="W48" s="131">
        <f>AB12+AB13+AB17+AB20+AB23</f>
        <v>9.9700000000000006</v>
      </c>
      <c r="X48" s="647">
        <f>AB7</f>
        <v>1.0326</v>
      </c>
      <c r="Y48" s="647"/>
      <c r="Z48" s="132">
        <f>+I48</f>
        <v>898.23</v>
      </c>
      <c r="AA48" s="133" t="s">
        <v>97</v>
      </c>
      <c r="AB48" s="134">
        <f>ROUND(W48*X48*Z48,0)</f>
        <v>9247</v>
      </c>
      <c r="AC48" s="138"/>
      <c r="AD48" s="9"/>
    </row>
    <row r="49" spans="2:30" ht="19.5" customHeight="1" thickBot="1" x14ac:dyDescent="0.3">
      <c r="B49" s="139" t="s">
        <v>78</v>
      </c>
      <c r="C49" s="140">
        <f>K14+K15+K18+K21+K24+K25</f>
        <v>0</v>
      </c>
      <c r="D49" s="125"/>
      <c r="E49" s="125"/>
      <c r="F49" s="125"/>
      <c r="G49" s="126">
        <f>K7</f>
        <v>1.0326</v>
      </c>
      <c r="H49" s="126"/>
      <c r="I49" s="127">
        <v>900.39</v>
      </c>
      <c r="J49" s="128" t="s">
        <v>97</v>
      </c>
      <c r="K49" s="129">
        <f>ROUND(C49*G49*I49,0)</f>
        <v>0</v>
      </c>
      <c r="L49" s="62"/>
      <c r="M49" s="112"/>
      <c r="N49" s="141"/>
      <c r="O49" s="142"/>
      <c r="P49" s="101"/>
      <c r="Q49" s="143"/>
      <c r="V49" s="144" t="s">
        <v>78</v>
      </c>
      <c r="W49" s="145">
        <f>AB14+AB15+AB18+AB21+AB24+AB25</f>
        <v>0</v>
      </c>
      <c r="X49" s="647">
        <f>AB7</f>
        <v>1.0326</v>
      </c>
      <c r="Y49" s="647"/>
      <c r="Z49" s="132">
        <f>+I49</f>
        <v>900.39</v>
      </c>
      <c r="AA49" s="133" t="s">
        <v>97</v>
      </c>
      <c r="AB49" s="134">
        <f>ROUND(W49*X49*Z49,0)</f>
        <v>0</v>
      </c>
      <c r="AC49" s="138"/>
      <c r="AD49" s="113"/>
    </row>
    <row r="50" spans="2:30" ht="24" customHeight="1" thickBot="1" x14ac:dyDescent="0.3">
      <c r="B50" s="146" t="s">
        <v>98</v>
      </c>
      <c r="C50" s="147">
        <f>SUM(C47:C49)</f>
        <v>143.24269999999999</v>
      </c>
      <c r="D50" s="148"/>
      <c r="E50" s="149"/>
      <c r="F50" s="149"/>
      <c r="G50" s="150" t="s">
        <v>99</v>
      </c>
      <c r="H50" s="150"/>
      <c r="I50" s="150"/>
      <c r="J50" s="150"/>
      <c r="K50" s="150"/>
      <c r="L50" s="50">
        <f>IF(B2=75,0,K49+K48+K47)</f>
        <v>190356</v>
      </c>
      <c r="N50" s="3"/>
      <c r="O50" s="1"/>
      <c r="V50" s="335" t="s">
        <v>98</v>
      </c>
      <c r="W50" s="152">
        <f>SUM(W47:W49)</f>
        <v>122.28</v>
      </c>
      <c r="X50" s="648" t="s">
        <v>99</v>
      </c>
      <c r="Y50" s="649"/>
      <c r="Z50" s="649"/>
      <c r="AA50" s="649"/>
      <c r="AB50" s="649"/>
      <c r="AC50" s="56">
        <f>IF(V2=75,0,AB49+AB48+AB47)</f>
        <v>161964</v>
      </c>
      <c r="AD50" s="9"/>
    </row>
    <row r="51" spans="2:30" ht="19.5" customHeight="1" x14ac:dyDescent="0.25">
      <c r="B51" s="153" t="s">
        <v>100</v>
      </c>
      <c r="C51" s="153"/>
      <c r="D51" s="153"/>
      <c r="E51" s="153"/>
      <c r="F51" s="153"/>
      <c r="G51" s="153"/>
      <c r="H51" s="153"/>
      <c r="I51" s="153"/>
      <c r="J51" s="153"/>
      <c r="K51" s="153"/>
      <c r="L51" s="153"/>
      <c r="M51" s="141"/>
      <c r="N51" s="101"/>
      <c r="O51" s="1"/>
      <c r="V51" s="650" t="s">
        <v>100</v>
      </c>
      <c r="W51" s="650"/>
      <c r="X51" s="650"/>
      <c r="Y51" s="650"/>
      <c r="Z51" s="650"/>
      <c r="AA51" s="650"/>
      <c r="AB51" s="650"/>
      <c r="AC51" s="650"/>
      <c r="AD51" s="154"/>
    </row>
    <row r="52" spans="2:30" ht="27.75" customHeight="1" x14ac:dyDescent="0.25">
      <c r="B52" s="13" t="s">
        <v>101</v>
      </c>
      <c r="C52" s="13"/>
      <c r="D52" s="13"/>
      <c r="E52" s="13"/>
      <c r="F52" s="13"/>
      <c r="G52" s="13"/>
      <c r="H52" s="13"/>
      <c r="I52" s="13"/>
      <c r="J52" s="13"/>
      <c r="K52" s="13"/>
      <c r="L52" s="13"/>
      <c r="O52" s="1"/>
      <c r="V52" s="651" t="s">
        <v>101</v>
      </c>
      <c r="W52" s="651"/>
      <c r="X52" s="651"/>
      <c r="Y52" s="651"/>
      <c r="Z52" s="651"/>
      <c r="AA52" s="651"/>
      <c r="AB52" s="651"/>
      <c r="AC52" s="651"/>
      <c r="AD52" s="9"/>
    </row>
    <row r="53" spans="2:30" x14ac:dyDescent="0.25">
      <c r="B53" s="13" t="s">
        <v>102</v>
      </c>
      <c r="C53" s="13"/>
      <c r="D53" s="13"/>
      <c r="E53" s="13"/>
      <c r="F53" s="13"/>
      <c r="G53" s="155">
        <f>K26</f>
        <v>143.24269999999999</v>
      </c>
      <c r="H53" s="57" t="s">
        <v>103</v>
      </c>
      <c r="I53" s="57"/>
      <c r="J53" s="156">
        <v>197823.77</v>
      </c>
      <c r="K53" s="156"/>
      <c r="L53" s="156"/>
      <c r="N53" s="3"/>
      <c r="O53" s="1"/>
      <c r="V53" s="657" t="s">
        <v>102</v>
      </c>
      <c r="W53" s="657"/>
      <c r="X53" s="157">
        <f>AB26</f>
        <v>122.28000000000002</v>
      </c>
      <c r="Y53" s="658" t="s">
        <v>103</v>
      </c>
      <c r="Z53" s="658"/>
      <c r="AA53" s="659">
        <f>+J53</f>
        <v>197823.77</v>
      </c>
      <c r="AB53" s="659"/>
      <c r="AC53" s="659"/>
      <c r="AD53" s="9"/>
    </row>
    <row r="54" spans="2:30" x14ac:dyDescent="0.25">
      <c r="B54" s="13" t="s">
        <v>104</v>
      </c>
      <c r="C54" s="13"/>
      <c r="D54" s="13"/>
      <c r="E54" s="13"/>
      <c r="F54" s="13"/>
      <c r="G54" s="13"/>
      <c r="H54" s="13"/>
      <c r="I54" s="13"/>
      <c r="J54" s="13"/>
      <c r="K54" s="158">
        <f>ROUND(G53/J53,6)</f>
        <v>7.2400000000000003E-4</v>
      </c>
      <c r="L54" s="158"/>
      <c r="N54" s="101"/>
      <c r="O54" s="1"/>
      <c r="V54" s="657" t="s">
        <v>104</v>
      </c>
      <c r="W54" s="657"/>
      <c r="X54" s="657"/>
      <c r="Y54" s="657"/>
      <c r="Z54" s="657"/>
      <c r="AA54" s="657"/>
      <c r="AB54" s="660">
        <f>ROUND(X53/AA53,6)</f>
        <v>6.1799999999999995E-4</v>
      </c>
      <c r="AC54" s="660"/>
      <c r="AD54" s="9"/>
    </row>
    <row r="55" spans="2:30" ht="24" customHeight="1" x14ac:dyDescent="0.25">
      <c r="B55" s="13" t="s">
        <v>105</v>
      </c>
      <c r="C55" s="13"/>
      <c r="D55" s="13"/>
      <c r="E55" s="13"/>
      <c r="F55" s="13"/>
      <c r="G55" s="13"/>
      <c r="H55" s="13"/>
      <c r="I55" s="13"/>
      <c r="J55" s="13"/>
      <c r="K55" s="13"/>
      <c r="L55" s="13"/>
      <c r="O55" s="1"/>
      <c r="V55" s="651" t="s">
        <v>105</v>
      </c>
      <c r="W55" s="651"/>
      <c r="X55" s="651"/>
      <c r="Y55" s="651"/>
      <c r="Z55" s="651"/>
      <c r="AA55" s="651"/>
      <c r="AB55" s="651"/>
      <c r="AC55" s="651"/>
      <c r="AD55" s="9"/>
    </row>
    <row r="56" spans="2:30" x14ac:dyDescent="0.25">
      <c r="B56" s="13" t="s">
        <v>106</v>
      </c>
      <c r="C56" s="13"/>
      <c r="D56" s="13"/>
      <c r="E56" s="13"/>
      <c r="F56" s="13"/>
      <c r="G56" s="159">
        <f>G26</f>
        <v>122.28000000000002</v>
      </c>
      <c r="H56" s="57" t="s">
        <v>107</v>
      </c>
      <c r="I56" s="57"/>
      <c r="J56" s="156">
        <f>+G40</f>
        <v>180284.81</v>
      </c>
      <c r="K56" s="156"/>
      <c r="L56" s="156"/>
      <c r="O56" s="1"/>
      <c r="V56" s="657" t="s">
        <v>106</v>
      </c>
      <c r="W56" s="657"/>
      <c r="X56" s="160">
        <f>X26</f>
        <v>122.28000000000002</v>
      </c>
      <c r="Y56" s="658" t="s">
        <v>107</v>
      </c>
      <c r="Z56" s="658"/>
      <c r="AA56" s="659">
        <f>+J56</f>
        <v>180284.81</v>
      </c>
      <c r="AB56" s="659"/>
      <c r="AC56" s="659"/>
      <c r="AD56" s="9"/>
    </row>
    <row r="57" spans="2:30" x14ac:dyDescent="0.25">
      <c r="B57" s="13" t="s">
        <v>108</v>
      </c>
      <c r="C57" s="13"/>
      <c r="D57" s="13"/>
      <c r="E57" s="13"/>
      <c r="F57" s="13"/>
      <c r="G57" s="13"/>
      <c r="H57" s="13"/>
      <c r="I57" s="13"/>
      <c r="J57" s="13"/>
      <c r="K57" s="158">
        <f>ROUND(G56/J56,6)</f>
        <v>6.78E-4</v>
      </c>
      <c r="L57" s="158"/>
      <c r="O57" s="1"/>
      <c r="V57" s="657" t="s">
        <v>108</v>
      </c>
      <c r="W57" s="657"/>
      <c r="X57" s="657"/>
      <c r="Y57" s="657"/>
      <c r="Z57" s="657"/>
      <c r="AA57" s="657"/>
      <c r="AB57" s="660">
        <f>ROUND(X56/AA56,6)</f>
        <v>6.78E-4</v>
      </c>
      <c r="AC57" s="660"/>
      <c r="AD57" s="9"/>
    </row>
    <row r="58" spans="2:30" ht="20.25" customHeight="1" x14ac:dyDescent="0.25">
      <c r="B58" s="161" t="s">
        <v>109</v>
      </c>
      <c r="C58" s="161"/>
      <c r="D58" s="161"/>
      <c r="E58" s="161"/>
      <c r="F58" s="161"/>
      <c r="G58" s="161"/>
      <c r="H58" s="161"/>
      <c r="I58" s="161"/>
      <c r="J58" s="161"/>
      <c r="K58" s="161"/>
      <c r="L58" s="161"/>
      <c r="N58" s="18"/>
      <c r="O58" s="18"/>
      <c r="V58" s="629" t="s">
        <v>110</v>
      </c>
      <c r="W58" s="629"/>
      <c r="X58" s="629"/>
      <c r="Y58" s="661">
        <f>X65+X64+X62+X61+X60</f>
        <v>4123852</v>
      </c>
      <c r="Z58" s="661"/>
      <c r="AA58" s="332" t="s">
        <v>111</v>
      </c>
      <c r="AB58" s="163">
        <f>AB54</f>
        <v>6.1799999999999995E-4</v>
      </c>
      <c r="AC58" s="56">
        <f>ROUND(Y58*AB58,0)</f>
        <v>2549</v>
      </c>
      <c r="AD58" s="9"/>
    </row>
    <row r="59" spans="2:30" x14ac:dyDescent="0.25">
      <c r="B59" s="62" t="s">
        <v>110</v>
      </c>
      <c r="C59" s="62"/>
      <c r="D59" s="62"/>
      <c r="E59" s="62"/>
      <c r="F59" s="62"/>
      <c r="G59" s="62"/>
      <c r="H59" s="164" t="s">
        <v>22</v>
      </c>
      <c r="I59" s="129">
        <v>4123852</v>
      </c>
      <c r="J59" s="165" t="s">
        <v>111</v>
      </c>
      <c r="K59" s="166">
        <f>K54</f>
        <v>7.2400000000000003E-4</v>
      </c>
      <c r="L59" s="50">
        <f>ROUND(I59*K59,0)</f>
        <v>2986</v>
      </c>
      <c r="O59" s="1"/>
      <c r="P59" s="165"/>
      <c r="Q59" s="165"/>
      <c r="V59" s="662" t="s">
        <v>112</v>
      </c>
      <c r="W59" s="662"/>
      <c r="X59" s="662"/>
      <c r="Y59" s="662"/>
      <c r="Z59" s="662"/>
      <c r="AA59" s="662"/>
      <c r="AB59" s="662"/>
      <c r="AC59" s="662"/>
      <c r="AD59" s="9"/>
    </row>
    <row r="60" spans="2:30" x14ac:dyDescent="0.25">
      <c r="B60" s="62" t="s">
        <v>112</v>
      </c>
      <c r="C60" s="62"/>
      <c r="D60" s="62"/>
      <c r="E60" s="62"/>
      <c r="F60" s="62"/>
      <c r="G60" s="62"/>
      <c r="H60" s="62"/>
      <c r="I60" s="62"/>
      <c r="J60" s="62"/>
      <c r="K60" s="62"/>
      <c r="L60" s="62"/>
      <c r="O60" s="1"/>
      <c r="P60" s="165"/>
      <c r="Q60" s="165"/>
      <c r="V60" s="663" t="s">
        <v>113</v>
      </c>
      <c r="W60" s="663"/>
      <c r="X60" s="664">
        <f>+G61</f>
        <v>0</v>
      </c>
      <c r="Y60" s="664"/>
      <c r="Z60" s="664"/>
      <c r="AA60" s="664"/>
      <c r="AB60" s="664"/>
      <c r="AC60" s="664"/>
      <c r="AD60" s="9"/>
    </row>
    <row r="61" spans="2:30" ht="15" customHeight="1" x14ac:dyDescent="0.25">
      <c r="B61" s="167" t="s">
        <v>113</v>
      </c>
      <c r="C61" s="62"/>
      <c r="D61" s="62"/>
      <c r="E61" s="62"/>
      <c r="F61" s="62"/>
      <c r="G61" s="168">
        <v>0</v>
      </c>
      <c r="H61" s="168"/>
      <c r="I61" s="168"/>
      <c r="J61" s="168"/>
      <c r="K61" s="168"/>
      <c r="L61" s="168"/>
      <c r="O61" s="1"/>
      <c r="P61" s="165"/>
      <c r="Q61" s="165"/>
      <c r="V61" s="663" t="s">
        <v>114</v>
      </c>
      <c r="W61" s="663"/>
      <c r="X61" s="664">
        <f>+G62</f>
        <v>0</v>
      </c>
      <c r="Y61" s="664"/>
      <c r="Z61" s="664"/>
      <c r="AA61" s="664"/>
      <c r="AB61" s="664"/>
      <c r="AC61" s="664"/>
      <c r="AD61" s="9"/>
    </row>
    <row r="62" spans="2:30" ht="13.5" customHeight="1" x14ac:dyDescent="0.25">
      <c r="B62" s="167" t="s">
        <v>114</v>
      </c>
      <c r="C62" s="62"/>
      <c r="D62" s="62"/>
      <c r="E62" s="62"/>
      <c r="F62" s="62"/>
      <c r="G62" s="168">
        <v>0</v>
      </c>
      <c r="H62" s="168"/>
      <c r="I62" s="168"/>
      <c r="J62" s="168"/>
      <c r="K62" s="168"/>
      <c r="L62" s="168"/>
      <c r="N62" s="165"/>
      <c r="O62" s="165"/>
      <c r="P62" s="165"/>
      <c r="Q62" s="165"/>
      <c r="V62" s="663" t="s">
        <v>115</v>
      </c>
      <c r="W62" s="663"/>
      <c r="X62" s="664">
        <v>0</v>
      </c>
      <c r="Y62" s="664"/>
      <c r="Z62" s="664"/>
      <c r="AA62" s="664"/>
      <c r="AB62" s="664"/>
      <c r="AC62" s="664"/>
      <c r="AD62" s="9"/>
    </row>
    <row r="63" spans="2:30" ht="13.5" hidden="1" customHeight="1" x14ac:dyDescent="0.25">
      <c r="B63" s="62" t="s">
        <v>115</v>
      </c>
      <c r="C63" s="62"/>
      <c r="D63" s="62"/>
      <c r="E63" s="62"/>
      <c r="F63" s="62"/>
      <c r="G63" s="168">
        <v>0</v>
      </c>
      <c r="H63" s="168"/>
      <c r="I63" s="168"/>
      <c r="J63" s="168"/>
      <c r="K63" s="168"/>
      <c r="L63" s="168"/>
      <c r="O63" s="1"/>
      <c r="P63" s="165"/>
      <c r="Q63" s="165"/>
      <c r="V63" s="662" t="s">
        <v>116</v>
      </c>
      <c r="W63" s="662"/>
      <c r="X63" s="662"/>
      <c r="Y63" s="662"/>
      <c r="Z63" s="662"/>
      <c r="AA63" s="662"/>
      <c r="AB63" s="662"/>
      <c r="AC63" s="662"/>
      <c r="AD63" s="333"/>
    </row>
    <row r="64" spans="2:30" ht="13.5" customHeight="1" x14ac:dyDescent="0.25">
      <c r="B64" s="62" t="s">
        <v>116</v>
      </c>
      <c r="C64" s="62"/>
      <c r="D64" s="62"/>
      <c r="E64" s="62"/>
      <c r="F64" s="62"/>
      <c r="G64" s="62"/>
      <c r="H64" s="62"/>
      <c r="I64" s="62"/>
      <c r="J64" s="62"/>
      <c r="K64" s="62"/>
      <c r="L64" s="62"/>
      <c r="M64" s="116"/>
      <c r="N64" s="18"/>
      <c r="O64" s="1"/>
      <c r="V64" s="663" t="s">
        <v>117</v>
      </c>
      <c r="W64" s="663"/>
      <c r="X64" s="664">
        <f>+G65</f>
        <v>4123852</v>
      </c>
      <c r="Y64" s="664"/>
      <c r="Z64" s="664"/>
      <c r="AA64" s="664"/>
      <c r="AB64" s="664"/>
      <c r="AC64" s="664"/>
      <c r="AD64" s="9"/>
    </row>
    <row r="65" spans="1:30" ht="12.75" customHeight="1" x14ac:dyDescent="0.25">
      <c r="B65" s="167" t="s">
        <v>117</v>
      </c>
      <c r="C65" s="62"/>
      <c r="D65" s="62"/>
      <c r="E65" s="62"/>
      <c r="F65" s="62"/>
      <c r="G65" s="168">
        <f>+I59</f>
        <v>4123852</v>
      </c>
      <c r="H65" s="168"/>
      <c r="I65" s="168"/>
      <c r="J65" s="168"/>
      <c r="K65" s="168"/>
      <c r="L65" s="168"/>
      <c r="O65" s="1"/>
      <c r="V65" s="663" t="s">
        <v>118</v>
      </c>
      <c r="W65" s="663"/>
      <c r="X65" s="664">
        <f>+G66</f>
        <v>0</v>
      </c>
      <c r="Y65" s="664"/>
      <c r="Z65" s="664"/>
      <c r="AA65" s="664"/>
      <c r="AB65" s="664"/>
      <c r="AC65" s="664"/>
      <c r="AD65" s="20"/>
    </row>
    <row r="66" spans="1:30" ht="15" customHeight="1" x14ac:dyDescent="0.25">
      <c r="B66" s="167" t="s">
        <v>118</v>
      </c>
      <c r="C66" s="62"/>
      <c r="D66" s="62"/>
      <c r="E66" s="62"/>
      <c r="F66" s="62"/>
      <c r="G66" s="168">
        <v>0</v>
      </c>
      <c r="H66" s="168"/>
      <c r="I66" s="168"/>
      <c r="J66" s="168"/>
      <c r="K66" s="168"/>
      <c r="L66" s="168"/>
      <c r="M66" s="18"/>
      <c r="N66" s="3"/>
      <c r="O66" s="169"/>
      <c r="P66" s="169"/>
      <c r="Q66" s="169"/>
      <c r="V66" s="651" t="s">
        <v>119</v>
      </c>
      <c r="W66" s="651"/>
      <c r="X66" s="651"/>
      <c r="Y66" s="661">
        <f>+I67</f>
        <v>96774526</v>
      </c>
      <c r="Z66" s="661"/>
      <c r="AA66" s="332" t="s">
        <v>111</v>
      </c>
      <c r="AB66" s="163">
        <f>AB54</f>
        <v>6.1799999999999995E-4</v>
      </c>
      <c r="AC66" s="56">
        <f>ROUND(Y66*AB66,0)</f>
        <v>59807</v>
      </c>
      <c r="AD66" s="9"/>
    </row>
    <row r="67" spans="1:30" ht="20.25" customHeight="1" x14ac:dyDescent="0.25">
      <c r="B67" s="13" t="s">
        <v>119</v>
      </c>
      <c r="C67" s="13"/>
      <c r="D67" s="13"/>
      <c r="E67" s="13"/>
      <c r="F67" s="13"/>
      <c r="H67" s="164" t="s">
        <v>25</v>
      </c>
      <c r="I67" s="129">
        <v>96774526</v>
      </c>
      <c r="J67" s="165" t="s">
        <v>111</v>
      </c>
      <c r="K67" s="166">
        <f>K54</f>
        <v>7.2400000000000003E-4</v>
      </c>
      <c r="L67" s="50">
        <f>ROUND(I67*K67,0)</f>
        <v>70065</v>
      </c>
      <c r="O67" s="1"/>
      <c r="V67" s="651" t="s">
        <v>120</v>
      </c>
      <c r="W67" s="651"/>
      <c r="X67" s="651"/>
      <c r="Y67" s="651"/>
      <c r="Z67" s="651"/>
      <c r="AA67" s="651"/>
      <c r="AB67" s="651"/>
      <c r="AC67" s="651"/>
      <c r="AD67" s="9"/>
    </row>
    <row r="68" spans="1:30" ht="20.25" customHeight="1" x14ac:dyDescent="0.25">
      <c r="B68" s="13" t="s">
        <v>120</v>
      </c>
      <c r="C68" s="13"/>
      <c r="D68" s="13"/>
      <c r="E68" s="13"/>
      <c r="F68" s="13"/>
      <c r="H68" s="13"/>
      <c r="I68" s="13"/>
      <c r="J68" s="82"/>
      <c r="K68" s="13"/>
      <c r="L68" s="13"/>
      <c r="O68" s="1"/>
      <c r="V68" s="667" t="s">
        <v>121</v>
      </c>
      <c r="W68" s="667"/>
      <c r="X68" s="667"/>
      <c r="Y68" s="661">
        <f>+I69</f>
        <v>0</v>
      </c>
      <c r="Z68" s="661"/>
      <c r="AA68" s="332" t="s">
        <v>111</v>
      </c>
      <c r="AB68" s="163">
        <f>AB57</f>
        <v>6.78E-4</v>
      </c>
      <c r="AC68" s="56">
        <f>ROUND(Y68*AB68,0)</f>
        <v>0</v>
      </c>
      <c r="AD68" s="9"/>
    </row>
    <row r="69" spans="1:30" ht="15" customHeight="1" x14ac:dyDescent="0.25">
      <c r="B69" s="170" t="s">
        <v>121</v>
      </c>
      <c r="C69" s="13"/>
      <c r="D69" s="13"/>
      <c r="E69" s="13"/>
      <c r="F69" s="13"/>
      <c r="H69" s="164" t="s">
        <v>23</v>
      </c>
      <c r="I69" s="129">
        <v>0</v>
      </c>
      <c r="J69" s="165" t="s">
        <v>111</v>
      </c>
      <c r="K69" s="166">
        <f>K57</f>
        <v>6.78E-4</v>
      </c>
      <c r="L69" s="50">
        <f>ROUND(I69*K69,0)</f>
        <v>0</v>
      </c>
      <c r="O69" s="1"/>
      <c r="V69" s="651" t="s">
        <v>122</v>
      </c>
      <c r="W69" s="651"/>
      <c r="X69" s="651"/>
      <c r="Y69" s="668">
        <f>+I70</f>
        <v>-3460775</v>
      </c>
      <c r="Z69" s="668"/>
      <c r="AA69" s="332" t="s">
        <v>111</v>
      </c>
      <c r="AB69" s="163">
        <f>AB54</f>
        <v>6.1799999999999995E-4</v>
      </c>
      <c r="AC69" s="56">
        <f>ROUND(Y69*AB69,0)</f>
        <v>-2139</v>
      </c>
      <c r="AD69" s="9"/>
    </row>
    <row r="70" spans="1:30" ht="20.25" customHeight="1" x14ac:dyDescent="0.25">
      <c r="B70" s="13" t="s">
        <v>122</v>
      </c>
      <c r="C70" s="13"/>
      <c r="D70" s="13"/>
      <c r="E70" s="13"/>
      <c r="F70" s="13"/>
      <c r="H70" s="164" t="s">
        <v>22</v>
      </c>
      <c r="I70" s="129">
        <v>-3460775</v>
      </c>
      <c r="J70" s="165" t="s">
        <v>111</v>
      </c>
      <c r="K70" s="166">
        <f>K54</f>
        <v>7.2400000000000003E-4</v>
      </c>
      <c r="L70" s="50">
        <f>ROUND(I70*K70,0)</f>
        <v>-2506</v>
      </c>
      <c r="O70" s="1"/>
      <c r="V70" s="651" t="s">
        <v>123</v>
      </c>
      <c r="W70" s="651"/>
      <c r="X70" s="651"/>
      <c r="Y70" s="665">
        <f>+I71</f>
        <v>1874788</v>
      </c>
      <c r="Z70" s="665"/>
      <c r="AA70" s="332" t="s">
        <v>111</v>
      </c>
      <c r="AB70" s="163">
        <f>AB54</f>
        <v>6.1799999999999995E-4</v>
      </c>
      <c r="AC70" s="56">
        <f>ROUND(Y70*AB70,0)</f>
        <v>1159</v>
      </c>
      <c r="AD70" s="9"/>
    </row>
    <row r="71" spans="1:30" ht="20.25" customHeight="1" x14ac:dyDescent="0.25">
      <c r="B71" s="13" t="s">
        <v>123</v>
      </c>
      <c r="C71" s="13"/>
      <c r="D71" s="13"/>
      <c r="E71" s="13"/>
      <c r="F71" s="13"/>
      <c r="H71" s="164" t="s">
        <v>22</v>
      </c>
      <c r="I71" s="129">
        <v>1874788</v>
      </c>
      <c r="J71" s="165" t="s">
        <v>111</v>
      </c>
      <c r="K71" s="166">
        <f>K54</f>
        <v>7.2400000000000003E-4</v>
      </c>
      <c r="L71" s="50">
        <f>ROUND(I71*K71,0)</f>
        <v>1357</v>
      </c>
      <c r="O71" s="1"/>
      <c r="V71" s="651" t="s">
        <v>124</v>
      </c>
      <c r="W71" s="651"/>
      <c r="X71" s="651"/>
      <c r="Y71" s="665">
        <f>+I72</f>
        <v>14223298</v>
      </c>
      <c r="Z71" s="665"/>
      <c r="AA71" s="332" t="s">
        <v>111</v>
      </c>
      <c r="AB71" s="163">
        <f>AB57</f>
        <v>6.78E-4</v>
      </c>
      <c r="AC71" s="56">
        <f>ROUND(Y71*AB71,0)</f>
        <v>9643</v>
      </c>
      <c r="AD71" s="9"/>
    </row>
    <row r="72" spans="1:30" ht="21" customHeight="1" x14ac:dyDescent="0.25">
      <c r="B72" s="13" t="s">
        <v>124</v>
      </c>
      <c r="C72" s="13"/>
      <c r="D72" s="13"/>
      <c r="E72" s="13"/>
      <c r="F72" s="13"/>
      <c r="H72" s="164" t="s">
        <v>23</v>
      </c>
      <c r="I72" s="171">
        <v>14223298</v>
      </c>
      <c r="J72" s="165" t="s">
        <v>111</v>
      </c>
      <c r="K72" s="166">
        <f>K57</f>
        <v>6.78E-4</v>
      </c>
      <c r="L72" s="50">
        <f>ROUND(I72*K72,0)</f>
        <v>9643</v>
      </c>
      <c r="O72" s="1"/>
      <c r="V72" s="623" t="s">
        <v>125</v>
      </c>
      <c r="W72" s="623"/>
      <c r="X72" s="623"/>
      <c r="Y72" s="623"/>
      <c r="Z72" s="623"/>
      <c r="AA72" s="623"/>
      <c r="AB72" s="623"/>
      <c r="AC72" s="60"/>
      <c r="AD72" s="9"/>
    </row>
    <row r="73" spans="1:30" ht="17.25" customHeight="1" x14ac:dyDescent="0.25">
      <c r="B73" s="13" t="s">
        <v>125</v>
      </c>
      <c r="C73" s="13"/>
      <c r="D73" s="13"/>
      <c r="E73" s="13"/>
      <c r="F73" s="13"/>
      <c r="H73" s="13"/>
      <c r="I73" s="13"/>
      <c r="J73" s="82"/>
      <c r="K73" s="13"/>
      <c r="L73" s="59"/>
      <c r="O73" s="1"/>
      <c r="V73" s="651" t="s">
        <v>126</v>
      </c>
      <c r="W73" s="651"/>
      <c r="X73" s="651"/>
      <c r="Y73" s="651"/>
      <c r="Z73" s="651"/>
      <c r="AA73" s="651"/>
      <c r="AB73" s="651"/>
      <c r="AC73" s="651"/>
      <c r="AD73" s="9"/>
    </row>
    <row r="74" spans="1:30" ht="31.5" x14ac:dyDescent="0.25">
      <c r="B74" s="13" t="s">
        <v>126</v>
      </c>
      <c r="C74" s="13"/>
      <c r="D74" s="27" t="s">
        <v>13</v>
      </c>
      <c r="E74" s="27" t="s">
        <v>14</v>
      </c>
      <c r="F74" s="27"/>
      <c r="H74" s="164" t="s">
        <v>26</v>
      </c>
      <c r="I74" s="172"/>
      <c r="J74" s="164"/>
      <c r="K74" s="172"/>
      <c r="L74" s="112"/>
      <c r="O74" s="1"/>
      <c r="V74" s="666" t="s">
        <v>127</v>
      </c>
      <c r="W74" s="666"/>
      <c r="X74" s="173" t="s">
        <v>128</v>
      </c>
      <c r="Y74" s="174"/>
      <c r="Z74" s="175">
        <f>+I75</f>
        <v>71.5</v>
      </c>
      <c r="AA74" s="331" t="s">
        <v>129</v>
      </c>
      <c r="AB74" s="177">
        <f>+K75</f>
        <v>361</v>
      </c>
      <c r="AC74" s="56">
        <f>ROUND(AB74*Z74,0)</f>
        <v>25812</v>
      </c>
      <c r="AD74" s="9"/>
    </row>
    <row r="75" spans="1:30" ht="19.5" customHeight="1" x14ac:dyDescent="0.25">
      <c r="A75" s="1" t="s">
        <v>130</v>
      </c>
      <c r="B75" s="178" t="s">
        <v>127</v>
      </c>
      <c r="C75" s="179" t="s">
        <v>128</v>
      </c>
      <c r="D75" s="178">
        <v>69</v>
      </c>
      <c r="E75" s="178">
        <v>74</v>
      </c>
      <c r="F75" s="178">
        <v>0</v>
      </c>
      <c r="G75" s="180">
        <f>IF(E75=0,D75,E75)</f>
        <v>74</v>
      </c>
      <c r="H75" s="181"/>
      <c r="I75" s="182">
        <f>AVERAGE(G75,D75)</f>
        <v>71.5</v>
      </c>
      <c r="J75" s="183" t="s">
        <v>129</v>
      </c>
      <c r="K75" s="184">
        <v>361</v>
      </c>
      <c r="L75" s="50">
        <f>ROUND(K75*I75,0)</f>
        <v>25812</v>
      </c>
      <c r="N75" s="1">
        <v>7802</v>
      </c>
      <c r="O75" s="1">
        <v>0</v>
      </c>
      <c r="V75" s="666" t="s">
        <v>127</v>
      </c>
      <c r="W75" s="666"/>
      <c r="X75" s="173" t="s">
        <v>131</v>
      </c>
      <c r="Y75" s="185"/>
      <c r="Z75" s="186"/>
      <c r="AA75" s="331" t="s">
        <v>129</v>
      </c>
      <c r="AB75" s="187">
        <f>+K76</f>
        <v>1358</v>
      </c>
      <c r="AC75" s="56">
        <f>ROUND(AB75*Z75,0)</f>
        <v>0</v>
      </c>
      <c r="AD75" s="9"/>
    </row>
    <row r="76" spans="1:30" ht="19.5" customHeight="1" x14ac:dyDescent="0.25">
      <c r="A76" s="1" t="s">
        <v>132</v>
      </c>
      <c r="B76" s="178" t="s">
        <v>127</v>
      </c>
      <c r="C76" s="179" t="s">
        <v>131</v>
      </c>
      <c r="D76" s="178">
        <v>21</v>
      </c>
      <c r="E76" s="178">
        <v>25</v>
      </c>
      <c r="F76" s="178">
        <v>0</v>
      </c>
      <c r="G76" s="180">
        <f>IF(E76=0,D76,E76)</f>
        <v>25</v>
      </c>
      <c r="H76" s="181"/>
      <c r="I76" s="182">
        <f>AVERAGE(G76,D76)</f>
        <v>23</v>
      </c>
      <c r="J76" s="183" t="s">
        <v>129</v>
      </c>
      <c r="K76" s="188">
        <v>1358</v>
      </c>
      <c r="L76" s="50">
        <f>ROUND(K76*I76,0)</f>
        <v>31234</v>
      </c>
      <c r="N76" s="1">
        <v>7802</v>
      </c>
      <c r="O76" s="1">
        <v>110</v>
      </c>
      <c r="V76" s="651" t="s">
        <v>133</v>
      </c>
      <c r="W76" s="651"/>
      <c r="X76" s="651"/>
      <c r="Y76" s="661">
        <f>+I77</f>
        <v>33305823</v>
      </c>
      <c r="Z76" s="661"/>
      <c r="AA76" s="331" t="s">
        <v>129</v>
      </c>
      <c r="AB76" s="163">
        <f>AB54</f>
        <v>6.1799999999999995E-4</v>
      </c>
      <c r="AC76" s="56">
        <f>ROUND(Y76*AB76,0)</f>
        <v>20583</v>
      </c>
      <c r="AD76" s="9"/>
    </row>
    <row r="77" spans="1:30" ht="26.25" customHeight="1" x14ac:dyDescent="0.25">
      <c r="B77" s="13" t="s">
        <v>133</v>
      </c>
      <c r="C77" s="13"/>
      <c r="D77" s="13"/>
      <c r="E77" s="13"/>
      <c r="F77" s="13"/>
      <c r="H77" s="164" t="s">
        <v>134</v>
      </c>
      <c r="I77" s="189">
        <v>33305823</v>
      </c>
      <c r="J77" s="165" t="s">
        <v>111</v>
      </c>
      <c r="K77" s="166">
        <f>K54</f>
        <v>7.2400000000000003E-4</v>
      </c>
      <c r="L77" s="50">
        <f>ROUND(I77*K77,0)</f>
        <v>24113</v>
      </c>
      <c r="O77" s="1"/>
      <c r="V77" s="651" t="str">
        <f>+B78</f>
        <v>15.  Additional Allocation (WFTE share)</v>
      </c>
      <c r="W77" s="651"/>
      <c r="X77" s="651"/>
      <c r="Y77" s="661">
        <f>+I78</f>
        <v>680688</v>
      </c>
      <c r="Z77" s="661"/>
      <c r="AA77" s="331" t="s">
        <v>129</v>
      </c>
      <c r="AB77" s="163">
        <f>AB54</f>
        <v>6.1799999999999995E-4</v>
      </c>
      <c r="AC77" s="56">
        <f>ROUND(Y77*AB77,0)</f>
        <v>421</v>
      </c>
      <c r="AD77" s="9"/>
    </row>
    <row r="78" spans="1:30" ht="26.25" customHeight="1" x14ac:dyDescent="0.25">
      <c r="B78" s="669" t="s">
        <v>135</v>
      </c>
      <c r="C78" s="669"/>
      <c r="D78" s="669"/>
      <c r="E78" s="13"/>
      <c r="F78" s="13"/>
      <c r="H78" s="164" t="s">
        <v>136</v>
      </c>
      <c r="I78" s="190">
        <v>680688</v>
      </c>
      <c r="J78" s="165" t="s">
        <v>111</v>
      </c>
      <c r="K78" s="166">
        <f>K54</f>
        <v>7.2400000000000003E-4</v>
      </c>
      <c r="L78" s="50">
        <f>ROUND(I78*K78,0)</f>
        <v>493</v>
      </c>
      <c r="O78" s="1"/>
      <c r="V78" s="651" t="str">
        <f>+B79</f>
        <v>16.  Florida Teachers Lead Program Stipend</v>
      </c>
      <c r="W78" s="651"/>
      <c r="X78" s="651"/>
      <c r="Y78" s="191"/>
      <c r="Z78" s="191"/>
      <c r="AA78" s="191"/>
      <c r="AB78" s="191"/>
      <c r="AC78" s="134"/>
      <c r="AD78" s="9"/>
    </row>
    <row r="79" spans="1:30" ht="21" customHeight="1" x14ac:dyDescent="0.25">
      <c r="B79" s="669" t="s">
        <v>137</v>
      </c>
      <c r="C79" s="669"/>
      <c r="D79" s="669"/>
      <c r="E79" s="13"/>
      <c r="F79" s="13"/>
      <c r="H79" s="164"/>
      <c r="I79" s="172"/>
      <c r="J79" s="172"/>
      <c r="K79" s="172"/>
      <c r="L79" s="129"/>
      <c r="N79" s="192"/>
      <c r="O79" s="1"/>
      <c r="Q79" s="164"/>
      <c r="V79" s="651" t="str">
        <f>+B80</f>
        <v>17.  Food Service Allocation</v>
      </c>
      <c r="W79" s="651"/>
      <c r="X79" s="651"/>
      <c r="Y79" s="191"/>
      <c r="Z79" s="191"/>
      <c r="AA79" s="191"/>
      <c r="AB79" s="191"/>
      <c r="AC79" s="193"/>
      <c r="AD79" s="9"/>
    </row>
    <row r="80" spans="1:30" ht="21" customHeight="1" x14ac:dyDescent="0.25">
      <c r="B80" s="669" t="s">
        <v>138</v>
      </c>
      <c r="C80" s="669"/>
      <c r="D80" s="669"/>
      <c r="E80" s="13"/>
      <c r="F80" s="13"/>
      <c r="H80" s="194" t="s">
        <v>139</v>
      </c>
      <c r="I80" s="195"/>
      <c r="J80" s="195"/>
      <c r="K80" s="195"/>
      <c r="L80" s="196"/>
      <c r="N80" s="197"/>
      <c r="O80" s="1"/>
      <c r="Q80" s="164"/>
      <c r="V80" s="191"/>
      <c r="W80" s="191"/>
      <c r="X80" s="191"/>
      <c r="Y80" s="191"/>
      <c r="Z80" s="191"/>
      <c r="AA80" s="191"/>
      <c r="AB80" s="191"/>
      <c r="AC80" s="193"/>
      <c r="AD80" s="9"/>
    </row>
    <row r="81" spans="1:30" ht="21" customHeight="1" thickBot="1" x14ac:dyDescent="0.3">
      <c r="B81" s="13"/>
      <c r="C81" s="13"/>
      <c r="D81" s="13"/>
      <c r="E81" s="13"/>
      <c r="F81" s="13"/>
      <c r="G81" s="13"/>
      <c r="H81" s="13"/>
      <c r="I81" s="13"/>
      <c r="J81" s="13"/>
      <c r="K81" s="13"/>
      <c r="L81" s="196"/>
      <c r="M81" s="198"/>
      <c r="N81" s="197"/>
      <c r="O81" s="1"/>
      <c r="Q81" s="164"/>
      <c r="V81" s="191" t="s">
        <v>140</v>
      </c>
      <c r="W81" s="191"/>
      <c r="X81" s="191"/>
      <c r="Y81" s="191"/>
      <c r="Z81" s="191"/>
      <c r="AA81" s="191"/>
      <c r="AB81" s="191"/>
      <c r="AC81" s="199">
        <f>SUM(AC44:AC80)</f>
        <v>776944</v>
      </c>
      <c r="AD81" s="200"/>
    </row>
    <row r="82" spans="1:30" ht="22.5" customHeight="1" thickTop="1" thickBot="1" x14ac:dyDescent="0.3">
      <c r="B82" s="13" t="s">
        <v>141</v>
      </c>
      <c r="C82" s="13"/>
      <c r="D82" s="13"/>
      <c r="E82" s="13"/>
      <c r="F82" s="13"/>
      <c r="G82" s="13"/>
      <c r="H82" s="13"/>
      <c r="I82" s="13"/>
      <c r="J82" s="13"/>
      <c r="K82" s="13"/>
      <c r="L82" s="201">
        <f>SUM(L44:L81)</f>
        <v>1238339</v>
      </c>
      <c r="M82" s="202"/>
      <c r="N82" s="203"/>
      <c r="O82" s="1"/>
      <c r="Q82" s="164"/>
      <c r="V82" s="191"/>
      <c r="W82" s="191"/>
      <c r="X82" s="191"/>
      <c r="Y82" s="191"/>
      <c r="Z82" s="191"/>
      <c r="AA82" s="191"/>
      <c r="AB82" s="191"/>
      <c r="AC82" s="204"/>
      <c r="AD82" s="200"/>
    </row>
    <row r="83" spans="1:30" ht="27.75" customHeight="1" thickTop="1" x14ac:dyDescent="0.25">
      <c r="B83" s="13" t="s">
        <v>142</v>
      </c>
      <c r="C83" s="13"/>
      <c r="D83" s="13"/>
      <c r="E83" s="13"/>
      <c r="F83" s="13"/>
      <c r="G83" s="13"/>
      <c r="H83" s="13"/>
      <c r="I83" s="13"/>
      <c r="J83" s="13"/>
      <c r="K83" s="82" t="s">
        <v>143</v>
      </c>
      <c r="L83" s="205" t="s">
        <v>144</v>
      </c>
      <c r="M83" s="202"/>
      <c r="N83" s="203"/>
      <c r="O83" s="1"/>
      <c r="Q83" s="164"/>
      <c r="V83" s="9" t="s">
        <v>145</v>
      </c>
      <c r="W83" s="9"/>
      <c r="X83" s="9"/>
      <c r="Y83" s="9"/>
      <c r="Z83" s="9"/>
      <c r="AA83" s="9"/>
      <c r="AB83" s="9"/>
      <c r="AC83" s="9"/>
      <c r="AD83" s="206"/>
    </row>
    <row r="84" spans="1:30" ht="18.75" customHeight="1" thickBot="1" x14ac:dyDescent="0.3">
      <c r="B84" s="13" t="s">
        <v>146</v>
      </c>
      <c r="C84" s="13"/>
      <c r="D84" s="13"/>
      <c r="E84" s="13"/>
      <c r="F84" s="13"/>
      <c r="G84" s="13"/>
      <c r="H84" s="13"/>
      <c r="I84" s="13"/>
      <c r="J84" s="13"/>
      <c r="K84" s="207">
        <f>IF(G26=0,"",IF((G11+G13+SUM(G15:G21))/G26&gt;0.75,1,""))</f>
        <v>1</v>
      </c>
      <c r="L84" s="201">
        <f>'4037 June Final'!AC81</f>
        <v>776944</v>
      </c>
      <c r="M84" s="202"/>
      <c r="N84" s="203"/>
      <c r="O84" s="1"/>
      <c r="Q84" s="164"/>
      <c r="V84" s="208" t="s">
        <v>147</v>
      </c>
      <c r="W84" s="208"/>
      <c r="X84" s="208"/>
      <c r="Y84" s="208"/>
      <c r="Z84" s="208"/>
      <c r="AA84" s="208"/>
      <c r="AB84" s="208"/>
      <c r="AC84" s="208"/>
      <c r="AD84" s="9"/>
    </row>
    <row r="85" spans="1:30" ht="18.75" customHeight="1" thickTop="1" x14ac:dyDescent="0.25">
      <c r="B85" s="13"/>
      <c r="C85" s="13"/>
      <c r="D85" s="13"/>
      <c r="E85" s="13"/>
      <c r="F85" s="13"/>
      <c r="G85" s="13"/>
      <c r="H85" s="13"/>
      <c r="I85" s="13"/>
      <c r="J85" s="13"/>
      <c r="M85" s="202"/>
      <c r="N85" s="203"/>
      <c r="O85" s="1"/>
      <c r="Q85" s="164"/>
      <c r="V85" s="208" t="s">
        <v>148</v>
      </c>
      <c r="W85" s="208"/>
      <c r="X85" s="208"/>
      <c r="Y85" s="208"/>
      <c r="Z85" s="208"/>
      <c r="AA85" s="208"/>
      <c r="AB85" s="208"/>
      <c r="AC85" s="208"/>
      <c r="AD85" s="206"/>
    </row>
    <row r="86" spans="1:30" ht="18.75" customHeight="1" x14ac:dyDescent="0.25">
      <c r="B86" s="2" t="s">
        <v>149</v>
      </c>
      <c r="C86" s="13"/>
      <c r="D86" s="13"/>
      <c r="E86" s="13"/>
      <c r="F86" s="13"/>
      <c r="G86" s="13"/>
      <c r="H86" s="13"/>
      <c r="I86" s="13"/>
      <c r="J86" s="209" t="s">
        <v>150</v>
      </c>
      <c r="K86" s="210">
        <f>IF(K84=1,L84,L82)</f>
        <v>776944</v>
      </c>
      <c r="L86" s="211">
        <f>IF(G26=0,0,IF(G26&gt;250,-(((250/G26)*K86)*IF(M86="H",0.02,0.05)),IF(M86="H",-0.02*K86,-0.05*K86)))</f>
        <v>-38847.200000000004</v>
      </c>
      <c r="M86" s="212" t="str">
        <f>IF(B123="2801","H",IF(B123="2911","H",IF(B123="3382","H"," ")))</f>
        <v xml:space="preserve"> </v>
      </c>
      <c r="N86" s="203"/>
      <c r="O86" s="1"/>
      <c r="Q86" s="164"/>
      <c r="V86" s="208" t="s">
        <v>151</v>
      </c>
      <c r="W86" s="208"/>
      <c r="X86" s="208"/>
      <c r="Y86" s="208"/>
      <c r="Z86" s="208"/>
      <c r="AA86" s="208"/>
      <c r="AB86" s="208"/>
      <c r="AC86" s="208"/>
      <c r="AD86" s="206"/>
    </row>
    <row r="87" spans="1:30" ht="18.75" customHeight="1" x14ac:dyDescent="0.25">
      <c r="B87" s="2" t="s">
        <v>152</v>
      </c>
      <c r="C87" s="13"/>
      <c r="D87" s="13"/>
      <c r="E87" s="13"/>
      <c r="F87" s="13"/>
      <c r="G87" s="13"/>
      <c r="H87" s="13"/>
      <c r="I87" s="13"/>
      <c r="J87" s="13"/>
      <c r="K87" s="213"/>
      <c r="L87" s="205">
        <f>L82+L86</f>
        <v>1199491.8</v>
      </c>
      <c r="M87" s="202"/>
      <c r="N87" s="203"/>
      <c r="O87" s="1"/>
      <c r="Q87" s="164"/>
      <c r="V87" s="198"/>
      <c r="W87" s="198"/>
      <c r="X87" s="198"/>
      <c r="Y87" s="198"/>
      <c r="Z87" s="198"/>
      <c r="AA87" s="198"/>
      <c r="AB87" s="198"/>
      <c r="AC87" s="198"/>
      <c r="AD87" s="214"/>
    </row>
    <row r="88" spans="1:30" x14ac:dyDescent="0.25">
      <c r="V88" s="198"/>
      <c r="W88" s="198"/>
      <c r="X88" s="198"/>
      <c r="Y88" s="198"/>
      <c r="Z88" s="198"/>
      <c r="AA88" s="198"/>
      <c r="AB88" s="198"/>
      <c r="AC88" s="198"/>
      <c r="AD88" s="215"/>
    </row>
    <row r="89" spans="1:30" ht="18.75" customHeight="1" x14ac:dyDescent="0.25">
      <c r="A89" s="1" t="s">
        <v>153</v>
      </c>
      <c r="B89" s="13" t="s">
        <v>154</v>
      </c>
      <c r="C89" s="13"/>
      <c r="D89" s="13">
        <v>416775</v>
      </c>
      <c r="E89" s="13">
        <v>105481</v>
      </c>
      <c r="F89" s="13">
        <v>837262</v>
      </c>
      <c r="G89" s="13"/>
      <c r="H89" s="13"/>
      <c r="I89" s="13"/>
      <c r="J89" s="13"/>
      <c r="K89" s="213"/>
      <c r="L89" s="84">
        <v>-1200525.5</v>
      </c>
      <c r="M89" s="202"/>
      <c r="N89" s="203"/>
      <c r="O89" s="1"/>
      <c r="Q89" s="164"/>
      <c r="V89" s="198">
        <v>2801</v>
      </c>
      <c r="W89" s="198"/>
      <c r="X89" s="198"/>
      <c r="Y89" s="198"/>
      <c r="Z89" s="198"/>
      <c r="AA89" s="198"/>
      <c r="AB89" s="198"/>
      <c r="AC89" s="198"/>
      <c r="AD89" s="214"/>
    </row>
    <row r="90" spans="1:30" ht="18.75" customHeight="1" x14ac:dyDescent="0.25">
      <c r="B90" s="13" t="s">
        <v>155</v>
      </c>
      <c r="C90" s="13"/>
      <c r="D90" s="13"/>
      <c r="E90" s="13"/>
      <c r="F90" s="13"/>
      <c r="G90" s="13"/>
      <c r="H90" s="13"/>
      <c r="I90" s="13"/>
      <c r="J90" s="13"/>
      <c r="K90" s="213"/>
      <c r="L90" s="205">
        <f>L87+L89</f>
        <v>-1033.6999999999534</v>
      </c>
      <c r="M90" s="202"/>
      <c r="N90" s="203"/>
      <c r="O90" s="1"/>
      <c r="Q90" s="164"/>
      <c r="V90" s="198">
        <v>2911</v>
      </c>
      <c r="W90" s="216"/>
      <c r="X90" s="216"/>
      <c r="Y90" s="216"/>
      <c r="Z90" s="216"/>
      <c r="AA90" s="216"/>
      <c r="AB90" s="216"/>
      <c r="AC90" s="216"/>
      <c r="AD90" s="214"/>
    </row>
    <row r="91" spans="1:30" ht="18.75" customHeight="1" x14ac:dyDescent="0.25">
      <c r="B91" s="13" t="s">
        <v>156</v>
      </c>
      <c r="C91" s="13"/>
      <c r="D91" s="13"/>
      <c r="E91" s="13"/>
      <c r="F91" s="13"/>
      <c r="G91" s="13"/>
      <c r="H91" s="13"/>
      <c r="I91" s="13"/>
      <c r="J91" s="13"/>
      <c r="K91" s="213"/>
      <c r="L91" s="205">
        <v>1</v>
      </c>
      <c r="M91" s="202"/>
      <c r="N91" s="203"/>
      <c r="O91" s="1"/>
      <c r="Q91" s="164"/>
      <c r="V91" s="198">
        <v>3382</v>
      </c>
      <c r="W91" s="216"/>
      <c r="X91" s="216"/>
      <c r="Y91" s="216"/>
      <c r="Z91" s="216"/>
      <c r="AA91" s="216"/>
      <c r="AB91" s="216"/>
      <c r="AC91" s="216"/>
      <c r="AD91" s="214"/>
    </row>
    <row r="92" spans="1:30" ht="18.75" customHeight="1" thickBot="1" x14ac:dyDescent="0.3">
      <c r="B92" s="13" t="s">
        <v>434</v>
      </c>
      <c r="C92" s="13"/>
      <c r="D92" s="13"/>
      <c r="E92" s="13"/>
      <c r="F92" s="13"/>
      <c r="G92" s="13"/>
      <c r="H92" s="13"/>
      <c r="I92" s="13"/>
      <c r="J92" s="13"/>
      <c r="K92" s="213"/>
      <c r="L92" s="217">
        <f>L90/L91</f>
        <v>-1033.6999999999534</v>
      </c>
      <c r="M92" s="202"/>
      <c r="N92" s="203"/>
      <c r="O92" s="1"/>
      <c r="Q92" s="164"/>
      <c r="V92" s="218"/>
      <c r="W92" s="218"/>
      <c r="X92" s="218"/>
      <c r="Y92" s="218"/>
      <c r="Z92" s="218"/>
      <c r="AA92" s="218"/>
      <c r="AB92" s="218"/>
      <c r="AC92" s="218"/>
      <c r="AD92" s="219"/>
    </row>
    <row r="93" spans="1:30" ht="18.75" customHeight="1" thickTop="1" x14ac:dyDescent="0.25">
      <c r="N93" s="219"/>
      <c r="O93" s="220"/>
      <c r="P93" s="219"/>
      <c r="Q93" s="219"/>
      <c r="V93" s="218"/>
      <c r="W93" s="218"/>
      <c r="X93" s="218"/>
      <c r="Y93" s="218"/>
      <c r="Z93" s="218"/>
      <c r="AA93" s="218"/>
      <c r="AB93" s="218"/>
      <c r="AC93" s="218"/>
      <c r="AD93" s="214"/>
    </row>
    <row r="94" spans="1:30" ht="18.75" customHeight="1" thickBot="1" x14ac:dyDescent="0.3">
      <c r="B94" s="221" t="s">
        <v>158</v>
      </c>
      <c r="C94" s="13"/>
      <c r="D94" s="13"/>
      <c r="E94" s="13"/>
      <c r="G94" s="13"/>
      <c r="H94" s="13"/>
      <c r="I94" s="13"/>
      <c r="J94" s="13"/>
      <c r="L94" s="222">
        <f>IF(M86="H",(K86*0.02)+L86,(K86*0.05)+L86)</f>
        <v>0</v>
      </c>
      <c r="M94" s="202"/>
      <c r="V94" s="223"/>
      <c r="W94" s="223"/>
      <c r="X94" s="223"/>
      <c r="Y94" s="223"/>
      <c r="Z94" s="223"/>
      <c r="AA94" s="223"/>
      <c r="AB94" s="223"/>
      <c r="AC94" s="223"/>
      <c r="AD94" s="214"/>
    </row>
    <row r="95" spans="1:30" ht="21.75" customHeight="1" thickTop="1" x14ac:dyDescent="0.25">
      <c r="B95" s="224" t="s">
        <v>159</v>
      </c>
      <c r="C95" s="224"/>
      <c r="D95" s="224"/>
      <c r="E95" s="224"/>
      <c r="F95" s="224"/>
      <c r="G95" s="224"/>
      <c r="H95" s="224"/>
      <c r="I95" s="224"/>
      <c r="J95" s="224"/>
      <c r="K95" s="224"/>
      <c r="L95" s="224"/>
      <c r="M95" s="219"/>
      <c r="V95" s="223"/>
      <c r="W95" s="223"/>
      <c r="X95" s="223"/>
      <c r="Y95" s="223"/>
      <c r="Z95" s="223"/>
      <c r="AA95" s="223"/>
      <c r="AB95" s="223"/>
      <c r="AC95" s="223"/>
      <c r="AD95" s="214"/>
    </row>
    <row r="96" spans="1:30" x14ac:dyDescent="0.25">
      <c r="B96" s="225"/>
      <c r="V96" s="223"/>
      <c r="W96" s="223"/>
      <c r="X96" s="223"/>
      <c r="Y96" s="223"/>
      <c r="Z96" s="223"/>
      <c r="AA96" s="223"/>
      <c r="AB96" s="223"/>
      <c r="AC96" s="223"/>
      <c r="AD96" s="219"/>
    </row>
    <row r="97" spans="2:30" x14ac:dyDescent="0.25">
      <c r="B97" s="225"/>
      <c r="V97" s="223"/>
      <c r="W97" s="223"/>
      <c r="X97" s="223"/>
      <c r="Y97" s="223"/>
      <c r="Z97" s="223"/>
      <c r="AA97" s="223"/>
      <c r="AB97" s="223"/>
      <c r="AC97" s="223"/>
      <c r="AD97" s="219"/>
    </row>
    <row r="98" spans="2:30" hidden="1" x14ac:dyDescent="0.25">
      <c r="B98" s="226" t="s">
        <v>160</v>
      </c>
      <c r="C98" s="227"/>
      <c r="V98" s="228"/>
      <c r="W98" s="228"/>
      <c r="X98" s="228"/>
      <c r="Y98" s="228"/>
      <c r="Z98" s="228"/>
      <c r="AA98" s="228"/>
      <c r="AB98" s="228"/>
      <c r="AC98" s="228"/>
    </row>
    <row r="99" spans="2:30" hidden="1" x14ac:dyDescent="0.25">
      <c r="B99" s="229"/>
      <c r="C99" s="227"/>
      <c r="V99" s="225"/>
      <c r="W99" s="13"/>
      <c r="X99" s="13"/>
      <c r="Y99" s="13"/>
      <c r="Z99" s="13"/>
      <c r="AA99" s="13"/>
      <c r="AB99" s="13"/>
      <c r="AC99" s="13"/>
    </row>
    <row r="100" spans="2:30" hidden="1" x14ac:dyDescent="0.25">
      <c r="B100" s="230" t="s">
        <v>161</v>
      </c>
      <c r="C100" s="226" t="s">
        <v>162</v>
      </c>
      <c r="V100" s="225"/>
    </row>
    <row r="101" spans="2:30" hidden="1" x14ac:dyDescent="0.25">
      <c r="B101" s="230" t="s">
        <v>163</v>
      </c>
      <c r="C101" s="226" t="s">
        <v>164</v>
      </c>
      <c r="V101" s="225"/>
    </row>
    <row r="102" spans="2:30" hidden="1" x14ac:dyDescent="0.25">
      <c r="B102" s="230" t="s">
        <v>165</v>
      </c>
      <c r="C102" s="226" t="s">
        <v>166</v>
      </c>
      <c r="V102" s="225"/>
      <c r="W102" s="231"/>
      <c r="X102" s="231"/>
      <c r="Y102" s="231"/>
      <c r="Z102" s="231"/>
      <c r="AA102" s="231"/>
      <c r="AB102" s="231"/>
      <c r="AC102" s="231"/>
      <c r="AD102" s="231"/>
    </row>
    <row r="103" spans="2:30" hidden="1" x14ac:dyDescent="0.25">
      <c r="B103" s="230" t="s">
        <v>167</v>
      </c>
      <c r="C103" s="226" t="s">
        <v>168</v>
      </c>
      <c r="V103" s="225"/>
    </row>
    <row r="104" spans="2:30" hidden="1" x14ac:dyDescent="0.25">
      <c r="B104" s="232"/>
      <c r="C104" s="226" t="s">
        <v>169</v>
      </c>
      <c r="V104" s="225"/>
    </row>
    <row r="105" spans="2:30" hidden="1" x14ac:dyDescent="0.25">
      <c r="B105" s="230" t="s">
        <v>170</v>
      </c>
      <c r="C105" s="226" t="s">
        <v>171</v>
      </c>
      <c r="V105" s="225"/>
    </row>
    <row r="106" spans="2:30" hidden="1" x14ac:dyDescent="0.25">
      <c r="B106" s="230" t="s">
        <v>172</v>
      </c>
      <c r="C106" s="226" t="s">
        <v>173</v>
      </c>
      <c r="V106" s="225"/>
    </row>
    <row r="107" spans="2:30" hidden="1" x14ac:dyDescent="0.25">
      <c r="B107" s="230" t="s">
        <v>339</v>
      </c>
      <c r="C107" s="226" t="s">
        <v>175</v>
      </c>
      <c r="V107" s="225"/>
    </row>
    <row r="108" spans="2:30" hidden="1" x14ac:dyDescent="0.25">
      <c r="B108" s="230" t="s">
        <v>176</v>
      </c>
      <c r="C108" s="226" t="s">
        <v>177</v>
      </c>
      <c r="V108" s="225"/>
    </row>
    <row r="109" spans="2:30" hidden="1" x14ac:dyDescent="0.25">
      <c r="B109" s="230" t="s">
        <v>178</v>
      </c>
      <c r="C109" s="226" t="s">
        <v>179</v>
      </c>
      <c r="V109" s="225"/>
    </row>
    <row r="110" spans="2:30" hidden="1" x14ac:dyDescent="0.25">
      <c r="B110" s="232"/>
      <c r="C110" s="226"/>
      <c r="V110" s="225"/>
    </row>
    <row r="111" spans="2:30" hidden="1" x14ac:dyDescent="0.25">
      <c r="B111" s="230" t="s">
        <v>180</v>
      </c>
      <c r="C111" s="226" t="s">
        <v>181</v>
      </c>
      <c r="V111" s="225"/>
    </row>
    <row r="112" spans="2:30" hidden="1" x14ac:dyDescent="0.25">
      <c r="B112" s="230" t="s">
        <v>180</v>
      </c>
      <c r="C112" s="226" t="s">
        <v>182</v>
      </c>
    </row>
    <row r="113" spans="2:3" hidden="1" x14ac:dyDescent="0.25">
      <c r="B113" s="230" t="s">
        <v>183</v>
      </c>
      <c r="C113" s="226" t="s">
        <v>184</v>
      </c>
    </row>
    <row r="114" spans="2:3" hidden="1" x14ac:dyDescent="0.25">
      <c r="B114" s="230" t="s">
        <v>185</v>
      </c>
      <c r="C114" s="226" t="s">
        <v>186</v>
      </c>
    </row>
    <row r="115" spans="2:3" hidden="1" x14ac:dyDescent="0.25">
      <c r="B115" s="230" t="s">
        <v>183</v>
      </c>
      <c r="C115" s="226" t="s">
        <v>187</v>
      </c>
    </row>
    <row r="116" spans="2:3" hidden="1" x14ac:dyDescent="0.25">
      <c r="B116" s="230" t="s">
        <v>188</v>
      </c>
      <c r="C116" s="226" t="s">
        <v>189</v>
      </c>
    </row>
    <row r="117" spans="2:3" hidden="1" x14ac:dyDescent="0.25">
      <c r="B117" s="230" t="s">
        <v>190</v>
      </c>
      <c r="C117" s="226" t="s">
        <v>191</v>
      </c>
    </row>
    <row r="118" spans="2:3" hidden="1" x14ac:dyDescent="0.25">
      <c r="B118" s="232" t="s">
        <v>192</v>
      </c>
      <c r="C118" s="226" t="s">
        <v>193</v>
      </c>
    </row>
    <row r="119" spans="2:3" hidden="1" x14ac:dyDescent="0.25">
      <c r="B119" s="232"/>
      <c r="C119" s="226"/>
    </row>
    <row r="120" spans="2:3" hidden="1" x14ac:dyDescent="0.25">
      <c r="B120" s="230" t="s">
        <v>161</v>
      </c>
      <c r="C120" s="226" t="s">
        <v>194</v>
      </c>
    </row>
    <row r="121" spans="2:3" hidden="1" x14ac:dyDescent="0.25">
      <c r="B121" s="230" t="s">
        <v>195</v>
      </c>
      <c r="C121" s="226" t="s">
        <v>196</v>
      </c>
    </row>
    <row r="122" spans="2:3" hidden="1" x14ac:dyDescent="0.25">
      <c r="B122" s="230" t="s">
        <v>197</v>
      </c>
      <c r="C122" s="226" t="s">
        <v>198</v>
      </c>
    </row>
    <row r="123" spans="2:3" hidden="1" x14ac:dyDescent="0.25">
      <c r="B123" s="230" t="s">
        <v>340</v>
      </c>
      <c r="C123" s="226" t="s">
        <v>200</v>
      </c>
    </row>
    <row r="124" spans="2:3" hidden="1" x14ac:dyDescent="0.25">
      <c r="B124" s="230" t="s">
        <v>341</v>
      </c>
      <c r="C124" s="226" t="s">
        <v>202</v>
      </c>
    </row>
    <row r="125" spans="2:3" hidden="1" x14ac:dyDescent="0.25">
      <c r="B125" s="230" t="s">
        <v>203</v>
      </c>
      <c r="C125" s="226" t="s">
        <v>204</v>
      </c>
    </row>
    <row r="126" spans="2:3" hidden="1" x14ac:dyDescent="0.25">
      <c r="B126" s="230" t="s">
        <v>203</v>
      </c>
      <c r="C126" s="226" t="s">
        <v>205</v>
      </c>
    </row>
    <row r="127" spans="2:3" hidden="1" x14ac:dyDescent="0.25">
      <c r="B127" s="230" t="s">
        <v>203</v>
      </c>
      <c r="C127" s="226" t="s">
        <v>206</v>
      </c>
    </row>
    <row r="128" spans="2:3" hidden="1" x14ac:dyDescent="0.25">
      <c r="B128" s="230" t="s">
        <v>203</v>
      </c>
      <c r="C128" s="226" t="s">
        <v>207</v>
      </c>
    </row>
    <row r="129" spans="2:3" hidden="1" x14ac:dyDescent="0.25">
      <c r="B129" s="230" t="s">
        <v>167</v>
      </c>
      <c r="C129" s="226" t="s">
        <v>208</v>
      </c>
    </row>
    <row r="130" spans="2:3" hidden="1" x14ac:dyDescent="0.25">
      <c r="B130" s="230" t="s">
        <v>209</v>
      </c>
      <c r="C130" s="226" t="s">
        <v>210</v>
      </c>
    </row>
    <row r="131" spans="2:3" hidden="1" x14ac:dyDescent="0.25">
      <c r="B131" s="230" t="s">
        <v>203</v>
      </c>
      <c r="C131" s="226" t="s">
        <v>211</v>
      </c>
    </row>
    <row r="132" spans="2:3" hidden="1" x14ac:dyDescent="0.25">
      <c r="B132" s="226"/>
      <c r="C132" s="226"/>
    </row>
    <row r="133" spans="2:3" hidden="1" x14ac:dyDescent="0.25">
      <c r="B133" s="226"/>
      <c r="C133" s="226"/>
    </row>
    <row r="134" spans="2:3" hidden="1" x14ac:dyDescent="0.25">
      <c r="B134" s="232"/>
      <c r="C134" s="232"/>
    </row>
    <row r="135" spans="2:3" hidden="1" x14ac:dyDescent="0.25">
      <c r="B135" s="232">
        <f>NvsElapsedTime</f>
        <v>1.15740767796524E-5</v>
      </c>
      <c r="C135" s="232"/>
    </row>
    <row r="136" spans="2:3" hidden="1" x14ac:dyDescent="0.25">
      <c r="B136" s="233">
        <f>NvsEndTime</f>
        <v>41754.488206018497</v>
      </c>
      <c r="C136" s="233" t="s">
        <v>212</v>
      </c>
    </row>
    <row r="137" spans="2:3" x14ac:dyDescent="0.25">
      <c r="B137" s="226"/>
      <c r="C137" s="234"/>
    </row>
    <row r="138" spans="2:3" x14ac:dyDescent="0.25">
      <c r="B138" s="226"/>
      <c r="C138" s="226"/>
    </row>
    <row r="139" spans="2:3" x14ac:dyDescent="0.25">
      <c r="B139" s="226"/>
      <c r="C139" s="226"/>
    </row>
    <row r="140" spans="2:3" x14ac:dyDescent="0.25">
      <c r="B140" s="226"/>
      <c r="C140" s="226"/>
    </row>
    <row r="141" spans="2:3" x14ac:dyDescent="0.25">
      <c r="B141" s="226"/>
      <c r="C141" s="226"/>
    </row>
    <row r="142" spans="2:3" x14ac:dyDescent="0.25">
      <c r="B142" s="226"/>
      <c r="C142" s="226"/>
    </row>
    <row r="143" spans="2:3" x14ac:dyDescent="0.25">
      <c r="B143" s="226"/>
      <c r="C143" s="226"/>
    </row>
    <row r="144" spans="2:3" x14ac:dyDescent="0.25">
      <c r="B144" s="226"/>
      <c r="C144" s="226"/>
    </row>
    <row r="145" spans="2:3" x14ac:dyDescent="0.25">
      <c r="B145" s="226"/>
      <c r="C145" s="226"/>
    </row>
    <row r="146" spans="2:3" x14ac:dyDescent="0.25">
      <c r="B146" s="226"/>
      <c r="C146" s="226"/>
    </row>
    <row r="147" spans="2:3" x14ac:dyDescent="0.25">
      <c r="B147" s="226"/>
      <c r="C147" s="226"/>
    </row>
    <row r="148" spans="2:3" x14ac:dyDescent="0.25">
      <c r="B148" s="226"/>
      <c r="C148" s="226"/>
    </row>
    <row r="149" spans="2:3" x14ac:dyDescent="0.25">
      <c r="B149" s="226"/>
      <c r="C149" s="226"/>
    </row>
    <row r="150" spans="2:3" x14ac:dyDescent="0.25">
      <c r="B150" s="226"/>
      <c r="C150" s="226"/>
    </row>
    <row r="151" spans="2:3" x14ac:dyDescent="0.25">
      <c r="B151" s="226"/>
      <c r="C151" s="226"/>
    </row>
  </sheetData>
  <mergeCells count="151">
    <mergeCell ref="B80:D80"/>
    <mergeCell ref="V76:X76"/>
    <mergeCell ref="Y76:Z76"/>
    <mergeCell ref="V77:X77"/>
    <mergeCell ref="Y77:Z77"/>
    <mergeCell ref="B78:D78"/>
    <mergeCell ref="V78:X78"/>
    <mergeCell ref="V70:X70"/>
    <mergeCell ref="Y70:Z70"/>
    <mergeCell ref="V71:X71"/>
    <mergeCell ref="Y71:Z71"/>
    <mergeCell ref="V72:AB72"/>
    <mergeCell ref="V73:AC73"/>
    <mergeCell ref="V74:W74"/>
    <mergeCell ref="V75:W75"/>
    <mergeCell ref="B79:D79"/>
    <mergeCell ref="V79:X79"/>
    <mergeCell ref="V65:W65"/>
    <mergeCell ref="X65:AC65"/>
    <mergeCell ref="V66:X66"/>
    <mergeCell ref="Y66:Z66"/>
    <mergeCell ref="V67:AC67"/>
    <mergeCell ref="V68:X68"/>
    <mergeCell ref="Y68:Z68"/>
    <mergeCell ref="V69:X69"/>
    <mergeCell ref="Y69:Z69"/>
    <mergeCell ref="V60:W60"/>
    <mergeCell ref="X60:AC60"/>
    <mergeCell ref="V61:W61"/>
    <mergeCell ref="X61:AC61"/>
    <mergeCell ref="V62:W62"/>
    <mergeCell ref="X62:AC62"/>
    <mergeCell ref="V63:AC63"/>
    <mergeCell ref="V64:W64"/>
    <mergeCell ref="X64:AC64"/>
    <mergeCell ref="V55:AC55"/>
    <mergeCell ref="V56:W56"/>
    <mergeCell ref="Y56:Z56"/>
    <mergeCell ref="AA56:AC56"/>
    <mergeCell ref="V57:AA57"/>
    <mergeCell ref="AB57:AC57"/>
    <mergeCell ref="V58:X58"/>
    <mergeCell ref="Y58:Z58"/>
    <mergeCell ref="V59:AC59"/>
    <mergeCell ref="X49:Y49"/>
    <mergeCell ref="X50:AB50"/>
    <mergeCell ref="V51:AC51"/>
    <mergeCell ref="V52:AC52"/>
    <mergeCell ref="V53:W53"/>
    <mergeCell ref="Y53:Z53"/>
    <mergeCell ref="AA53:AC53"/>
    <mergeCell ref="V54:AA54"/>
    <mergeCell ref="AB54:AC54"/>
    <mergeCell ref="V41:AC41"/>
    <mergeCell ref="V42:AC42"/>
    <mergeCell ref="V43:AC43"/>
    <mergeCell ref="V44:AB44"/>
    <mergeCell ref="V45:AC45"/>
    <mergeCell ref="X46:Y46"/>
    <mergeCell ref="Z46:AC46"/>
    <mergeCell ref="X47:Y47"/>
    <mergeCell ref="X48:Y48"/>
    <mergeCell ref="V37:W37"/>
    <mergeCell ref="X37:Y37"/>
    <mergeCell ref="Z37:AB37"/>
    <mergeCell ref="V38:AC38"/>
    <mergeCell ref="V39:W39"/>
    <mergeCell ref="X39:Y39"/>
    <mergeCell ref="Z39:AC39"/>
    <mergeCell ref="V40:W40"/>
    <mergeCell ref="X40:AA40"/>
    <mergeCell ref="V26:W26"/>
    <mergeCell ref="X26:Y26"/>
    <mergeCell ref="Z26:AA26"/>
    <mergeCell ref="V27:W27"/>
    <mergeCell ref="X27:Y27"/>
    <mergeCell ref="B28:C36"/>
    <mergeCell ref="V28:W36"/>
    <mergeCell ref="X28:Y28"/>
    <mergeCell ref="X29:Y29"/>
    <mergeCell ref="X30:Y30"/>
    <mergeCell ref="X31:Y31"/>
    <mergeCell ref="X32:Y32"/>
    <mergeCell ref="X33:Y33"/>
    <mergeCell ref="X34:Y34"/>
    <mergeCell ref="X35:Y35"/>
    <mergeCell ref="X36:Y36"/>
    <mergeCell ref="V23:W23"/>
    <mergeCell ref="X23:Y23"/>
    <mergeCell ref="Z23:AA23"/>
    <mergeCell ref="V24:W24"/>
    <mergeCell ref="X24:Y24"/>
    <mergeCell ref="Z24:AA24"/>
    <mergeCell ref="V25:W25"/>
    <mergeCell ref="X25:Y25"/>
    <mergeCell ref="Z25:AA25"/>
    <mergeCell ref="V20:W20"/>
    <mergeCell ref="X20:Y20"/>
    <mergeCell ref="Z20:AA20"/>
    <mergeCell ref="V21:W21"/>
    <mergeCell ref="X21:Y21"/>
    <mergeCell ref="Z21:AA21"/>
    <mergeCell ref="V22:W22"/>
    <mergeCell ref="X22:Y22"/>
    <mergeCell ref="Z22:AA22"/>
    <mergeCell ref="V17:W17"/>
    <mergeCell ref="X17:Y17"/>
    <mergeCell ref="Z17:AA17"/>
    <mergeCell ref="V18:W18"/>
    <mergeCell ref="X18:Y18"/>
    <mergeCell ref="Z18:AA18"/>
    <mergeCell ref="V19:W19"/>
    <mergeCell ref="X19:Y19"/>
    <mergeCell ref="Z19:AA19"/>
    <mergeCell ref="V14:W14"/>
    <mergeCell ref="X14:Y14"/>
    <mergeCell ref="Z14:AA14"/>
    <mergeCell ref="V15:W15"/>
    <mergeCell ref="X15:Y15"/>
    <mergeCell ref="Z15:AA15"/>
    <mergeCell ref="V16:W16"/>
    <mergeCell ref="X16:Y16"/>
    <mergeCell ref="Z16:AA16"/>
    <mergeCell ref="V11:W11"/>
    <mergeCell ref="X11:Y11"/>
    <mergeCell ref="Z11:AA11"/>
    <mergeCell ref="V12:W12"/>
    <mergeCell ref="X12:Y12"/>
    <mergeCell ref="Z12:AA12"/>
    <mergeCell ref="V13:W13"/>
    <mergeCell ref="X13:Y13"/>
    <mergeCell ref="Z13:AA13"/>
    <mergeCell ref="V8:W8"/>
    <mergeCell ref="X8:Y8"/>
    <mergeCell ref="Z8:AA8"/>
    <mergeCell ref="V9:W9"/>
    <mergeCell ref="X9:Y9"/>
    <mergeCell ref="Z9:AA9"/>
    <mergeCell ref="V10:W10"/>
    <mergeCell ref="X10:Y10"/>
    <mergeCell ref="Z10:AA10"/>
    <mergeCell ref="W2:AC2"/>
    <mergeCell ref="V3:AC3"/>
    <mergeCell ref="V4:AC4"/>
    <mergeCell ref="V5:W5"/>
    <mergeCell ref="X5:Y5"/>
    <mergeCell ref="V6:AC6"/>
    <mergeCell ref="V7:W7"/>
    <mergeCell ref="X7:Y7"/>
    <mergeCell ref="Z7:AA7"/>
    <mergeCell ref="AB7:AC7"/>
  </mergeCells>
  <printOptions horizontalCentered="1"/>
  <pageMargins left="0" right="0" top="0.67" bottom="0.2" header="0.25" footer="0.196850393700787"/>
  <pageSetup scale="72" fitToHeight="2" orientation="portrait" r:id="rId1"/>
  <headerFooter alignWithMargins="0">
    <oddHeader>&amp;L&amp;8&amp;F
&amp;D &amp;T</oddHeader>
    <oddFooter>&amp;C&amp;P</oddFooter>
  </headerFooter>
  <rowBreaks count="1" manualBreakCount="1">
    <brk id="51" max="16383" man="1"/>
  </rowBreaks>
  <legacy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5"/>
  <sheetViews>
    <sheetView zoomScale="70" zoomScaleNormal="70" workbookViewId="0">
      <selection activeCell="L71" sqref="L70:L71"/>
    </sheetView>
  </sheetViews>
  <sheetFormatPr defaultColWidth="9.140625" defaultRowHeight="15" x14ac:dyDescent="0.25"/>
  <cols>
    <col min="1" max="1" width="11.42578125" style="252" customWidth="1"/>
    <col min="2" max="2" width="40.5703125" style="252" bestFit="1" customWidth="1"/>
    <col min="3" max="3" width="17.42578125" style="252" customWidth="1"/>
    <col min="4" max="4" width="11.42578125" style="252" customWidth="1"/>
    <col min="5" max="5" width="14.140625" style="252" customWidth="1"/>
    <col min="6" max="6" width="15.85546875" style="252" customWidth="1"/>
    <col min="7" max="7" width="16.140625" style="252" customWidth="1"/>
    <col min="8" max="8" width="13.42578125" style="252" customWidth="1"/>
    <col min="9" max="9" width="14.28515625" style="252" customWidth="1"/>
    <col min="10" max="10" width="9.140625" style="252"/>
    <col min="11" max="11" width="16.140625" style="252" customWidth="1"/>
    <col min="12" max="256" width="9.140625" style="252"/>
    <col min="257" max="257" width="11.42578125" style="252" customWidth="1"/>
    <col min="258" max="258" width="40.5703125" style="252" bestFit="1" customWidth="1"/>
    <col min="259" max="259" width="17.42578125" style="252" customWidth="1"/>
    <col min="260" max="260" width="11.42578125" style="252" customWidth="1"/>
    <col min="261" max="261" width="14.140625" style="252" customWidth="1"/>
    <col min="262" max="262" width="15.85546875" style="252" customWidth="1"/>
    <col min="263" max="263" width="12" style="252" customWidth="1"/>
    <col min="264" max="264" width="13.42578125" style="252" customWidth="1"/>
    <col min="265" max="512" width="9.140625" style="252"/>
    <col min="513" max="513" width="11.42578125" style="252" customWidth="1"/>
    <col min="514" max="514" width="40.5703125" style="252" bestFit="1" customWidth="1"/>
    <col min="515" max="515" width="17.42578125" style="252" customWidth="1"/>
    <col min="516" max="516" width="11.42578125" style="252" customWidth="1"/>
    <col min="517" max="517" width="14.140625" style="252" customWidth="1"/>
    <col min="518" max="518" width="15.85546875" style="252" customWidth="1"/>
    <col min="519" max="519" width="12" style="252" customWidth="1"/>
    <col min="520" max="520" width="13.42578125" style="252" customWidth="1"/>
    <col min="521" max="768" width="9.140625" style="252"/>
    <col min="769" max="769" width="11.42578125" style="252" customWidth="1"/>
    <col min="770" max="770" width="40.5703125" style="252" bestFit="1" customWidth="1"/>
    <col min="771" max="771" width="17.42578125" style="252" customWidth="1"/>
    <col min="772" max="772" width="11.42578125" style="252" customWidth="1"/>
    <col min="773" max="773" width="14.140625" style="252" customWidth="1"/>
    <col min="774" max="774" width="15.85546875" style="252" customWidth="1"/>
    <col min="775" max="775" width="12" style="252" customWidth="1"/>
    <col min="776" max="776" width="13.42578125" style="252" customWidth="1"/>
    <col min="777" max="1024" width="9.140625" style="252"/>
    <col min="1025" max="1025" width="11.42578125" style="252" customWidth="1"/>
    <col min="1026" max="1026" width="40.5703125" style="252" bestFit="1" customWidth="1"/>
    <col min="1027" max="1027" width="17.42578125" style="252" customWidth="1"/>
    <col min="1028" max="1028" width="11.42578125" style="252" customWidth="1"/>
    <col min="1029" max="1029" width="14.140625" style="252" customWidth="1"/>
    <col min="1030" max="1030" width="15.85546875" style="252" customWidth="1"/>
    <col min="1031" max="1031" width="12" style="252" customWidth="1"/>
    <col min="1032" max="1032" width="13.42578125" style="252" customWidth="1"/>
    <col min="1033" max="1280" width="9.140625" style="252"/>
    <col min="1281" max="1281" width="11.42578125" style="252" customWidth="1"/>
    <col min="1282" max="1282" width="40.5703125" style="252" bestFit="1" customWidth="1"/>
    <col min="1283" max="1283" width="17.42578125" style="252" customWidth="1"/>
    <col min="1284" max="1284" width="11.42578125" style="252" customWidth="1"/>
    <col min="1285" max="1285" width="14.140625" style="252" customWidth="1"/>
    <col min="1286" max="1286" width="15.85546875" style="252" customWidth="1"/>
    <col min="1287" max="1287" width="12" style="252" customWidth="1"/>
    <col min="1288" max="1288" width="13.42578125" style="252" customWidth="1"/>
    <col min="1289" max="1536" width="9.140625" style="252"/>
    <col min="1537" max="1537" width="11.42578125" style="252" customWidth="1"/>
    <col min="1538" max="1538" width="40.5703125" style="252" bestFit="1" customWidth="1"/>
    <col min="1539" max="1539" width="17.42578125" style="252" customWidth="1"/>
    <col min="1540" max="1540" width="11.42578125" style="252" customWidth="1"/>
    <col min="1541" max="1541" width="14.140625" style="252" customWidth="1"/>
    <col min="1542" max="1542" width="15.85546875" style="252" customWidth="1"/>
    <col min="1543" max="1543" width="12" style="252" customWidth="1"/>
    <col min="1544" max="1544" width="13.42578125" style="252" customWidth="1"/>
    <col min="1545" max="1792" width="9.140625" style="252"/>
    <col min="1793" max="1793" width="11.42578125" style="252" customWidth="1"/>
    <col min="1794" max="1794" width="40.5703125" style="252" bestFit="1" customWidth="1"/>
    <col min="1795" max="1795" width="17.42578125" style="252" customWidth="1"/>
    <col min="1796" max="1796" width="11.42578125" style="252" customWidth="1"/>
    <col min="1797" max="1797" width="14.140625" style="252" customWidth="1"/>
    <col min="1798" max="1798" width="15.85546875" style="252" customWidth="1"/>
    <col min="1799" max="1799" width="12" style="252" customWidth="1"/>
    <col min="1800" max="1800" width="13.42578125" style="252" customWidth="1"/>
    <col min="1801" max="2048" width="9.140625" style="252"/>
    <col min="2049" max="2049" width="11.42578125" style="252" customWidth="1"/>
    <col min="2050" max="2050" width="40.5703125" style="252" bestFit="1" customWidth="1"/>
    <col min="2051" max="2051" width="17.42578125" style="252" customWidth="1"/>
    <col min="2052" max="2052" width="11.42578125" style="252" customWidth="1"/>
    <col min="2053" max="2053" width="14.140625" style="252" customWidth="1"/>
    <col min="2054" max="2054" width="15.85546875" style="252" customWidth="1"/>
    <col min="2055" max="2055" width="12" style="252" customWidth="1"/>
    <col min="2056" max="2056" width="13.42578125" style="252" customWidth="1"/>
    <col min="2057" max="2304" width="9.140625" style="252"/>
    <col min="2305" max="2305" width="11.42578125" style="252" customWidth="1"/>
    <col min="2306" max="2306" width="40.5703125" style="252" bestFit="1" customWidth="1"/>
    <col min="2307" max="2307" width="17.42578125" style="252" customWidth="1"/>
    <col min="2308" max="2308" width="11.42578125" style="252" customWidth="1"/>
    <col min="2309" max="2309" width="14.140625" style="252" customWidth="1"/>
    <col min="2310" max="2310" width="15.85546875" style="252" customWidth="1"/>
    <col min="2311" max="2311" width="12" style="252" customWidth="1"/>
    <col min="2312" max="2312" width="13.42578125" style="252" customWidth="1"/>
    <col min="2313" max="2560" width="9.140625" style="252"/>
    <col min="2561" max="2561" width="11.42578125" style="252" customWidth="1"/>
    <col min="2562" max="2562" width="40.5703125" style="252" bestFit="1" customWidth="1"/>
    <col min="2563" max="2563" width="17.42578125" style="252" customWidth="1"/>
    <col min="2564" max="2564" width="11.42578125" style="252" customWidth="1"/>
    <col min="2565" max="2565" width="14.140625" style="252" customWidth="1"/>
    <col min="2566" max="2566" width="15.85546875" style="252" customWidth="1"/>
    <col min="2567" max="2567" width="12" style="252" customWidth="1"/>
    <col min="2568" max="2568" width="13.42578125" style="252" customWidth="1"/>
    <col min="2569" max="2816" width="9.140625" style="252"/>
    <col min="2817" max="2817" width="11.42578125" style="252" customWidth="1"/>
    <col min="2818" max="2818" width="40.5703125" style="252" bestFit="1" customWidth="1"/>
    <col min="2819" max="2819" width="17.42578125" style="252" customWidth="1"/>
    <col min="2820" max="2820" width="11.42578125" style="252" customWidth="1"/>
    <col min="2821" max="2821" width="14.140625" style="252" customWidth="1"/>
    <col min="2822" max="2822" width="15.85546875" style="252" customWidth="1"/>
    <col min="2823" max="2823" width="12" style="252" customWidth="1"/>
    <col min="2824" max="2824" width="13.42578125" style="252" customWidth="1"/>
    <col min="2825" max="3072" width="9.140625" style="252"/>
    <col min="3073" max="3073" width="11.42578125" style="252" customWidth="1"/>
    <col min="3074" max="3074" width="40.5703125" style="252" bestFit="1" customWidth="1"/>
    <col min="3075" max="3075" width="17.42578125" style="252" customWidth="1"/>
    <col min="3076" max="3076" width="11.42578125" style="252" customWidth="1"/>
    <col min="3077" max="3077" width="14.140625" style="252" customWidth="1"/>
    <col min="3078" max="3078" width="15.85546875" style="252" customWidth="1"/>
    <col min="3079" max="3079" width="12" style="252" customWidth="1"/>
    <col min="3080" max="3080" width="13.42578125" style="252" customWidth="1"/>
    <col min="3081" max="3328" width="9.140625" style="252"/>
    <col min="3329" max="3329" width="11.42578125" style="252" customWidth="1"/>
    <col min="3330" max="3330" width="40.5703125" style="252" bestFit="1" customWidth="1"/>
    <col min="3331" max="3331" width="17.42578125" style="252" customWidth="1"/>
    <col min="3332" max="3332" width="11.42578125" style="252" customWidth="1"/>
    <col min="3333" max="3333" width="14.140625" style="252" customWidth="1"/>
    <col min="3334" max="3334" width="15.85546875" style="252" customWidth="1"/>
    <col min="3335" max="3335" width="12" style="252" customWidth="1"/>
    <col min="3336" max="3336" width="13.42578125" style="252" customWidth="1"/>
    <col min="3337" max="3584" width="9.140625" style="252"/>
    <col min="3585" max="3585" width="11.42578125" style="252" customWidth="1"/>
    <col min="3586" max="3586" width="40.5703125" style="252" bestFit="1" customWidth="1"/>
    <col min="3587" max="3587" width="17.42578125" style="252" customWidth="1"/>
    <col min="3588" max="3588" width="11.42578125" style="252" customWidth="1"/>
    <col min="3589" max="3589" width="14.140625" style="252" customWidth="1"/>
    <col min="3590" max="3590" width="15.85546875" style="252" customWidth="1"/>
    <col min="3591" max="3591" width="12" style="252" customWidth="1"/>
    <col min="3592" max="3592" width="13.42578125" style="252" customWidth="1"/>
    <col min="3593" max="3840" width="9.140625" style="252"/>
    <col min="3841" max="3841" width="11.42578125" style="252" customWidth="1"/>
    <col min="3842" max="3842" width="40.5703125" style="252" bestFit="1" customWidth="1"/>
    <col min="3843" max="3843" width="17.42578125" style="252" customWidth="1"/>
    <col min="3844" max="3844" width="11.42578125" style="252" customWidth="1"/>
    <col min="3845" max="3845" width="14.140625" style="252" customWidth="1"/>
    <col min="3846" max="3846" width="15.85546875" style="252" customWidth="1"/>
    <col min="3847" max="3847" width="12" style="252" customWidth="1"/>
    <col min="3848" max="3848" width="13.42578125" style="252" customWidth="1"/>
    <col min="3849" max="4096" width="9.140625" style="252"/>
    <col min="4097" max="4097" width="11.42578125" style="252" customWidth="1"/>
    <col min="4098" max="4098" width="40.5703125" style="252" bestFit="1" customWidth="1"/>
    <col min="4099" max="4099" width="17.42578125" style="252" customWidth="1"/>
    <col min="4100" max="4100" width="11.42578125" style="252" customWidth="1"/>
    <col min="4101" max="4101" width="14.140625" style="252" customWidth="1"/>
    <col min="4102" max="4102" width="15.85546875" style="252" customWidth="1"/>
    <col min="4103" max="4103" width="12" style="252" customWidth="1"/>
    <col min="4104" max="4104" width="13.42578125" style="252" customWidth="1"/>
    <col min="4105" max="4352" width="9.140625" style="252"/>
    <col min="4353" max="4353" width="11.42578125" style="252" customWidth="1"/>
    <col min="4354" max="4354" width="40.5703125" style="252" bestFit="1" customWidth="1"/>
    <col min="4355" max="4355" width="17.42578125" style="252" customWidth="1"/>
    <col min="4356" max="4356" width="11.42578125" style="252" customWidth="1"/>
    <col min="4357" max="4357" width="14.140625" style="252" customWidth="1"/>
    <col min="4358" max="4358" width="15.85546875" style="252" customWidth="1"/>
    <col min="4359" max="4359" width="12" style="252" customWidth="1"/>
    <col min="4360" max="4360" width="13.42578125" style="252" customWidth="1"/>
    <col min="4361" max="4608" width="9.140625" style="252"/>
    <col min="4609" max="4609" width="11.42578125" style="252" customWidth="1"/>
    <col min="4610" max="4610" width="40.5703125" style="252" bestFit="1" customWidth="1"/>
    <col min="4611" max="4611" width="17.42578125" style="252" customWidth="1"/>
    <col min="4612" max="4612" width="11.42578125" style="252" customWidth="1"/>
    <col min="4613" max="4613" width="14.140625" style="252" customWidth="1"/>
    <col min="4614" max="4614" width="15.85546875" style="252" customWidth="1"/>
    <col min="4615" max="4615" width="12" style="252" customWidth="1"/>
    <col min="4616" max="4616" width="13.42578125" style="252" customWidth="1"/>
    <col min="4617" max="4864" width="9.140625" style="252"/>
    <col min="4865" max="4865" width="11.42578125" style="252" customWidth="1"/>
    <col min="4866" max="4866" width="40.5703125" style="252" bestFit="1" customWidth="1"/>
    <col min="4867" max="4867" width="17.42578125" style="252" customWidth="1"/>
    <col min="4868" max="4868" width="11.42578125" style="252" customWidth="1"/>
    <col min="4869" max="4869" width="14.140625" style="252" customWidth="1"/>
    <col min="4870" max="4870" width="15.85546875" style="252" customWidth="1"/>
    <col min="4871" max="4871" width="12" style="252" customWidth="1"/>
    <col min="4872" max="4872" width="13.42578125" style="252" customWidth="1"/>
    <col min="4873" max="5120" width="9.140625" style="252"/>
    <col min="5121" max="5121" width="11.42578125" style="252" customWidth="1"/>
    <col min="5122" max="5122" width="40.5703125" style="252" bestFit="1" customWidth="1"/>
    <col min="5123" max="5123" width="17.42578125" style="252" customWidth="1"/>
    <col min="5124" max="5124" width="11.42578125" style="252" customWidth="1"/>
    <col min="5125" max="5125" width="14.140625" style="252" customWidth="1"/>
    <col min="5126" max="5126" width="15.85546875" style="252" customWidth="1"/>
    <col min="5127" max="5127" width="12" style="252" customWidth="1"/>
    <col min="5128" max="5128" width="13.42578125" style="252" customWidth="1"/>
    <col min="5129" max="5376" width="9.140625" style="252"/>
    <col min="5377" max="5377" width="11.42578125" style="252" customWidth="1"/>
    <col min="5378" max="5378" width="40.5703125" style="252" bestFit="1" customWidth="1"/>
    <col min="5379" max="5379" width="17.42578125" style="252" customWidth="1"/>
    <col min="5380" max="5380" width="11.42578125" style="252" customWidth="1"/>
    <col min="5381" max="5381" width="14.140625" style="252" customWidth="1"/>
    <col min="5382" max="5382" width="15.85546875" style="252" customWidth="1"/>
    <col min="5383" max="5383" width="12" style="252" customWidth="1"/>
    <col min="5384" max="5384" width="13.42578125" style="252" customWidth="1"/>
    <col min="5385" max="5632" width="9.140625" style="252"/>
    <col min="5633" max="5633" width="11.42578125" style="252" customWidth="1"/>
    <col min="5634" max="5634" width="40.5703125" style="252" bestFit="1" customWidth="1"/>
    <col min="5635" max="5635" width="17.42578125" style="252" customWidth="1"/>
    <col min="5636" max="5636" width="11.42578125" style="252" customWidth="1"/>
    <col min="5637" max="5637" width="14.140625" style="252" customWidth="1"/>
    <col min="5638" max="5638" width="15.85546875" style="252" customWidth="1"/>
    <col min="5639" max="5639" width="12" style="252" customWidth="1"/>
    <col min="5640" max="5640" width="13.42578125" style="252" customWidth="1"/>
    <col min="5641" max="5888" width="9.140625" style="252"/>
    <col min="5889" max="5889" width="11.42578125" style="252" customWidth="1"/>
    <col min="5890" max="5890" width="40.5703125" style="252" bestFit="1" customWidth="1"/>
    <col min="5891" max="5891" width="17.42578125" style="252" customWidth="1"/>
    <col min="5892" max="5892" width="11.42578125" style="252" customWidth="1"/>
    <col min="5893" max="5893" width="14.140625" style="252" customWidth="1"/>
    <col min="5894" max="5894" width="15.85546875" style="252" customWidth="1"/>
    <col min="5895" max="5895" width="12" style="252" customWidth="1"/>
    <col min="5896" max="5896" width="13.42578125" style="252" customWidth="1"/>
    <col min="5897" max="6144" width="9.140625" style="252"/>
    <col min="6145" max="6145" width="11.42578125" style="252" customWidth="1"/>
    <col min="6146" max="6146" width="40.5703125" style="252" bestFit="1" customWidth="1"/>
    <col min="6147" max="6147" width="17.42578125" style="252" customWidth="1"/>
    <col min="6148" max="6148" width="11.42578125" style="252" customWidth="1"/>
    <col min="6149" max="6149" width="14.140625" style="252" customWidth="1"/>
    <col min="6150" max="6150" width="15.85546875" style="252" customWidth="1"/>
    <col min="6151" max="6151" width="12" style="252" customWidth="1"/>
    <col min="6152" max="6152" width="13.42578125" style="252" customWidth="1"/>
    <col min="6153" max="6400" width="9.140625" style="252"/>
    <col min="6401" max="6401" width="11.42578125" style="252" customWidth="1"/>
    <col min="6402" max="6402" width="40.5703125" style="252" bestFit="1" customWidth="1"/>
    <col min="6403" max="6403" width="17.42578125" style="252" customWidth="1"/>
    <col min="6404" max="6404" width="11.42578125" style="252" customWidth="1"/>
    <col min="6405" max="6405" width="14.140625" style="252" customWidth="1"/>
    <col min="6406" max="6406" width="15.85546875" style="252" customWidth="1"/>
    <col min="6407" max="6407" width="12" style="252" customWidth="1"/>
    <col min="6408" max="6408" width="13.42578125" style="252" customWidth="1"/>
    <col min="6409" max="6656" width="9.140625" style="252"/>
    <col min="6657" max="6657" width="11.42578125" style="252" customWidth="1"/>
    <col min="6658" max="6658" width="40.5703125" style="252" bestFit="1" customWidth="1"/>
    <col min="6659" max="6659" width="17.42578125" style="252" customWidth="1"/>
    <col min="6660" max="6660" width="11.42578125" style="252" customWidth="1"/>
    <col min="6661" max="6661" width="14.140625" style="252" customWidth="1"/>
    <col min="6662" max="6662" width="15.85546875" style="252" customWidth="1"/>
    <col min="6663" max="6663" width="12" style="252" customWidth="1"/>
    <col min="6664" max="6664" width="13.42578125" style="252" customWidth="1"/>
    <col min="6665" max="6912" width="9.140625" style="252"/>
    <col min="6913" max="6913" width="11.42578125" style="252" customWidth="1"/>
    <col min="6914" max="6914" width="40.5703125" style="252" bestFit="1" customWidth="1"/>
    <col min="6915" max="6915" width="17.42578125" style="252" customWidth="1"/>
    <col min="6916" max="6916" width="11.42578125" style="252" customWidth="1"/>
    <col min="6917" max="6917" width="14.140625" style="252" customWidth="1"/>
    <col min="6918" max="6918" width="15.85546875" style="252" customWidth="1"/>
    <col min="6919" max="6919" width="12" style="252" customWidth="1"/>
    <col min="6920" max="6920" width="13.42578125" style="252" customWidth="1"/>
    <col min="6921" max="7168" width="9.140625" style="252"/>
    <col min="7169" max="7169" width="11.42578125" style="252" customWidth="1"/>
    <col min="7170" max="7170" width="40.5703125" style="252" bestFit="1" customWidth="1"/>
    <col min="7171" max="7171" width="17.42578125" style="252" customWidth="1"/>
    <col min="7172" max="7172" width="11.42578125" style="252" customWidth="1"/>
    <col min="7173" max="7173" width="14.140625" style="252" customWidth="1"/>
    <col min="7174" max="7174" width="15.85546875" style="252" customWidth="1"/>
    <col min="7175" max="7175" width="12" style="252" customWidth="1"/>
    <col min="7176" max="7176" width="13.42578125" style="252" customWidth="1"/>
    <col min="7177" max="7424" width="9.140625" style="252"/>
    <col min="7425" max="7425" width="11.42578125" style="252" customWidth="1"/>
    <col min="7426" max="7426" width="40.5703125" style="252" bestFit="1" customWidth="1"/>
    <col min="7427" max="7427" width="17.42578125" style="252" customWidth="1"/>
    <col min="7428" max="7428" width="11.42578125" style="252" customWidth="1"/>
    <col min="7429" max="7429" width="14.140625" style="252" customWidth="1"/>
    <col min="7430" max="7430" width="15.85546875" style="252" customWidth="1"/>
    <col min="7431" max="7431" width="12" style="252" customWidth="1"/>
    <col min="7432" max="7432" width="13.42578125" style="252" customWidth="1"/>
    <col min="7433" max="7680" width="9.140625" style="252"/>
    <col min="7681" max="7681" width="11.42578125" style="252" customWidth="1"/>
    <col min="7682" max="7682" width="40.5703125" style="252" bestFit="1" customWidth="1"/>
    <col min="7683" max="7683" width="17.42578125" style="252" customWidth="1"/>
    <col min="7684" max="7684" width="11.42578125" style="252" customWidth="1"/>
    <col min="7685" max="7685" width="14.140625" style="252" customWidth="1"/>
    <col min="7686" max="7686" width="15.85546875" style="252" customWidth="1"/>
    <col min="7687" max="7687" width="12" style="252" customWidth="1"/>
    <col min="7688" max="7688" width="13.42578125" style="252" customWidth="1"/>
    <col min="7689" max="7936" width="9.140625" style="252"/>
    <col min="7937" max="7937" width="11.42578125" style="252" customWidth="1"/>
    <col min="7938" max="7938" width="40.5703125" style="252" bestFit="1" customWidth="1"/>
    <col min="7939" max="7939" width="17.42578125" style="252" customWidth="1"/>
    <col min="7940" max="7940" width="11.42578125" style="252" customWidth="1"/>
    <col min="7941" max="7941" width="14.140625" style="252" customWidth="1"/>
    <col min="7942" max="7942" width="15.85546875" style="252" customWidth="1"/>
    <col min="7943" max="7943" width="12" style="252" customWidth="1"/>
    <col min="7944" max="7944" width="13.42578125" style="252" customWidth="1"/>
    <col min="7945" max="8192" width="9.140625" style="252"/>
    <col min="8193" max="8193" width="11.42578125" style="252" customWidth="1"/>
    <col min="8194" max="8194" width="40.5703125" style="252" bestFit="1" customWidth="1"/>
    <col min="8195" max="8195" width="17.42578125" style="252" customWidth="1"/>
    <col min="8196" max="8196" width="11.42578125" style="252" customWidth="1"/>
    <col min="8197" max="8197" width="14.140625" style="252" customWidth="1"/>
    <col min="8198" max="8198" width="15.85546875" style="252" customWidth="1"/>
    <col min="8199" max="8199" width="12" style="252" customWidth="1"/>
    <col min="8200" max="8200" width="13.42578125" style="252" customWidth="1"/>
    <col min="8201" max="8448" width="9.140625" style="252"/>
    <col min="8449" max="8449" width="11.42578125" style="252" customWidth="1"/>
    <col min="8450" max="8450" width="40.5703125" style="252" bestFit="1" customWidth="1"/>
    <col min="8451" max="8451" width="17.42578125" style="252" customWidth="1"/>
    <col min="8452" max="8452" width="11.42578125" style="252" customWidth="1"/>
    <col min="8453" max="8453" width="14.140625" style="252" customWidth="1"/>
    <col min="8454" max="8454" width="15.85546875" style="252" customWidth="1"/>
    <col min="8455" max="8455" width="12" style="252" customWidth="1"/>
    <col min="8456" max="8456" width="13.42578125" style="252" customWidth="1"/>
    <col min="8457" max="8704" width="9.140625" style="252"/>
    <col min="8705" max="8705" width="11.42578125" style="252" customWidth="1"/>
    <col min="8706" max="8706" width="40.5703125" style="252" bestFit="1" customWidth="1"/>
    <col min="8707" max="8707" width="17.42578125" style="252" customWidth="1"/>
    <col min="8708" max="8708" width="11.42578125" style="252" customWidth="1"/>
    <col min="8709" max="8709" width="14.140625" style="252" customWidth="1"/>
    <col min="8710" max="8710" width="15.85546875" style="252" customWidth="1"/>
    <col min="8711" max="8711" width="12" style="252" customWidth="1"/>
    <col min="8712" max="8712" width="13.42578125" style="252" customWidth="1"/>
    <col min="8713" max="8960" width="9.140625" style="252"/>
    <col min="8961" max="8961" width="11.42578125" style="252" customWidth="1"/>
    <col min="8962" max="8962" width="40.5703125" style="252" bestFit="1" customWidth="1"/>
    <col min="8963" max="8963" width="17.42578125" style="252" customWidth="1"/>
    <col min="8964" max="8964" width="11.42578125" style="252" customWidth="1"/>
    <col min="8965" max="8965" width="14.140625" style="252" customWidth="1"/>
    <col min="8966" max="8966" width="15.85546875" style="252" customWidth="1"/>
    <col min="8967" max="8967" width="12" style="252" customWidth="1"/>
    <col min="8968" max="8968" width="13.42578125" style="252" customWidth="1"/>
    <col min="8969" max="9216" width="9.140625" style="252"/>
    <col min="9217" max="9217" width="11.42578125" style="252" customWidth="1"/>
    <col min="9218" max="9218" width="40.5703125" style="252" bestFit="1" customWidth="1"/>
    <col min="9219" max="9219" width="17.42578125" style="252" customWidth="1"/>
    <col min="9220" max="9220" width="11.42578125" style="252" customWidth="1"/>
    <col min="9221" max="9221" width="14.140625" style="252" customWidth="1"/>
    <col min="9222" max="9222" width="15.85546875" style="252" customWidth="1"/>
    <col min="9223" max="9223" width="12" style="252" customWidth="1"/>
    <col min="9224" max="9224" width="13.42578125" style="252" customWidth="1"/>
    <col min="9225" max="9472" width="9.140625" style="252"/>
    <col min="9473" max="9473" width="11.42578125" style="252" customWidth="1"/>
    <col min="9474" max="9474" width="40.5703125" style="252" bestFit="1" customWidth="1"/>
    <col min="9475" max="9475" width="17.42578125" style="252" customWidth="1"/>
    <col min="9476" max="9476" width="11.42578125" style="252" customWidth="1"/>
    <col min="9477" max="9477" width="14.140625" style="252" customWidth="1"/>
    <col min="9478" max="9478" width="15.85546875" style="252" customWidth="1"/>
    <col min="9479" max="9479" width="12" style="252" customWidth="1"/>
    <col min="9480" max="9480" width="13.42578125" style="252" customWidth="1"/>
    <col min="9481" max="9728" width="9.140625" style="252"/>
    <col min="9729" max="9729" width="11.42578125" style="252" customWidth="1"/>
    <col min="9730" max="9730" width="40.5703125" style="252" bestFit="1" customWidth="1"/>
    <col min="9731" max="9731" width="17.42578125" style="252" customWidth="1"/>
    <col min="9732" max="9732" width="11.42578125" style="252" customWidth="1"/>
    <col min="9733" max="9733" width="14.140625" style="252" customWidth="1"/>
    <col min="9734" max="9734" width="15.85546875" style="252" customWidth="1"/>
    <col min="9735" max="9735" width="12" style="252" customWidth="1"/>
    <col min="9736" max="9736" width="13.42578125" style="252" customWidth="1"/>
    <col min="9737" max="9984" width="9.140625" style="252"/>
    <col min="9985" max="9985" width="11.42578125" style="252" customWidth="1"/>
    <col min="9986" max="9986" width="40.5703125" style="252" bestFit="1" customWidth="1"/>
    <col min="9987" max="9987" width="17.42578125" style="252" customWidth="1"/>
    <col min="9988" max="9988" width="11.42578125" style="252" customWidth="1"/>
    <col min="9989" max="9989" width="14.140625" style="252" customWidth="1"/>
    <col min="9990" max="9990" width="15.85546875" style="252" customWidth="1"/>
    <col min="9991" max="9991" width="12" style="252" customWidth="1"/>
    <col min="9992" max="9992" width="13.42578125" style="252" customWidth="1"/>
    <col min="9993" max="10240" width="9.140625" style="252"/>
    <col min="10241" max="10241" width="11.42578125" style="252" customWidth="1"/>
    <col min="10242" max="10242" width="40.5703125" style="252" bestFit="1" customWidth="1"/>
    <col min="10243" max="10243" width="17.42578125" style="252" customWidth="1"/>
    <col min="10244" max="10244" width="11.42578125" style="252" customWidth="1"/>
    <col min="10245" max="10245" width="14.140625" style="252" customWidth="1"/>
    <col min="10246" max="10246" width="15.85546875" style="252" customWidth="1"/>
    <col min="10247" max="10247" width="12" style="252" customWidth="1"/>
    <col min="10248" max="10248" width="13.42578125" style="252" customWidth="1"/>
    <col min="10249" max="10496" width="9.140625" style="252"/>
    <col min="10497" max="10497" width="11.42578125" style="252" customWidth="1"/>
    <col min="10498" max="10498" width="40.5703125" style="252" bestFit="1" customWidth="1"/>
    <col min="10499" max="10499" width="17.42578125" style="252" customWidth="1"/>
    <col min="10500" max="10500" width="11.42578125" style="252" customWidth="1"/>
    <col min="10501" max="10501" width="14.140625" style="252" customWidth="1"/>
    <col min="10502" max="10502" width="15.85546875" style="252" customWidth="1"/>
    <col min="10503" max="10503" width="12" style="252" customWidth="1"/>
    <col min="10504" max="10504" width="13.42578125" style="252" customWidth="1"/>
    <col min="10505" max="10752" width="9.140625" style="252"/>
    <col min="10753" max="10753" width="11.42578125" style="252" customWidth="1"/>
    <col min="10754" max="10754" width="40.5703125" style="252" bestFit="1" customWidth="1"/>
    <col min="10755" max="10755" width="17.42578125" style="252" customWidth="1"/>
    <col min="10756" max="10756" width="11.42578125" style="252" customWidth="1"/>
    <col min="10757" max="10757" width="14.140625" style="252" customWidth="1"/>
    <col min="10758" max="10758" width="15.85546875" style="252" customWidth="1"/>
    <col min="10759" max="10759" width="12" style="252" customWidth="1"/>
    <col min="10760" max="10760" width="13.42578125" style="252" customWidth="1"/>
    <col min="10761" max="11008" width="9.140625" style="252"/>
    <col min="11009" max="11009" width="11.42578125" style="252" customWidth="1"/>
    <col min="11010" max="11010" width="40.5703125" style="252" bestFit="1" customWidth="1"/>
    <col min="11011" max="11011" width="17.42578125" style="252" customWidth="1"/>
    <col min="11012" max="11012" width="11.42578125" style="252" customWidth="1"/>
    <col min="11013" max="11013" width="14.140625" style="252" customWidth="1"/>
    <col min="11014" max="11014" width="15.85546875" style="252" customWidth="1"/>
    <col min="11015" max="11015" width="12" style="252" customWidth="1"/>
    <col min="11016" max="11016" width="13.42578125" style="252" customWidth="1"/>
    <col min="11017" max="11264" width="9.140625" style="252"/>
    <col min="11265" max="11265" width="11.42578125" style="252" customWidth="1"/>
    <col min="11266" max="11266" width="40.5703125" style="252" bestFit="1" customWidth="1"/>
    <col min="11267" max="11267" width="17.42578125" style="252" customWidth="1"/>
    <col min="11268" max="11268" width="11.42578125" style="252" customWidth="1"/>
    <col min="11269" max="11269" width="14.140625" style="252" customWidth="1"/>
    <col min="11270" max="11270" width="15.85546875" style="252" customWidth="1"/>
    <col min="11271" max="11271" width="12" style="252" customWidth="1"/>
    <col min="11272" max="11272" width="13.42578125" style="252" customWidth="1"/>
    <col min="11273" max="11520" width="9.140625" style="252"/>
    <col min="11521" max="11521" width="11.42578125" style="252" customWidth="1"/>
    <col min="11522" max="11522" width="40.5703125" style="252" bestFit="1" customWidth="1"/>
    <col min="11523" max="11523" width="17.42578125" style="252" customWidth="1"/>
    <col min="11524" max="11524" width="11.42578125" style="252" customWidth="1"/>
    <col min="11525" max="11525" width="14.140625" style="252" customWidth="1"/>
    <col min="11526" max="11526" width="15.85546875" style="252" customWidth="1"/>
    <col min="11527" max="11527" width="12" style="252" customWidth="1"/>
    <col min="11528" max="11528" width="13.42578125" style="252" customWidth="1"/>
    <col min="11529" max="11776" width="9.140625" style="252"/>
    <col min="11777" max="11777" width="11.42578125" style="252" customWidth="1"/>
    <col min="11778" max="11778" width="40.5703125" style="252" bestFit="1" customWidth="1"/>
    <col min="11779" max="11779" width="17.42578125" style="252" customWidth="1"/>
    <col min="11780" max="11780" width="11.42578125" style="252" customWidth="1"/>
    <col min="11781" max="11781" width="14.140625" style="252" customWidth="1"/>
    <col min="11782" max="11782" width="15.85546875" style="252" customWidth="1"/>
    <col min="11783" max="11783" width="12" style="252" customWidth="1"/>
    <col min="11784" max="11784" width="13.42578125" style="252" customWidth="1"/>
    <col min="11785" max="12032" width="9.140625" style="252"/>
    <col min="12033" max="12033" width="11.42578125" style="252" customWidth="1"/>
    <col min="12034" max="12034" width="40.5703125" style="252" bestFit="1" customWidth="1"/>
    <col min="12035" max="12035" width="17.42578125" style="252" customWidth="1"/>
    <col min="12036" max="12036" width="11.42578125" style="252" customWidth="1"/>
    <col min="12037" max="12037" width="14.140625" style="252" customWidth="1"/>
    <col min="12038" max="12038" width="15.85546875" style="252" customWidth="1"/>
    <col min="12039" max="12039" width="12" style="252" customWidth="1"/>
    <col min="12040" max="12040" width="13.42578125" style="252" customWidth="1"/>
    <col min="12041" max="12288" width="9.140625" style="252"/>
    <col min="12289" max="12289" width="11.42578125" style="252" customWidth="1"/>
    <col min="12290" max="12290" width="40.5703125" style="252" bestFit="1" customWidth="1"/>
    <col min="12291" max="12291" width="17.42578125" style="252" customWidth="1"/>
    <col min="12292" max="12292" width="11.42578125" style="252" customWidth="1"/>
    <col min="12293" max="12293" width="14.140625" style="252" customWidth="1"/>
    <col min="12294" max="12294" width="15.85546875" style="252" customWidth="1"/>
    <col min="12295" max="12295" width="12" style="252" customWidth="1"/>
    <col min="12296" max="12296" width="13.42578125" style="252" customWidth="1"/>
    <col min="12297" max="12544" width="9.140625" style="252"/>
    <col min="12545" max="12545" width="11.42578125" style="252" customWidth="1"/>
    <col min="12546" max="12546" width="40.5703125" style="252" bestFit="1" customWidth="1"/>
    <col min="12547" max="12547" width="17.42578125" style="252" customWidth="1"/>
    <col min="12548" max="12548" width="11.42578125" style="252" customWidth="1"/>
    <col min="12549" max="12549" width="14.140625" style="252" customWidth="1"/>
    <col min="12550" max="12550" width="15.85546875" style="252" customWidth="1"/>
    <col min="12551" max="12551" width="12" style="252" customWidth="1"/>
    <col min="12552" max="12552" width="13.42578125" style="252" customWidth="1"/>
    <col min="12553" max="12800" width="9.140625" style="252"/>
    <col min="12801" max="12801" width="11.42578125" style="252" customWidth="1"/>
    <col min="12802" max="12802" width="40.5703125" style="252" bestFit="1" customWidth="1"/>
    <col min="12803" max="12803" width="17.42578125" style="252" customWidth="1"/>
    <col min="12804" max="12804" width="11.42578125" style="252" customWidth="1"/>
    <col min="12805" max="12805" width="14.140625" style="252" customWidth="1"/>
    <col min="12806" max="12806" width="15.85546875" style="252" customWidth="1"/>
    <col min="12807" max="12807" width="12" style="252" customWidth="1"/>
    <col min="12808" max="12808" width="13.42578125" style="252" customWidth="1"/>
    <col min="12809" max="13056" width="9.140625" style="252"/>
    <col min="13057" max="13057" width="11.42578125" style="252" customWidth="1"/>
    <col min="13058" max="13058" width="40.5703125" style="252" bestFit="1" customWidth="1"/>
    <col min="13059" max="13059" width="17.42578125" style="252" customWidth="1"/>
    <col min="13060" max="13060" width="11.42578125" style="252" customWidth="1"/>
    <col min="13061" max="13061" width="14.140625" style="252" customWidth="1"/>
    <col min="13062" max="13062" width="15.85546875" style="252" customWidth="1"/>
    <col min="13063" max="13063" width="12" style="252" customWidth="1"/>
    <col min="13064" max="13064" width="13.42578125" style="252" customWidth="1"/>
    <col min="13065" max="13312" width="9.140625" style="252"/>
    <col min="13313" max="13313" width="11.42578125" style="252" customWidth="1"/>
    <col min="13314" max="13314" width="40.5703125" style="252" bestFit="1" customWidth="1"/>
    <col min="13315" max="13315" width="17.42578125" style="252" customWidth="1"/>
    <col min="13316" max="13316" width="11.42578125" style="252" customWidth="1"/>
    <col min="13317" max="13317" width="14.140625" style="252" customWidth="1"/>
    <col min="13318" max="13318" width="15.85546875" style="252" customWidth="1"/>
    <col min="13319" max="13319" width="12" style="252" customWidth="1"/>
    <col min="13320" max="13320" width="13.42578125" style="252" customWidth="1"/>
    <col min="13321" max="13568" width="9.140625" style="252"/>
    <col min="13569" max="13569" width="11.42578125" style="252" customWidth="1"/>
    <col min="13570" max="13570" width="40.5703125" style="252" bestFit="1" customWidth="1"/>
    <col min="13571" max="13571" width="17.42578125" style="252" customWidth="1"/>
    <col min="13572" max="13572" width="11.42578125" style="252" customWidth="1"/>
    <col min="13573" max="13573" width="14.140625" style="252" customWidth="1"/>
    <col min="13574" max="13574" width="15.85546875" style="252" customWidth="1"/>
    <col min="13575" max="13575" width="12" style="252" customWidth="1"/>
    <col min="13576" max="13576" width="13.42578125" style="252" customWidth="1"/>
    <col min="13577" max="13824" width="9.140625" style="252"/>
    <col min="13825" max="13825" width="11.42578125" style="252" customWidth="1"/>
    <col min="13826" max="13826" width="40.5703125" style="252" bestFit="1" customWidth="1"/>
    <col min="13827" max="13827" width="17.42578125" style="252" customWidth="1"/>
    <col min="13828" max="13828" width="11.42578125" style="252" customWidth="1"/>
    <col min="13829" max="13829" width="14.140625" style="252" customWidth="1"/>
    <col min="13830" max="13830" width="15.85546875" style="252" customWidth="1"/>
    <col min="13831" max="13831" width="12" style="252" customWidth="1"/>
    <col min="13832" max="13832" width="13.42578125" style="252" customWidth="1"/>
    <col min="13833" max="14080" width="9.140625" style="252"/>
    <col min="14081" max="14081" width="11.42578125" style="252" customWidth="1"/>
    <col min="14082" max="14082" width="40.5703125" style="252" bestFit="1" customWidth="1"/>
    <col min="14083" max="14083" width="17.42578125" style="252" customWidth="1"/>
    <col min="14084" max="14084" width="11.42578125" style="252" customWidth="1"/>
    <col min="14085" max="14085" width="14.140625" style="252" customWidth="1"/>
    <col min="14086" max="14086" width="15.85546875" style="252" customWidth="1"/>
    <col min="14087" max="14087" width="12" style="252" customWidth="1"/>
    <col min="14088" max="14088" width="13.42578125" style="252" customWidth="1"/>
    <col min="14089" max="14336" width="9.140625" style="252"/>
    <col min="14337" max="14337" width="11.42578125" style="252" customWidth="1"/>
    <col min="14338" max="14338" width="40.5703125" style="252" bestFit="1" customWidth="1"/>
    <col min="14339" max="14339" width="17.42578125" style="252" customWidth="1"/>
    <col min="14340" max="14340" width="11.42578125" style="252" customWidth="1"/>
    <col min="14341" max="14341" width="14.140625" style="252" customWidth="1"/>
    <col min="14342" max="14342" width="15.85546875" style="252" customWidth="1"/>
    <col min="14343" max="14343" width="12" style="252" customWidth="1"/>
    <col min="14344" max="14344" width="13.42578125" style="252" customWidth="1"/>
    <col min="14345" max="14592" width="9.140625" style="252"/>
    <col min="14593" max="14593" width="11.42578125" style="252" customWidth="1"/>
    <col min="14594" max="14594" width="40.5703125" style="252" bestFit="1" customWidth="1"/>
    <col min="14595" max="14595" width="17.42578125" style="252" customWidth="1"/>
    <col min="14596" max="14596" width="11.42578125" style="252" customWidth="1"/>
    <col min="14597" max="14597" width="14.140625" style="252" customWidth="1"/>
    <col min="14598" max="14598" width="15.85546875" style="252" customWidth="1"/>
    <col min="14599" max="14599" width="12" style="252" customWidth="1"/>
    <col min="14600" max="14600" width="13.42578125" style="252" customWidth="1"/>
    <col min="14601" max="14848" width="9.140625" style="252"/>
    <col min="14849" max="14849" width="11.42578125" style="252" customWidth="1"/>
    <col min="14850" max="14850" width="40.5703125" style="252" bestFit="1" customWidth="1"/>
    <col min="14851" max="14851" width="17.42578125" style="252" customWidth="1"/>
    <col min="14852" max="14852" width="11.42578125" style="252" customWidth="1"/>
    <col min="14853" max="14853" width="14.140625" style="252" customWidth="1"/>
    <col min="14854" max="14854" width="15.85546875" style="252" customWidth="1"/>
    <col min="14855" max="14855" width="12" style="252" customWidth="1"/>
    <col min="14856" max="14856" width="13.42578125" style="252" customWidth="1"/>
    <col min="14857" max="15104" width="9.140625" style="252"/>
    <col min="15105" max="15105" width="11.42578125" style="252" customWidth="1"/>
    <col min="15106" max="15106" width="40.5703125" style="252" bestFit="1" customWidth="1"/>
    <col min="15107" max="15107" width="17.42578125" style="252" customWidth="1"/>
    <col min="15108" max="15108" width="11.42578125" style="252" customWidth="1"/>
    <col min="15109" max="15109" width="14.140625" style="252" customWidth="1"/>
    <col min="15110" max="15110" width="15.85546875" style="252" customWidth="1"/>
    <col min="15111" max="15111" width="12" style="252" customWidth="1"/>
    <col min="15112" max="15112" width="13.42578125" style="252" customWidth="1"/>
    <col min="15113" max="15360" width="9.140625" style="252"/>
    <col min="15361" max="15361" width="11.42578125" style="252" customWidth="1"/>
    <col min="15362" max="15362" width="40.5703125" style="252" bestFit="1" customWidth="1"/>
    <col min="15363" max="15363" width="17.42578125" style="252" customWidth="1"/>
    <col min="15364" max="15364" width="11.42578125" style="252" customWidth="1"/>
    <col min="15365" max="15365" width="14.140625" style="252" customWidth="1"/>
    <col min="15366" max="15366" width="15.85546875" style="252" customWidth="1"/>
    <col min="15367" max="15367" width="12" style="252" customWidth="1"/>
    <col min="15368" max="15368" width="13.42578125" style="252" customWidth="1"/>
    <col min="15369" max="15616" width="9.140625" style="252"/>
    <col min="15617" max="15617" width="11.42578125" style="252" customWidth="1"/>
    <col min="15618" max="15618" width="40.5703125" style="252" bestFit="1" customWidth="1"/>
    <col min="15619" max="15619" width="17.42578125" style="252" customWidth="1"/>
    <col min="15620" max="15620" width="11.42578125" style="252" customWidth="1"/>
    <col min="15621" max="15621" width="14.140625" style="252" customWidth="1"/>
    <col min="15622" max="15622" width="15.85546875" style="252" customWidth="1"/>
    <col min="15623" max="15623" width="12" style="252" customWidth="1"/>
    <col min="15624" max="15624" width="13.42578125" style="252" customWidth="1"/>
    <col min="15625" max="15872" width="9.140625" style="252"/>
    <col min="15873" max="15873" width="11.42578125" style="252" customWidth="1"/>
    <col min="15874" max="15874" width="40.5703125" style="252" bestFit="1" customWidth="1"/>
    <col min="15875" max="15875" width="17.42578125" style="252" customWidth="1"/>
    <col min="15876" max="15876" width="11.42578125" style="252" customWidth="1"/>
    <col min="15877" max="15877" width="14.140625" style="252" customWidth="1"/>
    <col min="15878" max="15878" width="15.85546875" style="252" customWidth="1"/>
    <col min="15879" max="15879" width="12" style="252" customWidth="1"/>
    <col min="15880" max="15880" width="13.42578125" style="252" customWidth="1"/>
    <col min="15881" max="16128" width="9.140625" style="252"/>
    <col min="16129" max="16129" width="11.42578125" style="252" customWidth="1"/>
    <col min="16130" max="16130" width="40.5703125" style="252" bestFit="1" customWidth="1"/>
    <col min="16131" max="16131" width="17.42578125" style="252" customWidth="1"/>
    <col min="16132" max="16132" width="11.42578125" style="252" customWidth="1"/>
    <col min="16133" max="16133" width="14.140625" style="252" customWidth="1"/>
    <col min="16134" max="16134" width="15.85546875" style="252" customWidth="1"/>
    <col min="16135" max="16135" width="12" style="252" customWidth="1"/>
    <col min="16136" max="16136" width="13.42578125" style="252" customWidth="1"/>
    <col min="16137" max="16384" width="9.140625" style="252"/>
  </cols>
  <sheetData>
    <row r="1" spans="1:8" x14ac:dyDescent="0.25">
      <c r="B1" s="252" t="s">
        <v>370</v>
      </c>
    </row>
    <row r="2" spans="1:8" x14ac:dyDescent="0.25">
      <c r="B2" s="253" t="s">
        <v>371</v>
      </c>
      <c r="C2" s="254">
        <v>50</v>
      </c>
    </row>
    <row r="3" spans="1:8" ht="42" customHeight="1" x14ac:dyDescent="0.3">
      <c r="A3" s="738" t="s">
        <v>372</v>
      </c>
      <c r="B3" s="738"/>
      <c r="C3" s="738"/>
      <c r="D3" s="738"/>
      <c r="E3" s="255"/>
      <c r="F3" s="255"/>
      <c r="G3" s="255"/>
      <c r="H3" s="255"/>
    </row>
    <row r="4" spans="1:8" ht="15.75" x14ac:dyDescent="0.25">
      <c r="A4" s="739" t="s">
        <v>373</v>
      </c>
      <c r="B4" s="739"/>
      <c r="C4" s="739"/>
      <c r="D4" s="739"/>
      <c r="E4" s="256"/>
      <c r="F4" s="256"/>
      <c r="G4" s="256"/>
      <c r="H4" s="256"/>
    </row>
    <row r="6" spans="1:8" x14ac:dyDescent="0.25">
      <c r="B6" s="257" t="s">
        <v>374</v>
      </c>
      <c r="C6" s="258" t="s">
        <v>8</v>
      </c>
    </row>
    <row r="8" spans="1:8" x14ac:dyDescent="0.25">
      <c r="B8" s="259"/>
      <c r="C8" s="260" t="s">
        <v>375</v>
      </c>
    </row>
    <row r="9" spans="1:8" x14ac:dyDescent="0.25">
      <c r="B9" s="261" t="s">
        <v>376</v>
      </c>
      <c r="C9" s="309">
        <v>766492921</v>
      </c>
    </row>
    <row r="10" spans="1:8" x14ac:dyDescent="0.25">
      <c r="B10" s="261" t="s">
        <v>377</v>
      </c>
      <c r="C10" s="309">
        <v>0</v>
      </c>
    </row>
    <row r="11" spans="1:8" x14ac:dyDescent="0.25">
      <c r="B11" s="261" t="s">
        <v>378</v>
      </c>
      <c r="C11" s="309">
        <v>96774526</v>
      </c>
    </row>
    <row r="12" spans="1:8" x14ac:dyDescent="0.25">
      <c r="B12" s="261" t="s">
        <v>379</v>
      </c>
      <c r="C12" s="309">
        <v>0</v>
      </c>
    </row>
    <row r="13" spans="1:8" x14ac:dyDescent="0.25">
      <c r="B13" s="261" t="s">
        <v>380</v>
      </c>
      <c r="C13" s="309">
        <v>8536863</v>
      </c>
    </row>
    <row r="14" spans="1:8" x14ac:dyDescent="0.25">
      <c r="B14" s="261" t="s">
        <v>381</v>
      </c>
      <c r="C14" s="310">
        <v>14223298</v>
      </c>
      <c r="D14" s="262"/>
    </row>
    <row r="15" spans="1:8" x14ac:dyDescent="0.25">
      <c r="B15" s="261" t="s">
        <v>382</v>
      </c>
      <c r="C15" s="309">
        <v>33305823</v>
      </c>
      <c r="D15" s="263"/>
    </row>
    <row r="16" spans="1:8" x14ac:dyDescent="0.25">
      <c r="B16" s="261" t="s">
        <v>383</v>
      </c>
      <c r="C16" s="311">
        <v>680688</v>
      </c>
    </row>
    <row r="17" spans="2:5" ht="21.75" customHeight="1" x14ac:dyDescent="0.25">
      <c r="B17" s="264" t="s">
        <v>384</v>
      </c>
      <c r="C17" s="265">
        <f>SUM(C9:C16)</f>
        <v>920014119</v>
      </c>
    </row>
    <row r="18" spans="2:5" ht="21.75" customHeight="1" x14ac:dyDescent="0.25">
      <c r="B18" s="266" t="s">
        <v>385</v>
      </c>
      <c r="C18" s="267">
        <v>180248.81</v>
      </c>
    </row>
    <row r="19" spans="2:5" ht="21.75" customHeight="1" x14ac:dyDescent="0.25">
      <c r="B19" s="266" t="s">
        <v>386</v>
      </c>
      <c r="C19" s="268">
        <f>ROUND(C17/C18,2)</f>
        <v>5104.13</v>
      </c>
    </row>
    <row r="20" spans="2:5" ht="21.75" customHeight="1" x14ac:dyDescent="0.25">
      <c r="B20" s="266" t="s">
        <v>387</v>
      </c>
      <c r="C20" s="269">
        <f>IF(C19&gt;5200,0,5200-C19)</f>
        <v>95.869999999999891</v>
      </c>
    </row>
    <row r="21" spans="2:5" ht="21.75" customHeight="1" thickBot="1" x14ac:dyDescent="0.3">
      <c r="B21" s="266" t="s">
        <v>388</v>
      </c>
      <c r="C21" s="270">
        <f>C19+C20</f>
        <v>5200</v>
      </c>
    </row>
    <row r="22" spans="2:5" ht="15.75" thickTop="1" x14ac:dyDescent="0.25"/>
    <row r="23" spans="2:5" x14ac:dyDescent="0.25">
      <c r="B23" s="266" t="s">
        <v>389</v>
      </c>
      <c r="C23" s="271">
        <f>C21</f>
        <v>5200</v>
      </c>
    </row>
    <row r="24" spans="2:5" x14ac:dyDescent="0.25">
      <c r="B24" s="272" t="s">
        <v>64</v>
      </c>
      <c r="C24" s="273">
        <v>76.05</v>
      </c>
    </row>
    <row r="25" spans="2:5" x14ac:dyDescent="0.25">
      <c r="B25" s="272" t="s">
        <v>390</v>
      </c>
      <c r="C25" s="271">
        <f>C21*C24</f>
        <v>395460</v>
      </c>
    </row>
    <row r="26" spans="2:5" x14ac:dyDescent="0.25">
      <c r="B26" s="272" t="s">
        <v>391</v>
      </c>
      <c r="C26" s="274">
        <v>0.7</v>
      </c>
      <c r="D26" s="252" t="s">
        <v>392</v>
      </c>
    </row>
    <row r="27" spans="2:5" x14ac:dyDescent="0.25">
      <c r="B27" s="272" t="s">
        <v>393</v>
      </c>
      <c r="C27" s="271">
        <f>C25*C26</f>
        <v>276822</v>
      </c>
    </row>
    <row r="28" spans="2:5" x14ac:dyDescent="0.25">
      <c r="B28" s="272" t="s">
        <v>394</v>
      </c>
      <c r="C28" s="275">
        <f>-(C27*0.05)</f>
        <v>-13841.1</v>
      </c>
    </row>
    <row r="29" spans="2:5" x14ac:dyDescent="0.25">
      <c r="B29" s="272" t="s">
        <v>152</v>
      </c>
      <c r="C29" s="271">
        <f>C27+C28</f>
        <v>262980.90000000002</v>
      </c>
      <c r="E29" s="271"/>
    </row>
    <row r="30" spans="2:5" x14ac:dyDescent="0.25">
      <c r="E30" s="271"/>
    </row>
    <row r="31" spans="2:5" x14ac:dyDescent="0.25">
      <c r="B31" s="272" t="s">
        <v>154</v>
      </c>
      <c r="C31" s="276">
        <v>263468</v>
      </c>
      <c r="E31" s="271"/>
    </row>
    <row r="32" spans="2:5" x14ac:dyDescent="0.25">
      <c r="B32" s="277" t="s">
        <v>155</v>
      </c>
      <c r="C32" s="271">
        <f>C29-C31</f>
        <v>-487.09999999997672</v>
      </c>
    </row>
    <row r="33" spans="2:3" x14ac:dyDescent="0.25">
      <c r="B33" s="277" t="s">
        <v>156</v>
      </c>
      <c r="C33" s="252">
        <v>1</v>
      </c>
    </row>
    <row r="34" spans="2:3" ht="15.75" thickBot="1" x14ac:dyDescent="0.3">
      <c r="B34" s="277" t="s">
        <v>157</v>
      </c>
      <c r="C34" s="278">
        <v>0</v>
      </c>
    </row>
    <row r="35" spans="2:3" ht="15.75" thickTop="1" x14ac:dyDescent="0.25"/>
  </sheetData>
  <mergeCells count="2">
    <mergeCell ref="A3:D3"/>
    <mergeCell ref="A4:D4"/>
  </mergeCells>
  <printOptions horizontalCentered="1"/>
  <pageMargins left="0" right="0" top="0.67" bottom="0.2" header="0.25" footer="0.196850393700787"/>
  <pageSetup fitToWidth="2" fitToHeight="2" orientation="portrait" r:id="rId1"/>
  <headerFooter alignWithMargins="0">
    <oddHeader>&amp;L&amp;8&amp;F
&amp;D &amp;T</oddHeader>
    <oddFooter>&amp;C&amp;P</oddFooter>
  </headerFooter>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D151"/>
  <sheetViews>
    <sheetView topLeftCell="B2" zoomScale="70" zoomScaleNormal="70" workbookViewId="0">
      <selection activeCell="L71" sqref="L70:L71"/>
    </sheetView>
  </sheetViews>
  <sheetFormatPr defaultColWidth="8.85546875" defaultRowHeight="15.75" x14ac:dyDescent="0.25"/>
  <cols>
    <col min="1" max="1" width="11.28515625" style="1" hidden="1" customWidth="1"/>
    <col min="2" max="2" width="10.28515625" style="2" customWidth="1"/>
    <col min="3" max="3" width="29" style="1" customWidth="1"/>
    <col min="4" max="5" width="12.28515625" style="1" customWidth="1"/>
    <col min="6" max="6" width="12.28515625" style="1" hidden="1" customWidth="1"/>
    <col min="7" max="7" width="16.140625" style="1" customWidth="1"/>
    <col min="8" max="8" width="6.7109375" style="1" customWidth="1"/>
    <col min="9" max="9" width="14.28515625" style="1" customWidth="1"/>
    <col min="10" max="10" width="12.85546875" style="1" customWidth="1"/>
    <col min="11" max="11" width="16.140625" style="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28515625" style="1" customWidth="1"/>
    <col min="18" max="18" width="8.85546875" style="1"/>
    <col min="19" max="21" width="0" style="1" hidden="1" customWidth="1"/>
    <col min="22" max="23" width="8.85546875" style="1"/>
    <col min="24" max="24" width="12.7109375" style="1" customWidth="1"/>
    <col min="25" max="27" width="8.85546875" style="1"/>
    <col min="28" max="28" width="13.140625" style="1" bestFit="1" customWidth="1"/>
    <col min="29" max="16384" width="8.85546875" style="1"/>
  </cols>
  <sheetData>
    <row r="1" spans="1:30" ht="15.6"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7"/>
      <c r="N2" s="3"/>
      <c r="O2" s="1"/>
      <c r="V2" s="8">
        <f>'4041'!B2</f>
        <v>50</v>
      </c>
      <c r="W2" s="606" t="s">
        <v>4</v>
      </c>
      <c r="X2" s="607"/>
      <c r="Y2" s="608"/>
      <c r="Z2" s="608"/>
      <c r="AA2" s="608"/>
      <c r="AB2" s="608"/>
      <c r="AC2" s="608"/>
      <c r="AD2" s="9"/>
    </row>
    <row r="3" spans="1:30" ht="20.25" x14ac:dyDescent="0.3">
      <c r="B3" s="10" t="str">
        <f>"Revenue Estimate Worksheet for "&amp;B124</f>
        <v>Revenue Estimate Worksheet for Somerset Academy Boca Middle School</v>
      </c>
      <c r="C3" s="11"/>
      <c r="D3" s="11"/>
      <c r="E3" s="11"/>
      <c r="F3" s="11"/>
      <c r="G3" s="11"/>
      <c r="H3" s="11"/>
      <c r="I3" s="11"/>
      <c r="J3" s="11"/>
      <c r="K3" s="11"/>
      <c r="L3" s="11"/>
      <c r="M3" s="10"/>
      <c r="N3" s="10"/>
      <c r="O3" s="10"/>
      <c r="P3" s="10"/>
      <c r="Q3" s="10"/>
      <c r="V3" s="609" t="s">
        <v>5</v>
      </c>
      <c r="W3" s="609"/>
      <c r="X3" s="609"/>
      <c r="Y3" s="609"/>
      <c r="Z3" s="609"/>
      <c r="AA3" s="609"/>
      <c r="AB3" s="609"/>
      <c r="AC3" s="609"/>
      <c r="AD3" s="12"/>
    </row>
    <row r="4" spans="1:30" ht="18.75" x14ac:dyDescent="0.3">
      <c r="B4" s="2" t="s">
        <v>6</v>
      </c>
      <c r="C4" s="13"/>
      <c r="D4" s="13"/>
      <c r="E4" s="13"/>
      <c r="F4" s="13"/>
      <c r="G4" s="13"/>
      <c r="H4" s="13"/>
      <c r="I4" s="13"/>
      <c r="J4" s="13"/>
      <c r="K4" s="13"/>
      <c r="L4" s="13"/>
      <c r="M4" s="14"/>
      <c r="N4" s="14"/>
      <c r="O4" s="14"/>
      <c r="P4" s="14"/>
      <c r="Q4" s="14"/>
      <c r="V4" s="610" t="str">
        <f>+Based_on_the_Second_Calculation_of_the_FEFP_2010_11</f>
        <v>Based on the Fourth Calculation of the FEFP 2013-14</v>
      </c>
      <c r="W4" s="610"/>
      <c r="X4" s="610"/>
      <c r="Y4" s="610"/>
      <c r="Z4" s="610"/>
      <c r="AA4" s="610"/>
      <c r="AB4" s="610"/>
      <c r="AC4" s="610"/>
      <c r="AD4" s="15"/>
    </row>
    <row r="5" spans="1:30" ht="18.75" customHeight="1" x14ac:dyDescent="0.25">
      <c r="B5" s="16" t="s">
        <v>7</v>
      </c>
      <c r="C5" s="16"/>
      <c r="D5" s="16"/>
      <c r="E5" s="16"/>
      <c r="F5" s="16"/>
      <c r="G5" s="17" t="s">
        <v>8</v>
      </c>
      <c r="H5" s="17"/>
      <c r="I5" s="17"/>
      <c r="J5" s="17"/>
      <c r="K5" s="17"/>
      <c r="L5" s="17"/>
      <c r="M5" s="18"/>
      <c r="N5" s="18"/>
      <c r="O5" s="18"/>
      <c r="P5" s="18"/>
      <c r="Q5" s="18"/>
      <c r="V5" s="611" t="s">
        <v>7</v>
      </c>
      <c r="W5" s="611"/>
      <c r="X5" s="612" t="s">
        <v>8</v>
      </c>
      <c r="Y5" s="612"/>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613" t="s">
        <v>9</v>
      </c>
      <c r="W6" s="613"/>
      <c r="X6" s="613"/>
      <c r="Y6" s="613"/>
      <c r="Z6" s="613"/>
      <c r="AA6" s="613"/>
      <c r="AB6" s="613"/>
      <c r="AC6" s="613"/>
      <c r="AD6" s="22"/>
    </row>
    <row r="7" spans="1:30" ht="18" customHeight="1" x14ac:dyDescent="0.25">
      <c r="B7" s="23" t="s">
        <v>10</v>
      </c>
      <c r="C7" s="23"/>
      <c r="D7" s="23"/>
      <c r="E7" s="23"/>
      <c r="F7" s="23"/>
      <c r="G7" s="24">
        <v>3752.3</v>
      </c>
      <c r="H7" s="24"/>
      <c r="I7" s="23" t="s">
        <v>11</v>
      </c>
      <c r="J7" s="23"/>
      <c r="K7" s="25">
        <v>1.0326</v>
      </c>
      <c r="L7" s="25"/>
      <c r="O7" s="1"/>
      <c r="V7" s="620" t="s">
        <v>10</v>
      </c>
      <c r="W7" s="620"/>
      <c r="X7" s="621">
        <f>'4041'!G7</f>
        <v>3752.3</v>
      </c>
      <c r="Y7" s="621"/>
      <c r="Z7" s="622" t="s">
        <v>11</v>
      </c>
      <c r="AA7" s="622"/>
      <c r="AB7" s="602">
        <f>+K7</f>
        <v>1.0326</v>
      </c>
      <c r="AC7" s="602"/>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603" t="s">
        <v>12</v>
      </c>
      <c r="W8" s="603"/>
      <c r="X8" s="604" t="s">
        <v>15</v>
      </c>
      <c r="Y8" s="604"/>
      <c r="Z8" s="605" t="s">
        <v>16</v>
      </c>
      <c r="AA8" s="605"/>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614" t="s">
        <v>22</v>
      </c>
      <c r="W9" s="614"/>
      <c r="X9" s="615" t="s">
        <v>23</v>
      </c>
      <c r="Y9" s="615"/>
      <c r="Z9" s="616" t="s">
        <v>24</v>
      </c>
      <c r="AA9" s="616"/>
      <c r="AB9" s="43" t="s">
        <v>25</v>
      </c>
      <c r="AC9" s="44" t="s">
        <v>26</v>
      </c>
      <c r="AD9" s="9"/>
    </row>
    <row r="10" spans="1:30" x14ac:dyDescent="0.25">
      <c r="A10" s="1" t="s">
        <v>27</v>
      </c>
      <c r="B10" s="45" t="s">
        <v>28</v>
      </c>
      <c r="C10" s="45"/>
      <c r="D10" s="45">
        <v>0</v>
      </c>
      <c r="E10" s="45">
        <v>0</v>
      </c>
      <c r="F10" s="45">
        <v>6.51</v>
      </c>
      <c r="G10" s="46">
        <f>D10+E10</f>
        <v>0</v>
      </c>
      <c r="H10" s="47"/>
      <c r="I10" s="48">
        <v>1.125</v>
      </c>
      <c r="J10" s="48"/>
      <c r="K10" s="49">
        <f>ROUND(G10*I10,4)</f>
        <v>0</v>
      </c>
      <c r="L10" s="50">
        <f>ROUND(ROUND(K10*$G$7,4)*($K$7),0)</f>
        <v>0</v>
      </c>
      <c r="N10" s="51">
        <v>5101</v>
      </c>
      <c r="O10" s="52">
        <v>101</v>
      </c>
      <c r="P10" s="53"/>
      <c r="Q10" s="54"/>
      <c r="V10" s="617" t="s">
        <v>28</v>
      </c>
      <c r="W10" s="617"/>
      <c r="X10" s="618">
        <f>IF('4041'!K$84=1,'4041'!G10,0)</f>
        <v>0</v>
      </c>
      <c r="Y10" s="618"/>
      <c r="Z10" s="619">
        <v>1</v>
      </c>
      <c r="AA10" s="619"/>
      <c r="AB10" s="55">
        <f t="shared" ref="AB10:AB25" si="0">ROUND(X10*Z10,4)</f>
        <v>0</v>
      </c>
      <c r="AC10" s="56">
        <f t="shared" ref="AC10:AC25" si="1">ROUND(ROUND(AB10*$X$7,4)*($AB$7),0)</f>
        <v>0</v>
      </c>
      <c r="AD10" s="9">
        <v>1</v>
      </c>
    </row>
    <row r="11" spans="1:30" x14ac:dyDescent="0.25">
      <c r="A11" s="1" t="s">
        <v>29</v>
      </c>
      <c r="B11" s="13" t="s">
        <v>30</v>
      </c>
      <c r="C11" s="13"/>
      <c r="D11" s="13">
        <v>0</v>
      </c>
      <c r="E11" s="13">
        <v>0</v>
      </c>
      <c r="F11" s="13">
        <v>61.25</v>
      </c>
      <c r="G11" s="46">
        <f t="shared" ref="G11:G25" si="2">D11+E11</f>
        <v>0</v>
      </c>
      <c r="H11" s="47"/>
      <c r="I11" s="57">
        <f>I10</f>
        <v>1.125</v>
      </c>
      <c r="J11" s="57"/>
      <c r="K11" s="49">
        <f t="shared" ref="K11:K25" si="3">ROUND(G11*I11,4)</f>
        <v>0</v>
      </c>
      <c r="L11" s="50">
        <f t="shared" ref="L11:L25" si="4">ROUND(ROUND(K11*$G$7,4)*($K$7),0)</f>
        <v>0</v>
      </c>
      <c r="M11" s="1" t="str">
        <f>IF(ROUND(G11,2)=ROUND(SUM(G28:G30),2)," ","CHECK 2. PK-3 Lines Below")</f>
        <v xml:space="preserve"> </v>
      </c>
      <c r="N11" s="51">
        <v>5101</v>
      </c>
      <c r="O11" s="58" t="s">
        <v>31</v>
      </c>
      <c r="P11" s="53"/>
      <c r="Q11" s="54"/>
      <c r="V11" s="623" t="s">
        <v>30</v>
      </c>
      <c r="W11" s="623"/>
      <c r="X11" s="618">
        <f>IF('4041'!K$84=1,'4041'!G11,0)</f>
        <v>0</v>
      </c>
      <c r="Y11" s="618"/>
      <c r="Z11" s="624">
        <v>1</v>
      </c>
      <c r="AA11" s="624"/>
      <c r="AB11" s="55">
        <f t="shared" si="0"/>
        <v>0</v>
      </c>
      <c r="AC11" s="56">
        <f t="shared" si="1"/>
        <v>0</v>
      </c>
      <c r="AD11" s="9"/>
    </row>
    <row r="12" spans="1:30" x14ac:dyDescent="0.25">
      <c r="A12" s="1" t="s">
        <v>32</v>
      </c>
      <c r="B12" s="13" t="s">
        <v>33</v>
      </c>
      <c r="C12" s="13"/>
      <c r="D12" s="13">
        <v>8.99</v>
      </c>
      <c r="E12" s="13">
        <v>8.3000000000000007</v>
      </c>
      <c r="F12" s="13">
        <v>1.25</v>
      </c>
      <c r="G12" s="46">
        <f t="shared" si="2"/>
        <v>17.29</v>
      </c>
      <c r="H12" s="47"/>
      <c r="I12" s="57">
        <v>1</v>
      </c>
      <c r="J12" s="57"/>
      <c r="K12" s="49">
        <f t="shared" si="3"/>
        <v>17.29</v>
      </c>
      <c r="L12" s="50">
        <f t="shared" si="4"/>
        <v>66992</v>
      </c>
      <c r="N12" s="51">
        <v>5102</v>
      </c>
      <c r="O12" s="52">
        <v>102</v>
      </c>
      <c r="P12" s="53"/>
      <c r="Q12" s="54"/>
      <c r="V12" s="623" t="s">
        <v>33</v>
      </c>
      <c r="W12" s="623"/>
      <c r="X12" s="618">
        <f>IF('4041'!K$84=1,'4041'!G12,0)</f>
        <v>0</v>
      </c>
      <c r="Y12" s="618"/>
      <c r="Z12" s="624">
        <v>1</v>
      </c>
      <c r="AA12" s="624"/>
      <c r="AB12" s="55">
        <f t="shared" si="0"/>
        <v>0</v>
      </c>
      <c r="AC12" s="56">
        <f t="shared" si="1"/>
        <v>0</v>
      </c>
      <c r="AD12" s="9"/>
    </row>
    <row r="13" spans="1:30" x14ac:dyDescent="0.25">
      <c r="A13" s="1" t="s">
        <v>34</v>
      </c>
      <c r="B13" s="13" t="s">
        <v>35</v>
      </c>
      <c r="C13" s="13"/>
      <c r="D13" s="13">
        <v>3</v>
      </c>
      <c r="E13" s="13">
        <v>3</v>
      </c>
      <c r="F13" s="13">
        <v>3.83</v>
      </c>
      <c r="G13" s="46">
        <f t="shared" si="2"/>
        <v>6</v>
      </c>
      <c r="H13" s="47"/>
      <c r="I13" s="57">
        <f>I12</f>
        <v>1</v>
      </c>
      <c r="J13" s="57"/>
      <c r="K13" s="49">
        <f t="shared" si="3"/>
        <v>6</v>
      </c>
      <c r="L13" s="50">
        <f t="shared" si="4"/>
        <v>23248</v>
      </c>
      <c r="M13" s="1" t="str">
        <f>IF(ROUND(G13,2)=ROUND(SUM(G31:G33),2)," ","CHECK 2. PK-3 Lines Below")</f>
        <v xml:space="preserve"> </v>
      </c>
      <c r="N13" s="51">
        <v>5102</v>
      </c>
      <c r="O13" s="58" t="s">
        <v>36</v>
      </c>
      <c r="P13" s="53"/>
      <c r="Q13" s="54"/>
      <c r="V13" s="623" t="s">
        <v>35</v>
      </c>
      <c r="W13" s="623"/>
      <c r="X13" s="618">
        <f>IF('4041'!K$84=1,'4041'!G13,0)</f>
        <v>0</v>
      </c>
      <c r="Y13" s="618"/>
      <c r="Z13" s="624">
        <v>1</v>
      </c>
      <c r="AA13" s="624"/>
      <c r="AB13" s="55">
        <f t="shared" si="0"/>
        <v>0</v>
      </c>
      <c r="AC13" s="56">
        <f t="shared" si="1"/>
        <v>0</v>
      </c>
      <c r="AD13" s="9"/>
    </row>
    <row r="14" spans="1:30" x14ac:dyDescent="0.25">
      <c r="A14" s="1" t="s">
        <v>37</v>
      </c>
      <c r="B14" s="13" t="s">
        <v>38</v>
      </c>
      <c r="C14" s="13"/>
      <c r="D14" s="13">
        <v>0</v>
      </c>
      <c r="E14" s="13">
        <v>0</v>
      </c>
      <c r="F14" s="13">
        <v>0</v>
      </c>
      <c r="G14" s="46">
        <f t="shared" si="2"/>
        <v>0</v>
      </c>
      <c r="H14" s="47"/>
      <c r="I14" s="57">
        <v>1.0109999999999999</v>
      </c>
      <c r="J14" s="57"/>
      <c r="K14" s="49">
        <f t="shared" si="3"/>
        <v>0</v>
      </c>
      <c r="L14" s="50">
        <f t="shared" si="4"/>
        <v>0</v>
      </c>
      <c r="N14" s="51">
        <v>5103</v>
      </c>
      <c r="O14" s="52">
        <v>103</v>
      </c>
      <c r="P14" s="53"/>
      <c r="Q14" s="54"/>
      <c r="V14" s="623" t="s">
        <v>38</v>
      </c>
      <c r="W14" s="623"/>
      <c r="X14" s="618">
        <f>IF('4041'!K$84=1,'4041'!G14,0)</f>
        <v>0</v>
      </c>
      <c r="Y14" s="618"/>
      <c r="Z14" s="624">
        <v>1</v>
      </c>
      <c r="AA14" s="624"/>
      <c r="AB14" s="55">
        <f t="shared" si="0"/>
        <v>0</v>
      </c>
      <c r="AC14" s="56">
        <f t="shared" si="1"/>
        <v>0</v>
      </c>
      <c r="AD14" s="9"/>
    </row>
    <row r="15" spans="1:30" x14ac:dyDescent="0.25">
      <c r="A15" s="1" t="s">
        <v>39</v>
      </c>
      <c r="B15" s="13" t="s">
        <v>40</v>
      </c>
      <c r="C15" s="13"/>
      <c r="D15" s="13">
        <v>0</v>
      </c>
      <c r="E15" s="13">
        <v>0</v>
      </c>
      <c r="F15" s="13">
        <v>0</v>
      </c>
      <c r="G15" s="46">
        <f t="shared" si="2"/>
        <v>0</v>
      </c>
      <c r="H15" s="47"/>
      <c r="I15" s="57">
        <f>I14</f>
        <v>1.0109999999999999</v>
      </c>
      <c r="J15" s="57"/>
      <c r="K15" s="49">
        <f t="shared" si="3"/>
        <v>0</v>
      </c>
      <c r="L15" s="59">
        <f t="shared" si="4"/>
        <v>0</v>
      </c>
      <c r="M15" s="1" t="str">
        <f>IF(ROUND(G15,2)=ROUND(SUM(G34:G36),2)," ","CHECK 2. PK-3 Lines Below")</f>
        <v xml:space="preserve"> </v>
      </c>
      <c r="N15" s="51">
        <v>5103</v>
      </c>
      <c r="O15" s="58" t="s">
        <v>41</v>
      </c>
      <c r="P15" s="53"/>
      <c r="Q15" s="54"/>
      <c r="V15" s="623" t="s">
        <v>40</v>
      </c>
      <c r="W15" s="623"/>
      <c r="X15" s="618">
        <f>IF('4041'!K$84=1,'4041'!G15,0)</f>
        <v>0</v>
      </c>
      <c r="Y15" s="618"/>
      <c r="Z15" s="624">
        <v>1</v>
      </c>
      <c r="AA15" s="624"/>
      <c r="AB15" s="55">
        <f t="shared" si="0"/>
        <v>0</v>
      </c>
      <c r="AC15" s="60">
        <f t="shared" si="1"/>
        <v>0</v>
      </c>
      <c r="AD15" s="9"/>
    </row>
    <row r="16" spans="1:30" x14ac:dyDescent="0.25">
      <c r="A16" s="1" t="s">
        <v>42</v>
      </c>
      <c r="B16" s="13" t="s">
        <v>43</v>
      </c>
      <c r="C16" s="13"/>
      <c r="D16" s="13">
        <v>0</v>
      </c>
      <c r="E16" s="13">
        <v>0</v>
      </c>
      <c r="F16" s="13">
        <v>0.68</v>
      </c>
      <c r="G16" s="46">
        <f t="shared" si="2"/>
        <v>0</v>
      </c>
      <c r="H16" s="47"/>
      <c r="I16" s="57">
        <v>3.5579999999999998</v>
      </c>
      <c r="J16" s="57"/>
      <c r="K16" s="49">
        <f t="shared" si="3"/>
        <v>0</v>
      </c>
      <c r="L16" s="50">
        <f t="shared" si="4"/>
        <v>0</v>
      </c>
      <c r="N16" s="51">
        <v>5101</v>
      </c>
      <c r="O16" s="53">
        <v>254</v>
      </c>
      <c r="P16" s="53"/>
      <c r="Q16" s="54"/>
      <c r="V16" s="623" t="s">
        <v>43</v>
      </c>
      <c r="W16" s="623"/>
      <c r="X16" s="618">
        <f>IF('4041'!K$84=1,'4041'!G16,0)</f>
        <v>0</v>
      </c>
      <c r="Y16" s="618"/>
      <c r="Z16" s="624">
        <v>1</v>
      </c>
      <c r="AA16" s="624"/>
      <c r="AB16" s="55">
        <f t="shared" si="0"/>
        <v>0</v>
      </c>
      <c r="AC16" s="56">
        <f t="shared" si="1"/>
        <v>0</v>
      </c>
      <c r="AD16" s="9"/>
    </row>
    <row r="17" spans="1:30" x14ac:dyDescent="0.25">
      <c r="A17" s="1" t="s">
        <v>44</v>
      </c>
      <c r="B17" s="13" t="s">
        <v>45</v>
      </c>
      <c r="C17" s="13"/>
      <c r="D17" s="13">
        <v>0</v>
      </c>
      <c r="E17" s="13">
        <v>0</v>
      </c>
      <c r="F17" s="13">
        <v>0.68</v>
      </c>
      <c r="G17" s="46">
        <f t="shared" si="2"/>
        <v>0</v>
      </c>
      <c r="H17" s="47"/>
      <c r="I17" s="57">
        <f>I16</f>
        <v>3.5579999999999998</v>
      </c>
      <c r="J17" s="57"/>
      <c r="K17" s="49">
        <f t="shared" si="3"/>
        <v>0</v>
      </c>
      <c r="L17" s="50">
        <f t="shared" si="4"/>
        <v>0</v>
      </c>
      <c r="N17" s="51">
        <v>5102</v>
      </c>
      <c r="O17" s="54">
        <v>254</v>
      </c>
      <c r="P17" s="53"/>
      <c r="Q17" s="54"/>
      <c r="V17" s="623" t="s">
        <v>45</v>
      </c>
      <c r="W17" s="623"/>
      <c r="X17" s="618">
        <f>IF('4041'!K$84=1,'4041'!G17,0)</f>
        <v>0</v>
      </c>
      <c r="Y17" s="618"/>
      <c r="Z17" s="624">
        <v>1</v>
      </c>
      <c r="AA17" s="624"/>
      <c r="AB17" s="55">
        <f t="shared" si="0"/>
        <v>0</v>
      </c>
      <c r="AC17" s="56">
        <f t="shared" si="1"/>
        <v>0</v>
      </c>
      <c r="AD17" s="9"/>
    </row>
    <row r="18" spans="1:30" x14ac:dyDescent="0.25">
      <c r="A18" s="1" t="s">
        <v>46</v>
      </c>
      <c r="B18" s="13" t="s">
        <v>47</v>
      </c>
      <c r="C18" s="13"/>
      <c r="D18" s="13">
        <v>0</v>
      </c>
      <c r="E18" s="13">
        <v>0</v>
      </c>
      <c r="F18" s="13">
        <v>0.68</v>
      </c>
      <c r="G18" s="46">
        <f t="shared" si="2"/>
        <v>0</v>
      </c>
      <c r="H18" s="47"/>
      <c r="I18" s="57">
        <f>I17</f>
        <v>3.5579999999999998</v>
      </c>
      <c r="J18" s="57"/>
      <c r="K18" s="49">
        <f t="shared" si="3"/>
        <v>0</v>
      </c>
      <c r="L18" s="50">
        <f t="shared" si="4"/>
        <v>0</v>
      </c>
      <c r="N18" s="51">
        <v>5103</v>
      </c>
      <c r="O18" s="54">
        <v>254</v>
      </c>
      <c r="P18" s="53"/>
      <c r="Q18" s="54"/>
      <c r="V18" s="623" t="s">
        <v>47</v>
      </c>
      <c r="W18" s="623"/>
      <c r="X18" s="618">
        <f>IF('4041'!K$84=1,'4041'!G18,0)</f>
        <v>0</v>
      </c>
      <c r="Y18" s="618"/>
      <c r="Z18" s="624">
        <v>1</v>
      </c>
      <c r="AA18" s="624"/>
      <c r="AB18" s="55">
        <f t="shared" si="0"/>
        <v>0</v>
      </c>
      <c r="AC18" s="56">
        <f t="shared" si="1"/>
        <v>0</v>
      </c>
      <c r="AD18" s="9"/>
    </row>
    <row r="19" spans="1:30" ht="15" customHeight="1" x14ac:dyDescent="0.25">
      <c r="A19" s="1" t="s">
        <v>48</v>
      </c>
      <c r="B19" s="13" t="s">
        <v>49</v>
      </c>
      <c r="C19" s="13"/>
      <c r="D19" s="13">
        <v>0</v>
      </c>
      <c r="E19" s="13">
        <v>0</v>
      </c>
      <c r="F19" s="13">
        <v>0.66</v>
      </c>
      <c r="G19" s="46">
        <f t="shared" si="2"/>
        <v>0</v>
      </c>
      <c r="H19" s="47"/>
      <c r="I19" s="57">
        <v>5.0890000000000004</v>
      </c>
      <c r="J19" s="57"/>
      <c r="K19" s="49">
        <f t="shared" si="3"/>
        <v>0</v>
      </c>
      <c r="L19" s="50">
        <f t="shared" si="4"/>
        <v>0</v>
      </c>
      <c r="N19" s="51">
        <v>5101</v>
      </c>
      <c r="O19" s="53">
        <v>255</v>
      </c>
      <c r="P19" s="53"/>
      <c r="Q19" s="54"/>
      <c r="V19" s="623" t="s">
        <v>49</v>
      </c>
      <c r="W19" s="623"/>
      <c r="X19" s="618">
        <f>IF('4041'!K$84=1,'4041'!G19,0)</f>
        <v>0</v>
      </c>
      <c r="Y19" s="618"/>
      <c r="Z19" s="624">
        <v>1</v>
      </c>
      <c r="AA19" s="624"/>
      <c r="AB19" s="55">
        <f t="shared" si="0"/>
        <v>0</v>
      </c>
      <c r="AC19" s="56">
        <f t="shared" si="1"/>
        <v>0</v>
      </c>
      <c r="AD19" s="9"/>
    </row>
    <row r="20" spans="1:30" ht="15" customHeight="1" x14ac:dyDescent="0.25">
      <c r="A20" s="1" t="s">
        <v>50</v>
      </c>
      <c r="B20" s="13" t="s">
        <v>51</v>
      </c>
      <c r="C20" s="13"/>
      <c r="D20" s="13">
        <v>0</v>
      </c>
      <c r="E20" s="13">
        <v>0</v>
      </c>
      <c r="F20" s="13">
        <v>0.66</v>
      </c>
      <c r="G20" s="46">
        <f t="shared" si="2"/>
        <v>0</v>
      </c>
      <c r="H20" s="47"/>
      <c r="I20" s="57">
        <f>I19</f>
        <v>5.0890000000000004</v>
      </c>
      <c r="J20" s="57"/>
      <c r="K20" s="49">
        <f t="shared" si="3"/>
        <v>0</v>
      </c>
      <c r="L20" s="50">
        <f t="shared" si="4"/>
        <v>0</v>
      </c>
      <c r="N20" s="51">
        <v>5102</v>
      </c>
      <c r="O20" s="54">
        <v>255</v>
      </c>
      <c r="P20" s="53"/>
      <c r="Q20" s="54"/>
      <c r="V20" s="623" t="s">
        <v>51</v>
      </c>
      <c r="W20" s="623"/>
      <c r="X20" s="618">
        <f>IF('4041'!K$84=1,'4041'!G20,0)</f>
        <v>0</v>
      </c>
      <c r="Y20" s="618"/>
      <c r="Z20" s="624">
        <v>1</v>
      </c>
      <c r="AA20" s="624"/>
      <c r="AB20" s="55">
        <f t="shared" si="0"/>
        <v>0</v>
      </c>
      <c r="AC20" s="56">
        <f t="shared" si="1"/>
        <v>0</v>
      </c>
      <c r="AD20" s="9"/>
    </row>
    <row r="21" spans="1:30" ht="15" customHeight="1" x14ac:dyDescent="0.25">
      <c r="A21" s="1" t="s">
        <v>52</v>
      </c>
      <c r="B21" s="13" t="s">
        <v>53</v>
      </c>
      <c r="C21" s="13"/>
      <c r="D21" s="13">
        <v>0</v>
      </c>
      <c r="E21" s="13">
        <v>0</v>
      </c>
      <c r="F21" s="13">
        <v>0.66</v>
      </c>
      <c r="G21" s="46">
        <f t="shared" si="2"/>
        <v>0</v>
      </c>
      <c r="H21" s="47"/>
      <c r="I21" s="57">
        <f>I20</f>
        <v>5.0890000000000004</v>
      </c>
      <c r="J21" s="57"/>
      <c r="K21" s="49">
        <f t="shared" si="3"/>
        <v>0</v>
      </c>
      <c r="L21" s="50">
        <f t="shared" si="4"/>
        <v>0</v>
      </c>
      <c r="N21" s="51">
        <v>5103</v>
      </c>
      <c r="O21" s="54">
        <v>255</v>
      </c>
      <c r="P21" s="53"/>
      <c r="Q21" s="54"/>
      <c r="V21" s="623" t="s">
        <v>53</v>
      </c>
      <c r="W21" s="623"/>
      <c r="X21" s="618">
        <f>IF('4041'!K$84=1,'4041'!G21,0)</f>
        <v>0</v>
      </c>
      <c r="Y21" s="618"/>
      <c r="Z21" s="624">
        <v>1</v>
      </c>
      <c r="AA21" s="624"/>
      <c r="AB21" s="55">
        <f t="shared" si="0"/>
        <v>0</v>
      </c>
      <c r="AC21" s="56">
        <f t="shared" si="1"/>
        <v>0</v>
      </c>
      <c r="AD21" s="9"/>
    </row>
    <row r="22" spans="1:30" x14ac:dyDescent="0.25">
      <c r="A22" s="1" t="s">
        <v>54</v>
      </c>
      <c r="B22" s="13" t="s">
        <v>55</v>
      </c>
      <c r="C22" s="13"/>
      <c r="D22" s="13">
        <v>0</v>
      </c>
      <c r="E22" s="13">
        <v>0</v>
      </c>
      <c r="F22" s="13">
        <v>9</v>
      </c>
      <c r="G22" s="46">
        <f t="shared" si="2"/>
        <v>0</v>
      </c>
      <c r="H22" s="47"/>
      <c r="I22" s="57">
        <v>1.145</v>
      </c>
      <c r="J22" s="57"/>
      <c r="K22" s="49">
        <f t="shared" si="3"/>
        <v>0</v>
      </c>
      <c r="L22" s="50">
        <f t="shared" si="4"/>
        <v>0</v>
      </c>
      <c r="N22" s="51">
        <v>5101</v>
      </c>
      <c r="O22" s="52">
        <v>130</v>
      </c>
      <c r="P22" s="53"/>
      <c r="Q22" s="54"/>
      <c r="V22" s="623" t="s">
        <v>55</v>
      </c>
      <c r="W22" s="623"/>
      <c r="X22" s="618">
        <f>IF('4041'!K$84=1,'4041'!G22,0)</f>
        <v>0</v>
      </c>
      <c r="Y22" s="618"/>
      <c r="Z22" s="624">
        <v>1</v>
      </c>
      <c r="AA22" s="624"/>
      <c r="AB22" s="55">
        <f t="shared" si="0"/>
        <v>0</v>
      </c>
      <c r="AC22" s="56">
        <f t="shared" si="1"/>
        <v>0</v>
      </c>
      <c r="AD22" s="9"/>
    </row>
    <row r="23" spans="1:30" x14ac:dyDescent="0.25">
      <c r="A23" s="1" t="s">
        <v>56</v>
      </c>
      <c r="B23" s="13" t="s">
        <v>57</v>
      </c>
      <c r="C23" s="13"/>
      <c r="D23" s="13">
        <v>0</v>
      </c>
      <c r="E23" s="13">
        <v>0</v>
      </c>
      <c r="F23" s="13">
        <v>0</v>
      </c>
      <c r="G23" s="46">
        <f t="shared" si="2"/>
        <v>0</v>
      </c>
      <c r="H23" s="47"/>
      <c r="I23" s="57">
        <f>I22</f>
        <v>1.145</v>
      </c>
      <c r="J23" s="57"/>
      <c r="K23" s="49">
        <f t="shared" si="3"/>
        <v>0</v>
      </c>
      <c r="L23" s="50">
        <f t="shared" si="4"/>
        <v>0</v>
      </c>
      <c r="N23" s="51">
        <v>5102</v>
      </c>
      <c r="O23" s="52">
        <v>130</v>
      </c>
      <c r="P23" s="53"/>
      <c r="Q23" s="54"/>
      <c r="V23" s="623" t="s">
        <v>57</v>
      </c>
      <c r="W23" s="623"/>
      <c r="X23" s="618">
        <f>IF('4041'!K$84=1,'4041'!G23,0)</f>
        <v>0</v>
      </c>
      <c r="Y23" s="618"/>
      <c r="Z23" s="624">
        <v>1</v>
      </c>
      <c r="AA23" s="624"/>
      <c r="AB23" s="55">
        <f t="shared" si="0"/>
        <v>0</v>
      </c>
      <c r="AC23" s="56">
        <f t="shared" si="1"/>
        <v>0</v>
      </c>
      <c r="AD23" s="9"/>
    </row>
    <row r="24" spans="1:30" x14ac:dyDescent="0.25">
      <c r="A24" s="1" t="s">
        <v>58</v>
      </c>
      <c r="B24" s="13" t="s">
        <v>59</v>
      </c>
      <c r="C24" s="13"/>
      <c r="D24" s="13">
        <v>0</v>
      </c>
      <c r="E24" s="13">
        <v>0</v>
      </c>
      <c r="F24" s="13">
        <v>0</v>
      </c>
      <c r="G24" s="46">
        <f t="shared" si="2"/>
        <v>0</v>
      </c>
      <c r="H24" s="47"/>
      <c r="I24" s="57">
        <f>I23</f>
        <v>1.145</v>
      </c>
      <c r="J24" s="57"/>
      <c r="K24" s="49">
        <f t="shared" si="3"/>
        <v>0</v>
      </c>
      <c r="L24" s="50">
        <f t="shared" si="4"/>
        <v>0</v>
      </c>
      <c r="N24" s="51">
        <v>5103</v>
      </c>
      <c r="O24" s="52">
        <v>130</v>
      </c>
      <c r="P24" s="53"/>
      <c r="Q24" s="54"/>
      <c r="V24" s="623" t="s">
        <v>59</v>
      </c>
      <c r="W24" s="623"/>
      <c r="X24" s="618">
        <f>IF('4041'!K$84=1,'4041'!G24,0)</f>
        <v>0</v>
      </c>
      <c r="Y24" s="618"/>
      <c r="Z24" s="624">
        <v>1</v>
      </c>
      <c r="AA24" s="624"/>
      <c r="AB24" s="55">
        <f t="shared" si="0"/>
        <v>0</v>
      </c>
      <c r="AC24" s="56">
        <f t="shared" si="1"/>
        <v>0</v>
      </c>
      <c r="AD24" s="9"/>
    </row>
    <row r="25" spans="1:30" ht="16.5" thickBot="1" x14ac:dyDescent="0.3">
      <c r="A25" s="1" t="s">
        <v>60</v>
      </c>
      <c r="B25" s="13" t="s">
        <v>61</v>
      </c>
      <c r="C25" s="13"/>
      <c r="D25" s="13">
        <v>0</v>
      </c>
      <c r="E25" s="13">
        <v>0</v>
      </c>
      <c r="F25" s="13">
        <v>0</v>
      </c>
      <c r="G25" s="46">
        <f t="shared" si="2"/>
        <v>0</v>
      </c>
      <c r="H25" s="47"/>
      <c r="I25" s="57">
        <v>1.0109999999999999</v>
      </c>
      <c r="J25" s="57"/>
      <c r="K25" s="49">
        <f t="shared" si="3"/>
        <v>0</v>
      </c>
      <c r="L25" s="50">
        <f t="shared" si="4"/>
        <v>0</v>
      </c>
      <c r="N25" s="51">
        <v>5310</v>
      </c>
      <c r="O25" s="52">
        <v>300</v>
      </c>
      <c r="P25" s="53"/>
      <c r="Q25" s="54"/>
      <c r="V25" s="623" t="s">
        <v>61</v>
      </c>
      <c r="W25" s="623"/>
      <c r="X25" s="618">
        <f>IF('4041'!K$84=1,'4041'!G25,0)</f>
        <v>0</v>
      </c>
      <c r="Y25" s="618"/>
      <c r="Z25" s="624">
        <v>1</v>
      </c>
      <c r="AA25" s="624"/>
      <c r="AB25" s="55">
        <f t="shared" si="0"/>
        <v>0</v>
      </c>
      <c r="AC25" s="56">
        <f t="shared" si="1"/>
        <v>0</v>
      </c>
      <c r="AD25" s="9"/>
    </row>
    <row r="26" spans="1:30" ht="20.25" customHeight="1" thickBot="1" x14ac:dyDescent="0.3">
      <c r="B26" s="62" t="s">
        <v>62</v>
      </c>
      <c r="C26" s="62"/>
      <c r="D26" s="63">
        <f t="shared" ref="D26:E26" si="5">SUM(D10:D25)</f>
        <v>11.99</v>
      </c>
      <c r="E26" s="63">
        <f t="shared" si="5"/>
        <v>11.3</v>
      </c>
      <c r="F26" s="63"/>
      <c r="G26" s="63">
        <f>SUM(G10:G25)</f>
        <v>23.29</v>
      </c>
      <c r="H26" s="64"/>
      <c r="I26" s="64"/>
      <c r="J26" s="65"/>
      <c r="K26" s="66">
        <f>SUM(K10:K25)</f>
        <v>23.29</v>
      </c>
      <c r="L26" s="67">
        <f>SUM(L10:L25)</f>
        <v>90240</v>
      </c>
      <c r="N26" s="54"/>
      <c r="O26" s="68"/>
      <c r="P26" s="54"/>
      <c r="Q26" s="54"/>
      <c r="V26" s="625" t="s">
        <v>62</v>
      </c>
      <c r="W26" s="625"/>
      <c r="X26" s="626">
        <f>SUM(X10:X25)</f>
        <v>0</v>
      </c>
      <c r="Y26" s="626"/>
      <c r="Z26" s="627"/>
      <c r="AA26" s="628"/>
      <c r="AB26" s="69">
        <f>SUM(AB10:AB25)</f>
        <v>0</v>
      </c>
      <c r="AC26" s="70">
        <f>SUM(AC10:AC25)</f>
        <v>0</v>
      </c>
      <c r="AD26" s="9"/>
    </row>
    <row r="27" spans="1:30" ht="51.75" customHeight="1" x14ac:dyDescent="0.25">
      <c r="B27" s="62" t="s">
        <v>63</v>
      </c>
      <c r="C27" s="62"/>
      <c r="D27" s="71" t="s">
        <v>13</v>
      </c>
      <c r="E27" s="71" t="s">
        <v>14</v>
      </c>
      <c r="F27" s="27"/>
      <c r="G27" s="72" t="s">
        <v>64</v>
      </c>
      <c r="H27" s="73"/>
      <c r="I27" s="74" t="s">
        <v>65</v>
      </c>
      <c r="J27" s="74" t="s">
        <v>66</v>
      </c>
      <c r="K27" s="75" t="s">
        <v>67</v>
      </c>
      <c r="N27" s="54"/>
      <c r="O27" s="68"/>
      <c r="P27" s="54"/>
      <c r="Q27" s="54"/>
      <c r="V27" s="629" t="s">
        <v>63</v>
      </c>
      <c r="W27" s="629"/>
      <c r="X27" s="630" t="s">
        <v>64</v>
      </c>
      <c r="Y27" s="630"/>
      <c r="Z27" s="76" t="s">
        <v>65</v>
      </c>
      <c r="AA27" s="77" t="s">
        <v>66</v>
      </c>
      <c r="AB27" s="78" t="s">
        <v>67</v>
      </c>
      <c r="AC27" s="9"/>
      <c r="AD27" s="9"/>
    </row>
    <row r="28" spans="1:30" ht="15.75" customHeight="1" x14ac:dyDescent="0.25">
      <c r="A28" s="1" t="s">
        <v>68</v>
      </c>
      <c r="B28" s="631" t="s">
        <v>69</v>
      </c>
      <c r="C28" s="632"/>
      <c r="D28" s="13">
        <v>0</v>
      </c>
      <c r="E28" s="13">
        <v>0</v>
      </c>
      <c r="F28" s="79">
        <v>10</v>
      </c>
      <c r="G28" s="46">
        <f t="shared" ref="G28:G36" si="6">D28+E28</f>
        <v>0</v>
      </c>
      <c r="H28" s="80"/>
      <c r="I28" s="81" t="s">
        <v>70</v>
      </c>
      <c r="J28" s="82">
        <v>251</v>
      </c>
      <c r="K28" s="83">
        <v>1047</v>
      </c>
      <c r="L28" s="84">
        <f>ROUND(G28*K28,0)</f>
        <v>0</v>
      </c>
      <c r="N28" s="251">
        <v>5101</v>
      </c>
      <c r="O28" s="54">
        <v>251</v>
      </c>
      <c r="P28" s="86"/>
      <c r="Q28" s="87"/>
      <c r="V28" s="637" t="s">
        <v>69</v>
      </c>
      <c r="W28" s="637"/>
      <c r="X28" s="638"/>
      <c r="Y28" s="638"/>
      <c r="Z28" s="88" t="s">
        <v>70</v>
      </c>
      <c r="AA28" s="244">
        <v>251</v>
      </c>
      <c r="AB28" s="90">
        <f>+K28</f>
        <v>1047</v>
      </c>
      <c r="AC28" s="91">
        <f t="shared" ref="AC28:AC36" si="7">ROUND(X28*AB28,0)</f>
        <v>0</v>
      </c>
      <c r="AD28" s="9"/>
    </row>
    <row r="29" spans="1:30" x14ac:dyDescent="0.25">
      <c r="A29" s="1" t="s">
        <v>71</v>
      </c>
      <c r="B29" s="633"/>
      <c r="C29" s="634"/>
      <c r="D29" s="13">
        <v>0</v>
      </c>
      <c r="E29" s="13">
        <v>0</v>
      </c>
      <c r="F29" s="92">
        <v>3.5</v>
      </c>
      <c r="G29" s="46">
        <f t="shared" si="6"/>
        <v>0</v>
      </c>
      <c r="H29" s="80"/>
      <c r="I29" s="82" t="s">
        <v>70</v>
      </c>
      <c r="J29" s="82">
        <v>252</v>
      </c>
      <c r="K29" s="83">
        <v>3380</v>
      </c>
      <c r="L29" s="84">
        <f t="shared" ref="L29:L36" si="8">ROUND(G29*K29,0)</f>
        <v>0</v>
      </c>
      <c r="N29" s="251">
        <v>5101</v>
      </c>
      <c r="O29" s="54">
        <v>252</v>
      </c>
      <c r="P29" s="86"/>
      <c r="Q29" s="87"/>
      <c r="V29" s="637"/>
      <c r="W29" s="637"/>
      <c r="X29" s="638"/>
      <c r="Y29" s="638"/>
      <c r="Z29" s="244" t="s">
        <v>70</v>
      </c>
      <c r="AA29" s="244">
        <v>252</v>
      </c>
      <c r="AB29" s="90">
        <f t="shared" ref="AB29:AB36" si="9">+K29</f>
        <v>3380</v>
      </c>
      <c r="AC29" s="91">
        <f t="shared" si="7"/>
        <v>0</v>
      </c>
      <c r="AD29" s="9"/>
    </row>
    <row r="30" spans="1:30" x14ac:dyDescent="0.25">
      <c r="A30" s="1" t="s">
        <v>72</v>
      </c>
      <c r="B30" s="633"/>
      <c r="C30" s="634"/>
      <c r="D30" s="13">
        <v>0</v>
      </c>
      <c r="E30" s="13">
        <v>0</v>
      </c>
      <c r="F30" s="92">
        <v>7</v>
      </c>
      <c r="G30" s="46">
        <f t="shared" si="6"/>
        <v>0</v>
      </c>
      <c r="H30" s="80"/>
      <c r="I30" s="82" t="s">
        <v>70</v>
      </c>
      <c r="J30" s="82">
        <v>253</v>
      </c>
      <c r="K30" s="83">
        <v>6896</v>
      </c>
      <c r="L30" s="84">
        <f t="shared" si="8"/>
        <v>0</v>
      </c>
      <c r="N30" s="251">
        <v>5101</v>
      </c>
      <c r="O30" s="54">
        <v>253</v>
      </c>
      <c r="P30" s="86"/>
      <c r="Q30" s="68"/>
      <c r="V30" s="637"/>
      <c r="W30" s="637"/>
      <c r="X30" s="638"/>
      <c r="Y30" s="638"/>
      <c r="Z30" s="244" t="s">
        <v>70</v>
      </c>
      <c r="AA30" s="244">
        <v>253</v>
      </c>
      <c r="AB30" s="90">
        <f t="shared" si="9"/>
        <v>6896</v>
      </c>
      <c r="AC30" s="91">
        <f t="shared" si="7"/>
        <v>0</v>
      </c>
      <c r="AD30" s="9"/>
    </row>
    <row r="31" spans="1:30" x14ac:dyDescent="0.25">
      <c r="A31" s="1" t="s">
        <v>73</v>
      </c>
      <c r="B31" s="633"/>
      <c r="C31" s="634"/>
      <c r="D31" s="13">
        <v>3</v>
      </c>
      <c r="E31" s="13">
        <v>3</v>
      </c>
      <c r="F31" s="92">
        <v>1</v>
      </c>
      <c r="G31" s="46">
        <f t="shared" si="6"/>
        <v>6</v>
      </c>
      <c r="H31" s="80"/>
      <c r="I31" s="93" t="s">
        <v>74</v>
      </c>
      <c r="J31" s="82">
        <v>251</v>
      </c>
      <c r="K31" s="83">
        <v>1173</v>
      </c>
      <c r="L31" s="84">
        <f t="shared" si="8"/>
        <v>7038</v>
      </c>
      <c r="N31" s="251">
        <v>5102</v>
      </c>
      <c r="O31" s="54">
        <v>251</v>
      </c>
      <c r="P31" s="86"/>
      <c r="Q31" s="68"/>
      <c r="V31" s="637"/>
      <c r="W31" s="637"/>
      <c r="X31" s="638"/>
      <c r="Y31" s="638"/>
      <c r="Z31" s="94" t="s">
        <v>74</v>
      </c>
      <c r="AA31" s="244">
        <v>251</v>
      </c>
      <c r="AB31" s="90">
        <f t="shared" si="9"/>
        <v>1173</v>
      </c>
      <c r="AC31" s="91">
        <f t="shared" si="7"/>
        <v>0</v>
      </c>
      <c r="AD31" s="9"/>
    </row>
    <row r="32" spans="1:30" x14ac:dyDescent="0.25">
      <c r="A32" s="1" t="s">
        <v>75</v>
      </c>
      <c r="B32" s="633"/>
      <c r="C32" s="634"/>
      <c r="D32" s="13">
        <v>0</v>
      </c>
      <c r="E32" s="13">
        <v>0</v>
      </c>
      <c r="F32" s="92">
        <v>0.5</v>
      </c>
      <c r="G32" s="46">
        <f t="shared" si="6"/>
        <v>0</v>
      </c>
      <c r="H32" s="80"/>
      <c r="I32" s="93" t="s">
        <v>74</v>
      </c>
      <c r="J32" s="82">
        <v>252</v>
      </c>
      <c r="K32" s="83">
        <v>3506</v>
      </c>
      <c r="L32" s="84">
        <f t="shared" si="8"/>
        <v>0</v>
      </c>
      <c r="N32" s="251">
        <v>5102</v>
      </c>
      <c r="O32" s="54">
        <v>252</v>
      </c>
      <c r="P32" s="86"/>
      <c r="Q32" s="54"/>
      <c r="V32" s="637"/>
      <c r="W32" s="637"/>
      <c r="X32" s="638"/>
      <c r="Y32" s="638"/>
      <c r="Z32" s="94" t="s">
        <v>74</v>
      </c>
      <c r="AA32" s="244">
        <v>252</v>
      </c>
      <c r="AB32" s="90">
        <f t="shared" si="9"/>
        <v>3506</v>
      </c>
      <c r="AC32" s="91">
        <f t="shared" si="7"/>
        <v>0</v>
      </c>
      <c r="AD32" s="9"/>
    </row>
    <row r="33" spans="1:30" x14ac:dyDescent="0.25">
      <c r="A33" s="1" t="s">
        <v>76</v>
      </c>
      <c r="B33" s="633"/>
      <c r="C33" s="634"/>
      <c r="D33" s="13">
        <v>0</v>
      </c>
      <c r="E33" s="13">
        <v>0</v>
      </c>
      <c r="F33" s="92">
        <v>0</v>
      </c>
      <c r="G33" s="46">
        <f t="shared" si="6"/>
        <v>0</v>
      </c>
      <c r="H33" s="80"/>
      <c r="I33" s="93" t="s">
        <v>74</v>
      </c>
      <c r="J33" s="82">
        <v>253</v>
      </c>
      <c r="K33" s="83">
        <v>7023</v>
      </c>
      <c r="L33" s="84">
        <f t="shared" si="8"/>
        <v>0</v>
      </c>
      <c r="N33" s="251">
        <v>5102</v>
      </c>
      <c r="O33" s="54">
        <v>253</v>
      </c>
      <c r="P33" s="86"/>
      <c r="Q33" s="87"/>
      <c r="V33" s="637"/>
      <c r="W33" s="637"/>
      <c r="X33" s="638"/>
      <c r="Y33" s="638"/>
      <c r="Z33" s="94" t="s">
        <v>74</v>
      </c>
      <c r="AA33" s="244">
        <v>253</v>
      </c>
      <c r="AB33" s="90">
        <f t="shared" si="9"/>
        <v>7023</v>
      </c>
      <c r="AC33" s="91">
        <f t="shared" si="7"/>
        <v>0</v>
      </c>
      <c r="AD33" s="9"/>
    </row>
    <row r="34" spans="1:30" x14ac:dyDescent="0.25">
      <c r="A34" s="1" t="s">
        <v>77</v>
      </c>
      <c r="B34" s="633"/>
      <c r="C34" s="634"/>
      <c r="D34" s="13">
        <v>0</v>
      </c>
      <c r="E34" s="13">
        <v>0</v>
      </c>
      <c r="F34" s="92">
        <v>0</v>
      </c>
      <c r="G34" s="46">
        <f t="shared" si="6"/>
        <v>0</v>
      </c>
      <c r="H34" s="80"/>
      <c r="I34" s="93" t="s">
        <v>78</v>
      </c>
      <c r="J34" s="82">
        <v>251</v>
      </c>
      <c r="K34" s="83">
        <v>835</v>
      </c>
      <c r="L34" s="84">
        <f t="shared" si="8"/>
        <v>0</v>
      </c>
      <c r="N34" s="251">
        <v>5103</v>
      </c>
      <c r="O34" s="54">
        <v>251</v>
      </c>
      <c r="P34" s="86"/>
      <c r="Q34" s="87"/>
      <c r="V34" s="637"/>
      <c r="W34" s="637"/>
      <c r="X34" s="638"/>
      <c r="Y34" s="638"/>
      <c r="Z34" s="94" t="s">
        <v>78</v>
      </c>
      <c r="AA34" s="244">
        <v>251</v>
      </c>
      <c r="AB34" s="90">
        <f t="shared" si="9"/>
        <v>835</v>
      </c>
      <c r="AC34" s="91">
        <f t="shared" si="7"/>
        <v>0</v>
      </c>
      <c r="AD34" s="9"/>
    </row>
    <row r="35" spans="1:30" x14ac:dyDescent="0.25">
      <c r="A35" s="1" t="s">
        <v>79</v>
      </c>
      <c r="B35" s="633"/>
      <c r="C35" s="634"/>
      <c r="D35" s="13">
        <v>0</v>
      </c>
      <c r="E35" s="13">
        <v>0</v>
      </c>
      <c r="F35" s="92">
        <v>0</v>
      </c>
      <c r="G35" s="46">
        <f t="shared" si="6"/>
        <v>0</v>
      </c>
      <c r="H35" s="80"/>
      <c r="I35" s="93" t="s">
        <v>78</v>
      </c>
      <c r="J35" s="82">
        <v>252</v>
      </c>
      <c r="K35" s="83">
        <v>3168</v>
      </c>
      <c r="L35" s="84">
        <f t="shared" si="8"/>
        <v>0</v>
      </c>
      <c r="N35" s="251">
        <v>5103</v>
      </c>
      <c r="O35" s="54">
        <v>252</v>
      </c>
      <c r="P35" s="86"/>
      <c r="Q35" s="95"/>
      <c r="V35" s="637"/>
      <c r="W35" s="637"/>
      <c r="X35" s="638"/>
      <c r="Y35" s="638"/>
      <c r="Z35" s="94" t="s">
        <v>78</v>
      </c>
      <c r="AA35" s="244">
        <v>252</v>
      </c>
      <c r="AB35" s="90">
        <f t="shared" si="9"/>
        <v>3168</v>
      </c>
      <c r="AC35" s="91">
        <f t="shared" si="7"/>
        <v>0</v>
      </c>
      <c r="AD35" s="9"/>
    </row>
    <row r="36" spans="1:30" ht="16.5" thickBot="1" x14ac:dyDescent="0.3">
      <c r="A36" s="1" t="s">
        <v>80</v>
      </c>
      <c r="B36" s="635"/>
      <c r="C36" s="636"/>
      <c r="D36" s="13">
        <v>0</v>
      </c>
      <c r="E36" s="13">
        <v>0</v>
      </c>
      <c r="F36" s="92">
        <v>0</v>
      </c>
      <c r="G36" s="46">
        <f t="shared" si="6"/>
        <v>0</v>
      </c>
      <c r="H36" s="80"/>
      <c r="I36" s="93" t="s">
        <v>78</v>
      </c>
      <c r="J36" s="82">
        <v>253</v>
      </c>
      <c r="K36" s="83">
        <v>6685</v>
      </c>
      <c r="L36" s="96">
        <f t="shared" si="8"/>
        <v>0</v>
      </c>
      <c r="N36" s="251">
        <v>5103</v>
      </c>
      <c r="O36" s="54">
        <v>253</v>
      </c>
      <c r="P36" s="86"/>
      <c r="Q36" s="97"/>
      <c r="V36" s="637"/>
      <c r="W36" s="637"/>
      <c r="X36" s="645"/>
      <c r="Y36" s="645"/>
      <c r="Z36" s="94" t="s">
        <v>78</v>
      </c>
      <c r="AA36" s="244">
        <v>253</v>
      </c>
      <c r="AB36" s="90">
        <f t="shared" si="9"/>
        <v>6685</v>
      </c>
      <c r="AC36" s="98">
        <f t="shared" si="7"/>
        <v>0</v>
      </c>
      <c r="AD36" s="9"/>
    </row>
    <row r="37" spans="1:30" ht="18.75" customHeight="1" x14ac:dyDescent="0.25">
      <c r="B37" s="13" t="s">
        <v>81</v>
      </c>
      <c r="C37" s="13"/>
      <c r="D37" s="63">
        <f t="shared" ref="D37:E37" si="10">SUM(D28:D36)</f>
        <v>3</v>
      </c>
      <c r="E37" s="63">
        <f t="shared" si="10"/>
        <v>3</v>
      </c>
      <c r="F37" s="63"/>
      <c r="G37" s="63">
        <f>SUM(G28:G36)</f>
        <v>6</v>
      </c>
      <c r="H37" s="64"/>
      <c r="I37" s="13" t="s">
        <v>82</v>
      </c>
      <c r="J37" s="13"/>
      <c r="K37" s="13"/>
      <c r="L37" s="50">
        <f>SUM(L28:L36)</f>
        <v>7038</v>
      </c>
      <c r="N37" s="54"/>
      <c r="O37" s="68"/>
      <c r="P37" s="54"/>
      <c r="Q37" s="54"/>
      <c r="V37" s="646" t="s">
        <v>81</v>
      </c>
      <c r="W37" s="646"/>
      <c r="X37" s="626">
        <f>SUM(X28:X36)</f>
        <v>0</v>
      </c>
      <c r="Y37" s="626"/>
      <c r="Z37" s="646" t="s">
        <v>82</v>
      </c>
      <c r="AA37" s="646"/>
      <c r="AB37" s="646"/>
      <c r="AC37" s="56">
        <f>SUM(AC28:AC36)</f>
        <v>0</v>
      </c>
      <c r="AD37" s="9"/>
    </row>
    <row r="38" spans="1:30" ht="30.75" customHeight="1" x14ac:dyDescent="0.25">
      <c r="B38" s="99" t="s">
        <v>83</v>
      </c>
      <c r="C38" s="99"/>
      <c r="D38" s="99"/>
      <c r="E38" s="99"/>
      <c r="F38" s="99"/>
      <c r="G38" s="99"/>
      <c r="H38" s="100"/>
      <c r="I38" s="99"/>
      <c r="J38" s="99"/>
      <c r="K38" s="99"/>
      <c r="L38" s="99"/>
      <c r="M38" s="101"/>
      <c r="N38" s="54"/>
      <c r="O38" s="68"/>
      <c r="P38" s="54"/>
      <c r="Q38" s="54"/>
      <c r="V38" s="639" t="s">
        <v>83</v>
      </c>
      <c r="W38" s="639"/>
      <c r="X38" s="639"/>
      <c r="Y38" s="639"/>
      <c r="Z38" s="639"/>
      <c r="AA38" s="639"/>
      <c r="AB38" s="639"/>
      <c r="AC38" s="639"/>
      <c r="AD38" s="102"/>
    </row>
    <row r="39" spans="1:30" ht="15.75" customHeight="1" x14ac:dyDescent="0.25">
      <c r="B39" s="103" t="s">
        <v>84</v>
      </c>
      <c r="C39" s="103"/>
      <c r="D39" s="103"/>
      <c r="E39" s="103"/>
      <c r="F39" s="103"/>
      <c r="G39" s="104">
        <v>34389540</v>
      </c>
      <c r="H39" s="104"/>
      <c r="I39" s="13" t="s">
        <v>85</v>
      </c>
      <c r="J39" s="13"/>
      <c r="K39" s="13"/>
      <c r="L39" s="13"/>
      <c r="O39" s="1"/>
      <c r="V39" s="640" t="s">
        <v>84</v>
      </c>
      <c r="W39" s="640"/>
      <c r="X39" s="641">
        <f>+G39</f>
        <v>34389540</v>
      </c>
      <c r="Y39" s="641"/>
      <c r="Z39" s="642" t="s">
        <v>85</v>
      </c>
      <c r="AA39" s="642"/>
      <c r="AB39" s="642"/>
      <c r="AC39" s="642"/>
      <c r="AD39" s="9"/>
    </row>
    <row r="40" spans="1:30" ht="15.75" customHeight="1" x14ac:dyDescent="0.25">
      <c r="B40" s="105" t="s">
        <v>86</v>
      </c>
      <c r="C40" s="105"/>
      <c r="D40" s="105"/>
      <c r="E40" s="105"/>
      <c r="F40" s="105"/>
      <c r="G40" s="106">
        <v>180284.81</v>
      </c>
      <c r="H40" s="106"/>
      <c r="I40" s="106"/>
      <c r="J40" s="106"/>
      <c r="K40" s="50">
        <f>ROUND(G39/G40,0)</f>
        <v>191</v>
      </c>
      <c r="L40" s="50">
        <f>ROUND(K40*$G$26,0)</f>
        <v>4448</v>
      </c>
      <c r="N40" s="107"/>
      <c r="O40" s="107"/>
      <c r="P40" s="107"/>
      <c r="Q40" s="107"/>
      <c r="V40" s="643" t="s">
        <v>86</v>
      </c>
      <c r="W40" s="643"/>
      <c r="X40" s="644">
        <f>+G40</f>
        <v>180284.81</v>
      </c>
      <c r="Y40" s="644"/>
      <c r="Z40" s="644"/>
      <c r="AA40" s="644"/>
      <c r="AB40" s="56">
        <f>ROUND(X39/X40,0)</f>
        <v>191</v>
      </c>
      <c r="AC40" s="56">
        <f>ROUND(AB40*$X$26,0)</f>
        <v>0</v>
      </c>
      <c r="AD40" s="9"/>
    </row>
    <row r="41" spans="1:30" ht="15.75" customHeight="1" x14ac:dyDescent="0.25">
      <c r="B41" s="108" t="s">
        <v>87</v>
      </c>
      <c r="C41" s="108"/>
      <c r="D41" s="108"/>
      <c r="E41" s="108"/>
      <c r="F41" s="108"/>
      <c r="G41" s="108"/>
      <c r="H41" s="108"/>
      <c r="I41" s="108"/>
      <c r="J41" s="108"/>
      <c r="K41" s="108"/>
      <c r="L41" s="108"/>
      <c r="N41" s="101"/>
      <c r="O41" s="109"/>
      <c r="P41" s="101"/>
      <c r="Q41" s="101"/>
      <c r="V41" s="652" t="s">
        <v>87</v>
      </c>
      <c r="W41" s="652"/>
      <c r="X41" s="652"/>
      <c r="Y41" s="652"/>
      <c r="Z41" s="652"/>
      <c r="AA41" s="652"/>
      <c r="AB41" s="652"/>
      <c r="AC41" s="652"/>
      <c r="AD41" s="9"/>
    </row>
    <row r="42" spans="1:30" ht="28.5" customHeight="1" x14ac:dyDescent="0.25">
      <c r="B42" s="99" t="s">
        <v>88</v>
      </c>
      <c r="C42" s="99"/>
      <c r="D42" s="99"/>
      <c r="E42" s="99"/>
      <c r="F42" s="99"/>
      <c r="G42" s="99"/>
      <c r="H42" s="99"/>
      <c r="I42" s="99"/>
      <c r="J42" s="99"/>
      <c r="K42" s="99"/>
      <c r="L42" s="99"/>
      <c r="M42" s="107"/>
      <c r="O42" s="1"/>
      <c r="V42" s="639" t="s">
        <v>88</v>
      </c>
      <c r="W42" s="639"/>
      <c r="X42" s="639"/>
      <c r="Y42" s="639"/>
      <c r="Z42" s="639"/>
      <c r="AA42" s="639"/>
      <c r="AB42" s="639"/>
      <c r="AC42" s="639"/>
      <c r="AD42" s="248"/>
    </row>
    <row r="43" spans="1:30" x14ac:dyDescent="0.25">
      <c r="B43" s="111" t="s">
        <v>89</v>
      </c>
      <c r="C43" s="111"/>
      <c r="D43" s="111"/>
      <c r="E43" s="111"/>
      <c r="F43" s="111"/>
      <c r="G43" s="111"/>
      <c r="H43" s="111"/>
      <c r="I43" s="111"/>
      <c r="J43" s="111"/>
      <c r="K43" s="111"/>
      <c r="L43" s="111"/>
      <c r="M43" s="112"/>
      <c r="N43" s="101"/>
      <c r="O43" s="101"/>
      <c r="P43" s="101"/>
      <c r="Q43" s="101"/>
      <c r="V43" s="653" t="s">
        <v>89</v>
      </c>
      <c r="W43" s="653"/>
      <c r="X43" s="653"/>
      <c r="Y43" s="653"/>
      <c r="Z43" s="653"/>
      <c r="AA43" s="653"/>
      <c r="AB43" s="653"/>
      <c r="AC43" s="653"/>
      <c r="AD43" s="113"/>
    </row>
    <row r="44" spans="1:30" ht="24" customHeight="1" x14ac:dyDescent="0.25">
      <c r="B44" s="62" t="s">
        <v>90</v>
      </c>
      <c r="C44" s="62"/>
      <c r="D44" s="62"/>
      <c r="E44" s="62"/>
      <c r="F44" s="62"/>
      <c r="G44" s="62"/>
      <c r="H44" s="62"/>
      <c r="I44" s="62"/>
      <c r="J44" s="62"/>
      <c r="K44" s="62"/>
      <c r="L44" s="114">
        <f>SUM(L26,L37,L40)</f>
        <v>101726</v>
      </c>
      <c r="O44" s="1"/>
      <c r="V44" s="654" t="s">
        <v>90</v>
      </c>
      <c r="W44" s="654"/>
      <c r="X44" s="654"/>
      <c r="Y44" s="654"/>
      <c r="Z44" s="654"/>
      <c r="AA44" s="654"/>
      <c r="AB44" s="654"/>
      <c r="AC44" s="115">
        <f>SUM(AC26,AC37,AC40)</f>
        <v>0</v>
      </c>
      <c r="AD44" s="9"/>
    </row>
    <row r="45" spans="1:30" ht="30.75" customHeight="1" x14ac:dyDescent="0.25">
      <c r="B45" s="99" t="s">
        <v>91</v>
      </c>
      <c r="C45" s="99"/>
      <c r="D45" s="99"/>
      <c r="E45" s="99"/>
      <c r="F45" s="99"/>
      <c r="G45" s="99"/>
      <c r="H45" s="99"/>
      <c r="I45" s="99"/>
      <c r="J45" s="99"/>
      <c r="K45" s="99"/>
      <c r="L45" s="99"/>
      <c r="M45" s="116"/>
      <c r="O45" s="1"/>
      <c r="V45" s="639" t="s">
        <v>91</v>
      </c>
      <c r="W45" s="639"/>
      <c r="X45" s="639"/>
      <c r="Y45" s="639"/>
      <c r="Z45" s="639"/>
      <c r="AA45" s="639"/>
      <c r="AB45" s="639"/>
      <c r="AC45" s="639"/>
      <c r="AD45" s="247"/>
    </row>
    <row r="46" spans="1:30" ht="18.75" customHeight="1" x14ac:dyDescent="0.25">
      <c r="B46" s="1"/>
      <c r="C46" s="118" t="s">
        <v>92</v>
      </c>
      <c r="D46" s="118"/>
      <c r="E46" s="118"/>
      <c r="F46" s="118"/>
      <c r="G46" s="118" t="s">
        <v>93</v>
      </c>
      <c r="H46" s="119"/>
      <c r="I46" s="120" t="s">
        <v>94</v>
      </c>
      <c r="J46" s="121"/>
      <c r="K46" s="121"/>
      <c r="L46" s="121"/>
      <c r="M46" s="122"/>
      <c r="O46" s="1"/>
      <c r="V46" s="9"/>
      <c r="W46" s="250" t="s">
        <v>92</v>
      </c>
      <c r="X46" s="655" t="s">
        <v>95</v>
      </c>
      <c r="Y46" s="655"/>
      <c r="Z46" s="656" t="s">
        <v>94</v>
      </c>
      <c r="AA46" s="656"/>
      <c r="AB46" s="656"/>
      <c r="AC46" s="656"/>
      <c r="AD46" s="124"/>
    </row>
    <row r="47" spans="1:30" ht="18.75" customHeight="1" x14ac:dyDescent="0.25">
      <c r="B47" s="107" t="s">
        <v>96</v>
      </c>
      <c r="C47" s="125">
        <f>K10+K11+K16+K19+K22</f>
        <v>0</v>
      </c>
      <c r="D47" s="125"/>
      <c r="E47" s="125"/>
      <c r="F47" s="125"/>
      <c r="G47" s="126">
        <f>K7</f>
        <v>1.0326</v>
      </c>
      <c r="H47" s="126"/>
      <c r="I47" s="127">
        <v>1316.85</v>
      </c>
      <c r="J47" s="128" t="s">
        <v>97</v>
      </c>
      <c r="K47" s="129">
        <f>ROUND(C47*G47*I47,0)</f>
        <v>0</v>
      </c>
      <c r="L47" s="130"/>
      <c r="O47" s="1"/>
      <c r="V47" s="248" t="s">
        <v>96</v>
      </c>
      <c r="W47" s="131">
        <f>AB10+AB11+AB16+AB19+AB22</f>
        <v>0</v>
      </c>
      <c r="X47" s="647">
        <f>AB7</f>
        <v>1.0326</v>
      </c>
      <c r="Y47" s="647"/>
      <c r="Z47" s="132">
        <f>+I47</f>
        <v>1316.85</v>
      </c>
      <c r="AA47" s="133" t="s">
        <v>97</v>
      </c>
      <c r="AB47" s="134">
        <f>ROUND(W47*X47*Z47,0)</f>
        <v>0</v>
      </c>
      <c r="AC47" s="135"/>
      <c r="AD47" s="9"/>
    </row>
    <row r="48" spans="1:30" ht="18" customHeight="1" x14ac:dyDescent="0.25">
      <c r="B48" s="136" t="s">
        <v>74</v>
      </c>
      <c r="C48" s="125">
        <f>K12+K13+K17+K20+K23</f>
        <v>23.29</v>
      </c>
      <c r="D48" s="125"/>
      <c r="E48" s="125"/>
      <c r="F48" s="125"/>
      <c r="G48" s="126">
        <f>K7</f>
        <v>1.0326</v>
      </c>
      <c r="H48" s="126"/>
      <c r="I48" s="127">
        <v>898.23</v>
      </c>
      <c r="J48" s="128" t="s">
        <v>97</v>
      </c>
      <c r="K48" s="129">
        <f>ROUND(C48*G48*I48,0)</f>
        <v>21602</v>
      </c>
      <c r="L48" s="62"/>
      <c r="O48" s="1"/>
      <c r="V48" s="137" t="s">
        <v>74</v>
      </c>
      <c r="W48" s="131">
        <f>AB12+AB13+AB17+AB20+AB23</f>
        <v>0</v>
      </c>
      <c r="X48" s="647">
        <f>AB7</f>
        <v>1.0326</v>
      </c>
      <c r="Y48" s="647"/>
      <c r="Z48" s="132">
        <f>+I48</f>
        <v>898.23</v>
      </c>
      <c r="AA48" s="133" t="s">
        <v>97</v>
      </c>
      <c r="AB48" s="134">
        <f>ROUND(W48*X48*Z48,0)</f>
        <v>0</v>
      </c>
      <c r="AC48" s="138"/>
      <c r="AD48" s="9"/>
    </row>
    <row r="49" spans="2:30" ht="19.5" customHeight="1" thickBot="1" x14ac:dyDescent="0.3">
      <c r="B49" s="139" t="s">
        <v>78</v>
      </c>
      <c r="C49" s="140">
        <f>K14+K15+K18+K21+K24+K25</f>
        <v>0</v>
      </c>
      <c r="D49" s="125"/>
      <c r="E49" s="125"/>
      <c r="F49" s="125"/>
      <c r="G49" s="126">
        <f>K7</f>
        <v>1.0326</v>
      </c>
      <c r="H49" s="126"/>
      <c r="I49" s="127">
        <v>900.39</v>
      </c>
      <c r="J49" s="128" t="s">
        <v>97</v>
      </c>
      <c r="K49" s="129">
        <f>ROUND(C49*G49*I49,0)</f>
        <v>0</v>
      </c>
      <c r="L49" s="62"/>
      <c r="M49" s="112"/>
      <c r="N49" s="141"/>
      <c r="O49" s="142"/>
      <c r="P49" s="101"/>
      <c r="Q49" s="143"/>
      <c r="V49" s="144" t="s">
        <v>78</v>
      </c>
      <c r="W49" s="145">
        <f>AB14+AB15+AB18+AB21+AB24+AB25</f>
        <v>0</v>
      </c>
      <c r="X49" s="647">
        <f>AB7</f>
        <v>1.0326</v>
      </c>
      <c r="Y49" s="647"/>
      <c r="Z49" s="132">
        <f>+I49</f>
        <v>900.39</v>
      </c>
      <c r="AA49" s="133" t="s">
        <v>97</v>
      </c>
      <c r="AB49" s="134">
        <f>ROUND(W49*X49*Z49,0)</f>
        <v>0</v>
      </c>
      <c r="AC49" s="138"/>
      <c r="AD49" s="113"/>
    </row>
    <row r="50" spans="2:30" ht="24" customHeight="1" thickBot="1" x14ac:dyDescent="0.3">
      <c r="B50" s="146" t="s">
        <v>98</v>
      </c>
      <c r="C50" s="147">
        <f>SUM(C47:C49)</f>
        <v>23.29</v>
      </c>
      <c r="D50" s="148"/>
      <c r="E50" s="149"/>
      <c r="F50" s="149"/>
      <c r="G50" s="150" t="s">
        <v>99</v>
      </c>
      <c r="H50" s="150"/>
      <c r="I50" s="150"/>
      <c r="J50" s="150"/>
      <c r="K50" s="150"/>
      <c r="L50" s="50">
        <f>IF(B2=75,0,K49+K48+K47)</f>
        <v>21602</v>
      </c>
      <c r="N50" s="3"/>
      <c r="O50" s="1"/>
      <c r="V50" s="249" t="s">
        <v>98</v>
      </c>
      <c r="W50" s="152">
        <f>SUM(W47:W49)</f>
        <v>0</v>
      </c>
      <c r="X50" s="648" t="s">
        <v>99</v>
      </c>
      <c r="Y50" s="649"/>
      <c r="Z50" s="649"/>
      <c r="AA50" s="649"/>
      <c r="AB50" s="649"/>
      <c r="AC50" s="56">
        <f>IF(V2=75,0,AB49+AB48+AB47)</f>
        <v>0</v>
      </c>
      <c r="AD50" s="9"/>
    </row>
    <row r="51" spans="2:30" ht="19.5" customHeight="1" x14ac:dyDescent="0.25">
      <c r="B51" s="153" t="s">
        <v>100</v>
      </c>
      <c r="C51" s="153"/>
      <c r="D51" s="153"/>
      <c r="E51" s="153"/>
      <c r="F51" s="153"/>
      <c r="G51" s="153"/>
      <c r="H51" s="153"/>
      <c r="I51" s="153"/>
      <c r="J51" s="153"/>
      <c r="K51" s="153"/>
      <c r="L51" s="153"/>
      <c r="M51" s="141"/>
      <c r="N51" s="101"/>
      <c r="O51" s="1"/>
      <c r="V51" s="650" t="s">
        <v>100</v>
      </c>
      <c r="W51" s="650"/>
      <c r="X51" s="650"/>
      <c r="Y51" s="650"/>
      <c r="Z51" s="650"/>
      <c r="AA51" s="650"/>
      <c r="AB51" s="650"/>
      <c r="AC51" s="650"/>
      <c r="AD51" s="154"/>
    </row>
    <row r="52" spans="2:30" ht="27.75" customHeight="1" x14ac:dyDescent="0.25">
      <c r="B52" s="13" t="s">
        <v>101</v>
      </c>
      <c r="C52" s="13"/>
      <c r="D52" s="13"/>
      <c r="E52" s="13"/>
      <c r="F52" s="13"/>
      <c r="G52" s="13"/>
      <c r="H52" s="13"/>
      <c r="I52" s="13"/>
      <c r="J52" s="13"/>
      <c r="K52" s="13"/>
      <c r="L52" s="13"/>
      <c r="O52" s="1"/>
      <c r="V52" s="651" t="s">
        <v>101</v>
      </c>
      <c r="W52" s="651"/>
      <c r="X52" s="651"/>
      <c r="Y52" s="651"/>
      <c r="Z52" s="651"/>
      <c r="AA52" s="651"/>
      <c r="AB52" s="651"/>
      <c r="AC52" s="651"/>
      <c r="AD52" s="9"/>
    </row>
    <row r="53" spans="2:30" x14ac:dyDescent="0.25">
      <c r="B53" s="13" t="s">
        <v>102</v>
      </c>
      <c r="C53" s="13"/>
      <c r="D53" s="13"/>
      <c r="E53" s="13"/>
      <c r="F53" s="13"/>
      <c r="G53" s="155">
        <f>K26</f>
        <v>23.29</v>
      </c>
      <c r="H53" s="57" t="s">
        <v>103</v>
      </c>
      <c r="I53" s="57"/>
      <c r="J53" s="156">
        <v>197823.77</v>
      </c>
      <c r="K53" s="156"/>
      <c r="L53" s="156"/>
      <c r="N53" s="3"/>
      <c r="O53" s="1"/>
      <c r="V53" s="657" t="s">
        <v>102</v>
      </c>
      <c r="W53" s="657"/>
      <c r="X53" s="157">
        <f>AB26</f>
        <v>0</v>
      </c>
      <c r="Y53" s="658" t="s">
        <v>103</v>
      </c>
      <c r="Z53" s="658"/>
      <c r="AA53" s="659">
        <f>+J53</f>
        <v>197823.77</v>
      </c>
      <c r="AB53" s="659"/>
      <c r="AC53" s="659"/>
      <c r="AD53" s="9"/>
    </row>
    <row r="54" spans="2:30" x14ac:dyDescent="0.25">
      <c r="B54" s="13" t="s">
        <v>104</v>
      </c>
      <c r="C54" s="13"/>
      <c r="D54" s="13"/>
      <c r="E54" s="13"/>
      <c r="F54" s="13"/>
      <c r="G54" s="13"/>
      <c r="H54" s="13"/>
      <c r="I54" s="13"/>
      <c r="J54" s="13"/>
      <c r="K54" s="158">
        <f>ROUND(G53/J53,6)</f>
        <v>1.18E-4</v>
      </c>
      <c r="L54" s="158"/>
      <c r="N54" s="101"/>
      <c r="O54" s="1"/>
      <c r="V54" s="657" t="s">
        <v>104</v>
      </c>
      <c r="W54" s="657"/>
      <c r="X54" s="657"/>
      <c r="Y54" s="657"/>
      <c r="Z54" s="657"/>
      <c r="AA54" s="657"/>
      <c r="AB54" s="660">
        <f>ROUND(X53/AA53,6)</f>
        <v>0</v>
      </c>
      <c r="AC54" s="660"/>
      <c r="AD54" s="9"/>
    </row>
    <row r="55" spans="2:30" ht="24" customHeight="1" x14ac:dyDescent="0.25">
      <c r="B55" s="13" t="s">
        <v>105</v>
      </c>
      <c r="C55" s="13"/>
      <c r="D55" s="13"/>
      <c r="E55" s="13"/>
      <c r="F55" s="13"/>
      <c r="G55" s="13"/>
      <c r="H55" s="13"/>
      <c r="I55" s="13"/>
      <c r="J55" s="13"/>
      <c r="K55" s="13"/>
      <c r="L55" s="13"/>
      <c r="O55" s="1"/>
      <c r="V55" s="651" t="s">
        <v>105</v>
      </c>
      <c r="W55" s="651"/>
      <c r="X55" s="651"/>
      <c r="Y55" s="651"/>
      <c r="Z55" s="651"/>
      <c r="AA55" s="651"/>
      <c r="AB55" s="651"/>
      <c r="AC55" s="651"/>
      <c r="AD55" s="9"/>
    </row>
    <row r="56" spans="2:30" x14ac:dyDescent="0.25">
      <c r="B56" s="13" t="s">
        <v>106</v>
      </c>
      <c r="C56" s="13"/>
      <c r="D56" s="13"/>
      <c r="E56" s="13"/>
      <c r="F56" s="13"/>
      <c r="G56" s="159">
        <f>G26</f>
        <v>23.29</v>
      </c>
      <c r="H56" s="57" t="s">
        <v>107</v>
      </c>
      <c r="I56" s="57"/>
      <c r="J56" s="156">
        <f>+G40</f>
        <v>180284.81</v>
      </c>
      <c r="K56" s="156"/>
      <c r="L56" s="156"/>
      <c r="O56" s="1"/>
      <c r="V56" s="657" t="s">
        <v>106</v>
      </c>
      <c r="W56" s="657"/>
      <c r="X56" s="160">
        <f>X26</f>
        <v>0</v>
      </c>
      <c r="Y56" s="658" t="s">
        <v>107</v>
      </c>
      <c r="Z56" s="658"/>
      <c r="AA56" s="659">
        <f>+J56</f>
        <v>180284.81</v>
      </c>
      <c r="AB56" s="659"/>
      <c r="AC56" s="659"/>
      <c r="AD56" s="9"/>
    </row>
    <row r="57" spans="2:30" x14ac:dyDescent="0.25">
      <c r="B57" s="13" t="s">
        <v>108</v>
      </c>
      <c r="C57" s="13"/>
      <c r="D57" s="13"/>
      <c r="E57" s="13"/>
      <c r="F57" s="13"/>
      <c r="G57" s="13"/>
      <c r="H57" s="13"/>
      <c r="I57" s="13"/>
      <c r="J57" s="13"/>
      <c r="K57" s="158">
        <f>ROUND(G56/J56,6)</f>
        <v>1.2899999999999999E-4</v>
      </c>
      <c r="L57" s="158"/>
      <c r="O57" s="1"/>
      <c r="V57" s="657" t="s">
        <v>108</v>
      </c>
      <c r="W57" s="657"/>
      <c r="X57" s="657"/>
      <c r="Y57" s="657"/>
      <c r="Z57" s="657"/>
      <c r="AA57" s="657"/>
      <c r="AB57" s="660">
        <f>ROUND(X56/AA56,6)</f>
        <v>0</v>
      </c>
      <c r="AC57" s="660"/>
      <c r="AD57" s="9"/>
    </row>
    <row r="58" spans="2:30" ht="20.25" customHeight="1" x14ac:dyDescent="0.25">
      <c r="B58" s="161" t="s">
        <v>109</v>
      </c>
      <c r="C58" s="161"/>
      <c r="D58" s="161"/>
      <c r="E58" s="161"/>
      <c r="F58" s="161"/>
      <c r="G58" s="161"/>
      <c r="H58" s="161"/>
      <c r="I58" s="161"/>
      <c r="J58" s="161"/>
      <c r="K58" s="161"/>
      <c r="L58" s="161"/>
      <c r="N58" s="18"/>
      <c r="O58" s="18"/>
      <c r="V58" s="629" t="s">
        <v>110</v>
      </c>
      <c r="W58" s="629"/>
      <c r="X58" s="629"/>
      <c r="Y58" s="661">
        <f>X65+X64+X62+X61+X60</f>
        <v>4123852</v>
      </c>
      <c r="Z58" s="661"/>
      <c r="AA58" s="246" t="s">
        <v>111</v>
      </c>
      <c r="AB58" s="163">
        <f>AB54</f>
        <v>0</v>
      </c>
      <c r="AC58" s="56">
        <f>ROUND(Y58*AB58,0)</f>
        <v>0</v>
      </c>
      <c r="AD58" s="9"/>
    </row>
    <row r="59" spans="2:30" x14ac:dyDescent="0.25">
      <c r="B59" s="62" t="s">
        <v>110</v>
      </c>
      <c r="C59" s="62"/>
      <c r="D59" s="62"/>
      <c r="E59" s="62"/>
      <c r="F59" s="62"/>
      <c r="G59" s="62"/>
      <c r="H59" s="164" t="s">
        <v>22</v>
      </c>
      <c r="I59" s="129">
        <v>4123852</v>
      </c>
      <c r="J59" s="165" t="s">
        <v>111</v>
      </c>
      <c r="K59" s="166">
        <f>K54</f>
        <v>1.18E-4</v>
      </c>
      <c r="L59" s="50">
        <f>ROUND(I59*K59,0)</f>
        <v>487</v>
      </c>
      <c r="O59" s="1"/>
      <c r="P59" s="165"/>
      <c r="Q59" s="165"/>
      <c r="V59" s="662" t="s">
        <v>112</v>
      </c>
      <c r="W59" s="662"/>
      <c r="X59" s="662"/>
      <c r="Y59" s="662"/>
      <c r="Z59" s="662"/>
      <c r="AA59" s="662"/>
      <c r="AB59" s="662"/>
      <c r="AC59" s="662"/>
      <c r="AD59" s="9"/>
    </row>
    <row r="60" spans="2:30" x14ac:dyDescent="0.25">
      <c r="B60" s="62" t="s">
        <v>112</v>
      </c>
      <c r="C60" s="62"/>
      <c r="D60" s="62"/>
      <c r="E60" s="62"/>
      <c r="F60" s="62"/>
      <c r="G60" s="62"/>
      <c r="H60" s="62"/>
      <c r="I60" s="62"/>
      <c r="J60" s="62"/>
      <c r="K60" s="62"/>
      <c r="L60" s="62"/>
      <c r="O60" s="1"/>
      <c r="P60" s="165"/>
      <c r="Q60" s="165"/>
      <c r="V60" s="663" t="s">
        <v>113</v>
      </c>
      <c r="W60" s="663"/>
      <c r="X60" s="664">
        <f>+G61</f>
        <v>0</v>
      </c>
      <c r="Y60" s="664"/>
      <c r="Z60" s="664"/>
      <c r="AA60" s="664"/>
      <c r="AB60" s="664"/>
      <c r="AC60" s="664"/>
      <c r="AD60" s="9"/>
    </row>
    <row r="61" spans="2:30" ht="15" customHeight="1" x14ac:dyDescent="0.25">
      <c r="B61" s="167" t="s">
        <v>113</v>
      </c>
      <c r="C61" s="62"/>
      <c r="D61" s="62"/>
      <c r="E61" s="62"/>
      <c r="F61" s="62"/>
      <c r="G61" s="168">
        <v>0</v>
      </c>
      <c r="H61" s="168"/>
      <c r="I61" s="168"/>
      <c r="J61" s="168"/>
      <c r="K61" s="168"/>
      <c r="L61" s="168"/>
      <c r="O61" s="1"/>
      <c r="P61" s="165"/>
      <c r="Q61" s="165"/>
      <c r="V61" s="663" t="s">
        <v>114</v>
      </c>
      <c r="W61" s="663"/>
      <c r="X61" s="664">
        <f>+G62</f>
        <v>0</v>
      </c>
      <c r="Y61" s="664"/>
      <c r="Z61" s="664"/>
      <c r="AA61" s="664"/>
      <c r="AB61" s="664"/>
      <c r="AC61" s="664"/>
      <c r="AD61" s="9"/>
    </row>
    <row r="62" spans="2:30" ht="13.5" customHeight="1" x14ac:dyDescent="0.25">
      <c r="B62" s="167" t="s">
        <v>114</v>
      </c>
      <c r="C62" s="62"/>
      <c r="D62" s="62"/>
      <c r="E62" s="62"/>
      <c r="F62" s="62"/>
      <c r="G62" s="168">
        <v>0</v>
      </c>
      <c r="H62" s="168"/>
      <c r="I62" s="168"/>
      <c r="J62" s="168"/>
      <c r="K62" s="168"/>
      <c r="L62" s="168"/>
      <c r="N62" s="165"/>
      <c r="O62" s="165"/>
      <c r="P62" s="165"/>
      <c r="Q62" s="165"/>
      <c r="V62" s="663" t="s">
        <v>115</v>
      </c>
      <c r="W62" s="663"/>
      <c r="X62" s="664">
        <v>0</v>
      </c>
      <c r="Y62" s="664"/>
      <c r="Z62" s="664"/>
      <c r="AA62" s="664"/>
      <c r="AB62" s="664"/>
      <c r="AC62" s="664"/>
      <c r="AD62" s="9"/>
    </row>
    <row r="63" spans="2:30" ht="13.5" hidden="1" customHeight="1" x14ac:dyDescent="0.25">
      <c r="B63" s="62" t="s">
        <v>115</v>
      </c>
      <c r="C63" s="62"/>
      <c r="D63" s="62"/>
      <c r="E63" s="62"/>
      <c r="F63" s="62"/>
      <c r="G63" s="168">
        <v>0</v>
      </c>
      <c r="H63" s="168"/>
      <c r="I63" s="168"/>
      <c r="J63" s="168"/>
      <c r="K63" s="168"/>
      <c r="L63" s="168"/>
      <c r="O63" s="1"/>
      <c r="P63" s="165"/>
      <c r="Q63" s="165"/>
      <c r="V63" s="662" t="s">
        <v>116</v>
      </c>
      <c r="W63" s="662"/>
      <c r="X63" s="662"/>
      <c r="Y63" s="662"/>
      <c r="Z63" s="662"/>
      <c r="AA63" s="662"/>
      <c r="AB63" s="662"/>
      <c r="AC63" s="662"/>
      <c r="AD63" s="247"/>
    </row>
    <row r="64" spans="2:30" ht="13.5" customHeight="1" x14ac:dyDescent="0.25">
      <c r="B64" s="62" t="s">
        <v>116</v>
      </c>
      <c r="C64" s="62"/>
      <c r="D64" s="62"/>
      <c r="E64" s="62"/>
      <c r="F64" s="62"/>
      <c r="G64" s="62"/>
      <c r="H64" s="62"/>
      <c r="I64" s="62"/>
      <c r="J64" s="62"/>
      <c r="K64" s="62"/>
      <c r="L64" s="62"/>
      <c r="M64" s="116"/>
      <c r="N64" s="18"/>
      <c r="O64" s="1"/>
      <c r="V64" s="663" t="s">
        <v>117</v>
      </c>
      <c r="W64" s="663"/>
      <c r="X64" s="664">
        <f>+G65</f>
        <v>4123852</v>
      </c>
      <c r="Y64" s="664"/>
      <c r="Z64" s="664"/>
      <c r="AA64" s="664"/>
      <c r="AB64" s="664"/>
      <c r="AC64" s="664"/>
      <c r="AD64" s="9"/>
    </row>
    <row r="65" spans="1:30" ht="12.75" customHeight="1" x14ac:dyDescent="0.25">
      <c r="B65" s="167" t="s">
        <v>117</v>
      </c>
      <c r="C65" s="62"/>
      <c r="D65" s="62"/>
      <c r="E65" s="62"/>
      <c r="F65" s="62"/>
      <c r="G65" s="168">
        <f>+I59</f>
        <v>4123852</v>
      </c>
      <c r="H65" s="168"/>
      <c r="I65" s="168"/>
      <c r="J65" s="168"/>
      <c r="K65" s="168"/>
      <c r="L65" s="168"/>
      <c r="O65" s="1"/>
      <c r="V65" s="663" t="s">
        <v>118</v>
      </c>
      <c r="W65" s="663"/>
      <c r="X65" s="664">
        <f>+G66</f>
        <v>0</v>
      </c>
      <c r="Y65" s="664"/>
      <c r="Z65" s="664"/>
      <c r="AA65" s="664"/>
      <c r="AB65" s="664"/>
      <c r="AC65" s="664"/>
      <c r="AD65" s="20"/>
    </row>
    <row r="66" spans="1:30" ht="15" customHeight="1" x14ac:dyDescent="0.25">
      <c r="B66" s="167" t="s">
        <v>118</v>
      </c>
      <c r="C66" s="62"/>
      <c r="D66" s="62"/>
      <c r="E66" s="62"/>
      <c r="F66" s="62"/>
      <c r="G66" s="168">
        <v>0</v>
      </c>
      <c r="H66" s="168"/>
      <c r="I66" s="168"/>
      <c r="J66" s="168"/>
      <c r="K66" s="168"/>
      <c r="L66" s="168"/>
      <c r="M66" s="18"/>
      <c r="N66" s="3"/>
      <c r="O66" s="169"/>
      <c r="P66" s="169"/>
      <c r="Q66" s="169"/>
      <c r="V66" s="651" t="s">
        <v>119</v>
      </c>
      <c r="W66" s="651"/>
      <c r="X66" s="651"/>
      <c r="Y66" s="661">
        <f>+I67</f>
        <v>96774526</v>
      </c>
      <c r="Z66" s="661"/>
      <c r="AA66" s="246" t="s">
        <v>111</v>
      </c>
      <c r="AB66" s="163">
        <f>AB54</f>
        <v>0</v>
      </c>
      <c r="AC66" s="56">
        <f>ROUND(Y66*AB66,0)</f>
        <v>0</v>
      </c>
      <c r="AD66" s="9"/>
    </row>
    <row r="67" spans="1:30" ht="20.25" customHeight="1" x14ac:dyDescent="0.25">
      <c r="B67" s="13" t="s">
        <v>119</v>
      </c>
      <c r="C67" s="13"/>
      <c r="D67" s="13"/>
      <c r="E67" s="13"/>
      <c r="F67" s="13"/>
      <c r="H67" s="164" t="s">
        <v>25</v>
      </c>
      <c r="I67" s="129">
        <v>96774526</v>
      </c>
      <c r="J67" s="165" t="s">
        <v>111</v>
      </c>
      <c r="K67" s="166">
        <f>K54</f>
        <v>1.18E-4</v>
      </c>
      <c r="L67" s="50">
        <f>ROUND(I67*K67,0)</f>
        <v>11419</v>
      </c>
      <c r="O67" s="1"/>
      <c r="V67" s="651" t="s">
        <v>120</v>
      </c>
      <c r="W67" s="651"/>
      <c r="X67" s="651"/>
      <c r="Y67" s="651"/>
      <c r="Z67" s="651"/>
      <c r="AA67" s="651"/>
      <c r="AB67" s="651"/>
      <c r="AC67" s="651"/>
      <c r="AD67" s="9"/>
    </row>
    <row r="68" spans="1:30" ht="20.25" customHeight="1" x14ac:dyDescent="0.25">
      <c r="B68" s="13" t="s">
        <v>120</v>
      </c>
      <c r="C68" s="13"/>
      <c r="D68" s="13"/>
      <c r="E68" s="13"/>
      <c r="F68" s="13"/>
      <c r="H68" s="13"/>
      <c r="I68" s="13"/>
      <c r="J68" s="82"/>
      <c r="K68" s="13"/>
      <c r="L68" s="13"/>
      <c r="O68" s="1"/>
      <c r="V68" s="667" t="s">
        <v>121</v>
      </c>
      <c r="W68" s="667"/>
      <c r="X68" s="667"/>
      <c r="Y68" s="661">
        <f>+I69</f>
        <v>0</v>
      </c>
      <c r="Z68" s="661"/>
      <c r="AA68" s="246" t="s">
        <v>111</v>
      </c>
      <c r="AB68" s="163">
        <f>AB57</f>
        <v>0</v>
      </c>
      <c r="AC68" s="56">
        <f>ROUND(Y68*AB68,0)</f>
        <v>0</v>
      </c>
      <c r="AD68" s="9"/>
    </row>
    <row r="69" spans="1:30" ht="15" customHeight="1" x14ac:dyDescent="0.25">
      <c r="B69" s="170" t="s">
        <v>121</v>
      </c>
      <c r="C69" s="13"/>
      <c r="D69" s="13"/>
      <c r="E69" s="13"/>
      <c r="F69" s="13"/>
      <c r="H69" s="164" t="s">
        <v>23</v>
      </c>
      <c r="I69" s="129">
        <v>0</v>
      </c>
      <c r="J69" s="165" t="s">
        <v>111</v>
      </c>
      <c r="K69" s="166">
        <f>K57</f>
        <v>1.2899999999999999E-4</v>
      </c>
      <c r="L69" s="50">
        <f>ROUND(I69*K69,0)</f>
        <v>0</v>
      </c>
      <c r="O69" s="1"/>
      <c r="V69" s="651" t="s">
        <v>122</v>
      </c>
      <c r="W69" s="651"/>
      <c r="X69" s="651"/>
      <c r="Y69" s="668">
        <f>+I70</f>
        <v>-3460775</v>
      </c>
      <c r="Z69" s="668"/>
      <c r="AA69" s="246" t="s">
        <v>111</v>
      </c>
      <c r="AB69" s="163">
        <f>AB54</f>
        <v>0</v>
      </c>
      <c r="AC69" s="56">
        <f>ROUND(Y69*AB69,0)</f>
        <v>0</v>
      </c>
      <c r="AD69" s="9"/>
    </row>
    <row r="70" spans="1:30" ht="20.25" customHeight="1" x14ac:dyDescent="0.25">
      <c r="B70" s="13" t="s">
        <v>122</v>
      </c>
      <c r="C70" s="13"/>
      <c r="D70" s="13"/>
      <c r="E70" s="13"/>
      <c r="F70" s="13"/>
      <c r="H70" s="164" t="s">
        <v>22</v>
      </c>
      <c r="I70" s="129">
        <v>-3460775</v>
      </c>
      <c r="J70" s="165" t="s">
        <v>111</v>
      </c>
      <c r="K70" s="166">
        <f>K54</f>
        <v>1.18E-4</v>
      </c>
      <c r="L70" s="50">
        <f>ROUND(I70*K70,0)</f>
        <v>-408</v>
      </c>
      <c r="O70" s="1"/>
      <c r="V70" s="651" t="s">
        <v>123</v>
      </c>
      <c r="W70" s="651"/>
      <c r="X70" s="651"/>
      <c r="Y70" s="665">
        <f>+I71</f>
        <v>1874788</v>
      </c>
      <c r="Z70" s="665"/>
      <c r="AA70" s="246" t="s">
        <v>111</v>
      </c>
      <c r="AB70" s="163">
        <f>AB54</f>
        <v>0</v>
      </c>
      <c r="AC70" s="56">
        <f>ROUND(Y70*AB70,0)</f>
        <v>0</v>
      </c>
      <c r="AD70" s="9"/>
    </row>
    <row r="71" spans="1:30" ht="20.25" customHeight="1" x14ac:dyDescent="0.25">
      <c r="B71" s="13" t="s">
        <v>123</v>
      </c>
      <c r="C71" s="13"/>
      <c r="D71" s="13"/>
      <c r="E71" s="13"/>
      <c r="F71" s="13"/>
      <c r="H71" s="164" t="s">
        <v>22</v>
      </c>
      <c r="I71" s="129">
        <v>1874788</v>
      </c>
      <c r="J71" s="165" t="s">
        <v>111</v>
      </c>
      <c r="K71" s="166">
        <f>K54</f>
        <v>1.18E-4</v>
      </c>
      <c r="L71" s="50">
        <f>ROUND(I71*K71,0)</f>
        <v>221</v>
      </c>
      <c r="O71" s="1"/>
      <c r="V71" s="651" t="s">
        <v>124</v>
      </c>
      <c r="W71" s="651"/>
      <c r="X71" s="651"/>
      <c r="Y71" s="665">
        <f>+I72</f>
        <v>14223298</v>
      </c>
      <c r="Z71" s="665"/>
      <c r="AA71" s="246" t="s">
        <v>111</v>
      </c>
      <c r="AB71" s="163">
        <f>AB57</f>
        <v>0</v>
      </c>
      <c r="AC71" s="56">
        <f>ROUND(Y71*AB71,0)</f>
        <v>0</v>
      </c>
      <c r="AD71" s="9"/>
    </row>
    <row r="72" spans="1:30" ht="21" customHeight="1" x14ac:dyDescent="0.25">
      <c r="B72" s="13" t="s">
        <v>124</v>
      </c>
      <c r="C72" s="13"/>
      <c r="D72" s="13"/>
      <c r="E72" s="13"/>
      <c r="F72" s="13"/>
      <c r="H72" s="164" t="s">
        <v>23</v>
      </c>
      <c r="I72" s="171">
        <v>14223298</v>
      </c>
      <c r="J72" s="165" t="s">
        <v>111</v>
      </c>
      <c r="K72" s="166">
        <f>K57</f>
        <v>1.2899999999999999E-4</v>
      </c>
      <c r="L72" s="50">
        <f>ROUND(I72*K72,0)</f>
        <v>1835</v>
      </c>
      <c r="O72" s="1"/>
      <c r="V72" s="623" t="s">
        <v>125</v>
      </c>
      <c r="W72" s="623"/>
      <c r="X72" s="623"/>
      <c r="Y72" s="623"/>
      <c r="Z72" s="623"/>
      <c r="AA72" s="623"/>
      <c r="AB72" s="623"/>
      <c r="AC72" s="60"/>
      <c r="AD72" s="9"/>
    </row>
    <row r="73" spans="1:30" ht="17.25" customHeight="1" x14ac:dyDescent="0.25">
      <c r="B73" s="13" t="s">
        <v>125</v>
      </c>
      <c r="C73" s="13"/>
      <c r="D73" s="13"/>
      <c r="E73" s="13"/>
      <c r="F73" s="13"/>
      <c r="H73" s="13"/>
      <c r="I73" s="13"/>
      <c r="J73" s="82"/>
      <c r="K73" s="13"/>
      <c r="L73" s="59"/>
      <c r="O73" s="1"/>
      <c r="V73" s="651" t="s">
        <v>126</v>
      </c>
      <c r="W73" s="651"/>
      <c r="X73" s="651"/>
      <c r="Y73" s="651"/>
      <c r="Z73" s="651"/>
      <c r="AA73" s="651"/>
      <c r="AB73" s="651"/>
      <c r="AC73" s="651"/>
      <c r="AD73" s="9"/>
    </row>
    <row r="74" spans="1:30" ht="31.5" x14ac:dyDescent="0.25">
      <c r="B74" s="13" t="s">
        <v>126</v>
      </c>
      <c r="C74" s="13"/>
      <c r="D74" s="27" t="s">
        <v>13</v>
      </c>
      <c r="E74" s="27" t="s">
        <v>14</v>
      </c>
      <c r="F74" s="27"/>
      <c r="H74" s="164" t="s">
        <v>26</v>
      </c>
      <c r="I74" s="172"/>
      <c r="J74" s="164"/>
      <c r="K74" s="172"/>
      <c r="L74" s="112"/>
      <c r="O74" s="1"/>
      <c r="V74" s="666" t="s">
        <v>127</v>
      </c>
      <c r="W74" s="666"/>
      <c r="X74" s="173" t="s">
        <v>128</v>
      </c>
      <c r="Y74" s="174"/>
      <c r="Z74" s="175">
        <f>+I75</f>
        <v>0</v>
      </c>
      <c r="AA74" s="245" t="s">
        <v>129</v>
      </c>
      <c r="AB74" s="177">
        <f>+K75</f>
        <v>361</v>
      </c>
      <c r="AC74" s="56">
        <f>ROUND(AB74*Z74,0)</f>
        <v>0</v>
      </c>
      <c r="AD74" s="9"/>
    </row>
    <row r="75" spans="1:30" ht="19.5" customHeight="1" x14ac:dyDescent="0.25">
      <c r="A75" s="1" t="s">
        <v>130</v>
      </c>
      <c r="B75" s="178" t="s">
        <v>127</v>
      </c>
      <c r="C75" s="179" t="s">
        <v>128</v>
      </c>
      <c r="D75" s="178">
        <v>0</v>
      </c>
      <c r="E75" s="178">
        <v>0</v>
      </c>
      <c r="F75" s="178">
        <v>0</v>
      </c>
      <c r="G75" s="180">
        <f>IF(E75=0,D75,E75)</f>
        <v>0</v>
      </c>
      <c r="H75" s="181"/>
      <c r="I75" s="182">
        <f>AVERAGE(G75,D75)</f>
        <v>0</v>
      </c>
      <c r="J75" s="183" t="s">
        <v>129</v>
      </c>
      <c r="K75" s="184">
        <v>361</v>
      </c>
      <c r="L75" s="50">
        <f>ROUND(K75*I75,0)</f>
        <v>0</v>
      </c>
      <c r="N75" s="1">
        <v>7802</v>
      </c>
      <c r="O75" s="1">
        <v>0</v>
      </c>
      <c r="V75" s="666" t="s">
        <v>127</v>
      </c>
      <c r="W75" s="666"/>
      <c r="X75" s="173" t="s">
        <v>131</v>
      </c>
      <c r="Y75" s="185"/>
      <c r="Z75" s="186">
        <f>+I76</f>
        <v>0</v>
      </c>
      <c r="AA75" s="245" t="s">
        <v>129</v>
      </c>
      <c r="AB75" s="187">
        <f>+K76</f>
        <v>1358</v>
      </c>
      <c r="AC75" s="56">
        <f>ROUND(AB75*Z75,0)</f>
        <v>0</v>
      </c>
      <c r="AD75" s="9"/>
    </row>
    <row r="76" spans="1:30" ht="19.5" customHeight="1" x14ac:dyDescent="0.25">
      <c r="A76" s="1" t="s">
        <v>132</v>
      </c>
      <c r="B76" s="178" t="s">
        <v>127</v>
      </c>
      <c r="C76" s="179" t="s">
        <v>131</v>
      </c>
      <c r="D76" s="178">
        <v>0</v>
      </c>
      <c r="E76" s="178">
        <v>0</v>
      </c>
      <c r="F76" s="178">
        <v>0</v>
      </c>
      <c r="G76" s="180">
        <f>IF(E76=0,D76,E76)</f>
        <v>0</v>
      </c>
      <c r="H76" s="181"/>
      <c r="I76" s="182">
        <f>AVERAGE(G76,D76)</f>
        <v>0</v>
      </c>
      <c r="J76" s="183" t="s">
        <v>129</v>
      </c>
      <c r="K76" s="188">
        <v>1358</v>
      </c>
      <c r="L76" s="50">
        <f>ROUND(K76*I76,0)</f>
        <v>0</v>
      </c>
      <c r="N76" s="1">
        <v>7802</v>
      </c>
      <c r="O76" s="1">
        <v>110</v>
      </c>
      <c r="V76" s="651" t="s">
        <v>133</v>
      </c>
      <c r="W76" s="651"/>
      <c r="X76" s="651"/>
      <c r="Y76" s="661">
        <f>+I77</f>
        <v>33305823</v>
      </c>
      <c r="Z76" s="661"/>
      <c r="AA76" s="245" t="s">
        <v>129</v>
      </c>
      <c r="AB76" s="163">
        <f>AB54</f>
        <v>0</v>
      </c>
      <c r="AC76" s="56">
        <f>ROUND(Y76*AB76,0)</f>
        <v>0</v>
      </c>
      <c r="AD76" s="9"/>
    </row>
    <row r="77" spans="1:30" ht="26.25" customHeight="1" x14ac:dyDescent="0.25">
      <c r="B77" s="13" t="s">
        <v>133</v>
      </c>
      <c r="C77" s="13"/>
      <c r="D77" s="13"/>
      <c r="E77" s="13"/>
      <c r="F77" s="13"/>
      <c r="H77" s="164" t="s">
        <v>134</v>
      </c>
      <c r="I77" s="189">
        <v>33305823</v>
      </c>
      <c r="J77" s="165" t="s">
        <v>111</v>
      </c>
      <c r="K77" s="166">
        <f>K54</f>
        <v>1.18E-4</v>
      </c>
      <c r="L77" s="50">
        <f>ROUND(I77*K77,0)</f>
        <v>3930</v>
      </c>
      <c r="O77" s="1"/>
      <c r="V77" s="651" t="str">
        <f>+B78</f>
        <v>15.  Additional Allocation (WFTE share)</v>
      </c>
      <c r="W77" s="651"/>
      <c r="X77" s="651"/>
      <c r="Y77" s="661">
        <f>+I78</f>
        <v>680688</v>
      </c>
      <c r="Z77" s="661"/>
      <c r="AA77" s="245" t="s">
        <v>129</v>
      </c>
      <c r="AB77" s="163">
        <f>AB54</f>
        <v>0</v>
      </c>
      <c r="AC77" s="56">
        <f>ROUND(Y77*AB77,0)</f>
        <v>0</v>
      </c>
      <c r="AD77" s="9"/>
    </row>
    <row r="78" spans="1:30" ht="26.25" customHeight="1" x14ac:dyDescent="0.25">
      <c r="B78" s="669" t="s">
        <v>135</v>
      </c>
      <c r="C78" s="669"/>
      <c r="D78" s="669"/>
      <c r="E78" s="13"/>
      <c r="F78" s="13"/>
      <c r="H78" s="164" t="s">
        <v>136</v>
      </c>
      <c r="I78" s="190">
        <v>680688</v>
      </c>
      <c r="J78" s="165" t="s">
        <v>111</v>
      </c>
      <c r="K78" s="166">
        <f>K54</f>
        <v>1.18E-4</v>
      </c>
      <c r="L78" s="50">
        <f>ROUND(I78*K78,0)</f>
        <v>80</v>
      </c>
      <c r="O78" s="1"/>
      <c r="V78" s="651" t="str">
        <f t="shared" ref="V78:V79" si="11">+B79</f>
        <v>16.  Florida Teachers Lead Program Stipend</v>
      </c>
      <c r="W78" s="651"/>
      <c r="X78" s="651"/>
      <c r="Y78" s="191"/>
      <c r="Z78" s="191"/>
      <c r="AA78" s="191"/>
      <c r="AB78" s="191"/>
      <c r="AC78" s="134"/>
      <c r="AD78" s="9"/>
    </row>
    <row r="79" spans="1:30" ht="21" customHeight="1" x14ac:dyDescent="0.25">
      <c r="B79" s="669" t="s">
        <v>137</v>
      </c>
      <c r="C79" s="669"/>
      <c r="D79" s="669"/>
      <c r="E79" s="13"/>
      <c r="F79" s="13"/>
      <c r="H79" s="164"/>
      <c r="I79" s="172"/>
      <c r="J79" s="172"/>
      <c r="K79" s="172"/>
      <c r="L79" s="129"/>
      <c r="N79" s="192"/>
      <c r="O79" s="1"/>
      <c r="Q79" s="164"/>
      <c r="V79" s="651" t="str">
        <f t="shared" si="11"/>
        <v>17.  Food Service Allocation</v>
      </c>
      <c r="W79" s="651"/>
      <c r="X79" s="651"/>
      <c r="Y79" s="191"/>
      <c r="Z79" s="191"/>
      <c r="AA79" s="191"/>
      <c r="AB79" s="191"/>
      <c r="AC79" s="193"/>
      <c r="AD79" s="9"/>
    </row>
    <row r="80" spans="1:30" ht="21" customHeight="1" x14ac:dyDescent="0.25">
      <c r="B80" s="669" t="s">
        <v>138</v>
      </c>
      <c r="C80" s="669"/>
      <c r="D80" s="669"/>
      <c r="E80" s="13"/>
      <c r="F80" s="13"/>
      <c r="H80" s="194" t="s">
        <v>139</v>
      </c>
      <c r="I80" s="195"/>
      <c r="J80" s="195"/>
      <c r="K80" s="195"/>
      <c r="L80" s="196"/>
      <c r="N80" s="197"/>
      <c r="O80" s="1"/>
      <c r="Q80" s="164"/>
      <c r="V80" s="191"/>
      <c r="W80" s="191"/>
      <c r="X80" s="191"/>
      <c r="Y80" s="191"/>
      <c r="Z80" s="191"/>
      <c r="AA80" s="191"/>
      <c r="AB80" s="191"/>
      <c r="AC80" s="193"/>
      <c r="AD80" s="9"/>
    </row>
    <row r="81" spans="1:30" ht="21" customHeight="1" thickBot="1" x14ac:dyDescent="0.3">
      <c r="B81" s="13"/>
      <c r="C81" s="13"/>
      <c r="D81" s="13"/>
      <c r="E81" s="13"/>
      <c r="F81" s="13"/>
      <c r="G81" s="13"/>
      <c r="H81" s="13"/>
      <c r="I81" s="13"/>
      <c r="J81" s="13"/>
      <c r="K81" s="13"/>
      <c r="L81" s="196"/>
      <c r="M81" s="198"/>
      <c r="N81" s="197"/>
      <c r="O81" s="1"/>
      <c r="Q81" s="164"/>
      <c r="V81" s="191" t="s">
        <v>140</v>
      </c>
      <c r="W81" s="191"/>
      <c r="X81" s="191"/>
      <c r="Y81" s="191"/>
      <c r="Z81" s="191"/>
      <c r="AA81" s="191"/>
      <c r="AB81" s="191"/>
      <c r="AC81" s="199">
        <f>SUM(AC44:AC80)</f>
        <v>0</v>
      </c>
      <c r="AD81" s="200"/>
    </row>
    <row r="82" spans="1:30" ht="22.5" customHeight="1" thickTop="1" thickBot="1" x14ac:dyDescent="0.3">
      <c r="B82" s="13" t="s">
        <v>141</v>
      </c>
      <c r="C82" s="13"/>
      <c r="D82" s="13"/>
      <c r="E82" s="13"/>
      <c r="F82" s="13"/>
      <c r="G82" s="13"/>
      <c r="H82" s="13"/>
      <c r="I82" s="13"/>
      <c r="J82" s="13"/>
      <c r="K82" s="13"/>
      <c r="L82" s="201">
        <f>SUM(L44:L81)</f>
        <v>140892</v>
      </c>
      <c r="M82" s="202"/>
      <c r="N82" s="203"/>
      <c r="O82" s="1"/>
      <c r="Q82" s="164"/>
      <c r="V82" s="191"/>
      <c r="W82" s="191"/>
      <c r="X82" s="191"/>
      <c r="Y82" s="191"/>
      <c r="Z82" s="191"/>
      <c r="AA82" s="191"/>
      <c r="AB82" s="191"/>
      <c r="AC82" s="204"/>
      <c r="AD82" s="200"/>
    </row>
    <row r="83" spans="1:30" ht="27.75" customHeight="1" thickTop="1" x14ac:dyDescent="0.25">
      <c r="B83" s="13" t="s">
        <v>142</v>
      </c>
      <c r="C83" s="13"/>
      <c r="D83" s="13"/>
      <c r="E83" s="13"/>
      <c r="F83" s="13"/>
      <c r="G83" s="13"/>
      <c r="H83" s="13"/>
      <c r="I83" s="13"/>
      <c r="J83" s="13"/>
      <c r="K83" s="82" t="s">
        <v>143</v>
      </c>
      <c r="L83" s="205" t="s">
        <v>144</v>
      </c>
      <c r="M83" s="202"/>
      <c r="N83" s="203"/>
      <c r="O83" s="1"/>
      <c r="Q83" s="164"/>
      <c r="V83" s="9" t="s">
        <v>145</v>
      </c>
      <c r="W83" s="9"/>
      <c r="X83" s="9"/>
      <c r="Y83" s="9"/>
      <c r="Z83" s="9"/>
      <c r="AA83" s="9"/>
      <c r="AB83" s="9"/>
      <c r="AC83" s="9"/>
      <c r="AD83" s="206"/>
    </row>
    <row r="84" spans="1:30" ht="18.75" customHeight="1" thickBot="1" x14ac:dyDescent="0.3">
      <c r="B84" s="13" t="s">
        <v>146</v>
      </c>
      <c r="C84" s="13"/>
      <c r="D84" s="13"/>
      <c r="E84" s="13"/>
      <c r="F84" s="13"/>
      <c r="G84" s="13"/>
      <c r="H84" s="13"/>
      <c r="I84" s="13"/>
      <c r="J84" s="13"/>
      <c r="K84" s="207" t="str">
        <f>IF(G26=0,"",IF((G11+G13+SUM(G15:G21))/G26&gt;0.75,1,""))</f>
        <v/>
      </c>
      <c r="L84" s="201">
        <f>'4041'!AC81</f>
        <v>0</v>
      </c>
      <c r="M84" s="202"/>
      <c r="N84" s="203"/>
      <c r="O84" s="1"/>
      <c r="Q84" s="164"/>
      <c r="V84" s="208" t="s">
        <v>147</v>
      </c>
      <c r="W84" s="208"/>
      <c r="X84" s="208"/>
      <c r="Y84" s="208"/>
      <c r="Z84" s="208"/>
      <c r="AA84" s="208"/>
      <c r="AB84" s="208"/>
      <c r="AC84" s="208"/>
      <c r="AD84" s="9"/>
    </row>
    <row r="85" spans="1:30" ht="18.75" customHeight="1" thickTop="1" x14ac:dyDescent="0.25">
      <c r="B85" s="13"/>
      <c r="C85" s="13"/>
      <c r="D85" s="13"/>
      <c r="E85" s="13"/>
      <c r="F85" s="13"/>
      <c r="G85" s="13"/>
      <c r="H85" s="13"/>
      <c r="I85" s="13"/>
      <c r="J85" s="13"/>
      <c r="M85" s="202"/>
      <c r="N85" s="203"/>
      <c r="O85" s="1"/>
      <c r="Q85" s="164"/>
      <c r="V85" s="208" t="s">
        <v>148</v>
      </c>
      <c r="W85" s="208"/>
      <c r="X85" s="208"/>
      <c r="Y85" s="208"/>
      <c r="Z85" s="208"/>
      <c r="AA85" s="208"/>
      <c r="AB85" s="208"/>
      <c r="AC85" s="208"/>
      <c r="AD85" s="206"/>
    </row>
    <row r="86" spans="1:30" ht="18.75" customHeight="1" x14ac:dyDescent="0.25">
      <c r="B86" s="2" t="s">
        <v>149</v>
      </c>
      <c r="C86" s="13"/>
      <c r="D86" s="13"/>
      <c r="E86" s="13"/>
      <c r="F86" s="13"/>
      <c r="G86" s="13"/>
      <c r="H86" s="13"/>
      <c r="I86" s="13"/>
      <c r="J86" s="209" t="s">
        <v>150</v>
      </c>
      <c r="K86" s="210">
        <f>IF(K84=1,L84,L82)</f>
        <v>140892</v>
      </c>
      <c r="L86" s="211">
        <f>IF(G26=0,0,IF(G26&gt;250,-(((250/G26)*K86)*IF(M86="H",0.02,0.05)),IF(M86="H",-0.02*K86,-0.05*K86)))</f>
        <v>-7044.6</v>
      </c>
      <c r="M86" s="212" t="str">
        <f>IF(B123="2801","H",IF(B123="2911","H",IF(B123="3382","H"," ")))</f>
        <v xml:space="preserve"> </v>
      </c>
      <c r="N86" s="203"/>
      <c r="O86" s="1"/>
      <c r="Q86" s="164"/>
      <c r="V86" s="208" t="s">
        <v>151</v>
      </c>
      <c r="W86" s="208"/>
      <c r="X86" s="208"/>
      <c r="Y86" s="208"/>
      <c r="Z86" s="208"/>
      <c r="AA86" s="208"/>
      <c r="AB86" s="208"/>
      <c r="AC86" s="208"/>
      <c r="AD86" s="206"/>
    </row>
    <row r="87" spans="1:30" ht="18.75" customHeight="1" x14ac:dyDescent="0.25">
      <c r="B87" s="2" t="s">
        <v>152</v>
      </c>
      <c r="C87" s="13"/>
      <c r="D87" s="13"/>
      <c r="E87" s="13"/>
      <c r="F87" s="13"/>
      <c r="G87" s="13"/>
      <c r="H87" s="13"/>
      <c r="I87" s="13"/>
      <c r="J87" s="13"/>
      <c r="K87" s="213"/>
      <c r="L87" s="205">
        <f>L82+L86</f>
        <v>133847.4</v>
      </c>
      <c r="M87" s="202"/>
      <c r="N87" s="203"/>
      <c r="O87" s="1"/>
      <c r="Q87" s="164"/>
      <c r="V87" s="198"/>
      <c r="W87" s="198"/>
      <c r="X87" s="198"/>
      <c r="Y87" s="198"/>
      <c r="Z87" s="198"/>
      <c r="AA87" s="198"/>
      <c r="AB87" s="198"/>
      <c r="AC87" s="198"/>
      <c r="AD87" s="214"/>
    </row>
    <row r="88" spans="1:30" x14ac:dyDescent="0.25">
      <c r="V88" s="198"/>
      <c r="W88" s="198"/>
      <c r="X88" s="198"/>
      <c r="Y88" s="198"/>
      <c r="Z88" s="198"/>
      <c r="AA88" s="198"/>
      <c r="AB88" s="198"/>
      <c r="AC88" s="198"/>
      <c r="AD88" s="215"/>
    </row>
    <row r="89" spans="1:30" ht="18.75" customHeight="1" x14ac:dyDescent="0.25">
      <c r="A89" s="1" t="s">
        <v>153</v>
      </c>
      <c r="B89" s="13" t="s">
        <v>154</v>
      </c>
      <c r="C89" s="13"/>
      <c r="D89" s="13">
        <v>0</v>
      </c>
      <c r="E89" s="13">
        <v>0</v>
      </c>
      <c r="F89" s="13">
        <v>837262</v>
      </c>
      <c r="G89" s="13"/>
      <c r="H89" s="13"/>
      <c r="I89" s="13"/>
      <c r="J89" s="13"/>
      <c r="K89" s="213"/>
      <c r="L89" s="84">
        <f>-109164-12342</f>
        <v>-121506</v>
      </c>
      <c r="M89" s="202"/>
      <c r="N89" s="203"/>
      <c r="O89" s="1"/>
      <c r="Q89" s="164"/>
      <c r="V89" s="198">
        <v>2801</v>
      </c>
      <c r="W89" s="198"/>
      <c r="X89" s="198"/>
      <c r="Y89" s="198"/>
      <c r="Z89" s="198"/>
      <c r="AA89" s="198"/>
      <c r="AB89" s="198"/>
      <c r="AC89" s="198"/>
      <c r="AD89" s="214"/>
    </row>
    <row r="90" spans="1:30" ht="18.75" customHeight="1" x14ac:dyDescent="0.25">
      <c r="B90" s="13" t="s">
        <v>155</v>
      </c>
      <c r="C90" s="13"/>
      <c r="D90" s="13"/>
      <c r="E90" s="13"/>
      <c r="F90" s="13"/>
      <c r="G90" s="13"/>
      <c r="H90" s="13"/>
      <c r="I90" s="13"/>
      <c r="J90" s="13"/>
      <c r="K90" s="213"/>
      <c r="L90" s="205">
        <f>L87+L89</f>
        <v>12341.399999999994</v>
      </c>
      <c r="M90" s="202"/>
      <c r="N90" s="203"/>
      <c r="O90" s="1"/>
      <c r="Q90" s="164"/>
      <c r="V90" s="198">
        <v>2911</v>
      </c>
      <c r="W90" s="216"/>
      <c r="X90" s="216"/>
      <c r="Y90" s="216"/>
      <c r="Z90" s="216"/>
      <c r="AA90" s="216"/>
      <c r="AB90" s="216"/>
      <c r="AC90" s="216"/>
      <c r="AD90" s="214"/>
    </row>
    <row r="91" spans="1:30" ht="18.75" customHeight="1" x14ac:dyDescent="0.25">
      <c r="B91" s="13" t="s">
        <v>156</v>
      </c>
      <c r="C91" s="13"/>
      <c r="D91" s="13"/>
      <c r="E91" s="13"/>
      <c r="F91" s="13"/>
      <c r="G91" s="13"/>
      <c r="H91" s="13"/>
      <c r="I91" s="13"/>
      <c r="J91" s="13"/>
      <c r="K91" s="213"/>
      <c r="L91" s="205">
        <v>1</v>
      </c>
      <c r="M91" s="202"/>
      <c r="N91" s="203"/>
      <c r="O91" s="1"/>
      <c r="Q91" s="164"/>
      <c r="V91" s="198">
        <v>3382</v>
      </c>
      <c r="W91" s="216"/>
      <c r="X91" s="216"/>
      <c r="Y91" s="216"/>
      <c r="Z91" s="216"/>
      <c r="AA91" s="216"/>
      <c r="AB91" s="216"/>
      <c r="AC91" s="216"/>
      <c r="AD91" s="214"/>
    </row>
    <row r="92" spans="1:30" ht="18.75" customHeight="1" thickBot="1" x14ac:dyDescent="0.3">
      <c r="B92" s="13" t="s">
        <v>157</v>
      </c>
      <c r="C92" s="13"/>
      <c r="D92" s="13"/>
      <c r="E92" s="13"/>
      <c r="F92" s="13"/>
      <c r="G92" s="13"/>
      <c r="H92" s="13"/>
      <c r="I92" s="13"/>
      <c r="J92" s="13"/>
      <c r="K92" s="213"/>
      <c r="L92" s="217">
        <f>L90/L91</f>
        <v>12341.399999999994</v>
      </c>
      <c r="M92" s="202"/>
      <c r="N92" s="203"/>
      <c r="O92" s="1"/>
      <c r="Q92" s="164"/>
      <c r="V92" s="218"/>
      <c r="W92" s="218"/>
      <c r="X92" s="218"/>
      <c r="Y92" s="218"/>
      <c r="Z92" s="218"/>
      <c r="AA92" s="218"/>
      <c r="AB92" s="218"/>
      <c r="AC92" s="218"/>
      <c r="AD92" s="219"/>
    </row>
    <row r="93" spans="1:30" ht="18.75" customHeight="1" thickTop="1" x14ac:dyDescent="0.25">
      <c r="N93" s="219"/>
      <c r="O93" s="220"/>
      <c r="P93" s="219"/>
      <c r="Q93" s="219"/>
      <c r="V93" s="218"/>
      <c r="W93" s="218"/>
      <c r="X93" s="218"/>
      <c r="Y93" s="218"/>
      <c r="Z93" s="218"/>
      <c r="AA93" s="218"/>
      <c r="AB93" s="218"/>
      <c r="AC93" s="218"/>
      <c r="AD93" s="214"/>
    </row>
    <row r="94" spans="1:30" ht="18.75" customHeight="1" thickBot="1" x14ac:dyDescent="0.3">
      <c r="B94" s="221" t="s">
        <v>158</v>
      </c>
      <c r="C94" s="13"/>
      <c r="D94" s="13"/>
      <c r="E94" s="13"/>
      <c r="G94" s="13"/>
      <c r="H94" s="13"/>
      <c r="I94" s="13"/>
      <c r="J94" s="13"/>
      <c r="L94" s="222">
        <f>IF(M86="H",(K86*0.02)+L86,(K86*0.05)+L86)</f>
        <v>0</v>
      </c>
      <c r="M94" s="202"/>
      <c r="V94" s="223"/>
      <c r="W94" s="223"/>
      <c r="X94" s="223"/>
      <c r="Y94" s="223"/>
      <c r="Z94" s="223"/>
      <c r="AA94" s="223"/>
      <c r="AB94" s="223"/>
      <c r="AC94" s="223"/>
      <c r="AD94" s="214"/>
    </row>
    <row r="95" spans="1:30" ht="21.75" customHeight="1" thickTop="1" x14ac:dyDescent="0.25">
      <c r="B95" s="224" t="s">
        <v>159</v>
      </c>
      <c r="C95" s="224"/>
      <c r="D95" s="224"/>
      <c r="E95" s="224"/>
      <c r="F95" s="224"/>
      <c r="G95" s="224"/>
      <c r="H95" s="224"/>
      <c r="I95" s="224"/>
      <c r="J95" s="224"/>
      <c r="K95" s="224"/>
      <c r="L95" s="224"/>
      <c r="M95" s="219"/>
      <c r="V95" s="223"/>
      <c r="W95" s="223"/>
      <c r="X95" s="223"/>
      <c r="Y95" s="223"/>
      <c r="Z95" s="223"/>
      <c r="AA95" s="223"/>
      <c r="AB95" s="223"/>
      <c r="AC95" s="223"/>
      <c r="AD95" s="214"/>
    </row>
    <row r="96" spans="1:30" x14ac:dyDescent="0.25">
      <c r="B96" s="225"/>
      <c r="V96" s="223"/>
      <c r="W96" s="223"/>
      <c r="X96" s="223"/>
      <c r="Y96" s="223"/>
      <c r="Z96" s="223"/>
      <c r="AA96" s="223"/>
      <c r="AB96" s="223"/>
      <c r="AC96" s="223"/>
      <c r="AD96" s="219"/>
    </row>
    <row r="97" spans="2:30" x14ac:dyDescent="0.25">
      <c r="B97" s="225"/>
      <c r="V97" s="223"/>
      <c r="W97" s="223"/>
      <c r="X97" s="223"/>
      <c r="Y97" s="223"/>
      <c r="Z97" s="223"/>
      <c r="AA97" s="223"/>
      <c r="AB97" s="223"/>
      <c r="AC97" s="223"/>
      <c r="AD97" s="219"/>
    </row>
    <row r="98" spans="2:30" hidden="1" x14ac:dyDescent="0.25">
      <c r="B98" s="226" t="s">
        <v>160</v>
      </c>
      <c r="C98" s="227"/>
      <c r="V98" s="228"/>
      <c r="W98" s="228"/>
      <c r="X98" s="228"/>
      <c r="Y98" s="228"/>
      <c r="Z98" s="228"/>
      <c r="AA98" s="228"/>
      <c r="AB98" s="228"/>
      <c r="AC98" s="228"/>
    </row>
    <row r="99" spans="2:30" hidden="1" x14ac:dyDescent="0.25">
      <c r="B99" s="229"/>
      <c r="C99" s="227"/>
      <c r="V99" s="225"/>
      <c r="W99" s="13"/>
      <c r="X99" s="13"/>
      <c r="Y99" s="13"/>
      <c r="Z99" s="13"/>
      <c r="AA99" s="13"/>
      <c r="AB99" s="13"/>
      <c r="AC99" s="13"/>
    </row>
    <row r="100" spans="2:30" hidden="1" x14ac:dyDescent="0.25">
      <c r="B100" s="230" t="s">
        <v>161</v>
      </c>
      <c r="C100" s="226" t="s">
        <v>162</v>
      </c>
      <c r="V100" s="225"/>
    </row>
    <row r="101" spans="2:30" hidden="1" x14ac:dyDescent="0.25">
      <c r="B101" s="230" t="s">
        <v>163</v>
      </c>
      <c r="C101" s="226" t="s">
        <v>164</v>
      </c>
      <c r="V101" s="225"/>
    </row>
    <row r="102" spans="2:30" hidden="1" x14ac:dyDescent="0.25">
      <c r="B102" s="230" t="s">
        <v>165</v>
      </c>
      <c r="C102" s="226" t="s">
        <v>166</v>
      </c>
      <c r="V102" s="225"/>
      <c r="W102" s="231"/>
      <c r="X102" s="231"/>
      <c r="Y102" s="231"/>
      <c r="Z102" s="231"/>
      <c r="AA102" s="231"/>
      <c r="AB102" s="231"/>
      <c r="AC102" s="231"/>
      <c r="AD102" s="231"/>
    </row>
    <row r="103" spans="2:30" hidden="1" x14ac:dyDescent="0.25">
      <c r="B103" s="230" t="s">
        <v>167</v>
      </c>
      <c r="C103" s="226" t="s">
        <v>168</v>
      </c>
      <c r="V103" s="225"/>
    </row>
    <row r="104" spans="2:30" hidden="1" x14ac:dyDescent="0.25">
      <c r="B104" s="232"/>
      <c r="C104" s="226" t="s">
        <v>169</v>
      </c>
      <c r="V104" s="225"/>
    </row>
    <row r="105" spans="2:30" hidden="1" x14ac:dyDescent="0.25">
      <c r="B105" s="230" t="s">
        <v>170</v>
      </c>
      <c r="C105" s="226" t="s">
        <v>171</v>
      </c>
      <c r="V105" s="225"/>
    </row>
    <row r="106" spans="2:30" hidden="1" x14ac:dyDescent="0.25">
      <c r="B106" s="230" t="s">
        <v>172</v>
      </c>
      <c r="C106" s="226" t="s">
        <v>173</v>
      </c>
      <c r="V106" s="225"/>
    </row>
    <row r="107" spans="2:30" hidden="1" x14ac:dyDescent="0.25">
      <c r="B107" s="230" t="s">
        <v>339</v>
      </c>
      <c r="C107" s="226" t="s">
        <v>175</v>
      </c>
      <c r="V107" s="225"/>
    </row>
    <row r="108" spans="2:30" hidden="1" x14ac:dyDescent="0.25">
      <c r="B108" s="230" t="s">
        <v>176</v>
      </c>
      <c r="C108" s="226" t="s">
        <v>177</v>
      </c>
      <c r="V108" s="225"/>
    </row>
    <row r="109" spans="2:30" hidden="1" x14ac:dyDescent="0.25">
      <c r="B109" s="230" t="s">
        <v>178</v>
      </c>
      <c r="C109" s="226" t="s">
        <v>179</v>
      </c>
      <c r="V109" s="225"/>
    </row>
    <row r="110" spans="2:30" hidden="1" x14ac:dyDescent="0.25">
      <c r="B110" s="232"/>
      <c r="C110" s="226"/>
      <c r="V110" s="225"/>
    </row>
    <row r="111" spans="2:30" hidden="1" x14ac:dyDescent="0.25">
      <c r="B111" s="230" t="s">
        <v>180</v>
      </c>
      <c r="C111" s="226" t="s">
        <v>181</v>
      </c>
      <c r="V111" s="225"/>
    </row>
    <row r="112" spans="2:30" hidden="1" x14ac:dyDescent="0.25">
      <c r="B112" s="230" t="s">
        <v>180</v>
      </c>
      <c r="C112" s="226" t="s">
        <v>182</v>
      </c>
    </row>
    <row r="113" spans="2:3" hidden="1" x14ac:dyDescent="0.25">
      <c r="B113" s="230" t="s">
        <v>183</v>
      </c>
      <c r="C113" s="226" t="s">
        <v>184</v>
      </c>
    </row>
    <row r="114" spans="2:3" hidden="1" x14ac:dyDescent="0.25">
      <c r="B114" s="230" t="s">
        <v>185</v>
      </c>
      <c r="C114" s="226" t="s">
        <v>186</v>
      </c>
    </row>
    <row r="115" spans="2:3" hidden="1" x14ac:dyDescent="0.25">
      <c r="B115" s="230" t="s">
        <v>183</v>
      </c>
      <c r="C115" s="226" t="s">
        <v>187</v>
      </c>
    </row>
    <row r="116" spans="2:3" hidden="1" x14ac:dyDescent="0.25">
      <c r="B116" s="230" t="s">
        <v>188</v>
      </c>
      <c r="C116" s="226" t="s">
        <v>189</v>
      </c>
    </row>
    <row r="117" spans="2:3" hidden="1" x14ac:dyDescent="0.25">
      <c r="B117" s="230" t="s">
        <v>190</v>
      </c>
      <c r="C117" s="226" t="s">
        <v>191</v>
      </c>
    </row>
    <row r="118" spans="2:3" hidden="1" x14ac:dyDescent="0.25">
      <c r="B118" s="232" t="s">
        <v>192</v>
      </c>
      <c r="C118" s="226" t="s">
        <v>193</v>
      </c>
    </row>
    <row r="119" spans="2:3" hidden="1" x14ac:dyDescent="0.25">
      <c r="B119" s="232"/>
      <c r="C119" s="226"/>
    </row>
    <row r="120" spans="2:3" hidden="1" x14ac:dyDescent="0.25">
      <c r="B120" s="230" t="s">
        <v>161</v>
      </c>
      <c r="C120" s="226" t="s">
        <v>194</v>
      </c>
    </row>
    <row r="121" spans="2:3" hidden="1" x14ac:dyDescent="0.25">
      <c r="B121" s="230" t="s">
        <v>195</v>
      </c>
      <c r="C121" s="226" t="s">
        <v>196</v>
      </c>
    </row>
    <row r="122" spans="2:3" hidden="1" x14ac:dyDescent="0.25">
      <c r="B122" s="230" t="s">
        <v>197</v>
      </c>
      <c r="C122" s="226" t="s">
        <v>198</v>
      </c>
    </row>
    <row r="123" spans="2:3" hidden="1" x14ac:dyDescent="0.25">
      <c r="B123" s="230" t="s">
        <v>368</v>
      </c>
      <c r="C123" s="226" t="s">
        <v>200</v>
      </c>
    </row>
    <row r="124" spans="2:3" hidden="1" x14ac:dyDescent="0.25">
      <c r="B124" s="230" t="s">
        <v>369</v>
      </c>
      <c r="C124" s="226" t="s">
        <v>202</v>
      </c>
    </row>
    <row r="125" spans="2:3" hidden="1" x14ac:dyDescent="0.25">
      <c r="B125" s="230" t="s">
        <v>203</v>
      </c>
      <c r="C125" s="226" t="s">
        <v>204</v>
      </c>
    </row>
    <row r="126" spans="2:3" hidden="1" x14ac:dyDescent="0.25">
      <c r="B126" s="230" t="s">
        <v>203</v>
      </c>
      <c r="C126" s="226" t="s">
        <v>205</v>
      </c>
    </row>
    <row r="127" spans="2:3" hidden="1" x14ac:dyDescent="0.25">
      <c r="B127" s="230" t="s">
        <v>203</v>
      </c>
      <c r="C127" s="226" t="s">
        <v>206</v>
      </c>
    </row>
    <row r="128" spans="2:3" hidden="1" x14ac:dyDescent="0.25">
      <c r="B128" s="230" t="s">
        <v>203</v>
      </c>
      <c r="C128" s="226" t="s">
        <v>207</v>
      </c>
    </row>
    <row r="129" spans="2:3" hidden="1" x14ac:dyDescent="0.25">
      <c r="B129" s="230" t="s">
        <v>167</v>
      </c>
      <c r="C129" s="226" t="s">
        <v>208</v>
      </c>
    </row>
    <row r="130" spans="2:3" hidden="1" x14ac:dyDescent="0.25">
      <c r="B130" s="230" t="s">
        <v>209</v>
      </c>
      <c r="C130" s="226" t="s">
        <v>210</v>
      </c>
    </row>
    <row r="131" spans="2:3" hidden="1" x14ac:dyDescent="0.25">
      <c r="B131" s="230" t="s">
        <v>203</v>
      </c>
      <c r="C131" s="226" t="s">
        <v>211</v>
      </c>
    </row>
    <row r="132" spans="2:3" hidden="1" x14ac:dyDescent="0.25">
      <c r="B132" s="226"/>
      <c r="C132" s="226"/>
    </row>
    <row r="133" spans="2:3" hidden="1" x14ac:dyDescent="0.25">
      <c r="B133" s="226"/>
      <c r="C133" s="226"/>
    </row>
    <row r="134" spans="2:3" hidden="1" x14ac:dyDescent="0.25">
      <c r="B134" s="232"/>
      <c r="C134" s="232"/>
    </row>
    <row r="135" spans="2:3" hidden="1" x14ac:dyDescent="0.25">
      <c r="B135" s="232">
        <f>NvsElapsedTime</f>
        <v>1.15740767796524E-5</v>
      </c>
      <c r="C135" s="232"/>
    </row>
    <row r="136" spans="2:3" hidden="1" x14ac:dyDescent="0.25">
      <c r="B136" s="233">
        <f>NvsEndTime</f>
        <v>41754.488206018497</v>
      </c>
      <c r="C136" s="233" t="s">
        <v>212</v>
      </c>
    </row>
    <row r="137" spans="2:3" x14ac:dyDescent="0.25">
      <c r="B137" s="226"/>
      <c r="C137" s="234"/>
    </row>
    <row r="138" spans="2:3" x14ac:dyDescent="0.25">
      <c r="B138" s="226"/>
      <c r="C138" s="226"/>
    </row>
    <row r="139" spans="2:3" x14ac:dyDescent="0.25">
      <c r="B139" s="226"/>
      <c r="C139" s="226"/>
    </row>
    <row r="140" spans="2:3" x14ac:dyDescent="0.25">
      <c r="B140" s="226"/>
      <c r="C140" s="226"/>
    </row>
    <row r="141" spans="2:3" x14ac:dyDescent="0.25">
      <c r="B141" s="226"/>
      <c r="C141" s="226"/>
    </row>
    <row r="142" spans="2:3" x14ac:dyDescent="0.25">
      <c r="B142" s="226"/>
      <c r="C142" s="226"/>
    </row>
    <row r="143" spans="2:3" x14ac:dyDescent="0.25">
      <c r="B143" s="226"/>
      <c r="C143" s="226"/>
    </row>
    <row r="144" spans="2:3" x14ac:dyDescent="0.25">
      <c r="B144" s="226"/>
      <c r="C144" s="226"/>
    </row>
    <row r="145" spans="2:3" x14ac:dyDescent="0.25">
      <c r="B145" s="226"/>
      <c r="C145" s="226"/>
    </row>
    <row r="146" spans="2:3" x14ac:dyDescent="0.25">
      <c r="B146" s="226"/>
      <c r="C146" s="226"/>
    </row>
    <row r="147" spans="2:3" x14ac:dyDescent="0.25">
      <c r="B147" s="226"/>
      <c r="C147" s="226"/>
    </row>
    <row r="148" spans="2:3" x14ac:dyDescent="0.25">
      <c r="B148" s="226"/>
      <c r="C148" s="226"/>
    </row>
    <row r="149" spans="2:3" x14ac:dyDescent="0.25">
      <c r="B149" s="226"/>
      <c r="C149" s="226"/>
    </row>
    <row r="150" spans="2:3" x14ac:dyDescent="0.25">
      <c r="B150" s="226"/>
      <c r="C150" s="226"/>
    </row>
    <row r="151" spans="2:3" x14ac:dyDescent="0.25">
      <c r="B151" s="226"/>
      <c r="C151" s="226"/>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83" fitToWidth="2" fitToHeight="2" orientation="portrait" r:id="rId1"/>
  <headerFooter alignWithMargins="0">
    <oddHeader>&amp;L&amp;8&amp;F
&amp;D &amp;T</oddHeader>
    <oddFooter>&amp;C&amp;P</oddFooter>
  </headerFooter>
  <rowBreaks count="1" manualBreakCount="1">
    <brk id="51"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AD151"/>
  <sheetViews>
    <sheetView topLeftCell="B2" zoomScale="70" zoomScaleNormal="70" workbookViewId="0">
      <selection activeCell="G19" sqref="G19"/>
    </sheetView>
  </sheetViews>
  <sheetFormatPr defaultColWidth="8.85546875" defaultRowHeight="15.75" x14ac:dyDescent="0.25"/>
  <cols>
    <col min="1" max="1" width="11.28515625" style="1" hidden="1" customWidth="1"/>
    <col min="2" max="2" width="10.28515625" style="2" customWidth="1"/>
    <col min="3" max="3" width="29" style="1" customWidth="1"/>
    <col min="4" max="5" width="12.28515625" style="1" customWidth="1"/>
    <col min="6" max="6" width="12.28515625" style="1" hidden="1" customWidth="1"/>
    <col min="7" max="7" width="15.28515625" style="1" customWidth="1"/>
    <col min="8" max="8" width="6.7109375" style="1" customWidth="1"/>
    <col min="9" max="9" width="12.5703125" style="1" customWidth="1"/>
    <col min="10" max="10" width="12.85546875" style="1" customWidth="1"/>
    <col min="11" max="11" width="15.5703125" style="1" bestFit="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28515625" style="1" customWidth="1"/>
    <col min="18" max="18" width="8.85546875" style="1"/>
    <col min="19" max="21" width="0" style="1" hidden="1" customWidth="1"/>
    <col min="22" max="23" width="8.85546875" style="1"/>
    <col min="24" max="24" width="12.7109375" style="1" customWidth="1"/>
    <col min="25" max="27" width="8.85546875" style="1"/>
    <col min="28" max="28" width="13.140625" style="1" bestFit="1" customWidth="1"/>
    <col min="29" max="16384" width="8.85546875" style="1"/>
  </cols>
  <sheetData>
    <row r="1" spans="1:30" ht="15.6"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7"/>
      <c r="N2" s="3"/>
      <c r="O2" s="1"/>
      <c r="V2" s="8">
        <f>'0664'!B2</f>
        <v>50</v>
      </c>
      <c r="W2" s="606" t="s">
        <v>4</v>
      </c>
      <c r="X2" s="607"/>
      <c r="Y2" s="608"/>
      <c r="Z2" s="608"/>
      <c r="AA2" s="608"/>
      <c r="AB2" s="608"/>
      <c r="AC2" s="608"/>
      <c r="AD2" s="9"/>
    </row>
    <row r="3" spans="1:30" ht="20.25" x14ac:dyDescent="0.3">
      <c r="B3" s="10" t="str">
        <f>"Revenue Estimate Worksheet for "&amp;B124</f>
        <v>Revenue Estimate Worksheet for Academy for Positve Lrn</v>
      </c>
      <c r="C3" s="11"/>
      <c r="D3" s="11"/>
      <c r="E3" s="11"/>
      <c r="F3" s="11"/>
      <c r="G3" s="11"/>
      <c r="H3" s="11"/>
      <c r="I3" s="11"/>
      <c r="J3" s="11"/>
      <c r="K3" s="11"/>
      <c r="L3" s="11"/>
      <c r="M3" s="10"/>
      <c r="N3" s="10"/>
      <c r="O3" s="10"/>
      <c r="P3" s="10"/>
      <c r="Q3" s="10"/>
      <c r="V3" s="609" t="s">
        <v>5</v>
      </c>
      <c r="W3" s="609"/>
      <c r="X3" s="609"/>
      <c r="Y3" s="609"/>
      <c r="Z3" s="609"/>
      <c r="AA3" s="609"/>
      <c r="AB3" s="609"/>
      <c r="AC3" s="609"/>
      <c r="AD3" s="12"/>
    </row>
    <row r="4" spans="1:30" ht="18.75" x14ac:dyDescent="0.3">
      <c r="B4" s="2" t="s">
        <v>6</v>
      </c>
      <c r="C4" s="13"/>
      <c r="D4" s="13"/>
      <c r="E4" s="13"/>
      <c r="F4" s="13"/>
      <c r="G4" s="13"/>
      <c r="H4" s="13"/>
      <c r="I4" s="13"/>
      <c r="J4" s="13"/>
      <c r="K4" s="13"/>
      <c r="L4" s="13"/>
      <c r="M4" s="14"/>
      <c r="N4" s="14"/>
      <c r="O4" s="14"/>
      <c r="P4" s="14"/>
      <c r="Q4" s="14"/>
      <c r="V4" s="610" t="str">
        <f>+Based_on_the_Second_Calculation_of_the_FEFP_2010_11</f>
        <v>Based on the Fourth Calculation of the FEFP 2013-14</v>
      </c>
      <c r="W4" s="610"/>
      <c r="X4" s="610"/>
      <c r="Y4" s="610"/>
      <c r="Z4" s="610"/>
      <c r="AA4" s="610"/>
      <c r="AB4" s="610"/>
      <c r="AC4" s="610"/>
      <c r="AD4" s="15"/>
    </row>
    <row r="5" spans="1:30" ht="18.75" customHeight="1" x14ac:dyDescent="0.25">
      <c r="B5" s="16" t="s">
        <v>7</v>
      </c>
      <c r="C5" s="16"/>
      <c r="D5" s="16"/>
      <c r="E5" s="16"/>
      <c r="F5" s="16"/>
      <c r="G5" s="17" t="s">
        <v>8</v>
      </c>
      <c r="H5" s="17"/>
      <c r="I5" s="17"/>
      <c r="J5" s="17"/>
      <c r="K5" s="17"/>
      <c r="L5" s="17"/>
      <c r="M5" s="18"/>
      <c r="N5" s="18"/>
      <c r="O5" s="18"/>
      <c r="P5" s="18"/>
      <c r="Q5" s="18"/>
      <c r="V5" s="611" t="s">
        <v>7</v>
      </c>
      <c r="W5" s="611"/>
      <c r="X5" s="612" t="s">
        <v>8</v>
      </c>
      <c r="Y5" s="612"/>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613" t="s">
        <v>9</v>
      </c>
      <c r="W6" s="613"/>
      <c r="X6" s="613"/>
      <c r="Y6" s="613"/>
      <c r="Z6" s="613"/>
      <c r="AA6" s="613"/>
      <c r="AB6" s="613"/>
      <c r="AC6" s="613"/>
      <c r="AD6" s="22"/>
    </row>
    <row r="7" spans="1:30" ht="18" customHeight="1" x14ac:dyDescent="0.25">
      <c r="B7" s="23" t="s">
        <v>10</v>
      </c>
      <c r="C7" s="23"/>
      <c r="D7" s="23"/>
      <c r="E7" s="23"/>
      <c r="F7" s="23"/>
      <c r="G7" s="24">
        <v>3752.3</v>
      </c>
      <c r="H7" s="24"/>
      <c r="I7" s="23" t="s">
        <v>11</v>
      </c>
      <c r="J7" s="23"/>
      <c r="K7" s="25">
        <v>1.0326</v>
      </c>
      <c r="L7" s="25"/>
      <c r="O7" s="1"/>
      <c r="V7" s="620" t="s">
        <v>10</v>
      </c>
      <c r="W7" s="620"/>
      <c r="X7" s="621">
        <f>'0664'!G7</f>
        <v>3752.3</v>
      </c>
      <c r="Y7" s="621"/>
      <c r="Z7" s="622" t="s">
        <v>11</v>
      </c>
      <c r="AA7" s="622"/>
      <c r="AB7" s="602">
        <f>+K7</f>
        <v>1.0326</v>
      </c>
      <c r="AC7" s="602"/>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603" t="s">
        <v>12</v>
      </c>
      <c r="W8" s="603"/>
      <c r="X8" s="604" t="s">
        <v>15</v>
      </c>
      <c r="Y8" s="604"/>
      <c r="Z8" s="605" t="s">
        <v>16</v>
      </c>
      <c r="AA8" s="605"/>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614" t="s">
        <v>22</v>
      </c>
      <c r="W9" s="614"/>
      <c r="X9" s="615" t="s">
        <v>23</v>
      </c>
      <c r="Y9" s="615"/>
      <c r="Z9" s="616" t="s">
        <v>24</v>
      </c>
      <c r="AA9" s="616"/>
      <c r="AB9" s="43" t="s">
        <v>25</v>
      </c>
      <c r="AC9" s="44" t="s">
        <v>26</v>
      </c>
      <c r="AD9" s="9"/>
    </row>
    <row r="10" spans="1:30" x14ac:dyDescent="0.25">
      <c r="A10" s="1" t="s">
        <v>27</v>
      </c>
      <c r="B10" s="45" t="s">
        <v>28</v>
      </c>
      <c r="C10" s="45"/>
      <c r="D10" s="45">
        <v>31.29</v>
      </c>
      <c r="E10" s="45">
        <v>30.16</v>
      </c>
      <c r="F10" s="45">
        <v>40.950000000000003</v>
      </c>
      <c r="G10" s="46">
        <f>D10+E10</f>
        <v>61.45</v>
      </c>
      <c r="H10" s="47"/>
      <c r="I10" s="48">
        <v>1.125</v>
      </c>
      <c r="J10" s="48"/>
      <c r="K10" s="49">
        <f>ROUND(G10*I10,4)</f>
        <v>69.131299999999996</v>
      </c>
      <c r="L10" s="50">
        <f>ROUND(ROUND(K10*$G$7,4)*($K$7),0)</f>
        <v>267858</v>
      </c>
      <c r="N10" s="51">
        <v>5101</v>
      </c>
      <c r="O10" s="52">
        <v>101</v>
      </c>
      <c r="P10" s="53"/>
      <c r="Q10" s="54"/>
      <c r="V10" s="617" t="s">
        <v>28</v>
      </c>
      <c r="W10" s="617"/>
      <c r="X10" s="618">
        <f>IF('0664'!K$84=1,'0664'!G10,0)</f>
        <v>0</v>
      </c>
      <c r="Y10" s="618"/>
      <c r="Z10" s="619">
        <v>1</v>
      </c>
      <c r="AA10" s="619"/>
      <c r="AB10" s="55">
        <f t="shared" ref="AB10:AB25" si="0">ROUND(X10*Z10,4)</f>
        <v>0</v>
      </c>
      <c r="AC10" s="56">
        <f t="shared" ref="AC10:AC25" si="1">ROUND(ROUND(AB10*$X$7,4)*($AB$7),0)</f>
        <v>0</v>
      </c>
      <c r="AD10" s="9">
        <v>1</v>
      </c>
    </row>
    <row r="11" spans="1:30" x14ac:dyDescent="0.25">
      <c r="A11" s="1" t="s">
        <v>29</v>
      </c>
      <c r="B11" s="13" t="s">
        <v>30</v>
      </c>
      <c r="C11" s="13"/>
      <c r="D11" s="13">
        <v>1.5</v>
      </c>
      <c r="E11" s="13">
        <v>1.5</v>
      </c>
      <c r="F11" s="13">
        <v>1.98</v>
      </c>
      <c r="G11" s="46">
        <f t="shared" ref="G11:G25" si="2">D11+E11</f>
        <v>3</v>
      </c>
      <c r="H11" s="47"/>
      <c r="I11" s="57">
        <f>I10</f>
        <v>1.125</v>
      </c>
      <c r="J11" s="57"/>
      <c r="K11" s="49">
        <f t="shared" ref="K11:K25" si="3">ROUND(G11*I11,4)</f>
        <v>3.375</v>
      </c>
      <c r="L11" s="50">
        <f t="shared" ref="L11:L25" si="4">ROUND(ROUND(K11*$G$7,4)*($K$7),0)</f>
        <v>13077</v>
      </c>
      <c r="M11" s="1" t="str">
        <f>IF(ROUND(G11,2)=ROUND(SUM(G28:G30),2)," ","CHECK 2. PK-3 Lines Below")</f>
        <v xml:space="preserve"> </v>
      </c>
      <c r="N11" s="51">
        <v>5101</v>
      </c>
      <c r="O11" s="58" t="s">
        <v>31</v>
      </c>
      <c r="P11" s="53"/>
      <c r="Q11" s="54"/>
      <c r="V11" s="623" t="s">
        <v>30</v>
      </c>
      <c r="W11" s="623"/>
      <c r="X11" s="618">
        <f>IF('0664'!K$84=1,'0664'!G11,0)</f>
        <v>0</v>
      </c>
      <c r="Y11" s="618"/>
      <c r="Z11" s="624">
        <v>1</v>
      </c>
      <c r="AA11" s="624"/>
      <c r="AB11" s="55">
        <f t="shared" si="0"/>
        <v>0</v>
      </c>
      <c r="AC11" s="56">
        <f t="shared" si="1"/>
        <v>0</v>
      </c>
      <c r="AD11" s="9"/>
    </row>
    <row r="12" spans="1:30" x14ac:dyDescent="0.25">
      <c r="A12" s="1" t="s">
        <v>32</v>
      </c>
      <c r="B12" s="13" t="s">
        <v>33</v>
      </c>
      <c r="C12" s="13"/>
      <c r="D12" s="13">
        <v>26.83</v>
      </c>
      <c r="E12" s="13">
        <v>25.54</v>
      </c>
      <c r="F12" s="13">
        <v>32.700000000000003</v>
      </c>
      <c r="G12" s="46">
        <f t="shared" si="2"/>
        <v>52.37</v>
      </c>
      <c r="H12" s="47"/>
      <c r="I12" s="57">
        <v>1</v>
      </c>
      <c r="J12" s="57"/>
      <c r="K12" s="49">
        <f t="shared" si="3"/>
        <v>52.37</v>
      </c>
      <c r="L12" s="50">
        <f t="shared" si="4"/>
        <v>202914</v>
      </c>
      <c r="N12" s="51">
        <v>5102</v>
      </c>
      <c r="O12" s="52">
        <v>102</v>
      </c>
      <c r="P12" s="53"/>
      <c r="Q12" s="54"/>
      <c r="V12" s="623" t="s">
        <v>33</v>
      </c>
      <c r="W12" s="623"/>
      <c r="X12" s="618">
        <f>IF('0664'!K$84=1,'0664'!G12,0)</f>
        <v>0</v>
      </c>
      <c r="Y12" s="618"/>
      <c r="Z12" s="624">
        <v>1</v>
      </c>
      <c r="AA12" s="624"/>
      <c r="AB12" s="55">
        <f t="shared" si="0"/>
        <v>0</v>
      </c>
      <c r="AC12" s="56">
        <f t="shared" si="1"/>
        <v>0</v>
      </c>
      <c r="AD12" s="9"/>
    </row>
    <row r="13" spans="1:30" x14ac:dyDescent="0.25">
      <c r="A13" s="1" t="s">
        <v>34</v>
      </c>
      <c r="B13" s="13" t="s">
        <v>35</v>
      </c>
      <c r="C13" s="13"/>
      <c r="D13" s="13">
        <v>5.58</v>
      </c>
      <c r="E13" s="13">
        <v>4.46</v>
      </c>
      <c r="F13" s="13">
        <v>6.89</v>
      </c>
      <c r="G13" s="46">
        <f t="shared" si="2"/>
        <v>10.039999999999999</v>
      </c>
      <c r="H13" s="47"/>
      <c r="I13" s="57">
        <f>I12</f>
        <v>1</v>
      </c>
      <c r="J13" s="57"/>
      <c r="K13" s="49">
        <f t="shared" si="3"/>
        <v>10.039999999999999</v>
      </c>
      <c r="L13" s="50">
        <f t="shared" si="4"/>
        <v>38901</v>
      </c>
      <c r="M13" s="1" t="str">
        <f>IF(ROUND(G13,2)=ROUND(SUM(G31:G33),2)," ","CHECK 2. PK-3 Lines Below")</f>
        <v xml:space="preserve"> </v>
      </c>
      <c r="N13" s="51">
        <v>5102</v>
      </c>
      <c r="O13" s="58" t="s">
        <v>36</v>
      </c>
      <c r="P13" s="53"/>
      <c r="Q13" s="54"/>
      <c r="V13" s="623" t="s">
        <v>35</v>
      </c>
      <c r="W13" s="623"/>
      <c r="X13" s="618">
        <f>IF('0664'!K$84=1,'0664'!G13,0)</f>
        <v>0</v>
      </c>
      <c r="Y13" s="618"/>
      <c r="Z13" s="624">
        <v>1</v>
      </c>
      <c r="AA13" s="624"/>
      <c r="AB13" s="55">
        <f t="shared" si="0"/>
        <v>0</v>
      </c>
      <c r="AC13" s="56">
        <f t="shared" si="1"/>
        <v>0</v>
      </c>
      <c r="AD13" s="9"/>
    </row>
    <row r="14" spans="1:30" x14ac:dyDescent="0.25">
      <c r="A14" s="1" t="s">
        <v>37</v>
      </c>
      <c r="B14" s="13" t="s">
        <v>38</v>
      </c>
      <c r="C14" s="13"/>
      <c r="D14" s="13">
        <v>0</v>
      </c>
      <c r="E14" s="13">
        <v>0</v>
      </c>
      <c r="F14" s="13">
        <v>0</v>
      </c>
      <c r="G14" s="46">
        <f t="shared" si="2"/>
        <v>0</v>
      </c>
      <c r="H14" s="47"/>
      <c r="I14" s="57">
        <v>1.0109999999999999</v>
      </c>
      <c r="J14" s="57"/>
      <c r="K14" s="49">
        <f t="shared" si="3"/>
        <v>0</v>
      </c>
      <c r="L14" s="50">
        <f t="shared" si="4"/>
        <v>0</v>
      </c>
      <c r="N14" s="51">
        <v>5103</v>
      </c>
      <c r="O14" s="52">
        <v>103</v>
      </c>
      <c r="P14" s="53"/>
      <c r="Q14" s="54"/>
      <c r="V14" s="623" t="s">
        <v>38</v>
      </c>
      <c r="W14" s="623"/>
      <c r="X14" s="618">
        <f>IF('0664'!K$84=1,'0664'!G14,0)</f>
        <v>0</v>
      </c>
      <c r="Y14" s="618"/>
      <c r="Z14" s="624">
        <v>1</v>
      </c>
      <c r="AA14" s="624"/>
      <c r="AB14" s="55">
        <f t="shared" si="0"/>
        <v>0</v>
      </c>
      <c r="AC14" s="56">
        <f t="shared" si="1"/>
        <v>0</v>
      </c>
      <c r="AD14" s="9"/>
    </row>
    <row r="15" spans="1:30" x14ac:dyDescent="0.25">
      <c r="A15" s="1" t="s">
        <v>39</v>
      </c>
      <c r="B15" s="13" t="s">
        <v>40</v>
      </c>
      <c r="C15" s="13"/>
      <c r="D15" s="13">
        <v>0</v>
      </c>
      <c r="E15" s="13">
        <v>0</v>
      </c>
      <c r="F15" s="13">
        <v>0</v>
      </c>
      <c r="G15" s="46">
        <f t="shared" si="2"/>
        <v>0</v>
      </c>
      <c r="H15" s="47"/>
      <c r="I15" s="57">
        <f>I14</f>
        <v>1.0109999999999999</v>
      </c>
      <c r="J15" s="57"/>
      <c r="K15" s="49">
        <f t="shared" si="3"/>
        <v>0</v>
      </c>
      <c r="L15" s="59">
        <f t="shared" si="4"/>
        <v>0</v>
      </c>
      <c r="M15" s="1" t="str">
        <f>IF(ROUND(G15,2)=ROUND(SUM(G34:G36),2)," ","CHECK 2. PK-3 Lines Below")</f>
        <v xml:space="preserve"> </v>
      </c>
      <c r="N15" s="51">
        <v>5103</v>
      </c>
      <c r="O15" s="58" t="s">
        <v>41</v>
      </c>
      <c r="P15" s="53"/>
      <c r="Q15" s="54"/>
      <c r="V15" s="623" t="s">
        <v>40</v>
      </c>
      <c r="W15" s="623"/>
      <c r="X15" s="618">
        <f>IF('0664'!K$84=1,'0664'!G15,0)</f>
        <v>0</v>
      </c>
      <c r="Y15" s="618"/>
      <c r="Z15" s="624">
        <v>1</v>
      </c>
      <c r="AA15" s="624"/>
      <c r="AB15" s="55">
        <f t="shared" si="0"/>
        <v>0</v>
      </c>
      <c r="AC15" s="60">
        <f t="shared" si="1"/>
        <v>0</v>
      </c>
      <c r="AD15" s="9"/>
    </row>
    <row r="16" spans="1:30" x14ac:dyDescent="0.25">
      <c r="A16" s="1" t="s">
        <v>42</v>
      </c>
      <c r="B16" s="13" t="s">
        <v>43</v>
      </c>
      <c r="C16" s="13"/>
      <c r="D16" s="13">
        <v>0</v>
      </c>
      <c r="E16" s="13">
        <v>0</v>
      </c>
      <c r="F16" s="13">
        <v>0</v>
      </c>
      <c r="G16" s="46">
        <f t="shared" si="2"/>
        <v>0</v>
      </c>
      <c r="H16" s="47"/>
      <c r="I16" s="57">
        <v>3.5579999999999998</v>
      </c>
      <c r="J16" s="57"/>
      <c r="K16" s="49">
        <f t="shared" si="3"/>
        <v>0</v>
      </c>
      <c r="L16" s="50">
        <f t="shared" si="4"/>
        <v>0</v>
      </c>
      <c r="N16" s="51">
        <v>5101</v>
      </c>
      <c r="O16" s="53">
        <v>254</v>
      </c>
      <c r="P16" s="53"/>
      <c r="Q16" s="54"/>
      <c r="V16" s="623" t="s">
        <v>43</v>
      </c>
      <c r="W16" s="623"/>
      <c r="X16" s="618">
        <f>IF('0664'!K$84=1,'0664'!G16,0)</f>
        <v>0</v>
      </c>
      <c r="Y16" s="618"/>
      <c r="Z16" s="624">
        <v>1</v>
      </c>
      <c r="AA16" s="624"/>
      <c r="AB16" s="55">
        <f t="shared" si="0"/>
        <v>0</v>
      </c>
      <c r="AC16" s="56">
        <f t="shared" si="1"/>
        <v>0</v>
      </c>
      <c r="AD16" s="9"/>
    </row>
    <row r="17" spans="1:30" x14ac:dyDescent="0.25">
      <c r="A17" s="1" t="s">
        <v>44</v>
      </c>
      <c r="B17" s="13" t="s">
        <v>45</v>
      </c>
      <c r="C17" s="13"/>
      <c r="D17" s="13">
        <v>0</v>
      </c>
      <c r="E17" s="13">
        <v>0</v>
      </c>
      <c r="F17" s="13">
        <v>0</v>
      </c>
      <c r="G17" s="46">
        <f t="shared" si="2"/>
        <v>0</v>
      </c>
      <c r="H17" s="47"/>
      <c r="I17" s="57">
        <f>I16</f>
        <v>3.5579999999999998</v>
      </c>
      <c r="J17" s="57"/>
      <c r="K17" s="49">
        <f t="shared" si="3"/>
        <v>0</v>
      </c>
      <c r="L17" s="50">
        <f t="shared" si="4"/>
        <v>0</v>
      </c>
      <c r="N17" s="51">
        <v>5102</v>
      </c>
      <c r="O17" s="54">
        <v>254</v>
      </c>
      <c r="P17" s="53"/>
      <c r="Q17" s="54"/>
      <c r="V17" s="623" t="s">
        <v>45</v>
      </c>
      <c r="W17" s="623"/>
      <c r="X17" s="618">
        <f>IF('0664'!K$84=1,'0664'!G17,0)</f>
        <v>0</v>
      </c>
      <c r="Y17" s="618"/>
      <c r="Z17" s="624">
        <v>1</v>
      </c>
      <c r="AA17" s="624"/>
      <c r="AB17" s="55">
        <f t="shared" si="0"/>
        <v>0</v>
      </c>
      <c r="AC17" s="56">
        <f t="shared" si="1"/>
        <v>0</v>
      </c>
      <c r="AD17" s="9"/>
    </row>
    <row r="18" spans="1:30" x14ac:dyDescent="0.25">
      <c r="A18" s="1" t="s">
        <v>46</v>
      </c>
      <c r="B18" s="13" t="s">
        <v>47</v>
      </c>
      <c r="C18" s="13"/>
      <c r="D18" s="13">
        <v>0</v>
      </c>
      <c r="E18" s="13">
        <v>0</v>
      </c>
      <c r="F18" s="13">
        <v>0</v>
      </c>
      <c r="G18" s="46">
        <f t="shared" si="2"/>
        <v>0</v>
      </c>
      <c r="H18" s="47"/>
      <c r="I18" s="57">
        <f>I17</f>
        <v>3.5579999999999998</v>
      </c>
      <c r="J18" s="57"/>
      <c r="K18" s="49">
        <f t="shared" si="3"/>
        <v>0</v>
      </c>
      <c r="L18" s="50">
        <f t="shared" si="4"/>
        <v>0</v>
      </c>
      <c r="N18" s="51">
        <v>5103</v>
      </c>
      <c r="O18" s="54">
        <v>254</v>
      </c>
      <c r="P18" s="53"/>
      <c r="Q18" s="54"/>
      <c r="V18" s="623" t="s">
        <v>47</v>
      </c>
      <c r="W18" s="623"/>
      <c r="X18" s="618">
        <f>IF('0664'!K$84=1,'0664'!G18,0)</f>
        <v>0</v>
      </c>
      <c r="Y18" s="618"/>
      <c r="Z18" s="624">
        <v>1</v>
      </c>
      <c r="AA18" s="624"/>
      <c r="AB18" s="55">
        <f t="shared" si="0"/>
        <v>0</v>
      </c>
      <c r="AC18" s="56">
        <f t="shared" si="1"/>
        <v>0</v>
      </c>
      <c r="AD18" s="9"/>
    </row>
    <row r="19" spans="1:30" ht="15" customHeight="1" x14ac:dyDescent="0.25">
      <c r="A19" s="1" t="s">
        <v>48</v>
      </c>
      <c r="B19" s="13" t="s">
        <v>49</v>
      </c>
      <c r="C19" s="13"/>
      <c r="D19" s="13">
        <v>0</v>
      </c>
      <c r="E19" s="13">
        <v>0</v>
      </c>
      <c r="F19" s="13">
        <v>0</v>
      </c>
      <c r="G19" s="46">
        <f t="shared" si="2"/>
        <v>0</v>
      </c>
      <c r="H19" s="47"/>
      <c r="I19" s="57">
        <v>5.0890000000000004</v>
      </c>
      <c r="J19" s="57"/>
      <c r="K19" s="49">
        <f t="shared" si="3"/>
        <v>0</v>
      </c>
      <c r="L19" s="50">
        <f t="shared" si="4"/>
        <v>0</v>
      </c>
      <c r="N19" s="51">
        <v>5101</v>
      </c>
      <c r="O19" s="53">
        <v>255</v>
      </c>
      <c r="P19" s="53"/>
      <c r="Q19" s="54"/>
      <c r="V19" s="623" t="s">
        <v>49</v>
      </c>
      <c r="W19" s="623"/>
      <c r="X19" s="618">
        <f>IF('0664'!K$84=1,'0664'!G19,0)</f>
        <v>0</v>
      </c>
      <c r="Y19" s="618"/>
      <c r="Z19" s="624">
        <v>1</v>
      </c>
      <c r="AA19" s="624"/>
      <c r="AB19" s="55">
        <f t="shared" si="0"/>
        <v>0</v>
      </c>
      <c r="AC19" s="56">
        <f t="shared" si="1"/>
        <v>0</v>
      </c>
      <c r="AD19" s="9"/>
    </row>
    <row r="20" spans="1:30" ht="15" customHeight="1" x14ac:dyDescent="0.25">
      <c r="A20" s="1" t="s">
        <v>50</v>
      </c>
      <c r="B20" s="13" t="s">
        <v>51</v>
      </c>
      <c r="C20" s="13"/>
      <c r="D20" s="13">
        <v>0</v>
      </c>
      <c r="E20" s="13">
        <v>0</v>
      </c>
      <c r="F20" s="13">
        <v>0</v>
      </c>
      <c r="G20" s="46">
        <f t="shared" si="2"/>
        <v>0</v>
      </c>
      <c r="H20" s="47"/>
      <c r="I20" s="57">
        <f>I19</f>
        <v>5.0890000000000004</v>
      </c>
      <c r="J20" s="57"/>
      <c r="K20" s="49">
        <f t="shared" si="3"/>
        <v>0</v>
      </c>
      <c r="L20" s="50">
        <f t="shared" si="4"/>
        <v>0</v>
      </c>
      <c r="N20" s="51">
        <v>5102</v>
      </c>
      <c r="O20" s="54">
        <v>255</v>
      </c>
      <c r="P20" s="53"/>
      <c r="Q20" s="54"/>
      <c r="V20" s="623" t="s">
        <v>51</v>
      </c>
      <c r="W20" s="623"/>
      <c r="X20" s="618">
        <f>IF('0664'!K$84=1,'0664'!G20,0)</f>
        <v>0</v>
      </c>
      <c r="Y20" s="618"/>
      <c r="Z20" s="624">
        <v>1</v>
      </c>
      <c r="AA20" s="624"/>
      <c r="AB20" s="55">
        <f t="shared" si="0"/>
        <v>0</v>
      </c>
      <c r="AC20" s="56">
        <f t="shared" si="1"/>
        <v>0</v>
      </c>
      <c r="AD20" s="9"/>
    </row>
    <row r="21" spans="1:30" ht="15" customHeight="1" x14ac:dyDescent="0.25">
      <c r="A21" s="1" t="s">
        <v>52</v>
      </c>
      <c r="B21" s="13" t="s">
        <v>53</v>
      </c>
      <c r="C21" s="13"/>
      <c r="D21" s="13">
        <v>0</v>
      </c>
      <c r="E21" s="13">
        <v>0</v>
      </c>
      <c r="F21" s="13">
        <v>0</v>
      </c>
      <c r="G21" s="46">
        <f t="shared" si="2"/>
        <v>0</v>
      </c>
      <c r="H21" s="47"/>
      <c r="I21" s="57">
        <f>I20</f>
        <v>5.0890000000000004</v>
      </c>
      <c r="J21" s="57"/>
      <c r="K21" s="49">
        <f t="shared" si="3"/>
        <v>0</v>
      </c>
      <c r="L21" s="50">
        <f t="shared" si="4"/>
        <v>0</v>
      </c>
      <c r="N21" s="51">
        <v>5103</v>
      </c>
      <c r="O21" s="54">
        <v>255</v>
      </c>
      <c r="P21" s="53"/>
      <c r="Q21" s="54"/>
      <c r="V21" s="623" t="s">
        <v>53</v>
      </c>
      <c r="W21" s="623"/>
      <c r="X21" s="618">
        <f>IF('0664'!K$84=1,'0664'!G21,0)</f>
        <v>0</v>
      </c>
      <c r="Y21" s="618"/>
      <c r="Z21" s="624">
        <v>1</v>
      </c>
      <c r="AA21" s="624"/>
      <c r="AB21" s="55">
        <f t="shared" si="0"/>
        <v>0</v>
      </c>
      <c r="AC21" s="56">
        <f t="shared" si="1"/>
        <v>0</v>
      </c>
      <c r="AD21" s="9"/>
    </row>
    <row r="22" spans="1:30" x14ac:dyDescent="0.25">
      <c r="A22" s="1" t="s">
        <v>54</v>
      </c>
      <c r="B22" s="13" t="s">
        <v>55</v>
      </c>
      <c r="C22" s="13"/>
      <c r="D22" s="13">
        <v>2.99</v>
      </c>
      <c r="E22" s="13">
        <v>2.98</v>
      </c>
      <c r="F22" s="13">
        <v>3.85</v>
      </c>
      <c r="G22" s="46">
        <f t="shared" si="2"/>
        <v>5.9700000000000006</v>
      </c>
      <c r="H22" s="47"/>
      <c r="I22" s="57">
        <v>1.145</v>
      </c>
      <c r="J22" s="57"/>
      <c r="K22" s="49">
        <f t="shared" si="3"/>
        <v>6.8357000000000001</v>
      </c>
      <c r="L22" s="50">
        <f t="shared" si="4"/>
        <v>26486</v>
      </c>
      <c r="N22" s="51">
        <v>5101</v>
      </c>
      <c r="O22" s="52">
        <v>130</v>
      </c>
      <c r="P22" s="53"/>
      <c r="Q22" s="54"/>
      <c r="V22" s="623" t="s">
        <v>55</v>
      </c>
      <c r="W22" s="623"/>
      <c r="X22" s="618">
        <f>IF('0664'!K$84=1,'0664'!G22,0)</f>
        <v>0</v>
      </c>
      <c r="Y22" s="618"/>
      <c r="Z22" s="624">
        <v>1</v>
      </c>
      <c r="AA22" s="624"/>
      <c r="AB22" s="55">
        <f t="shared" si="0"/>
        <v>0</v>
      </c>
      <c r="AC22" s="56">
        <f t="shared" si="1"/>
        <v>0</v>
      </c>
      <c r="AD22" s="9"/>
    </row>
    <row r="23" spans="1:30" x14ac:dyDescent="0.25">
      <c r="A23" s="1" t="s">
        <v>56</v>
      </c>
      <c r="B23" s="13" t="s">
        <v>57</v>
      </c>
      <c r="C23" s="13"/>
      <c r="D23" s="13">
        <v>0</v>
      </c>
      <c r="E23" s="13">
        <v>0</v>
      </c>
      <c r="F23" s="13">
        <v>0</v>
      </c>
      <c r="G23" s="46">
        <f t="shared" si="2"/>
        <v>0</v>
      </c>
      <c r="H23" s="47"/>
      <c r="I23" s="57">
        <f>I22</f>
        <v>1.145</v>
      </c>
      <c r="J23" s="57"/>
      <c r="K23" s="49">
        <f t="shared" si="3"/>
        <v>0</v>
      </c>
      <c r="L23" s="50">
        <f t="shared" si="4"/>
        <v>0</v>
      </c>
      <c r="N23" s="51">
        <v>5102</v>
      </c>
      <c r="O23" s="52">
        <v>130</v>
      </c>
      <c r="P23" s="53"/>
      <c r="Q23" s="54"/>
      <c r="V23" s="623" t="s">
        <v>57</v>
      </c>
      <c r="W23" s="623"/>
      <c r="X23" s="618">
        <f>IF('0664'!K$84=1,'0664'!G23,0)</f>
        <v>0</v>
      </c>
      <c r="Y23" s="618"/>
      <c r="Z23" s="624">
        <v>1</v>
      </c>
      <c r="AA23" s="624"/>
      <c r="AB23" s="55">
        <f t="shared" si="0"/>
        <v>0</v>
      </c>
      <c r="AC23" s="56">
        <f t="shared" si="1"/>
        <v>0</v>
      </c>
      <c r="AD23" s="9"/>
    </row>
    <row r="24" spans="1:30" x14ac:dyDescent="0.25">
      <c r="A24" s="1" t="s">
        <v>58</v>
      </c>
      <c r="B24" s="13" t="s">
        <v>59</v>
      </c>
      <c r="C24" s="13"/>
      <c r="D24" s="13">
        <v>0</v>
      </c>
      <c r="E24" s="13">
        <v>0</v>
      </c>
      <c r="F24" s="13">
        <v>0</v>
      </c>
      <c r="G24" s="46">
        <f t="shared" si="2"/>
        <v>0</v>
      </c>
      <c r="H24" s="47"/>
      <c r="I24" s="57">
        <f>I23</f>
        <v>1.145</v>
      </c>
      <c r="J24" s="57"/>
      <c r="K24" s="49">
        <f t="shared" si="3"/>
        <v>0</v>
      </c>
      <c r="L24" s="50">
        <f t="shared" si="4"/>
        <v>0</v>
      </c>
      <c r="N24" s="51">
        <v>5103</v>
      </c>
      <c r="O24" s="52">
        <v>130</v>
      </c>
      <c r="P24" s="53"/>
      <c r="Q24" s="54"/>
      <c r="V24" s="623" t="s">
        <v>59</v>
      </c>
      <c r="W24" s="623"/>
      <c r="X24" s="618">
        <f>IF('0664'!K$84=1,'0664'!G24,0)</f>
        <v>0</v>
      </c>
      <c r="Y24" s="618"/>
      <c r="Z24" s="624">
        <v>1</v>
      </c>
      <c r="AA24" s="624"/>
      <c r="AB24" s="55">
        <f t="shared" si="0"/>
        <v>0</v>
      </c>
      <c r="AC24" s="56">
        <f t="shared" si="1"/>
        <v>0</v>
      </c>
      <c r="AD24" s="9"/>
    </row>
    <row r="25" spans="1:30" ht="16.5" thickBot="1" x14ac:dyDescent="0.3">
      <c r="A25" s="1" t="s">
        <v>60</v>
      </c>
      <c r="B25" s="13" t="s">
        <v>61</v>
      </c>
      <c r="C25" s="13"/>
      <c r="D25" s="13">
        <v>0</v>
      </c>
      <c r="E25" s="13">
        <v>0</v>
      </c>
      <c r="F25" s="13">
        <v>0</v>
      </c>
      <c r="G25" s="46">
        <f t="shared" si="2"/>
        <v>0</v>
      </c>
      <c r="H25" s="47"/>
      <c r="I25" s="57">
        <v>1.0109999999999999</v>
      </c>
      <c r="J25" s="57"/>
      <c r="K25" s="49">
        <f t="shared" si="3"/>
        <v>0</v>
      </c>
      <c r="L25" s="50">
        <f t="shared" si="4"/>
        <v>0</v>
      </c>
      <c r="N25" s="51">
        <v>5310</v>
      </c>
      <c r="O25" s="52">
        <v>300</v>
      </c>
      <c r="P25" s="53"/>
      <c r="Q25" s="54"/>
      <c r="V25" s="623" t="s">
        <v>61</v>
      </c>
      <c r="W25" s="623"/>
      <c r="X25" s="618">
        <f>IF('0664'!K$84=1,'0664'!G25,0)</f>
        <v>0</v>
      </c>
      <c r="Y25" s="618"/>
      <c r="Z25" s="624">
        <v>1</v>
      </c>
      <c r="AA25" s="624"/>
      <c r="AB25" s="55">
        <f t="shared" si="0"/>
        <v>0</v>
      </c>
      <c r="AC25" s="56">
        <f t="shared" si="1"/>
        <v>0</v>
      </c>
      <c r="AD25" s="9"/>
    </row>
    <row r="26" spans="1:30" ht="20.25" customHeight="1" thickBot="1" x14ac:dyDescent="0.3">
      <c r="B26" s="62" t="s">
        <v>62</v>
      </c>
      <c r="C26" s="62"/>
      <c r="D26" s="63">
        <f t="shared" ref="D26:E26" si="5">SUM(D10:D25)</f>
        <v>68.19</v>
      </c>
      <c r="E26" s="63">
        <f t="shared" si="5"/>
        <v>64.64</v>
      </c>
      <c r="F26" s="63"/>
      <c r="G26" s="63">
        <f>SUM(G10:G25)</f>
        <v>132.82999999999998</v>
      </c>
      <c r="H26" s="64"/>
      <c r="I26" s="64"/>
      <c r="J26" s="65"/>
      <c r="K26" s="66">
        <f>SUM(K10:K25)</f>
        <v>141.75199999999998</v>
      </c>
      <c r="L26" s="67">
        <f>SUM(L10:L25)</f>
        <v>549236</v>
      </c>
      <c r="N26" s="54"/>
      <c r="O26" s="68"/>
      <c r="P26" s="54"/>
      <c r="Q26" s="54"/>
      <c r="V26" s="625" t="s">
        <v>62</v>
      </c>
      <c r="W26" s="625"/>
      <c r="X26" s="626">
        <f>SUM(X10:X25)</f>
        <v>0</v>
      </c>
      <c r="Y26" s="626"/>
      <c r="Z26" s="627"/>
      <c r="AA26" s="628"/>
      <c r="AB26" s="69">
        <f>SUM(AB10:AB25)</f>
        <v>0</v>
      </c>
      <c r="AC26" s="70">
        <f>SUM(AC10:AC25)</f>
        <v>0</v>
      </c>
      <c r="AD26" s="9"/>
    </row>
    <row r="27" spans="1:30" ht="51.75" customHeight="1" x14ac:dyDescent="0.25">
      <c r="B27" s="62" t="s">
        <v>63</v>
      </c>
      <c r="C27" s="62"/>
      <c r="D27" s="71" t="s">
        <v>13</v>
      </c>
      <c r="E27" s="71" t="s">
        <v>14</v>
      </c>
      <c r="F27" s="27"/>
      <c r="G27" s="72" t="s">
        <v>64</v>
      </c>
      <c r="H27" s="73"/>
      <c r="I27" s="74" t="s">
        <v>65</v>
      </c>
      <c r="J27" s="74" t="s">
        <v>66</v>
      </c>
      <c r="K27" s="75" t="s">
        <v>67</v>
      </c>
      <c r="N27" s="54"/>
      <c r="O27" s="68"/>
      <c r="P27" s="54"/>
      <c r="Q27" s="54"/>
      <c r="V27" s="629" t="s">
        <v>63</v>
      </c>
      <c r="W27" s="629"/>
      <c r="X27" s="630" t="s">
        <v>64</v>
      </c>
      <c r="Y27" s="630"/>
      <c r="Z27" s="76" t="s">
        <v>65</v>
      </c>
      <c r="AA27" s="77" t="s">
        <v>66</v>
      </c>
      <c r="AB27" s="78" t="s">
        <v>67</v>
      </c>
      <c r="AC27" s="9"/>
      <c r="AD27" s="9"/>
    </row>
    <row r="28" spans="1:30" ht="15.75" customHeight="1" x14ac:dyDescent="0.25">
      <c r="A28" s="1" t="s">
        <v>68</v>
      </c>
      <c r="B28" s="631" t="s">
        <v>69</v>
      </c>
      <c r="C28" s="632"/>
      <c r="D28" s="13">
        <v>1.5</v>
      </c>
      <c r="E28" s="13">
        <v>1.5</v>
      </c>
      <c r="F28" s="79">
        <v>3.5</v>
      </c>
      <c r="G28" s="46">
        <f t="shared" ref="G28:G36" si="6">D28+E28</f>
        <v>3</v>
      </c>
      <c r="H28" s="80"/>
      <c r="I28" s="81" t="s">
        <v>70</v>
      </c>
      <c r="J28" s="82">
        <v>251</v>
      </c>
      <c r="K28" s="83">
        <v>1047</v>
      </c>
      <c r="L28" s="84">
        <f>ROUND(G28*K28,0)</f>
        <v>3141</v>
      </c>
      <c r="N28" s="85">
        <v>5101</v>
      </c>
      <c r="O28" s="54">
        <v>251</v>
      </c>
      <c r="P28" s="86"/>
      <c r="Q28" s="87"/>
      <c r="V28" s="637" t="s">
        <v>69</v>
      </c>
      <c r="W28" s="637"/>
      <c r="X28" s="638"/>
      <c r="Y28" s="638"/>
      <c r="Z28" s="88" t="s">
        <v>70</v>
      </c>
      <c r="AA28" s="89">
        <v>251</v>
      </c>
      <c r="AB28" s="90">
        <f>+K28</f>
        <v>1047</v>
      </c>
      <c r="AC28" s="91">
        <f t="shared" ref="AC28:AC36" si="7">ROUND(X28*AB28,0)</f>
        <v>0</v>
      </c>
      <c r="AD28" s="9"/>
    </row>
    <row r="29" spans="1:30" x14ac:dyDescent="0.25">
      <c r="A29" s="1" t="s">
        <v>71</v>
      </c>
      <c r="B29" s="633"/>
      <c r="C29" s="634"/>
      <c r="D29" s="13">
        <v>0</v>
      </c>
      <c r="E29" s="13">
        <v>0</v>
      </c>
      <c r="F29" s="92">
        <v>0</v>
      </c>
      <c r="G29" s="46">
        <f t="shared" si="6"/>
        <v>0</v>
      </c>
      <c r="H29" s="80"/>
      <c r="I29" s="82" t="s">
        <v>70</v>
      </c>
      <c r="J29" s="82">
        <v>252</v>
      </c>
      <c r="K29" s="83">
        <v>3380</v>
      </c>
      <c r="L29" s="84">
        <f t="shared" ref="L29:L36" si="8">ROUND(G29*K29,0)</f>
        <v>0</v>
      </c>
      <c r="N29" s="85">
        <v>5101</v>
      </c>
      <c r="O29" s="54">
        <v>252</v>
      </c>
      <c r="P29" s="86"/>
      <c r="Q29" s="87"/>
      <c r="V29" s="637"/>
      <c r="W29" s="637"/>
      <c r="X29" s="638"/>
      <c r="Y29" s="638"/>
      <c r="Z29" s="89" t="s">
        <v>70</v>
      </c>
      <c r="AA29" s="89">
        <v>252</v>
      </c>
      <c r="AB29" s="90">
        <f t="shared" ref="AB29:AB36" si="9">+K29</f>
        <v>3380</v>
      </c>
      <c r="AC29" s="91">
        <f t="shared" si="7"/>
        <v>0</v>
      </c>
      <c r="AD29" s="9"/>
    </row>
    <row r="30" spans="1:30" x14ac:dyDescent="0.25">
      <c r="A30" s="1" t="s">
        <v>72</v>
      </c>
      <c r="B30" s="633"/>
      <c r="C30" s="634"/>
      <c r="D30" s="13">
        <v>0</v>
      </c>
      <c r="E30" s="13">
        <v>0</v>
      </c>
      <c r="F30" s="92">
        <v>0</v>
      </c>
      <c r="G30" s="46">
        <f t="shared" si="6"/>
        <v>0</v>
      </c>
      <c r="H30" s="80"/>
      <c r="I30" s="82" t="s">
        <v>70</v>
      </c>
      <c r="J30" s="82">
        <v>253</v>
      </c>
      <c r="K30" s="83">
        <v>6896</v>
      </c>
      <c r="L30" s="84">
        <f t="shared" si="8"/>
        <v>0</v>
      </c>
      <c r="N30" s="85">
        <v>5101</v>
      </c>
      <c r="O30" s="54">
        <v>253</v>
      </c>
      <c r="P30" s="86"/>
      <c r="Q30" s="68"/>
      <c r="V30" s="637"/>
      <c r="W30" s="637"/>
      <c r="X30" s="638"/>
      <c r="Y30" s="638"/>
      <c r="Z30" s="89" t="s">
        <v>70</v>
      </c>
      <c r="AA30" s="89">
        <v>253</v>
      </c>
      <c r="AB30" s="90">
        <f t="shared" si="9"/>
        <v>6896</v>
      </c>
      <c r="AC30" s="91">
        <f t="shared" si="7"/>
        <v>0</v>
      </c>
      <c r="AD30" s="9"/>
    </row>
    <row r="31" spans="1:30" x14ac:dyDescent="0.25">
      <c r="A31" s="1" t="s">
        <v>73</v>
      </c>
      <c r="B31" s="633"/>
      <c r="C31" s="634"/>
      <c r="D31" s="13">
        <v>5.58</v>
      </c>
      <c r="E31" s="13">
        <v>4.46</v>
      </c>
      <c r="F31" s="92">
        <v>2</v>
      </c>
      <c r="G31" s="46">
        <f t="shared" si="6"/>
        <v>10.039999999999999</v>
      </c>
      <c r="H31" s="80"/>
      <c r="I31" s="93" t="s">
        <v>74</v>
      </c>
      <c r="J31" s="82">
        <v>251</v>
      </c>
      <c r="K31" s="83">
        <v>1173</v>
      </c>
      <c r="L31" s="84">
        <f t="shared" si="8"/>
        <v>11777</v>
      </c>
      <c r="N31" s="85">
        <v>5102</v>
      </c>
      <c r="O31" s="54">
        <v>251</v>
      </c>
      <c r="P31" s="86"/>
      <c r="Q31" s="68"/>
      <c r="V31" s="637"/>
      <c r="W31" s="637"/>
      <c r="X31" s="638"/>
      <c r="Y31" s="638"/>
      <c r="Z31" s="94" t="s">
        <v>74</v>
      </c>
      <c r="AA31" s="89">
        <v>251</v>
      </c>
      <c r="AB31" s="90">
        <f t="shared" si="9"/>
        <v>1173</v>
      </c>
      <c r="AC31" s="91">
        <f t="shared" si="7"/>
        <v>0</v>
      </c>
      <c r="AD31" s="9"/>
    </row>
    <row r="32" spans="1:30" x14ac:dyDescent="0.25">
      <c r="A32" s="1" t="s">
        <v>75</v>
      </c>
      <c r="B32" s="633"/>
      <c r="C32" s="634"/>
      <c r="D32" s="13">
        <v>0</v>
      </c>
      <c r="E32" s="13">
        <v>0</v>
      </c>
      <c r="F32" s="92">
        <v>0</v>
      </c>
      <c r="G32" s="46">
        <f t="shared" si="6"/>
        <v>0</v>
      </c>
      <c r="H32" s="80"/>
      <c r="I32" s="93" t="s">
        <v>74</v>
      </c>
      <c r="J32" s="82">
        <v>252</v>
      </c>
      <c r="K32" s="83">
        <v>3506</v>
      </c>
      <c r="L32" s="84">
        <f t="shared" si="8"/>
        <v>0</v>
      </c>
      <c r="N32" s="85">
        <v>5102</v>
      </c>
      <c r="O32" s="54">
        <v>252</v>
      </c>
      <c r="P32" s="86"/>
      <c r="Q32" s="54"/>
      <c r="V32" s="637"/>
      <c r="W32" s="637"/>
      <c r="X32" s="638"/>
      <c r="Y32" s="638"/>
      <c r="Z32" s="94" t="s">
        <v>74</v>
      </c>
      <c r="AA32" s="89">
        <v>252</v>
      </c>
      <c r="AB32" s="90">
        <f t="shared" si="9"/>
        <v>3506</v>
      </c>
      <c r="AC32" s="91">
        <f t="shared" si="7"/>
        <v>0</v>
      </c>
      <c r="AD32" s="9"/>
    </row>
    <row r="33" spans="1:30" x14ac:dyDescent="0.25">
      <c r="A33" s="1" t="s">
        <v>76</v>
      </c>
      <c r="B33" s="633"/>
      <c r="C33" s="634"/>
      <c r="D33" s="13">
        <v>0</v>
      </c>
      <c r="E33" s="13">
        <v>0</v>
      </c>
      <c r="F33" s="92">
        <v>0</v>
      </c>
      <c r="G33" s="46">
        <f t="shared" si="6"/>
        <v>0</v>
      </c>
      <c r="H33" s="80"/>
      <c r="I33" s="93" t="s">
        <v>74</v>
      </c>
      <c r="J33" s="82">
        <v>253</v>
      </c>
      <c r="K33" s="83">
        <v>7023</v>
      </c>
      <c r="L33" s="84">
        <f t="shared" si="8"/>
        <v>0</v>
      </c>
      <c r="N33" s="85">
        <v>5102</v>
      </c>
      <c r="O33" s="54">
        <v>253</v>
      </c>
      <c r="P33" s="86"/>
      <c r="Q33" s="87"/>
      <c r="V33" s="637"/>
      <c r="W33" s="637"/>
      <c r="X33" s="638"/>
      <c r="Y33" s="638"/>
      <c r="Z33" s="94" t="s">
        <v>74</v>
      </c>
      <c r="AA33" s="89">
        <v>253</v>
      </c>
      <c r="AB33" s="90">
        <f t="shared" si="9"/>
        <v>7023</v>
      </c>
      <c r="AC33" s="91">
        <f t="shared" si="7"/>
        <v>0</v>
      </c>
      <c r="AD33" s="9"/>
    </row>
    <row r="34" spans="1:30" x14ac:dyDescent="0.25">
      <c r="A34" s="1" t="s">
        <v>77</v>
      </c>
      <c r="B34" s="633"/>
      <c r="C34" s="634"/>
      <c r="D34" s="13">
        <v>0</v>
      </c>
      <c r="E34" s="13">
        <v>0</v>
      </c>
      <c r="F34" s="92">
        <v>0</v>
      </c>
      <c r="G34" s="46">
        <f t="shared" si="6"/>
        <v>0</v>
      </c>
      <c r="H34" s="80"/>
      <c r="I34" s="93" t="s">
        <v>78</v>
      </c>
      <c r="J34" s="82">
        <v>251</v>
      </c>
      <c r="K34" s="83">
        <v>835</v>
      </c>
      <c r="L34" s="84">
        <f t="shared" si="8"/>
        <v>0</v>
      </c>
      <c r="N34" s="85">
        <v>5103</v>
      </c>
      <c r="O34" s="54">
        <v>251</v>
      </c>
      <c r="P34" s="86"/>
      <c r="Q34" s="87"/>
      <c r="V34" s="637"/>
      <c r="W34" s="637"/>
      <c r="X34" s="638"/>
      <c r="Y34" s="638"/>
      <c r="Z34" s="94" t="s">
        <v>78</v>
      </c>
      <c r="AA34" s="89">
        <v>251</v>
      </c>
      <c r="AB34" s="90">
        <f t="shared" si="9"/>
        <v>835</v>
      </c>
      <c r="AC34" s="91">
        <f t="shared" si="7"/>
        <v>0</v>
      </c>
      <c r="AD34" s="9"/>
    </row>
    <row r="35" spans="1:30" x14ac:dyDescent="0.25">
      <c r="A35" s="1" t="s">
        <v>79</v>
      </c>
      <c r="B35" s="633"/>
      <c r="C35" s="634"/>
      <c r="D35" s="13">
        <v>0</v>
      </c>
      <c r="E35" s="13">
        <v>0</v>
      </c>
      <c r="F35" s="92">
        <v>0</v>
      </c>
      <c r="G35" s="46">
        <f t="shared" si="6"/>
        <v>0</v>
      </c>
      <c r="H35" s="80"/>
      <c r="I35" s="93" t="s">
        <v>78</v>
      </c>
      <c r="J35" s="82">
        <v>252</v>
      </c>
      <c r="K35" s="83">
        <v>3168</v>
      </c>
      <c r="L35" s="84">
        <f t="shared" si="8"/>
        <v>0</v>
      </c>
      <c r="N35" s="85">
        <v>5103</v>
      </c>
      <c r="O35" s="54">
        <v>252</v>
      </c>
      <c r="P35" s="86"/>
      <c r="Q35" s="95"/>
      <c r="V35" s="637"/>
      <c r="W35" s="637"/>
      <c r="X35" s="638"/>
      <c r="Y35" s="638"/>
      <c r="Z35" s="94" t="s">
        <v>78</v>
      </c>
      <c r="AA35" s="89">
        <v>252</v>
      </c>
      <c r="AB35" s="90">
        <f t="shared" si="9"/>
        <v>3168</v>
      </c>
      <c r="AC35" s="91">
        <f t="shared" si="7"/>
        <v>0</v>
      </c>
      <c r="AD35" s="9"/>
    </row>
    <row r="36" spans="1:30" ht="16.5" thickBot="1" x14ac:dyDescent="0.3">
      <c r="A36" s="1" t="s">
        <v>80</v>
      </c>
      <c r="B36" s="635"/>
      <c r="C36" s="636"/>
      <c r="D36" s="13">
        <v>0</v>
      </c>
      <c r="E36" s="13">
        <v>0</v>
      </c>
      <c r="F36" s="92">
        <v>0</v>
      </c>
      <c r="G36" s="46">
        <f t="shared" si="6"/>
        <v>0</v>
      </c>
      <c r="H36" s="80"/>
      <c r="I36" s="93" t="s">
        <v>78</v>
      </c>
      <c r="J36" s="82">
        <v>253</v>
      </c>
      <c r="K36" s="83">
        <v>6685</v>
      </c>
      <c r="L36" s="96">
        <f t="shared" si="8"/>
        <v>0</v>
      </c>
      <c r="N36" s="85">
        <v>5103</v>
      </c>
      <c r="O36" s="54">
        <v>253</v>
      </c>
      <c r="P36" s="86"/>
      <c r="Q36" s="97"/>
      <c r="V36" s="637"/>
      <c r="W36" s="637"/>
      <c r="X36" s="645"/>
      <c r="Y36" s="645"/>
      <c r="Z36" s="94" t="s">
        <v>78</v>
      </c>
      <c r="AA36" s="89">
        <v>253</v>
      </c>
      <c r="AB36" s="90">
        <f t="shared" si="9"/>
        <v>6685</v>
      </c>
      <c r="AC36" s="98">
        <f t="shared" si="7"/>
        <v>0</v>
      </c>
      <c r="AD36" s="9"/>
    </row>
    <row r="37" spans="1:30" ht="18.75" customHeight="1" x14ac:dyDescent="0.25">
      <c r="B37" s="13" t="s">
        <v>81</v>
      </c>
      <c r="C37" s="13"/>
      <c r="D37" s="63">
        <f t="shared" ref="D37:E37" si="10">SUM(D28:D36)</f>
        <v>7.08</v>
      </c>
      <c r="E37" s="63">
        <f t="shared" si="10"/>
        <v>5.96</v>
      </c>
      <c r="F37" s="63"/>
      <c r="G37" s="63">
        <f>SUM(G28:G36)</f>
        <v>13.04</v>
      </c>
      <c r="H37" s="64"/>
      <c r="I37" s="13" t="s">
        <v>82</v>
      </c>
      <c r="J37" s="13"/>
      <c r="K37" s="13"/>
      <c r="L37" s="50">
        <f>SUM(L28:L36)</f>
        <v>14918</v>
      </c>
      <c r="N37" s="54"/>
      <c r="O37" s="68"/>
      <c r="P37" s="54"/>
      <c r="Q37" s="54"/>
      <c r="V37" s="646" t="s">
        <v>81</v>
      </c>
      <c r="W37" s="646"/>
      <c r="X37" s="626">
        <f>SUM(X28:X36)</f>
        <v>0</v>
      </c>
      <c r="Y37" s="626"/>
      <c r="Z37" s="646" t="s">
        <v>82</v>
      </c>
      <c r="AA37" s="646"/>
      <c r="AB37" s="646"/>
      <c r="AC37" s="56">
        <f>SUM(AC28:AC36)</f>
        <v>0</v>
      </c>
      <c r="AD37" s="9"/>
    </row>
    <row r="38" spans="1:30" ht="30.75" customHeight="1" x14ac:dyDescent="0.25">
      <c r="B38" s="99" t="s">
        <v>83</v>
      </c>
      <c r="C38" s="99"/>
      <c r="D38" s="99"/>
      <c r="E38" s="99"/>
      <c r="F38" s="99"/>
      <c r="G38" s="99"/>
      <c r="H38" s="100"/>
      <c r="I38" s="99"/>
      <c r="J38" s="99"/>
      <c r="K38" s="99"/>
      <c r="L38" s="99"/>
      <c r="M38" s="101"/>
      <c r="N38" s="54"/>
      <c r="O38" s="68"/>
      <c r="P38" s="54"/>
      <c r="Q38" s="54"/>
      <c r="V38" s="639" t="s">
        <v>83</v>
      </c>
      <c r="W38" s="639"/>
      <c r="X38" s="639"/>
      <c r="Y38" s="639"/>
      <c r="Z38" s="639"/>
      <c r="AA38" s="639"/>
      <c r="AB38" s="639"/>
      <c r="AC38" s="639"/>
      <c r="AD38" s="102"/>
    </row>
    <row r="39" spans="1:30" ht="15.75" customHeight="1" x14ac:dyDescent="0.25">
      <c r="B39" s="103" t="s">
        <v>84</v>
      </c>
      <c r="C39" s="103"/>
      <c r="D39" s="103"/>
      <c r="E39" s="103"/>
      <c r="F39" s="103"/>
      <c r="G39" s="104">
        <v>34389540</v>
      </c>
      <c r="H39" s="104"/>
      <c r="I39" s="13" t="s">
        <v>85</v>
      </c>
      <c r="J39" s="13"/>
      <c r="K39" s="13"/>
      <c r="L39" s="13"/>
      <c r="O39" s="1"/>
      <c r="V39" s="640" t="s">
        <v>84</v>
      </c>
      <c r="W39" s="640"/>
      <c r="X39" s="641">
        <f>+G39</f>
        <v>34389540</v>
      </c>
      <c r="Y39" s="641"/>
      <c r="Z39" s="642" t="s">
        <v>85</v>
      </c>
      <c r="AA39" s="642"/>
      <c r="AB39" s="642"/>
      <c r="AC39" s="642"/>
      <c r="AD39" s="9"/>
    </row>
    <row r="40" spans="1:30" ht="15.75" customHeight="1" x14ac:dyDescent="0.25">
      <c r="B40" s="105" t="s">
        <v>86</v>
      </c>
      <c r="C40" s="105"/>
      <c r="D40" s="105"/>
      <c r="E40" s="105"/>
      <c r="F40" s="105"/>
      <c r="G40" s="106">
        <v>180284.81</v>
      </c>
      <c r="H40" s="106"/>
      <c r="I40" s="106"/>
      <c r="J40" s="106"/>
      <c r="K40" s="50">
        <f>ROUND(G39/G40,0)</f>
        <v>191</v>
      </c>
      <c r="L40" s="50">
        <f>ROUND(K40*$G$26,0)</f>
        <v>25371</v>
      </c>
      <c r="N40" s="107"/>
      <c r="O40" s="107"/>
      <c r="P40" s="107"/>
      <c r="Q40" s="107"/>
      <c r="V40" s="643" t="s">
        <v>86</v>
      </c>
      <c r="W40" s="643"/>
      <c r="X40" s="644">
        <f>+G40</f>
        <v>180284.81</v>
      </c>
      <c r="Y40" s="644"/>
      <c r="Z40" s="644"/>
      <c r="AA40" s="644"/>
      <c r="AB40" s="56">
        <f>ROUND(X39/X40,0)</f>
        <v>191</v>
      </c>
      <c r="AC40" s="56">
        <f>ROUND(AB40*$X$26,0)</f>
        <v>0</v>
      </c>
      <c r="AD40" s="9"/>
    </row>
    <row r="41" spans="1:30" ht="15.75" customHeight="1" x14ac:dyDescent="0.25">
      <c r="B41" s="108" t="s">
        <v>87</v>
      </c>
      <c r="C41" s="108"/>
      <c r="D41" s="108"/>
      <c r="E41" s="108"/>
      <c r="F41" s="108"/>
      <c r="G41" s="108"/>
      <c r="H41" s="108"/>
      <c r="I41" s="108"/>
      <c r="J41" s="108"/>
      <c r="K41" s="108"/>
      <c r="L41" s="108"/>
      <c r="N41" s="101"/>
      <c r="O41" s="109"/>
      <c r="P41" s="101"/>
      <c r="Q41" s="101"/>
      <c r="V41" s="652" t="s">
        <v>87</v>
      </c>
      <c r="W41" s="652"/>
      <c r="X41" s="652"/>
      <c r="Y41" s="652"/>
      <c r="Z41" s="652"/>
      <c r="AA41" s="652"/>
      <c r="AB41" s="652"/>
      <c r="AC41" s="652"/>
      <c r="AD41" s="9"/>
    </row>
    <row r="42" spans="1:30" ht="28.5" customHeight="1" x14ac:dyDescent="0.25">
      <c r="B42" s="99" t="s">
        <v>88</v>
      </c>
      <c r="C42" s="99"/>
      <c r="D42" s="99"/>
      <c r="E42" s="99"/>
      <c r="F42" s="99"/>
      <c r="G42" s="99"/>
      <c r="H42" s="99"/>
      <c r="I42" s="99"/>
      <c r="J42" s="99"/>
      <c r="K42" s="99"/>
      <c r="L42" s="99"/>
      <c r="M42" s="107"/>
      <c r="O42" s="1"/>
      <c r="V42" s="639" t="s">
        <v>88</v>
      </c>
      <c r="W42" s="639"/>
      <c r="X42" s="639"/>
      <c r="Y42" s="639"/>
      <c r="Z42" s="639"/>
      <c r="AA42" s="639"/>
      <c r="AB42" s="639"/>
      <c r="AC42" s="639"/>
      <c r="AD42" s="110"/>
    </row>
    <row r="43" spans="1:30" x14ac:dyDescent="0.25">
      <c r="B43" s="111" t="s">
        <v>89</v>
      </c>
      <c r="C43" s="111"/>
      <c r="D43" s="111"/>
      <c r="E43" s="111"/>
      <c r="F43" s="111"/>
      <c r="G43" s="111"/>
      <c r="H43" s="111"/>
      <c r="I43" s="111"/>
      <c r="J43" s="111"/>
      <c r="K43" s="111"/>
      <c r="L43" s="111"/>
      <c r="M43" s="112"/>
      <c r="N43" s="101"/>
      <c r="O43" s="101"/>
      <c r="P43" s="101"/>
      <c r="Q43" s="101"/>
      <c r="V43" s="653" t="s">
        <v>89</v>
      </c>
      <c r="W43" s="653"/>
      <c r="X43" s="653"/>
      <c r="Y43" s="653"/>
      <c r="Z43" s="653"/>
      <c r="AA43" s="653"/>
      <c r="AB43" s="653"/>
      <c r="AC43" s="653"/>
      <c r="AD43" s="113"/>
    </row>
    <row r="44" spans="1:30" ht="24" customHeight="1" x14ac:dyDescent="0.25">
      <c r="B44" s="62" t="s">
        <v>90</v>
      </c>
      <c r="C44" s="62"/>
      <c r="D44" s="62"/>
      <c r="E44" s="62"/>
      <c r="F44" s="62"/>
      <c r="G44" s="62"/>
      <c r="H44" s="62"/>
      <c r="I44" s="62"/>
      <c r="J44" s="62"/>
      <c r="K44" s="62"/>
      <c r="L44" s="114">
        <f>SUM(L26,L37,L40)</f>
        <v>589525</v>
      </c>
      <c r="O44" s="1"/>
      <c r="V44" s="654" t="s">
        <v>90</v>
      </c>
      <c r="W44" s="654"/>
      <c r="X44" s="654"/>
      <c r="Y44" s="654"/>
      <c r="Z44" s="654"/>
      <c r="AA44" s="654"/>
      <c r="AB44" s="654"/>
      <c r="AC44" s="115">
        <f>SUM(AC26,AC37,AC40)</f>
        <v>0</v>
      </c>
      <c r="AD44" s="9"/>
    </row>
    <row r="45" spans="1:30" ht="30.75" customHeight="1" x14ac:dyDescent="0.25">
      <c r="B45" s="99" t="s">
        <v>91</v>
      </c>
      <c r="C45" s="99"/>
      <c r="D45" s="99"/>
      <c r="E45" s="99"/>
      <c r="F45" s="99"/>
      <c r="G45" s="99"/>
      <c r="H45" s="99"/>
      <c r="I45" s="99"/>
      <c r="J45" s="99"/>
      <c r="K45" s="99"/>
      <c r="L45" s="99"/>
      <c r="M45" s="116"/>
      <c r="O45" s="1"/>
      <c r="V45" s="639" t="s">
        <v>91</v>
      </c>
      <c r="W45" s="639"/>
      <c r="X45" s="639"/>
      <c r="Y45" s="639"/>
      <c r="Z45" s="639"/>
      <c r="AA45" s="639"/>
      <c r="AB45" s="639"/>
      <c r="AC45" s="639"/>
      <c r="AD45" s="117"/>
    </row>
    <row r="46" spans="1:30" ht="18.75" customHeight="1" x14ac:dyDescent="0.25">
      <c r="B46" s="1"/>
      <c r="C46" s="118" t="s">
        <v>92</v>
      </c>
      <c r="D46" s="118"/>
      <c r="E46" s="118"/>
      <c r="F46" s="118"/>
      <c r="G46" s="118" t="s">
        <v>93</v>
      </c>
      <c r="H46" s="119"/>
      <c r="I46" s="120" t="s">
        <v>94</v>
      </c>
      <c r="J46" s="121"/>
      <c r="K46" s="121"/>
      <c r="L46" s="121"/>
      <c r="M46" s="122"/>
      <c r="O46" s="1"/>
      <c r="V46" s="9"/>
      <c r="W46" s="123" t="s">
        <v>92</v>
      </c>
      <c r="X46" s="655" t="s">
        <v>95</v>
      </c>
      <c r="Y46" s="655"/>
      <c r="Z46" s="656" t="s">
        <v>94</v>
      </c>
      <c r="AA46" s="656"/>
      <c r="AB46" s="656"/>
      <c r="AC46" s="656"/>
      <c r="AD46" s="124"/>
    </row>
    <row r="47" spans="1:30" ht="18.75" customHeight="1" x14ac:dyDescent="0.25">
      <c r="B47" s="107" t="s">
        <v>96</v>
      </c>
      <c r="C47" s="125">
        <f>K10+K11+K16+K19+K22</f>
        <v>79.341999999999999</v>
      </c>
      <c r="D47" s="125"/>
      <c r="E47" s="125"/>
      <c r="F47" s="125"/>
      <c r="G47" s="126">
        <f>K7</f>
        <v>1.0326</v>
      </c>
      <c r="H47" s="126"/>
      <c r="I47" s="127">
        <v>1316.85</v>
      </c>
      <c r="J47" s="128" t="s">
        <v>97</v>
      </c>
      <c r="K47" s="129">
        <f>ROUND(C47*G47*I47,0)</f>
        <v>107888</v>
      </c>
      <c r="L47" s="130"/>
      <c r="O47" s="1"/>
      <c r="V47" s="110" t="s">
        <v>96</v>
      </c>
      <c r="W47" s="131">
        <f>AB10+AB11+AB16+AB19+AB22</f>
        <v>0</v>
      </c>
      <c r="X47" s="647">
        <f>AB7</f>
        <v>1.0326</v>
      </c>
      <c r="Y47" s="647"/>
      <c r="Z47" s="132">
        <f>+I47</f>
        <v>1316.85</v>
      </c>
      <c r="AA47" s="133" t="s">
        <v>97</v>
      </c>
      <c r="AB47" s="134">
        <f>ROUND(W47*X47*Z47,0)</f>
        <v>0</v>
      </c>
      <c r="AC47" s="135"/>
      <c r="AD47" s="9"/>
    </row>
    <row r="48" spans="1:30" ht="18" customHeight="1" x14ac:dyDescent="0.25">
      <c r="B48" s="136" t="s">
        <v>74</v>
      </c>
      <c r="C48" s="125">
        <f>K12+K13+K17+K20+K23</f>
        <v>62.41</v>
      </c>
      <c r="D48" s="125"/>
      <c r="E48" s="125"/>
      <c r="F48" s="125"/>
      <c r="G48" s="126">
        <f>K7</f>
        <v>1.0326</v>
      </c>
      <c r="H48" s="126"/>
      <c r="I48" s="127">
        <v>898.23</v>
      </c>
      <c r="J48" s="128" t="s">
        <v>97</v>
      </c>
      <c r="K48" s="129">
        <f>ROUND(C48*G48*I48,0)</f>
        <v>57886</v>
      </c>
      <c r="L48" s="62"/>
      <c r="O48" s="1"/>
      <c r="V48" s="137" t="s">
        <v>74</v>
      </c>
      <c r="W48" s="131">
        <f>AB12+AB13+AB17+AB20+AB23</f>
        <v>0</v>
      </c>
      <c r="X48" s="647">
        <f>AB7</f>
        <v>1.0326</v>
      </c>
      <c r="Y48" s="647"/>
      <c r="Z48" s="132">
        <f>+I48</f>
        <v>898.23</v>
      </c>
      <c r="AA48" s="133" t="s">
        <v>97</v>
      </c>
      <c r="AB48" s="134">
        <f>ROUND(W48*X48*Z48,0)</f>
        <v>0</v>
      </c>
      <c r="AC48" s="138"/>
      <c r="AD48" s="9"/>
    </row>
    <row r="49" spans="2:30" ht="19.5" customHeight="1" thickBot="1" x14ac:dyDescent="0.3">
      <c r="B49" s="139" t="s">
        <v>78</v>
      </c>
      <c r="C49" s="140">
        <f>K14+K15+K18+K21+K24+K25</f>
        <v>0</v>
      </c>
      <c r="D49" s="125"/>
      <c r="E49" s="125"/>
      <c r="F49" s="125"/>
      <c r="G49" s="126">
        <f>K7</f>
        <v>1.0326</v>
      </c>
      <c r="H49" s="126"/>
      <c r="I49" s="127">
        <v>900.39</v>
      </c>
      <c r="J49" s="128" t="s">
        <v>97</v>
      </c>
      <c r="K49" s="129">
        <f>ROUND(C49*G49*I49,0)</f>
        <v>0</v>
      </c>
      <c r="L49" s="62"/>
      <c r="M49" s="112"/>
      <c r="N49" s="141"/>
      <c r="O49" s="142"/>
      <c r="P49" s="101"/>
      <c r="Q49" s="143"/>
      <c r="V49" s="144" t="s">
        <v>78</v>
      </c>
      <c r="W49" s="145">
        <f>AB14+AB15+AB18+AB21+AB24+AB25</f>
        <v>0</v>
      </c>
      <c r="X49" s="647">
        <f>AB7</f>
        <v>1.0326</v>
      </c>
      <c r="Y49" s="647"/>
      <c r="Z49" s="132">
        <f>+I49</f>
        <v>900.39</v>
      </c>
      <c r="AA49" s="133" t="s">
        <v>97</v>
      </c>
      <c r="AB49" s="134">
        <f>ROUND(W49*X49*Z49,0)</f>
        <v>0</v>
      </c>
      <c r="AC49" s="138"/>
      <c r="AD49" s="113"/>
    </row>
    <row r="50" spans="2:30" ht="24" customHeight="1" thickBot="1" x14ac:dyDescent="0.3">
      <c r="B50" s="146" t="s">
        <v>98</v>
      </c>
      <c r="C50" s="147">
        <f>SUM(C47:C49)</f>
        <v>141.75200000000001</v>
      </c>
      <c r="D50" s="148"/>
      <c r="E50" s="149"/>
      <c r="F50" s="149"/>
      <c r="G50" s="150" t="s">
        <v>99</v>
      </c>
      <c r="H50" s="150"/>
      <c r="I50" s="150"/>
      <c r="J50" s="150"/>
      <c r="K50" s="150"/>
      <c r="L50" s="50">
        <f>IF(B2=75,0,K49+K48+K47)</f>
        <v>165774</v>
      </c>
      <c r="N50" s="3"/>
      <c r="O50" s="1"/>
      <c r="V50" s="151" t="s">
        <v>98</v>
      </c>
      <c r="W50" s="152">
        <f>SUM(W47:W49)</f>
        <v>0</v>
      </c>
      <c r="X50" s="648" t="s">
        <v>99</v>
      </c>
      <c r="Y50" s="649"/>
      <c r="Z50" s="649"/>
      <c r="AA50" s="649"/>
      <c r="AB50" s="649"/>
      <c r="AC50" s="56">
        <f>IF(V2=75,0,AB49+AB48+AB47)</f>
        <v>0</v>
      </c>
      <c r="AD50" s="9"/>
    </row>
    <row r="51" spans="2:30" ht="19.5" customHeight="1" x14ac:dyDescent="0.25">
      <c r="B51" s="153" t="s">
        <v>100</v>
      </c>
      <c r="C51" s="153"/>
      <c r="D51" s="153"/>
      <c r="E51" s="153"/>
      <c r="F51" s="153"/>
      <c r="G51" s="153"/>
      <c r="H51" s="153"/>
      <c r="I51" s="153"/>
      <c r="J51" s="153"/>
      <c r="K51" s="153"/>
      <c r="L51" s="153"/>
      <c r="M51" s="141"/>
      <c r="N51" s="101"/>
      <c r="O51" s="1"/>
      <c r="V51" s="650" t="s">
        <v>100</v>
      </c>
      <c r="W51" s="650"/>
      <c r="X51" s="650"/>
      <c r="Y51" s="650"/>
      <c r="Z51" s="650"/>
      <c r="AA51" s="650"/>
      <c r="AB51" s="650"/>
      <c r="AC51" s="650"/>
      <c r="AD51" s="154"/>
    </row>
    <row r="52" spans="2:30" ht="27.75" customHeight="1" x14ac:dyDescent="0.25">
      <c r="B52" s="13" t="s">
        <v>101</v>
      </c>
      <c r="C52" s="13"/>
      <c r="D52" s="13"/>
      <c r="E52" s="13"/>
      <c r="F52" s="13"/>
      <c r="G52" s="13"/>
      <c r="H52" s="13"/>
      <c r="I52" s="13"/>
      <c r="J52" s="13"/>
      <c r="K52" s="13"/>
      <c r="L52" s="13"/>
      <c r="O52" s="1"/>
      <c r="V52" s="651" t="s">
        <v>101</v>
      </c>
      <c r="W52" s="651"/>
      <c r="X52" s="651"/>
      <c r="Y52" s="651"/>
      <c r="Z52" s="651"/>
      <c r="AA52" s="651"/>
      <c r="AB52" s="651"/>
      <c r="AC52" s="651"/>
      <c r="AD52" s="9"/>
    </row>
    <row r="53" spans="2:30" x14ac:dyDescent="0.25">
      <c r="B53" s="13" t="s">
        <v>102</v>
      </c>
      <c r="C53" s="13"/>
      <c r="D53" s="13"/>
      <c r="E53" s="13"/>
      <c r="F53" s="13"/>
      <c r="G53" s="155">
        <f>K26</f>
        <v>141.75199999999998</v>
      </c>
      <c r="H53" s="57" t="s">
        <v>103</v>
      </c>
      <c r="I53" s="57"/>
      <c r="J53" s="156">
        <v>197823.77</v>
      </c>
      <c r="K53" s="156"/>
      <c r="L53" s="156"/>
      <c r="N53" s="3"/>
      <c r="O53" s="1"/>
      <c r="V53" s="657" t="s">
        <v>102</v>
      </c>
      <c r="W53" s="657"/>
      <c r="X53" s="157">
        <f>AB26</f>
        <v>0</v>
      </c>
      <c r="Y53" s="658" t="s">
        <v>103</v>
      </c>
      <c r="Z53" s="658"/>
      <c r="AA53" s="659">
        <f>+J53</f>
        <v>197823.77</v>
      </c>
      <c r="AB53" s="659"/>
      <c r="AC53" s="659"/>
      <c r="AD53" s="9"/>
    </row>
    <row r="54" spans="2:30" x14ac:dyDescent="0.25">
      <c r="B54" s="13" t="s">
        <v>104</v>
      </c>
      <c r="C54" s="13"/>
      <c r="D54" s="13"/>
      <c r="E54" s="13"/>
      <c r="F54" s="13"/>
      <c r="G54" s="13"/>
      <c r="H54" s="13"/>
      <c r="I54" s="13"/>
      <c r="J54" s="13"/>
      <c r="K54" s="158">
        <f>ROUND(G53/J53,6)</f>
        <v>7.1699999999999997E-4</v>
      </c>
      <c r="L54" s="158"/>
      <c r="N54" s="101"/>
      <c r="O54" s="1"/>
      <c r="V54" s="657" t="s">
        <v>104</v>
      </c>
      <c r="W54" s="657"/>
      <c r="X54" s="657"/>
      <c r="Y54" s="657"/>
      <c r="Z54" s="657"/>
      <c r="AA54" s="657"/>
      <c r="AB54" s="660">
        <f>ROUND(X53/AA53,6)</f>
        <v>0</v>
      </c>
      <c r="AC54" s="660"/>
      <c r="AD54" s="9"/>
    </row>
    <row r="55" spans="2:30" ht="24" customHeight="1" x14ac:dyDescent="0.25">
      <c r="B55" s="13" t="s">
        <v>105</v>
      </c>
      <c r="C55" s="13"/>
      <c r="D55" s="13"/>
      <c r="E55" s="13"/>
      <c r="F55" s="13"/>
      <c r="G55" s="13"/>
      <c r="H55" s="13"/>
      <c r="I55" s="13"/>
      <c r="J55" s="13"/>
      <c r="K55" s="13"/>
      <c r="L55" s="13"/>
      <c r="O55" s="1"/>
      <c r="V55" s="651" t="s">
        <v>105</v>
      </c>
      <c r="W55" s="651"/>
      <c r="X55" s="651"/>
      <c r="Y55" s="651"/>
      <c r="Z55" s="651"/>
      <c r="AA55" s="651"/>
      <c r="AB55" s="651"/>
      <c r="AC55" s="651"/>
      <c r="AD55" s="9"/>
    </row>
    <row r="56" spans="2:30" x14ac:dyDescent="0.25">
      <c r="B56" s="13" t="s">
        <v>106</v>
      </c>
      <c r="C56" s="13"/>
      <c r="D56" s="13"/>
      <c r="E56" s="13"/>
      <c r="F56" s="13"/>
      <c r="G56" s="159">
        <f>G26</f>
        <v>132.82999999999998</v>
      </c>
      <c r="H56" s="57" t="s">
        <v>107</v>
      </c>
      <c r="I56" s="57"/>
      <c r="J56" s="156">
        <f>+G40</f>
        <v>180284.81</v>
      </c>
      <c r="K56" s="156"/>
      <c r="L56" s="156"/>
      <c r="O56" s="1"/>
      <c r="V56" s="657" t="s">
        <v>106</v>
      </c>
      <c r="W56" s="657"/>
      <c r="X56" s="160">
        <f>X26</f>
        <v>0</v>
      </c>
      <c r="Y56" s="658" t="s">
        <v>107</v>
      </c>
      <c r="Z56" s="658"/>
      <c r="AA56" s="659">
        <f>+J56</f>
        <v>180284.81</v>
      </c>
      <c r="AB56" s="659"/>
      <c r="AC56" s="659"/>
      <c r="AD56" s="9"/>
    </row>
    <row r="57" spans="2:30" x14ac:dyDescent="0.25">
      <c r="B57" s="13" t="s">
        <v>108</v>
      </c>
      <c r="C57" s="13"/>
      <c r="D57" s="13"/>
      <c r="E57" s="13"/>
      <c r="F57" s="13"/>
      <c r="G57" s="13"/>
      <c r="H57" s="13"/>
      <c r="I57" s="13"/>
      <c r="J57" s="13"/>
      <c r="K57" s="158">
        <f>ROUND(G56/J56,6)</f>
        <v>7.3700000000000002E-4</v>
      </c>
      <c r="L57" s="158"/>
      <c r="O57" s="1"/>
      <c r="V57" s="657" t="s">
        <v>108</v>
      </c>
      <c r="W57" s="657"/>
      <c r="X57" s="657"/>
      <c r="Y57" s="657"/>
      <c r="Z57" s="657"/>
      <c r="AA57" s="657"/>
      <c r="AB57" s="660">
        <f>ROUND(X56/AA56,6)</f>
        <v>0</v>
      </c>
      <c r="AC57" s="660"/>
      <c r="AD57" s="9"/>
    </row>
    <row r="58" spans="2:30" ht="20.25" customHeight="1" x14ac:dyDescent="0.25">
      <c r="B58" s="161" t="s">
        <v>109</v>
      </c>
      <c r="C58" s="161"/>
      <c r="D58" s="161"/>
      <c r="E58" s="161"/>
      <c r="F58" s="161"/>
      <c r="G58" s="161"/>
      <c r="H58" s="161"/>
      <c r="I58" s="161"/>
      <c r="J58" s="161"/>
      <c r="K58" s="161"/>
      <c r="L58" s="161"/>
      <c r="N58" s="18"/>
      <c r="O58" s="18"/>
      <c r="V58" s="629" t="s">
        <v>110</v>
      </c>
      <c r="W58" s="629"/>
      <c r="X58" s="629"/>
      <c r="Y58" s="661">
        <f>X65+X64+X62+X61+X60</f>
        <v>4123852</v>
      </c>
      <c r="Z58" s="661"/>
      <c r="AA58" s="162" t="s">
        <v>111</v>
      </c>
      <c r="AB58" s="163">
        <f>AB54</f>
        <v>0</v>
      </c>
      <c r="AC58" s="56">
        <f>ROUND(Y58*AB58,0)</f>
        <v>0</v>
      </c>
      <c r="AD58" s="9"/>
    </row>
    <row r="59" spans="2:30" x14ac:dyDescent="0.25">
      <c r="B59" s="62" t="s">
        <v>110</v>
      </c>
      <c r="C59" s="62"/>
      <c r="D59" s="62"/>
      <c r="E59" s="62"/>
      <c r="F59" s="62"/>
      <c r="G59" s="62"/>
      <c r="H59" s="164" t="s">
        <v>22</v>
      </c>
      <c r="I59" s="129">
        <v>4123852</v>
      </c>
      <c r="J59" s="165" t="s">
        <v>111</v>
      </c>
      <c r="K59" s="166">
        <f>K54</f>
        <v>7.1699999999999997E-4</v>
      </c>
      <c r="L59" s="50">
        <f>ROUND(I59*K59,0)</f>
        <v>2957</v>
      </c>
      <c r="O59" s="1"/>
      <c r="P59" s="165"/>
      <c r="Q59" s="165"/>
      <c r="V59" s="662" t="s">
        <v>112</v>
      </c>
      <c r="W59" s="662"/>
      <c r="X59" s="662"/>
      <c r="Y59" s="662"/>
      <c r="Z59" s="662"/>
      <c r="AA59" s="662"/>
      <c r="AB59" s="662"/>
      <c r="AC59" s="662"/>
      <c r="AD59" s="9"/>
    </row>
    <row r="60" spans="2:30" x14ac:dyDescent="0.25">
      <c r="B60" s="62" t="s">
        <v>112</v>
      </c>
      <c r="C60" s="62"/>
      <c r="D60" s="62"/>
      <c r="E60" s="62"/>
      <c r="F60" s="62"/>
      <c r="G60" s="62"/>
      <c r="H60" s="62"/>
      <c r="I60" s="62"/>
      <c r="J60" s="62"/>
      <c r="K60" s="62"/>
      <c r="L60" s="62"/>
      <c r="O60" s="1"/>
      <c r="P60" s="165"/>
      <c r="Q60" s="165"/>
      <c r="V60" s="663" t="s">
        <v>113</v>
      </c>
      <c r="W60" s="663"/>
      <c r="X60" s="664">
        <f>+G61</f>
        <v>0</v>
      </c>
      <c r="Y60" s="664"/>
      <c r="Z60" s="664"/>
      <c r="AA60" s="664"/>
      <c r="AB60" s="664"/>
      <c r="AC60" s="664"/>
      <c r="AD60" s="9"/>
    </row>
    <row r="61" spans="2:30" ht="15" customHeight="1" x14ac:dyDescent="0.25">
      <c r="B61" s="167" t="s">
        <v>113</v>
      </c>
      <c r="C61" s="62"/>
      <c r="D61" s="62"/>
      <c r="E61" s="62"/>
      <c r="F61" s="62"/>
      <c r="G61" s="168">
        <v>0</v>
      </c>
      <c r="H61" s="168"/>
      <c r="I61" s="168"/>
      <c r="J61" s="168"/>
      <c r="K61" s="168"/>
      <c r="L61" s="168"/>
      <c r="O61" s="1"/>
      <c r="P61" s="165"/>
      <c r="Q61" s="165"/>
      <c r="V61" s="663" t="s">
        <v>114</v>
      </c>
      <c r="W61" s="663"/>
      <c r="X61" s="664">
        <f>+G62</f>
        <v>0</v>
      </c>
      <c r="Y61" s="664"/>
      <c r="Z61" s="664"/>
      <c r="AA61" s="664"/>
      <c r="AB61" s="664"/>
      <c r="AC61" s="664"/>
      <c r="AD61" s="9"/>
    </row>
    <row r="62" spans="2:30" ht="13.5" customHeight="1" x14ac:dyDescent="0.25">
      <c r="B62" s="167" t="s">
        <v>114</v>
      </c>
      <c r="C62" s="62"/>
      <c r="D62" s="62"/>
      <c r="E62" s="62"/>
      <c r="F62" s="62"/>
      <c r="G62" s="168">
        <v>0</v>
      </c>
      <c r="H62" s="168"/>
      <c r="I62" s="168"/>
      <c r="J62" s="168"/>
      <c r="K62" s="168"/>
      <c r="L62" s="168"/>
      <c r="N62" s="165"/>
      <c r="O62" s="165"/>
      <c r="P62" s="165"/>
      <c r="Q62" s="165"/>
      <c r="V62" s="663" t="s">
        <v>115</v>
      </c>
      <c r="W62" s="663"/>
      <c r="X62" s="664">
        <v>0</v>
      </c>
      <c r="Y62" s="664"/>
      <c r="Z62" s="664"/>
      <c r="AA62" s="664"/>
      <c r="AB62" s="664"/>
      <c r="AC62" s="664"/>
      <c r="AD62" s="9"/>
    </row>
    <row r="63" spans="2:30" ht="13.5" hidden="1" customHeight="1" x14ac:dyDescent="0.25">
      <c r="B63" s="62" t="s">
        <v>115</v>
      </c>
      <c r="C63" s="62"/>
      <c r="D63" s="62"/>
      <c r="E63" s="62"/>
      <c r="F63" s="62"/>
      <c r="G63" s="168">
        <v>0</v>
      </c>
      <c r="H63" s="168"/>
      <c r="I63" s="168"/>
      <c r="J63" s="168"/>
      <c r="K63" s="168"/>
      <c r="L63" s="168"/>
      <c r="O63" s="1"/>
      <c r="P63" s="165"/>
      <c r="Q63" s="165"/>
      <c r="V63" s="662" t="s">
        <v>116</v>
      </c>
      <c r="W63" s="662"/>
      <c r="X63" s="662"/>
      <c r="Y63" s="662"/>
      <c r="Z63" s="662"/>
      <c r="AA63" s="662"/>
      <c r="AB63" s="662"/>
      <c r="AC63" s="662"/>
      <c r="AD63" s="117"/>
    </row>
    <row r="64" spans="2:30" ht="13.5" customHeight="1" x14ac:dyDescent="0.25">
      <c r="B64" s="62" t="s">
        <v>116</v>
      </c>
      <c r="C64" s="62"/>
      <c r="D64" s="62"/>
      <c r="E64" s="62"/>
      <c r="F64" s="62"/>
      <c r="G64" s="62"/>
      <c r="H64" s="62"/>
      <c r="I64" s="62"/>
      <c r="J64" s="62"/>
      <c r="K64" s="62"/>
      <c r="L64" s="62"/>
      <c r="M64" s="116"/>
      <c r="N64" s="18"/>
      <c r="O64" s="1"/>
      <c r="V64" s="663" t="s">
        <v>117</v>
      </c>
      <c r="W64" s="663"/>
      <c r="X64" s="664">
        <f>+G65</f>
        <v>4123852</v>
      </c>
      <c r="Y64" s="664"/>
      <c r="Z64" s="664"/>
      <c r="AA64" s="664"/>
      <c r="AB64" s="664"/>
      <c r="AC64" s="664"/>
      <c r="AD64" s="9"/>
    </row>
    <row r="65" spans="1:30" ht="12.75" customHeight="1" x14ac:dyDescent="0.25">
      <c r="B65" s="167" t="s">
        <v>117</v>
      </c>
      <c r="C65" s="62"/>
      <c r="D65" s="62"/>
      <c r="E65" s="62"/>
      <c r="F65" s="62"/>
      <c r="G65" s="168">
        <f>+I59</f>
        <v>4123852</v>
      </c>
      <c r="H65" s="168"/>
      <c r="I65" s="168"/>
      <c r="J65" s="168"/>
      <c r="K65" s="168"/>
      <c r="L65" s="168"/>
      <c r="O65" s="1"/>
      <c r="V65" s="663" t="s">
        <v>118</v>
      </c>
      <c r="W65" s="663"/>
      <c r="X65" s="664">
        <f>+G66</f>
        <v>0</v>
      </c>
      <c r="Y65" s="664"/>
      <c r="Z65" s="664"/>
      <c r="AA65" s="664"/>
      <c r="AB65" s="664"/>
      <c r="AC65" s="664"/>
      <c r="AD65" s="20"/>
    </row>
    <row r="66" spans="1:30" ht="15" customHeight="1" x14ac:dyDescent="0.25">
      <c r="B66" s="167" t="s">
        <v>118</v>
      </c>
      <c r="C66" s="62"/>
      <c r="D66" s="62"/>
      <c r="E66" s="62"/>
      <c r="F66" s="62"/>
      <c r="G66" s="168">
        <v>0</v>
      </c>
      <c r="H66" s="168"/>
      <c r="I66" s="168"/>
      <c r="J66" s="168"/>
      <c r="K66" s="168"/>
      <c r="L66" s="168"/>
      <c r="M66" s="18"/>
      <c r="N66" s="3"/>
      <c r="O66" s="169"/>
      <c r="P66" s="169"/>
      <c r="Q66" s="169"/>
      <c r="V66" s="651" t="s">
        <v>119</v>
      </c>
      <c r="W66" s="651"/>
      <c r="X66" s="651"/>
      <c r="Y66" s="661">
        <f>+I67</f>
        <v>96774526</v>
      </c>
      <c r="Z66" s="661"/>
      <c r="AA66" s="162" t="s">
        <v>111</v>
      </c>
      <c r="AB66" s="163">
        <f>AB54</f>
        <v>0</v>
      </c>
      <c r="AC66" s="56">
        <f>ROUND(Y66*AB66,0)</f>
        <v>0</v>
      </c>
      <c r="AD66" s="9"/>
    </row>
    <row r="67" spans="1:30" ht="20.25" customHeight="1" x14ac:dyDescent="0.25">
      <c r="B67" s="13" t="s">
        <v>119</v>
      </c>
      <c r="C67" s="13"/>
      <c r="D67" s="13"/>
      <c r="E67" s="13"/>
      <c r="F67" s="13"/>
      <c r="H67" s="164" t="s">
        <v>25</v>
      </c>
      <c r="I67" s="129">
        <v>96774526</v>
      </c>
      <c r="J67" s="165" t="s">
        <v>111</v>
      </c>
      <c r="K67" s="166">
        <f>K54</f>
        <v>7.1699999999999997E-4</v>
      </c>
      <c r="L67" s="50">
        <f>ROUND(I67*K67,0)</f>
        <v>69387</v>
      </c>
      <c r="O67" s="1"/>
      <c r="V67" s="651" t="s">
        <v>120</v>
      </c>
      <c r="W67" s="651"/>
      <c r="X67" s="651"/>
      <c r="Y67" s="651"/>
      <c r="Z67" s="651"/>
      <c r="AA67" s="651"/>
      <c r="AB67" s="651"/>
      <c r="AC67" s="651"/>
      <c r="AD67" s="9"/>
    </row>
    <row r="68" spans="1:30" ht="20.25" customHeight="1" x14ac:dyDescent="0.25">
      <c r="B68" s="13" t="s">
        <v>120</v>
      </c>
      <c r="C68" s="13"/>
      <c r="D68" s="13"/>
      <c r="E68" s="13"/>
      <c r="F68" s="13"/>
      <c r="H68" s="13"/>
      <c r="I68" s="13"/>
      <c r="J68" s="82"/>
      <c r="K68" s="13"/>
      <c r="L68" s="13"/>
      <c r="O68" s="1"/>
      <c r="V68" s="667" t="s">
        <v>121</v>
      </c>
      <c r="W68" s="667"/>
      <c r="X68" s="667"/>
      <c r="Y68" s="661">
        <f>+I69</f>
        <v>0</v>
      </c>
      <c r="Z68" s="661"/>
      <c r="AA68" s="162" t="s">
        <v>111</v>
      </c>
      <c r="AB68" s="163">
        <f>AB57</f>
        <v>0</v>
      </c>
      <c r="AC68" s="56">
        <f>ROUND(Y68*AB68,0)</f>
        <v>0</v>
      </c>
      <c r="AD68" s="9"/>
    </row>
    <row r="69" spans="1:30" ht="15" customHeight="1" x14ac:dyDescent="0.25">
      <c r="B69" s="170" t="s">
        <v>121</v>
      </c>
      <c r="C69" s="13"/>
      <c r="D69" s="13"/>
      <c r="E69" s="13"/>
      <c r="F69" s="13"/>
      <c r="H69" s="164" t="s">
        <v>23</v>
      </c>
      <c r="I69" s="129">
        <v>0</v>
      </c>
      <c r="J69" s="165" t="s">
        <v>111</v>
      </c>
      <c r="K69" s="166">
        <f>K57</f>
        <v>7.3700000000000002E-4</v>
      </c>
      <c r="L69" s="50">
        <f>ROUND(I69*K69,0)</f>
        <v>0</v>
      </c>
      <c r="O69" s="1"/>
      <c r="V69" s="651" t="s">
        <v>122</v>
      </c>
      <c r="W69" s="651"/>
      <c r="X69" s="651"/>
      <c r="Y69" s="668">
        <f>+I70</f>
        <v>-3460775</v>
      </c>
      <c r="Z69" s="668"/>
      <c r="AA69" s="162" t="s">
        <v>111</v>
      </c>
      <c r="AB69" s="163">
        <f>AB54</f>
        <v>0</v>
      </c>
      <c r="AC69" s="56">
        <f>ROUND(Y69*AB69,0)</f>
        <v>0</v>
      </c>
      <c r="AD69" s="9"/>
    </row>
    <row r="70" spans="1:30" ht="20.25" customHeight="1" x14ac:dyDescent="0.25">
      <c r="B70" s="13" t="s">
        <v>122</v>
      </c>
      <c r="C70" s="13"/>
      <c r="D70" s="13"/>
      <c r="E70" s="13"/>
      <c r="F70" s="13"/>
      <c r="H70" s="164" t="s">
        <v>22</v>
      </c>
      <c r="I70" s="129">
        <v>-3460775</v>
      </c>
      <c r="J70" s="165" t="s">
        <v>111</v>
      </c>
      <c r="K70" s="166">
        <f>K54</f>
        <v>7.1699999999999997E-4</v>
      </c>
      <c r="L70" s="50">
        <f>ROUND(I70*K70,0)</f>
        <v>-2481</v>
      </c>
      <c r="O70" s="1"/>
      <c r="V70" s="651" t="s">
        <v>123</v>
      </c>
      <c r="W70" s="651"/>
      <c r="X70" s="651"/>
      <c r="Y70" s="665">
        <f>+I71</f>
        <v>1874788</v>
      </c>
      <c r="Z70" s="665"/>
      <c r="AA70" s="162" t="s">
        <v>111</v>
      </c>
      <c r="AB70" s="163">
        <f>AB54</f>
        <v>0</v>
      </c>
      <c r="AC70" s="56">
        <f>ROUND(Y70*AB70,0)</f>
        <v>0</v>
      </c>
      <c r="AD70" s="9"/>
    </row>
    <row r="71" spans="1:30" ht="20.25" customHeight="1" x14ac:dyDescent="0.25">
      <c r="B71" s="13" t="s">
        <v>123</v>
      </c>
      <c r="C71" s="13"/>
      <c r="D71" s="13"/>
      <c r="E71" s="13"/>
      <c r="F71" s="13"/>
      <c r="H71" s="164" t="s">
        <v>22</v>
      </c>
      <c r="I71" s="129">
        <v>1874788</v>
      </c>
      <c r="J71" s="165" t="s">
        <v>111</v>
      </c>
      <c r="K71" s="166">
        <f>K54</f>
        <v>7.1699999999999997E-4</v>
      </c>
      <c r="L71" s="50">
        <f>ROUND(I71*K71,0)</f>
        <v>1344</v>
      </c>
      <c r="O71" s="1"/>
      <c r="V71" s="651" t="s">
        <v>124</v>
      </c>
      <c r="W71" s="651"/>
      <c r="X71" s="651"/>
      <c r="Y71" s="665">
        <f>+I72</f>
        <v>14223298</v>
      </c>
      <c r="Z71" s="665"/>
      <c r="AA71" s="162" t="s">
        <v>111</v>
      </c>
      <c r="AB71" s="163">
        <f>AB57</f>
        <v>0</v>
      </c>
      <c r="AC71" s="56">
        <f>ROUND(Y71*AB71,0)</f>
        <v>0</v>
      </c>
      <c r="AD71" s="9"/>
    </row>
    <row r="72" spans="1:30" ht="21" customHeight="1" x14ac:dyDescent="0.25">
      <c r="B72" s="13" t="s">
        <v>124</v>
      </c>
      <c r="C72" s="13"/>
      <c r="D72" s="13"/>
      <c r="E72" s="13"/>
      <c r="F72" s="13"/>
      <c r="H72" s="164" t="s">
        <v>23</v>
      </c>
      <c r="I72" s="171">
        <v>14223298</v>
      </c>
      <c r="J72" s="165" t="s">
        <v>111</v>
      </c>
      <c r="K72" s="166">
        <f>K57</f>
        <v>7.3700000000000002E-4</v>
      </c>
      <c r="L72" s="50">
        <f>ROUND(I72*K72,0)</f>
        <v>10483</v>
      </c>
      <c r="O72" s="1"/>
      <c r="V72" s="623" t="s">
        <v>125</v>
      </c>
      <c r="W72" s="623"/>
      <c r="X72" s="623"/>
      <c r="Y72" s="623"/>
      <c r="Z72" s="623"/>
      <c r="AA72" s="623"/>
      <c r="AB72" s="623"/>
      <c r="AC72" s="60"/>
      <c r="AD72" s="9"/>
    </row>
    <row r="73" spans="1:30" ht="17.25" customHeight="1" x14ac:dyDescent="0.25">
      <c r="B73" s="13" t="s">
        <v>125</v>
      </c>
      <c r="C73" s="13"/>
      <c r="D73" s="13"/>
      <c r="E73" s="13"/>
      <c r="F73" s="13"/>
      <c r="H73" s="13"/>
      <c r="I73" s="13"/>
      <c r="J73" s="82"/>
      <c r="K73" s="13"/>
      <c r="L73" s="59"/>
      <c r="O73" s="1"/>
      <c r="V73" s="651" t="s">
        <v>126</v>
      </c>
      <c r="W73" s="651"/>
      <c r="X73" s="651"/>
      <c r="Y73" s="651"/>
      <c r="Z73" s="651"/>
      <c r="AA73" s="651"/>
      <c r="AB73" s="651"/>
      <c r="AC73" s="651"/>
      <c r="AD73" s="9"/>
    </row>
    <row r="74" spans="1:30" ht="31.5" x14ac:dyDescent="0.25">
      <c r="B74" s="13" t="s">
        <v>126</v>
      </c>
      <c r="C74" s="13"/>
      <c r="D74" s="27" t="s">
        <v>13</v>
      </c>
      <c r="E74" s="27" t="s">
        <v>14</v>
      </c>
      <c r="F74" s="27"/>
      <c r="H74" s="164" t="s">
        <v>26</v>
      </c>
      <c r="I74" s="172"/>
      <c r="J74" s="164"/>
      <c r="K74" s="172"/>
      <c r="L74" s="112"/>
      <c r="O74" s="1"/>
      <c r="V74" s="666" t="s">
        <v>127</v>
      </c>
      <c r="W74" s="666"/>
      <c r="X74" s="173" t="s">
        <v>128</v>
      </c>
      <c r="Y74" s="174"/>
      <c r="Z74" s="175">
        <f>+I75</f>
        <v>19.5</v>
      </c>
      <c r="AA74" s="176" t="s">
        <v>129</v>
      </c>
      <c r="AB74" s="177">
        <f>+K75</f>
        <v>361</v>
      </c>
      <c r="AC74" s="56">
        <f>ROUND(AB74*Z74,0)</f>
        <v>7040</v>
      </c>
      <c r="AD74" s="9"/>
    </row>
    <row r="75" spans="1:30" ht="19.5" customHeight="1" x14ac:dyDescent="0.25">
      <c r="A75" s="1" t="s">
        <v>130</v>
      </c>
      <c r="B75" s="178" t="s">
        <v>127</v>
      </c>
      <c r="C75" s="179" t="s">
        <v>128</v>
      </c>
      <c r="D75" s="178">
        <v>19</v>
      </c>
      <c r="E75" s="178">
        <v>20</v>
      </c>
      <c r="F75" s="178">
        <v>0</v>
      </c>
      <c r="G75" s="180">
        <f>IF(E75=0,D75,E75)</f>
        <v>20</v>
      </c>
      <c r="H75" s="181"/>
      <c r="I75" s="182">
        <f>AVERAGE(G75,D75)</f>
        <v>19.5</v>
      </c>
      <c r="J75" s="183" t="s">
        <v>129</v>
      </c>
      <c r="K75" s="184">
        <v>361</v>
      </c>
      <c r="L75" s="50">
        <f>ROUND(K75*I75,0)</f>
        <v>7040</v>
      </c>
      <c r="N75" s="1">
        <v>7802</v>
      </c>
      <c r="O75" s="1">
        <v>0</v>
      </c>
      <c r="V75" s="666" t="s">
        <v>127</v>
      </c>
      <c r="W75" s="666"/>
      <c r="X75" s="173" t="s">
        <v>131</v>
      </c>
      <c r="Y75" s="185"/>
      <c r="Z75" s="186">
        <f>+I76</f>
        <v>0</v>
      </c>
      <c r="AA75" s="176" t="s">
        <v>129</v>
      </c>
      <c r="AB75" s="187">
        <f>+K76</f>
        <v>1358</v>
      </c>
      <c r="AC75" s="56">
        <f>ROUND(AB75*Z75,0)</f>
        <v>0</v>
      </c>
      <c r="AD75" s="9"/>
    </row>
    <row r="76" spans="1:30" ht="19.5" customHeight="1" x14ac:dyDescent="0.25">
      <c r="A76" s="1" t="s">
        <v>132</v>
      </c>
      <c r="B76" s="178" t="s">
        <v>127</v>
      </c>
      <c r="C76" s="179" t="s">
        <v>131</v>
      </c>
      <c r="D76" s="178">
        <v>0</v>
      </c>
      <c r="E76" s="178">
        <v>0</v>
      </c>
      <c r="F76" s="178">
        <v>0</v>
      </c>
      <c r="G76" s="180">
        <f>IF(E76=0,D76,E76)</f>
        <v>0</v>
      </c>
      <c r="H76" s="181"/>
      <c r="I76" s="182">
        <f>AVERAGE(G76,D76)</f>
        <v>0</v>
      </c>
      <c r="J76" s="183" t="s">
        <v>129</v>
      </c>
      <c r="K76" s="188">
        <v>1358</v>
      </c>
      <c r="L76" s="50">
        <f>ROUND(K76*I76,0)</f>
        <v>0</v>
      </c>
      <c r="N76" s="1">
        <v>7802</v>
      </c>
      <c r="O76" s="1">
        <v>110</v>
      </c>
      <c r="V76" s="651" t="s">
        <v>133</v>
      </c>
      <c r="W76" s="651"/>
      <c r="X76" s="651"/>
      <c r="Y76" s="661">
        <f>+I77</f>
        <v>33305823</v>
      </c>
      <c r="Z76" s="661"/>
      <c r="AA76" s="176" t="s">
        <v>129</v>
      </c>
      <c r="AB76" s="163">
        <f>AB54</f>
        <v>0</v>
      </c>
      <c r="AC76" s="56">
        <f>ROUND(Y76*AB76,0)</f>
        <v>0</v>
      </c>
      <c r="AD76" s="9"/>
    </row>
    <row r="77" spans="1:30" ht="26.25" customHeight="1" x14ac:dyDescent="0.25">
      <c r="B77" s="13" t="s">
        <v>133</v>
      </c>
      <c r="C77" s="13"/>
      <c r="D77" s="13"/>
      <c r="E77" s="13"/>
      <c r="F77" s="13"/>
      <c r="H77" s="164" t="s">
        <v>134</v>
      </c>
      <c r="I77" s="189">
        <v>33305823</v>
      </c>
      <c r="J77" s="165" t="s">
        <v>111</v>
      </c>
      <c r="K77" s="166">
        <f>K54</f>
        <v>7.1699999999999997E-4</v>
      </c>
      <c r="L77" s="50">
        <f>ROUND(I77*K77,0)</f>
        <v>23880</v>
      </c>
      <c r="O77" s="1"/>
      <c r="V77" s="651" t="str">
        <f>+B78</f>
        <v>15.  Additional Allocation (WFTE share)</v>
      </c>
      <c r="W77" s="651"/>
      <c r="X77" s="651"/>
      <c r="Y77" s="661">
        <f>+I78</f>
        <v>680688</v>
      </c>
      <c r="Z77" s="661"/>
      <c r="AA77" s="176" t="s">
        <v>129</v>
      </c>
      <c r="AB77" s="163">
        <f>AB54</f>
        <v>0</v>
      </c>
      <c r="AC77" s="56">
        <f>ROUND(Y77*AB77,0)</f>
        <v>0</v>
      </c>
      <c r="AD77" s="9"/>
    </row>
    <row r="78" spans="1:30" ht="26.25" customHeight="1" x14ac:dyDescent="0.25">
      <c r="B78" s="669" t="s">
        <v>135</v>
      </c>
      <c r="C78" s="669"/>
      <c r="D78" s="669"/>
      <c r="E78" s="13"/>
      <c r="F78" s="13"/>
      <c r="H78" s="164" t="s">
        <v>136</v>
      </c>
      <c r="I78" s="190">
        <v>680688</v>
      </c>
      <c r="J78" s="165" t="s">
        <v>111</v>
      </c>
      <c r="K78" s="166">
        <f>K54</f>
        <v>7.1699999999999997E-4</v>
      </c>
      <c r="L78" s="50">
        <f>ROUND(I78*K78,0)</f>
        <v>488</v>
      </c>
      <c r="O78" s="1"/>
      <c r="V78" s="651" t="str">
        <f t="shared" ref="V78:V79" si="11">+B79</f>
        <v>16.  Florida Teachers Lead Program Stipend</v>
      </c>
      <c r="W78" s="651"/>
      <c r="X78" s="651"/>
      <c r="Y78" s="191"/>
      <c r="Z78" s="191"/>
      <c r="AA78" s="191"/>
      <c r="AB78" s="191"/>
      <c r="AC78" s="134"/>
      <c r="AD78" s="9"/>
    </row>
    <row r="79" spans="1:30" ht="21" customHeight="1" x14ac:dyDescent="0.25">
      <c r="B79" s="669" t="s">
        <v>137</v>
      </c>
      <c r="C79" s="669"/>
      <c r="D79" s="669"/>
      <c r="E79" s="13"/>
      <c r="F79" s="13"/>
      <c r="H79" s="164"/>
      <c r="I79" s="172"/>
      <c r="J79" s="172"/>
      <c r="K79" s="172"/>
      <c r="L79" s="129"/>
      <c r="N79" s="192"/>
      <c r="O79" s="1"/>
      <c r="Q79" s="164"/>
      <c r="V79" s="651" t="str">
        <f t="shared" si="11"/>
        <v>17.  Food Service Allocation</v>
      </c>
      <c r="W79" s="651"/>
      <c r="X79" s="651"/>
      <c r="Y79" s="191"/>
      <c r="Z79" s="191"/>
      <c r="AA79" s="191"/>
      <c r="AB79" s="191"/>
      <c r="AC79" s="193"/>
      <c r="AD79" s="9"/>
    </row>
    <row r="80" spans="1:30" ht="21" customHeight="1" x14ac:dyDescent="0.25">
      <c r="B80" s="669" t="s">
        <v>138</v>
      </c>
      <c r="C80" s="669"/>
      <c r="D80" s="669"/>
      <c r="E80" s="13"/>
      <c r="F80" s="13"/>
      <c r="H80" s="194" t="s">
        <v>139</v>
      </c>
      <c r="I80" s="195"/>
      <c r="J80" s="195"/>
      <c r="K80" s="195"/>
      <c r="L80" s="196"/>
      <c r="N80" s="197"/>
      <c r="O80" s="1"/>
      <c r="Q80" s="164"/>
      <c r="V80" s="191"/>
      <c r="W80" s="191"/>
      <c r="X80" s="191"/>
      <c r="Y80" s="191"/>
      <c r="Z80" s="191"/>
      <c r="AA80" s="191"/>
      <c r="AB80" s="191"/>
      <c r="AC80" s="193"/>
      <c r="AD80" s="9"/>
    </row>
    <row r="81" spans="1:30" ht="21" customHeight="1" thickBot="1" x14ac:dyDescent="0.3">
      <c r="B81" s="13"/>
      <c r="C81" s="13"/>
      <c r="D81" s="13"/>
      <c r="E81" s="13"/>
      <c r="F81" s="13"/>
      <c r="G81" s="13"/>
      <c r="H81" s="13"/>
      <c r="I81" s="13"/>
      <c r="J81" s="13"/>
      <c r="K81" s="13"/>
      <c r="L81" s="196"/>
      <c r="M81" s="198"/>
      <c r="N81" s="197"/>
      <c r="O81" s="1"/>
      <c r="Q81" s="164"/>
      <c r="V81" s="191" t="s">
        <v>140</v>
      </c>
      <c r="W81" s="191"/>
      <c r="X81" s="191"/>
      <c r="Y81" s="191"/>
      <c r="Z81" s="191"/>
      <c r="AA81" s="191"/>
      <c r="AB81" s="191"/>
      <c r="AC81" s="199">
        <f>SUM(AC44:AC80)</f>
        <v>7040</v>
      </c>
      <c r="AD81" s="200"/>
    </row>
    <row r="82" spans="1:30" ht="22.5" customHeight="1" thickTop="1" thickBot="1" x14ac:dyDescent="0.3">
      <c r="B82" s="13" t="s">
        <v>141</v>
      </c>
      <c r="C82" s="13"/>
      <c r="D82" s="13"/>
      <c r="E82" s="13"/>
      <c r="F82" s="13"/>
      <c r="G82" s="13"/>
      <c r="H82" s="13"/>
      <c r="I82" s="13"/>
      <c r="J82" s="13"/>
      <c r="K82" s="13"/>
      <c r="L82" s="201">
        <f>SUM(L44:L81)</f>
        <v>868397</v>
      </c>
      <c r="M82" s="202"/>
      <c r="N82" s="203"/>
      <c r="O82" s="1"/>
      <c r="Q82" s="164"/>
      <c r="V82" s="191"/>
      <c r="W82" s="191"/>
      <c r="X82" s="191"/>
      <c r="Y82" s="191"/>
      <c r="Z82" s="191"/>
      <c r="AA82" s="191"/>
      <c r="AB82" s="191"/>
      <c r="AC82" s="204"/>
      <c r="AD82" s="200"/>
    </row>
    <row r="83" spans="1:30" ht="27.75" customHeight="1" thickTop="1" x14ac:dyDescent="0.25">
      <c r="B83" s="13" t="s">
        <v>142</v>
      </c>
      <c r="C83" s="13"/>
      <c r="D83" s="13"/>
      <c r="E83" s="13"/>
      <c r="F83" s="13"/>
      <c r="G83" s="13"/>
      <c r="H83" s="13"/>
      <c r="I83" s="13"/>
      <c r="J83" s="13"/>
      <c r="K83" s="82" t="s">
        <v>143</v>
      </c>
      <c r="L83" s="205" t="s">
        <v>144</v>
      </c>
      <c r="M83" s="202"/>
      <c r="N83" s="203"/>
      <c r="O83" s="1"/>
      <c r="Q83" s="164"/>
      <c r="V83" s="9" t="s">
        <v>145</v>
      </c>
      <c r="W83" s="9"/>
      <c r="X83" s="9"/>
      <c r="Y83" s="9"/>
      <c r="Z83" s="9"/>
      <c r="AA83" s="9"/>
      <c r="AB83" s="9"/>
      <c r="AC83" s="9"/>
      <c r="AD83" s="206"/>
    </row>
    <row r="84" spans="1:30" ht="18.75" customHeight="1" thickBot="1" x14ac:dyDescent="0.3">
      <c r="B84" s="13" t="s">
        <v>146</v>
      </c>
      <c r="C84" s="13"/>
      <c r="D84" s="13"/>
      <c r="E84" s="13"/>
      <c r="F84" s="13"/>
      <c r="G84" s="13"/>
      <c r="H84" s="13"/>
      <c r="I84" s="13"/>
      <c r="J84" s="13"/>
      <c r="K84" s="207" t="str">
        <f>IF(G26=0,"",IF((G11+G13+SUM(G15:G21))/G26&gt;0.75,1,""))</f>
        <v/>
      </c>
      <c r="L84" s="201">
        <f>'0664'!AC81</f>
        <v>7040</v>
      </c>
      <c r="M84" s="202"/>
      <c r="N84" s="203"/>
      <c r="O84" s="1"/>
      <c r="Q84" s="164"/>
      <c r="V84" s="208" t="s">
        <v>147</v>
      </c>
      <c r="W84" s="208"/>
      <c r="X84" s="208"/>
      <c r="Y84" s="208"/>
      <c r="Z84" s="208"/>
      <c r="AA84" s="208"/>
      <c r="AB84" s="208"/>
      <c r="AC84" s="208"/>
      <c r="AD84" s="9"/>
    </row>
    <row r="85" spans="1:30" ht="18.75" customHeight="1" thickTop="1" x14ac:dyDescent="0.25">
      <c r="B85" s="13"/>
      <c r="C85" s="13"/>
      <c r="D85" s="13"/>
      <c r="E85" s="13"/>
      <c r="F85" s="13"/>
      <c r="G85" s="13"/>
      <c r="H85" s="13"/>
      <c r="I85" s="13"/>
      <c r="J85" s="13"/>
      <c r="M85" s="202"/>
      <c r="N85" s="203"/>
      <c r="O85" s="1"/>
      <c r="Q85" s="164"/>
      <c r="V85" s="208" t="s">
        <v>148</v>
      </c>
      <c r="W85" s="208"/>
      <c r="X85" s="208"/>
      <c r="Y85" s="208"/>
      <c r="Z85" s="208"/>
      <c r="AA85" s="208"/>
      <c r="AB85" s="208"/>
      <c r="AC85" s="208"/>
      <c r="AD85" s="206"/>
    </row>
    <row r="86" spans="1:30" ht="18.75" customHeight="1" x14ac:dyDescent="0.25">
      <c r="B86" s="2" t="s">
        <v>149</v>
      </c>
      <c r="C86" s="13"/>
      <c r="D86" s="13"/>
      <c r="E86" s="13"/>
      <c r="F86" s="13"/>
      <c r="G86" s="13"/>
      <c r="H86" s="13"/>
      <c r="I86" s="13"/>
      <c r="J86" s="209" t="s">
        <v>150</v>
      </c>
      <c r="K86" s="210">
        <f>IF(K84=1,L84,L82)</f>
        <v>868397</v>
      </c>
      <c r="L86" s="211">
        <f>IF(G26=0,0,IF(G26&gt;250,-(((250/G26)*K86)*IF(M86="H",0.02,0.05)),IF(M86="H",-0.02*K86,-0.05*K86)))</f>
        <v>-43419.850000000006</v>
      </c>
      <c r="M86" s="212" t="str">
        <f>IF(B123="2801","H",IF(B123="2911","H",IF(B123="3382","H"," ")))</f>
        <v xml:space="preserve"> </v>
      </c>
      <c r="N86" s="203"/>
      <c r="O86" s="1"/>
      <c r="Q86" s="164"/>
      <c r="V86" s="208" t="s">
        <v>151</v>
      </c>
      <c r="W86" s="208"/>
      <c r="X86" s="208"/>
      <c r="Y86" s="208"/>
      <c r="Z86" s="208"/>
      <c r="AA86" s="208"/>
      <c r="AB86" s="208"/>
      <c r="AC86" s="208"/>
      <c r="AD86" s="206"/>
    </row>
    <row r="87" spans="1:30" ht="18.75" customHeight="1" x14ac:dyDescent="0.25">
      <c r="B87" s="2" t="s">
        <v>152</v>
      </c>
      <c r="C87" s="13"/>
      <c r="D87" s="13"/>
      <c r="E87" s="13"/>
      <c r="F87" s="13"/>
      <c r="G87" s="13"/>
      <c r="H87" s="13"/>
      <c r="I87" s="13"/>
      <c r="J87" s="13"/>
      <c r="K87" s="213"/>
      <c r="L87" s="205">
        <f>L82+L86</f>
        <v>824977.15</v>
      </c>
      <c r="M87" s="202"/>
      <c r="N87" s="203"/>
      <c r="O87" s="1"/>
      <c r="Q87" s="164"/>
      <c r="V87" s="198"/>
      <c r="W87" s="198"/>
      <c r="X87" s="198"/>
      <c r="Y87" s="198"/>
      <c r="Z87" s="198"/>
      <c r="AA87" s="198"/>
      <c r="AB87" s="198"/>
      <c r="AC87" s="198"/>
      <c r="AD87" s="214"/>
    </row>
    <row r="88" spans="1:30" x14ac:dyDescent="0.25">
      <c r="V88" s="198"/>
      <c r="W88" s="198"/>
      <c r="X88" s="198"/>
      <c r="Y88" s="198"/>
      <c r="Z88" s="198"/>
      <c r="AA88" s="198"/>
      <c r="AB88" s="198"/>
      <c r="AC88" s="198"/>
      <c r="AD88" s="215"/>
    </row>
    <row r="89" spans="1:30" ht="18.75" customHeight="1" x14ac:dyDescent="0.25">
      <c r="A89" s="1" t="s">
        <v>153</v>
      </c>
      <c r="B89" s="13" t="s">
        <v>154</v>
      </c>
      <c r="C89" s="13"/>
      <c r="D89" s="13">
        <v>413022</v>
      </c>
      <c r="E89" s="13">
        <v>71143</v>
      </c>
      <c r="F89" s="13">
        <v>697526</v>
      </c>
      <c r="G89" s="13"/>
      <c r="H89" s="13"/>
      <c r="I89" s="13"/>
      <c r="J89" s="13"/>
      <c r="K89" s="213"/>
      <c r="L89" s="84">
        <f>-F89-64971</f>
        <v>-762497</v>
      </c>
      <c r="M89" s="202"/>
      <c r="N89" s="203"/>
      <c r="O89" s="1"/>
      <c r="Q89" s="164"/>
      <c r="V89" s="198">
        <v>2801</v>
      </c>
      <c r="W89" s="198"/>
      <c r="X89" s="198"/>
      <c r="Y89" s="198"/>
      <c r="Z89" s="198"/>
      <c r="AA89" s="198"/>
      <c r="AB89" s="198"/>
      <c r="AC89" s="198"/>
      <c r="AD89" s="214"/>
    </row>
    <row r="90" spans="1:30" ht="18.75" customHeight="1" x14ac:dyDescent="0.25">
      <c r="B90" s="13" t="s">
        <v>155</v>
      </c>
      <c r="C90" s="13"/>
      <c r="D90" s="13"/>
      <c r="E90" s="13"/>
      <c r="F90" s="13"/>
      <c r="G90" s="13"/>
      <c r="H90" s="13"/>
      <c r="I90" s="13"/>
      <c r="J90" s="13"/>
      <c r="K90" s="213"/>
      <c r="L90" s="205">
        <f>L87+L89</f>
        <v>62480.150000000023</v>
      </c>
      <c r="M90" s="202"/>
      <c r="N90" s="203"/>
      <c r="O90" s="1"/>
      <c r="Q90" s="164"/>
      <c r="V90" s="198">
        <v>2911</v>
      </c>
      <c r="W90" s="216"/>
      <c r="X90" s="216"/>
      <c r="Y90" s="216"/>
      <c r="Z90" s="216"/>
      <c r="AA90" s="216"/>
      <c r="AB90" s="216"/>
      <c r="AC90" s="216"/>
      <c r="AD90" s="214"/>
    </row>
    <row r="91" spans="1:30" ht="18.75" customHeight="1" x14ac:dyDescent="0.25">
      <c r="B91" s="13" t="s">
        <v>156</v>
      </c>
      <c r="C91" s="13"/>
      <c r="D91" s="13"/>
      <c r="E91" s="13"/>
      <c r="F91" s="13"/>
      <c r="G91" s="13"/>
      <c r="H91" s="13"/>
      <c r="I91" s="13"/>
      <c r="J91" s="13"/>
      <c r="K91" s="213"/>
      <c r="L91" s="205">
        <v>1</v>
      </c>
      <c r="M91" s="202"/>
      <c r="N91" s="203"/>
      <c r="O91" s="1"/>
      <c r="Q91" s="164"/>
      <c r="V91" s="198">
        <v>3382</v>
      </c>
      <c r="W91" s="216"/>
      <c r="X91" s="216"/>
      <c r="Y91" s="216"/>
      <c r="Z91" s="216"/>
      <c r="AA91" s="216"/>
      <c r="AB91" s="216"/>
      <c r="AC91" s="216"/>
      <c r="AD91" s="214"/>
    </row>
    <row r="92" spans="1:30" ht="18.75" customHeight="1" thickBot="1" x14ac:dyDescent="0.3">
      <c r="B92" s="13" t="s">
        <v>157</v>
      </c>
      <c r="C92" s="13"/>
      <c r="D92" s="13"/>
      <c r="E92" s="13"/>
      <c r="F92" s="13"/>
      <c r="G92" s="13"/>
      <c r="H92" s="13"/>
      <c r="I92" s="13"/>
      <c r="J92" s="13"/>
      <c r="K92" s="213"/>
      <c r="L92" s="217">
        <f>L90/L91</f>
        <v>62480.150000000023</v>
      </c>
      <c r="M92" s="202"/>
      <c r="N92" s="203"/>
      <c r="O92" s="1"/>
      <c r="Q92" s="164"/>
      <c r="V92" s="218"/>
      <c r="W92" s="218"/>
      <c r="X92" s="218"/>
      <c r="Y92" s="218"/>
      <c r="Z92" s="218"/>
      <c r="AA92" s="218"/>
      <c r="AB92" s="218"/>
      <c r="AC92" s="218"/>
      <c r="AD92" s="219"/>
    </row>
    <row r="93" spans="1:30" ht="18.75" customHeight="1" thickTop="1" x14ac:dyDescent="0.25">
      <c r="N93" s="219"/>
      <c r="O93" s="220"/>
      <c r="P93" s="219"/>
      <c r="Q93" s="219"/>
      <c r="V93" s="218"/>
      <c r="W93" s="218"/>
      <c r="X93" s="218"/>
      <c r="Y93" s="218"/>
      <c r="Z93" s="218"/>
      <c r="AA93" s="218"/>
      <c r="AB93" s="218"/>
      <c r="AC93" s="218"/>
      <c r="AD93" s="214"/>
    </row>
    <row r="94" spans="1:30" ht="18.75" customHeight="1" thickBot="1" x14ac:dyDescent="0.3">
      <c r="B94" s="221" t="s">
        <v>158</v>
      </c>
      <c r="C94" s="13"/>
      <c r="D94" s="13"/>
      <c r="E94" s="13"/>
      <c r="G94" s="13"/>
      <c r="H94" s="13"/>
      <c r="I94" s="13"/>
      <c r="J94" s="13"/>
      <c r="L94" s="222">
        <f>IF(M86="H",(K86*0.02)+L86,(K86*0.05)+L86)</f>
        <v>0</v>
      </c>
      <c r="M94" s="202"/>
      <c r="V94" s="223"/>
      <c r="W94" s="223"/>
      <c r="X94" s="223"/>
      <c r="Y94" s="223"/>
      <c r="Z94" s="223"/>
      <c r="AA94" s="223"/>
      <c r="AB94" s="223"/>
      <c r="AC94" s="223"/>
      <c r="AD94" s="214"/>
    </row>
    <row r="95" spans="1:30" ht="21.75" customHeight="1" thickTop="1" x14ac:dyDescent="0.25">
      <c r="B95" s="224" t="s">
        <v>159</v>
      </c>
      <c r="C95" s="224"/>
      <c r="D95" s="224"/>
      <c r="E95" s="224"/>
      <c r="F95" s="224"/>
      <c r="G95" s="224"/>
      <c r="H95" s="224"/>
      <c r="I95" s="224"/>
      <c r="J95" s="224"/>
      <c r="K95" s="224"/>
      <c r="L95" s="224"/>
      <c r="M95" s="219"/>
      <c r="V95" s="223"/>
      <c r="W95" s="223"/>
      <c r="X95" s="223"/>
      <c r="Y95" s="223"/>
      <c r="Z95" s="223"/>
      <c r="AA95" s="223"/>
      <c r="AB95" s="223"/>
      <c r="AC95" s="223"/>
      <c r="AD95" s="214"/>
    </row>
    <row r="96" spans="1:30" x14ac:dyDescent="0.25">
      <c r="B96" s="225"/>
      <c r="V96" s="223"/>
      <c r="W96" s="223"/>
      <c r="X96" s="223"/>
      <c r="Y96" s="223"/>
      <c r="Z96" s="223"/>
      <c r="AA96" s="223"/>
      <c r="AB96" s="223"/>
      <c r="AC96" s="223"/>
      <c r="AD96" s="219"/>
    </row>
    <row r="97" spans="2:30" x14ac:dyDescent="0.25">
      <c r="B97" s="225"/>
      <c r="V97" s="223"/>
      <c r="W97" s="223"/>
      <c r="X97" s="223"/>
      <c r="Y97" s="223"/>
      <c r="Z97" s="223"/>
      <c r="AA97" s="223"/>
      <c r="AB97" s="223"/>
      <c r="AC97" s="223"/>
      <c r="AD97" s="219"/>
    </row>
    <row r="98" spans="2:30" hidden="1" x14ac:dyDescent="0.25">
      <c r="B98" s="226" t="s">
        <v>160</v>
      </c>
      <c r="C98" s="227"/>
      <c r="V98" s="228"/>
      <c r="W98" s="228"/>
      <c r="X98" s="228"/>
      <c r="Y98" s="228"/>
      <c r="Z98" s="228"/>
      <c r="AA98" s="228"/>
      <c r="AB98" s="228"/>
      <c r="AC98" s="228"/>
    </row>
    <row r="99" spans="2:30" hidden="1" x14ac:dyDescent="0.25">
      <c r="B99" s="229"/>
      <c r="C99" s="227"/>
      <c r="V99" s="225"/>
      <c r="W99" s="13"/>
      <c r="X99" s="13"/>
      <c r="Y99" s="13"/>
      <c r="Z99" s="13"/>
      <c r="AA99" s="13"/>
      <c r="AB99" s="13"/>
      <c r="AC99" s="13"/>
    </row>
    <row r="100" spans="2:30" hidden="1" x14ac:dyDescent="0.25">
      <c r="B100" s="230" t="s">
        <v>161</v>
      </c>
      <c r="C100" s="226" t="s">
        <v>162</v>
      </c>
      <c r="V100" s="225"/>
    </row>
    <row r="101" spans="2:30" hidden="1" x14ac:dyDescent="0.25">
      <c r="B101" s="230" t="s">
        <v>163</v>
      </c>
      <c r="C101" s="226" t="s">
        <v>164</v>
      </c>
      <c r="V101" s="225"/>
    </row>
    <row r="102" spans="2:30" hidden="1" x14ac:dyDescent="0.25">
      <c r="B102" s="230" t="s">
        <v>165</v>
      </c>
      <c r="C102" s="226" t="s">
        <v>166</v>
      </c>
      <c r="V102" s="225"/>
      <c r="W102" s="231"/>
      <c r="X102" s="231"/>
      <c r="Y102" s="231"/>
      <c r="Z102" s="231"/>
      <c r="AA102" s="231"/>
      <c r="AB102" s="231"/>
      <c r="AC102" s="231"/>
      <c r="AD102" s="231"/>
    </row>
    <row r="103" spans="2:30" hidden="1" x14ac:dyDescent="0.25">
      <c r="B103" s="230" t="s">
        <v>167</v>
      </c>
      <c r="C103" s="226" t="s">
        <v>168</v>
      </c>
      <c r="V103" s="225"/>
    </row>
    <row r="104" spans="2:30" hidden="1" x14ac:dyDescent="0.25">
      <c r="B104" s="232"/>
      <c r="C104" s="226" t="s">
        <v>169</v>
      </c>
      <c r="V104" s="225"/>
    </row>
    <row r="105" spans="2:30" hidden="1" x14ac:dyDescent="0.25">
      <c r="B105" s="230" t="s">
        <v>170</v>
      </c>
      <c r="C105" s="226" t="s">
        <v>171</v>
      </c>
      <c r="V105" s="225"/>
    </row>
    <row r="106" spans="2:30" hidden="1" x14ac:dyDescent="0.25">
      <c r="B106" s="230" t="s">
        <v>172</v>
      </c>
      <c r="C106" s="226" t="s">
        <v>173</v>
      </c>
      <c r="V106" s="225"/>
    </row>
    <row r="107" spans="2:30" hidden="1" x14ac:dyDescent="0.25">
      <c r="B107" s="230" t="s">
        <v>216</v>
      </c>
      <c r="C107" s="226" t="s">
        <v>175</v>
      </c>
      <c r="V107" s="225"/>
    </row>
    <row r="108" spans="2:30" hidden="1" x14ac:dyDescent="0.25">
      <c r="B108" s="230" t="s">
        <v>176</v>
      </c>
      <c r="C108" s="226" t="s">
        <v>177</v>
      </c>
      <c r="V108" s="225"/>
    </row>
    <row r="109" spans="2:30" hidden="1" x14ac:dyDescent="0.25">
      <c r="B109" s="230" t="s">
        <v>178</v>
      </c>
      <c r="C109" s="226" t="s">
        <v>179</v>
      </c>
      <c r="V109" s="225"/>
    </row>
    <row r="110" spans="2:30" hidden="1" x14ac:dyDescent="0.25">
      <c r="B110" s="232"/>
      <c r="C110" s="226"/>
      <c r="V110" s="225"/>
    </row>
    <row r="111" spans="2:30" hidden="1" x14ac:dyDescent="0.25">
      <c r="B111" s="230" t="s">
        <v>180</v>
      </c>
      <c r="C111" s="226" t="s">
        <v>181</v>
      </c>
      <c r="V111" s="225"/>
    </row>
    <row r="112" spans="2:30" hidden="1" x14ac:dyDescent="0.25">
      <c r="B112" s="230" t="s">
        <v>180</v>
      </c>
      <c r="C112" s="226" t="s">
        <v>182</v>
      </c>
    </row>
    <row r="113" spans="2:3" hidden="1" x14ac:dyDescent="0.25">
      <c r="B113" s="230" t="s">
        <v>183</v>
      </c>
      <c r="C113" s="226" t="s">
        <v>184</v>
      </c>
    </row>
    <row r="114" spans="2:3" hidden="1" x14ac:dyDescent="0.25">
      <c r="B114" s="230" t="s">
        <v>185</v>
      </c>
      <c r="C114" s="226" t="s">
        <v>186</v>
      </c>
    </row>
    <row r="115" spans="2:3" hidden="1" x14ac:dyDescent="0.25">
      <c r="B115" s="230" t="s">
        <v>183</v>
      </c>
      <c r="C115" s="226" t="s">
        <v>187</v>
      </c>
    </row>
    <row r="116" spans="2:3" hidden="1" x14ac:dyDescent="0.25">
      <c r="B116" s="230" t="s">
        <v>188</v>
      </c>
      <c r="C116" s="226" t="s">
        <v>189</v>
      </c>
    </row>
    <row r="117" spans="2:3" hidden="1" x14ac:dyDescent="0.25">
      <c r="B117" s="230" t="s">
        <v>190</v>
      </c>
      <c r="C117" s="226" t="s">
        <v>191</v>
      </c>
    </row>
    <row r="118" spans="2:3" hidden="1" x14ac:dyDescent="0.25">
      <c r="B118" s="232" t="s">
        <v>192</v>
      </c>
      <c r="C118" s="226" t="s">
        <v>193</v>
      </c>
    </row>
    <row r="119" spans="2:3" hidden="1" x14ac:dyDescent="0.25">
      <c r="B119" s="232"/>
      <c r="C119" s="226"/>
    </row>
    <row r="120" spans="2:3" hidden="1" x14ac:dyDescent="0.25">
      <c r="B120" s="230" t="s">
        <v>161</v>
      </c>
      <c r="C120" s="226" t="s">
        <v>194</v>
      </c>
    </row>
    <row r="121" spans="2:3" hidden="1" x14ac:dyDescent="0.25">
      <c r="B121" s="230" t="s">
        <v>195</v>
      </c>
      <c r="C121" s="226" t="s">
        <v>196</v>
      </c>
    </row>
    <row r="122" spans="2:3" hidden="1" x14ac:dyDescent="0.25">
      <c r="B122" s="230" t="s">
        <v>197</v>
      </c>
      <c r="C122" s="226" t="s">
        <v>198</v>
      </c>
    </row>
    <row r="123" spans="2:3" hidden="1" x14ac:dyDescent="0.25">
      <c r="B123" s="230" t="s">
        <v>217</v>
      </c>
      <c r="C123" s="226" t="s">
        <v>200</v>
      </c>
    </row>
    <row r="124" spans="2:3" hidden="1" x14ac:dyDescent="0.25">
      <c r="B124" s="230" t="s">
        <v>218</v>
      </c>
      <c r="C124" s="226" t="s">
        <v>202</v>
      </c>
    </row>
    <row r="125" spans="2:3" hidden="1" x14ac:dyDescent="0.25">
      <c r="B125" s="230" t="s">
        <v>203</v>
      </c>
      <c r="C125" s="226" t="s">
        <v>204</v>
      </c>
    </row>
    <row r="126" spans="2:3" hidden="1" x14ac:dyDescent="0.25">
      <c r="B126" s="230" t="s">
        <v>203</v>
      </c>
      <c r="C126" s="226" t="s">
        <v>205</v>
      </c>
    </row>
    <row r="127" spans="2:3" hidden="1" x14ac:dyDescent="0.25">
      <c r="B127" s="230" t="s">
        <v>203</v>
      </c>
      <c r="C127" s="226" t="s">
        <v>206</v>
      </c>
    </row>
    <row r="128" spans="2:3" hidden="1" x14ac:dyDescent="0.25">
      <c r="B128" s="230" t="s">
        <v>203</v>
      </c>
      <c r="C128" s="226" t="s">
        <v>207</v>
      </c>
    </row>
    <row r="129" spans="2:3" hidden="1" x14ac:dyDescent="0.25">
      <c r="B129" s="230" t="s">
        <v>167</v>
      </c>
      <c r="C129" s="226" t="s">
        <v>208</v>
      </c>
    </row>
    <row r="130" spans="2:3" hidden="1" x14ac:dyDescent="0.25">
      <c r="B130" s="230" t="s">
        <v>209</v>
      </c>
      <c r="C130" s="226" t="s">
        <v>210</v>
      </c>
    </row>
    <row r="131" spans="2:3" hidden="1" x14ac:dyDescent="0.25">
      <c r="B131" s="230" t="s">
        <v>203</v>
      </c>
      <c r="C131" s="226" t="s">
        <v>211</v>
      </c>
    </row>
    <row r="132" spans="2:3" hidden="1" x14ac:dyDescent="0.25">
      <c r="B132" s="226"/>
      <c r="C132" s="226"/>
    </row>
    <row r="133" spans="2:3" hidden="1" x14ac:dyDescent="0.25">
      <c r="B133" s="226"/>
      <c r="C133" s="226"/>
    </row>
    <row r="134" spans="2:3" hidden="1" x14ac:dyDescent="0.25">
      <c r="B134" s="232"/>
      <c r="C134" s="232"/>
    </row>
    <row r="135" spans="2:3" hidden="1" x14ac:dyDescent="0.25">
      <c r="B135" s="232">
        <f>NvsElapsedTime</f>
        <v>1.15740695036948E-5</v>
      </c>
      <c r="C135" s="232"/>
    </row>
    <row r="136" spans="2:3" hidden="1" x14ac:dyDescent="0.25">
      <c r="B136" s="233">
        <f>NvsEndTime</f>
        <v>41754.487662036998</v>
      </c>
      <c r="C136" s="233" t="s">
        <v>212</v>
      </c>
    </row>
    <row r="137" spans="2:3" x14ac:dyDescent="0.25">
      <c r="B137" s="226"/>
      <c r="C137" s="234"/>
    </row>
    <row r="138" spans="2:3" x14ac:dyDescent="0.25">
      <c r="B138" s="226"/>
      <c r="C138" s="226"/>
    </row>
    <row r="139" spans="2:3" x14ac:dyDescent="0.25">
      <c r="B139" s="226"/>
      <c r="C139" s="226"/>
    </row>
    <row r="140" spans="2:3" x14ac:dyDescent="0.25">
      <c r="B140" s="226"/>
      <c r="C140" s="226"/>
    </row>
    <row r="141" spans="2:3" x14ac:dyDescent="0.25">
      <c r="B141" s="226"/>
      <c r="C141" s="226"/>
    </row>
    <row r="142" spans="2:3" x14ac:dyDescent="0.25">
      <c r="B142" s="226"/>
      <c r="C142" s="226"/>
    </row>
    <row r="143" spans="2:3" x14ac:dyDescent="0.25">
      <c r="B143" s="226"/>
      <c r="C143" s="226"/>
    </row>
    <row r="144" spans="2:3" x14ac:dyDescent="0.25">
      <c r="B144" s="226"/>
      <c r="C144" s="226"/>
    </row>
    <row r="145" spans="2:3" x14ac:dyDescent="0.25">
      <c r="B145" s="226"/>
      <c r="C145" s="226"/>
    </row>
    <row r="146" spans="2:3" x14ac:dyDescent="0.25">
      <c r="B146" s="226"/>
      <c r="C146" s="226"/>
    </row>
    <row r="147" spans="2:3" x14ac:dyDescent="0.25">
      <c r="B147" s="226"/>
      <c r="C147" s="226"/>
    </row>
    <row r="148" spans="2:3" x14ac:dyDescent="0.25">
      <c r="B148" s="226"/>
      <c r="C148" s="226"/>
    </row>
    <row r="149" spans="2:3" x14ac:dyDescent="0.25">
      <c r="B149" s="226"/>
      <c r="C149" s="226"/>
    </row>
    <row r="150" spans="2:3" x14ac:dyDescent="0.25">
      <c r="B150" s="226"/>
      <c r="C150" s="226"/>
    </row>
    <row r="151" spans="2:3" x14ac:dyDescent="0.25">
      <c r="B151" s="226"/>
      <c r="C151" s="226"/>
    </row>
  </sheetData>
  <mergeCells count="151">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9:W9"/>
    <mergeCell ref="X9:Y9"/>
    <mergeCell ref="Z9:AA9"/>
    <mergeCell ref="V10:W10"/>
    <mergeCell ref="X10:Y10"/>
    <mergeCell ref="Z10:AA10"/>
    <mergeCell ref="V7:W7"/>
    <mergeCell ref="X7:Y7"/>
    <mergeCell ref="Z7:AA7"/>
    <mergeCell ref="AB7:AC7"/>
    <mergeCell ref="V8:W8"/>
    <mergeCell ref="X8:Y8"/>
    <mergeCell ref="Z8:AA8"/>
    <mergeCell ref="W2:AC2"/>
    <mergeCell ref="V3:AC3"/>
    <mergeCell ref="V4:AC4"/>
    <mergeCell ref="V5:W5"/>
    <mergeCell ref="X5:Y5"/>
    <mergeCell ref="V6:AC6"/>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51"/>
  <sheetViews>
    <sheetView topLeftCell="B8" zoomScale="70" zoomScaleNormal="70" workbookViewId="0">
      <selection activeCell="D22" sqref="D22:D23"/>
    </sheetView>
  </sheetViews>
  <sheetFormatPr defaultColWidth="8.85546875" defaultRowHeight="15.75" x14ac:dyDescent="0.25"/>
  <cols>
    <col min="1" max="1" width="11.28515625" style="1" hidden="1" customWidth="1"/>
    <col min="2" max="2" width="10.28515625" style="2" customWidth="1"/>
    <col min="3" max="3" width="29" style="1" customWidth="1"/>
    <col min="4" max="5" width="12.28515625" style="1" customWidth="1"/>
    <col min="6" max="6" width="12.28515625" style="1" hidden="1" customWidth="1"/>
    <col min="7" max="7" width="15.28515625" style="1" customWidth="1"/>
    <col min="8" max="8" width="6.7109375" style="1" customWidth="1"/>
    <col min="9" max="9" width="12.5703125" style="1" customWidth="1"/>
    <col min="10" max="10" width="12.85546875" style="1" customWidth="1"/>
    <col min="11" max="11" width="15.5703125" style="1" bestFit="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28515625" style="1" customWidth="1"/>
    <col min="18" max="18" width="8.85546875" style="1"/>
    <col min="19" max="21" width="0" style="1" hidden="1" customWidth="1"/>
    <col min="22" max="23" width="8.85546875" style="1"/>
    <col min="24" max="24" width="12.7109375" style="1" customWidth="1"/>
    <col min="25" max="27" width="8.85546875" style="1"/>
    <col min="28" max="28" width="13.140625" style="1" bestFit="1" customWidth="1"/>
    <col min="29" max="16384" width="8.85546875" style="1"/>
  </cols>
  <sheetData>
    <row r="1" spans="1:30" ht="15.6"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7"/>
      <c r="N2" s="3"/>
      <c r="O2" s="1"/>
      <c r="V2" s="8">
        <f>'0664 June Final'!B2</f>
        <v>50</v>
      </c>
      <c r="W2" s="606" t="s">
        <v>4</v>
      </c>
      <c r="X2" s="607"/>
      <c r="Y2" s="608"/>
      <c r="Z2" s="608"/>
      <c r="AA2" s="608"/>
      <c r="AB2" s="608"/>
      <c r="AC2" s="608"/>
      <c r="AD2" s="9"/>
    </row>
    <row r="3" spans="1:30" ht="20.25" x14ac:dyDescent="0.3">
      <c r="B3" s="10" t="str">
        <f>"Revenue Estimate Worksheet for "&amp;B124</f>
        <v>Revenue Estimate Worksheet for Academy for Positve Lrn</v>
      </c>
      <c r="C3" s="11"/>
      <c r="D3" s="11"/>
      <c r="E3" s="11"/>
      <c r="F3" s="11"/>
      <c r="G3" s="11"/>
      <c r="H3" s="11"/>
      <c r="I3" s="11"/>
      <c r="J3" s="11"/>
      <c r="K3" s="11"/>
      <c r="L3" s="11"/>
      <c r="M3" s="10"/>
      <c r="N3" s="10"/>
      <c r="O3" s="10"/>
      <c r="P3" s="10"/>
      <c r="Q3" s="10"/>
      <c r="V3" s="609" t="s">
        <v>5</v>
      </c>
      <c r="W3" s="609"/>
      <c r="X3" s="609"/>
      <c r="Y3" s="609"/>
      <c r="Z3" s="609"/>
      <c r="AA3" s="609"/>
      <c r="AB3" s="609"/>
      <c r="AC3" s="609"/>
      <c r="AD3" s="12"/>
    </row>
    <row r="4" spans="1:30" ht="18.75" x14ac:dyDescent="0.3">
      <c r="B4" s="2" t="s">
        <v>6</v>
      </c>
      <c r="C4" s="13"/>
      <c r="D4" s="13"/>
      <c r="E4" s="13"/>
      <c r="F4" s="13"/>
      <c r="G4" s="13"/>
      <c r="H4" s="13"/>
      <c r="I4" s="13"/>
      <c r="J4" s="13"/>
      <c r="K4" s="13"/>
      <c r="L4" s="13"/>
      <c r="M4" s="14"/>
      <c r="N4" s="14"/>
      <c r="O4" s="14"/>
      <c r="P4" s="14"/>
      <c r="Q4" s="14"/>
      <c r="V4" s="610" t="str">
        <f>+Based_on_the_Second_Calculation_of_the_FEFP_2010_11</f>
        <v>Based on the Fourth Calculation of the FEFP 2013-14</v>
      </c>
      <c r="W4" s="610"/>
      <c r="X4" s="610"/>
      <c r="Y4" s="610"/>
      <c r="Z4" s="610"/>
      <c r="AA4" s="610"/>
      <c r="AB4" s="610"/>
      <c r="AC4" s="610"/>
      <c r="AD4" s="15"/>
    </row>
    <row r="5" spans="1:30" ht="18.75" customHeight="1" x14ac:dyDescent="0.25">
      <c r="B5" s="16" t="s">
        <v>7</v>
      </c>
      <c r="C5" s="16"/>
      <c r="D5" s="16"/>
      <c r="E5" s="16"/>
      <c r="F5" s="16"/>
      <c r="G5" s="17" t="s">
        <v>8</v>
      </c>
      <c r="H5" s="17"/>
      <c r="I5" s="17"/>
      <c r="J5" s="17"/>
      <c r="K5" s="17"/>
      <c r="L5" s="17"/>
      <c r="M5" s="18"/>
      <c r="N5" s="18"/>
      <c r="O5" s="18"/>
      <c r="P5" s="18"/>
      <c r="Q5" s="18"/>
      <c r="V5" s="611" t="s">
        <v>7</v>
      </c>
      <c r="W5" s="611"/>
      <c r="X5" s="612" t="s">
        <v>8</v>
      </c>
      <c r="Y5" s="612"/>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613" t="s">
        <v>9</v>
      </c>
      <c r="W6" s="613"/>
      <c r="X6" s="613"/>
      <c r="Y6" s="613"/>
      <c r="Z6" s="613"/>
      <c r="AA6" s="613"/>
      <c r="AB6" s="613"/>
      <c r="AC6" s="613"/>
      <c r="AD6" s="22"/>
    </row>
    <row r="7" spans="1:30" ht="18" customHeight="1" x14ac:dyDescent="0.25">
      <c r="B7" s="23" t="s">
        <v>10</v>
      </c>
      <c r="C7" s="23"/>
      <c r="D7" s="23"/>
      <c r="E7" s="23"/>
      <c r="F7" s="23"/>
      <c r="G7" s="24">
        <v>3752.3</v>
      </c>
      <c r="H7" s="24"/>
      <c r="I7" s="23" t="s">
        <v>11</v>
      </c>
      <c r="J7" s="23"/>
      <c r="K7" s="25">
        <v>1.0326</v>
      </c>
      <c r="L7" s="25"/>
      <c r="O7" s="1"/>
      <c r="V7" s="620" t="s">
        <v>10</v>
      </c>
      <c r="W7" s="620"/>
      <c r="X7" s="621">
        <f>'0664 June Final'!G7</f>
        <v>3752.3</v>
      </c>
      <c r="Y7" s="621"/>
      <c r="Z7" s="622" t="s">
        <v>11</v>
      </c>
      <c r="AA7" s="622"/>
      <c r="AB7" s="602">
        <f>+K7</f>
        <v>1.0326</v>
      </c>
      <c r="AC7" s="602"/>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603" t="s">
        <v>12</v>
      </c>
      <c r="W8" s="603"/>
      <c r="X8" s="604" t="s">
        <v>15</v>
      </c>
      <c r="Y8" s="604"/>
      <c r="Z8" s="605" t="s">
        <v>16</v>
      </c>
      <c r="AA8" s="605"/>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614" t="s">
        <v>22</v>
      </c>
      <c r="W9" s="614"/>
      <c r="X9" s="615" t="s">
        <v>23</v>
      </c>
      <c r="Y9" s="615"/>
      <c r="Z9" s="616" t="s">
        <v>24</v>
      </c>
      <c r="AA9" s="616"/>
      <c r="AB9" s="43" t="s">
        <v>25</v>
      </c>
      <c r="AC9" s="44" t="s">
        <v>26</v>
      </c>
      <c r="AD9" s="9"/>
    </row>
    <row r="10" spans="1:30" x14ac:dyDescent="0.25">
      <c r="A10" s="1" t="s">
        <v>27</v>
      </c>
      <c r="B10" s="45" t="s">
        <v>28</v>
      </c>
      <c r="C10" s="45"/>
      <c r="D10" s="45">
        <v>31.29</v>
      </c>
      <c r="E10" s="45">
        <v>30.16</v>
      </c>
      <c r="F10" s="45">
        <v>40.950000000000003</v>
      </c>
      <c r="G10" s="46">
        <f t="shared" ref="G10:G25" si="0">D10+E10</f>
        <v>61.45</v>
      </c>
      <c r="H10" s="47"/>
      <c r="I10" s="48">
        <v>1.125</v>
      </c>
      <c r="J10" s="48"/>
      <c r="K10" s="49">
        <f t="shared" ref="K10:K25" si="1">ROUND(G10*I10,4)</f>
        <v>69.131299999999996</v>
      </c>
      <c r="L10" s="50">
        <f t="shared" ref="L10:L25" si="2">ROUND(ROUND(K10*$G$7,4)*($K$7),0)</f>
        <v>267858</v>
      </c>
      <c r="N10" s="51">
        <v>5101</v>
      </c>
      <c r="O10" s="52">
        <v>101</v>
      </c>
      <c r="P10" s="53"/>
      <c r="Q10" s="54"/>
      <c r="V10" s="617" t="s">
        <v>28</v>
      </c>
      <c r="W10" s="617"/>
      <c r="X10" s="618">
        <f>IF('0664 June Final'!K$84=1,'0664 June Final'!G10,0)</f>
        <v>0</v>
      </c>
      <c r="Y10" s="618"/>
      <c r="Z10" s="619">
        <v>1</v>
      </c>
      <c r="AA10" s="619"/>
      <c r="AB10" s="55">
        <f t="shared" ref="AB10:AB25" si="3">ROUND(X10*Z10,4)</f>
        <v>0</v>
      </c>
      <c r="AC10" s="56">
        <f t="shared" ref="AC10:AC25" si="4">ROUND(ROUND(AB10*$X$7,4)*($AB$7),0)</f>
        <v>0</v>
      </c>
      <c r="AD10" s="9">
        <v>1</v>
      </c>
    </row>
    <row r="11" spans="1:30" x14ac:dyDescent="0.25">
      <c r="A11" s="1" t="s">
        <v>29</v>
      </c>
      <c r="B11" s="13" t="s">
        <v>30</v>
      </c>
      <c r="C11" s="13"/>
      <c r="D11" s="13">
        <v>1.5</v>
      </c>
      <c r="E11" s="13">
        <v>1.5</v>
      </c>
      <c r="F11" s="13">
        <v>1.98</v>
      </c>
      <c r="G11" s="46">
        <f t="shared" si="0"/>
        <v>3</v>
      </c>
      <c r="H11" s="47"/>
      <c r="I11" s="57">
        <f>I10</f>
        <v>1.125</v>
      </c>
      <c r="J11" s="57"/>
      <c r="K11" s="49">
        <f t="shared" si="1"/>
        <v>3.375</v>
      </c>
      <c r="L11" s="50">
        <f t="shared" si="2"/>
        <v>13077</v>
      </c>
      <c r="M11" s="1" t="str">
        <f>IF(ROUND(G11,2)=ROUND(SUM(G28:G30),2)," ","CHECK 2. PK-3 Lines Below")</f>
        <v xml:space="preserve"> </v>
      </c>
      <c r="N11" s="51">
        <v>5101</v>
      </c>
      <c r="O11" s="58" t="s">
        <v>31</v>
      </c>
      <c r="P11" s="53"/>
      <c r="Q11" s="54"/>
      <c r="V11" s="623" t="s">
        <v>30</v>
      </c>
      <c r="W11" s="623"/>
      <c r="X11" s="618">
        <f>IF('0664 June Final'!K$84=1,'0664 June Final'!G11,0)</f>
        <v>0</v>
      </c>
      <c r="Y11" s="618"/>
      <c r="Z11" s="624">
        <v>1</v>
      </c>
      <c r="AA11" s="624"/>
      <c r="AB11" s="55">
        <f t="shared" si="3"/>
        <v>0</v>
      </c>
      <c r="AC11" s="56">
        <f t="shared" si="4"/>
        <v>0</v>
      </c>
      <c r="AD11" s="9"/>
    </row>
    <row r="12" spans="1:30" x14ac:dyDescent="0.25">
      <c r="A12" s="1" t="s">
        <v>32</v>
      </c>
      <c r="B12" s="13" t="s">
        <v>33</v>
      </c>
      <c r="C12" s="13"/>
      <c r="D12" s="13">
        <v>26.83</v>
      </c>
      <c r="E12" s="13">
        <v>25.54</v>
      </c>
      <c r="F12" s="13">
        <v>32.700000000000003</v>
      </c>
      <c r="G12" s="46">
        <f t="shared" si="0"/>
        <v>52.37</v>
      </c>
      <c r="H12" s="47"/>
      <c r="I12" s="57">
        <v>1</v>
      </c>
      <c r="J12" s="57"/>
      <c r="K12" s="49">
        <f t="shared" si="1"/>
        <v>52.37</v>
      </c>
      <c r="L12" s="50">
        <f t="shared" si="2"/>
        <v>202914</v>
      </c>
      <c r="N12" s="51">
        <v>5102</v>
      </c>
      <c r="O12" s="52">
        <v>102</v>
      </c>
      <c r="P12" s="53"/>
      <c r="Q12" s="54"/>
      <c r="V12" s="623" t="s">
        <v>33</v>
      </c>
      <c r="W12" s="623"/>
      <c r="X12" s="618">
        <f>IF('0664 June Final'!K$84=1,'0664 June Final'!G12,0)</f>
        <v>0</v>
      </c>
      <c r="Y12" s="618"/>
      <c r="Z12" s="624">
        <v>1</v>
      </c>
      <c r="AA12" s="624"/>
      <c r="AB12" s="55">
        <f t="shared" si="3"/>
        <v>0</v>
      </c>
      <c r="AC12" s="56">
        <f t="shared" si="4"/>
        <v>0</v>
      </c>
      <c r="AD12" s="9"/>
    </row>
    <row r="13" spans="1:30" x14ac:dyDescent="0.25">
      <c r="A13" s="1" t="s">
        <v>34</v>
      </c>
      <c r="B13" s="13" t="s">
        <v>35</v>
      </c>
      <c r="C13" s="13"/>
      <c r="D13" s="13">
        <v>5.58</v>
      </c>
      <c r="E13" s="13">
        <v>4.46</v>
      </c>
      <c r="F13" s="13">
        <v>6.89</v>
      </c>
      <c r="G13" s="46">
        <f t="shared" si="0"/>
        <v>10.039999999999999</v>
      </c>
      <c r="H13" s="47"/>
      <c r="I13" s="57">
        <f>I12</f>
        <v>1</v>
      </c>
      <c r="J13" s="57"/>
      <c r="K13" s="49">
        <f t="shared" si="1"/>
        <v>10.039999999999999</v>
      </c>
      <c r="L13" s="50">
        <f t="shared" si="2"/>
        <v>38901</v>
      </c>
      <c r="M13" s="1" t="str">
        <f>IF(ROUND(G13,2)=ROUND(SUM(G31:G33),2)," ","CHECK 2. PK-3 Lines Below")</f>
        <v xml:space="preserve"> </v>
      </c>
      <c r="N13" s="51">
        <v>5102</v>
      </c>
      <c r="O13" s="58" t="s">
        <v>36</v>
      </c>
      <c r="P13" s="53"/>
      <c r="Q13" s="54"/>
      <c r="V13" s="623" t="s">
        <v>35</v>
      </c>
      <c r="W13" s="623"/>
      <c r="X13" s="618">
        <f>IF('0664 June Final'!K$84=1,'0664 June Final'!G13,0)</f>
        <v>0</v>
      </c>
      <c r="Y13" s="618"/>
      <c r="Z13" s="624">
        <v>1</v>
      </c>
      <c r="AA13" s="624"/>
      <c r="AB13" s="55">
        <f t="shared" si="3"/>
        <v>0</v>
      </c>
      <c r="AC13" s="56">
        <f t="shared" si="4"/>
        <v>0</v>
      </c>
      <c r="AD13" s="9"/>
    </row>
    <row r="14" spans="1:30" x14ac:dyDescent="0.25">
      <c r="A14" s="1" t="s">
        <v>37</v>
      </c>
      <c r="B14" s="13" t="s">
        <v>38</v>
      </c>
      <c r="C14" s="13"/>
      <c r="D14" s="13">
        <v>0</v>
      </c>
      <c r="E14" s="13">
        <v>0</v>
      </c>
      <c r="F14" s="13">
        <v>0</v>
      </c>
      <c r="G14" s="46">
        <f t="shared" si="0"/>
        <v>0</v>
      </c>
      <c r="H14" s="47"/>
      <c r="I14" s="57">
        <v>1.0109999999999999</v>
      </c>
      <c r="J14" s="57"/>
      <c r="K14" s="49">
        <f t="shared" si="1"/>
        <v>0</v>
      </c>
      <c r="L14" s="50">
        <f t="shared" si="2"/>
        <v>0</v>
      </c>
      <c r="N14" s="51">
        <v>5103</v>
      </c>
      <c r="O14" s="52">
        <v>103</v>
      </c>
      <c r="P14" s="53"/>
      <c r="Q14" s="54"/>
      <c r="V14" s="623" t="s">
        <v>38</v>
      </c>
      <c r="W14" s="623"/>
      <c r="X14" s="618">
        <f>IF('0664 June Final'!K$84=1,'0664 June Final'!G14,0)</f>
        <v>0</v>
      </c>
      <c r="Y14" s="618"/>
      <c r="Z14" s="624">
        <v>1</v>
      </c>
      <c r="AA14" s="624"/>
      <c r="AB14" s="55">
        <f t="shared" si="3"/>
        <v>0</v>
      </c>
      <c r="AC14" s="56">
        <f t="shared" si="4"/>
        <v>0</v>
      </c>
      <c r="AD14" s="9"/>
    </row>
    <row r="15" spans="1:30" x14ac:dyDescent="0.25">
      <c r="A15" s="1" t="s">
        <v>39</v>
      </c>
      <c r="B15" s="13" t="s">
        <v>40</v>
      </c>
      <c r="C15" s="13"/>
      <c r="D15" s="13">
        <v>0</v>
      </c>
      <c r="E15" s="13">
        <v>0</v>
      </c>
      <c r="F15" s="13">
        <v>0</v>
      </c>
      <c r="G15" s="46">
        <f t="shared" si="0"/>
        <v>0</v>
      </c>
      <c r="H15" s="47"/>
      <c r="I15" s="57">
        <f>I14</f>
        <v>1.0109999999999999</v>
      </c>
      <c r="J15" s="57"/>
      <c r="K15" s="49">
        <f t="shared" si="1"/>
        <v>0</v>
      </c>
      <c r="L15" s="59">
        <f t="shared" si="2"/>
        <v>0</v>
      </c>
      <c r="M15" s="1" t="str">
        <f>IF(ROUND(G15,2)=ROUND(SUM(G34:G36),2)," ","CHECK 2. PK-3 Lines Below")</f>
        <v xml:space="preserve"> </v>
      </c>
      <c r="N15" s="51">
        <v>5103</v>
      </c>
      <c r="O15" s="58" t="s">
        <v>41</v>
      </c>
      <c r="P15" s="53"/>
      <c r="Q15" s="54"/>
      <c r="V15" s="623" t="s">
        <v>40</v>
      </c>
      <c r="W15" s="623"/>
      <c r="X15" s="618">
        <f>IF('0664 June Final'!K$84=1,'0664 June Final'!G15,0)</f>
        <v>0</v>
      </c>
      <c r="Y15" s="618"/>
      <c r="Z15" s="624">
        <v>1</v>
      </c>
      <c r="AA15" s="624"/>
      <c r="AB15" s="55">
        <f t="shared" si="3"/>
        <v>0</v>
      </c>
      <c r="AC15" s="60">
        <f t="shared" si="4"/>
        <v>0</v>
      </c>
      <c r="AD15" s="9"/>
    </row>
    <row r="16" spans="1:30" x14ac:dyDescent="0.25">
      <c r="A16" s="1" t="s">
        <v>42</v>
      </c>
      <c r="B16" s="13" t="s">
        <v>43</v>
      </c>
      <c r="C16" s="13"/>
      <c r="D16" s="13">
        <v>0</v>
      </c>
      <c r="E16" s="13">
        <v>0</v>
      </c>
      <c r="F16" s="13">
        <v>0</v>
      </c>
      <c r="G16" s="46">
        <f t="shared" si="0"/>
        <v>0</v>
      </c>
      <c r="H16" s="47"/>
      <c r="I16" s="57">
        <v>3.5579999999999998</v>
      </c>
      <c r="J16" s="57"/>
      <c r="K16" s="49">
        <f t="shared" si="1"/>
        <v>0</v>
      </c>
      <c r="L16" s="50">
        <f t="shared" si="2"/>
        <v>0</v>
      </c>
      <c r="N16" s="51">
        <v>5101</v>
      </c>
      <c r="O16" s="53">
        <v>254</v>
      </c>
      <c r="P16" s="53"/>
      <c r="Q16" s="54"/>
      <c r="V16" s="623" t="s">
        <v>43</v>
      </c>
      <c r="W16" s="623"/>
      <c r="X16" s="618">
        <f>IF('0664 June Final'!K$84=1,'0664 June Final'!G16,0)</f>
        <v>0</v>
      </c>
      <c r="Y16" s="618"/>
      <c r="Z16" s="624">
        <v>1</v>
      </c>
      <c r="AA16" s="624"/>
      <c r="AB16" s="55">
        <f t="shared" si="3"/>
        <v>0</v>
      </c>
      <c r="AC16" s="56">
        <f t="shared" si="4"/>
        <v>0</v>
      </c>
      <c r="AD16" s="9"/>
    </row>
    <row r="17" spans="1:30" x14ac:dyDescent="0.25">
      <c r="A17" s="1" t="s">
        <v>44</v>
      </c>
      <c r="B17" s="13" t="s">
        <v>45</v>
      </c>
      <c r="C17" s="13"/>
      <c r="D17" s="13">
        <v>0</v>
      </c>
      <c r="E17" s="13">
        <v>0</v>
      </c>
      <c r="F17" s="13">
        <v>0</v>
      </c>
      <c r="G17" s="46">
        <f t="shared" si="0"/>
        <v>0</v>
      </c>
      <c r="H17" s="47"/>
      <c r="I17" s="57">
        <f>I16</f>
        <v>3.5579999999999998</v>
      </c>
      <c r="J17" s="57"/>
      <c r="K17" s="49">
        <f t="shared" si="1"/>
        <v>0</v>
      </c>
      <c r="L17" s="50">
        <f t="shared" si="2"/>
        <v>0</v>
      </c>
      <c r="N17" s="51">
        <v>5102</v>
      </c>
      <c r="O17" s="54">
        <v>254</v>
      </c>
      <c r="P17" s="53"/>
      <c r="Q17" s="54"/>
      <c r="V17" s="623" t="s">
        <v>45</v>
      </c>
      <c r="W17" s="623"/>
      <c r="X17" s="618">
        <f>IF('0664 June Final'!K$84=1,'0664 June Final'!G17,0)</f>
        <v>0</v>
      </c>
      <c r="Y17" s="618"/>
      <c r="Z17" s="624">
        <v>1</v>
      </c>
      <c r="AA17" s="624"/>
      <c r="AB17" s="55">
        <f t="shared" si="3"/>
        <v>0</v>
      </c>
      <c r="AC17" s="56">
        <f t="shared" si="4"/>
        <v>0</v>
      </c>
      <c r="AD17" s="9"/>
    </row>
    <row r="18" spans="1:30" x14ac:dyDescent="0.25">
      <c r="A18" s="1" t="s">
        <v>46</v>
      </c>
      <c r="B18" s="13" t="s">
        <v>47</v>
      </c>
      <c r="C18" s="13"/>
      <c r="D18" s="13">
        <v>0</v>
      </c>
      <c r="E18" s="13">
        <v>0</v>
      </c>
      <c r="F18" s="13">
        <v>0</v>
      </c>
      <c r="G18" s="46">
        <f t="shared" si="0"/>
        <v>0</v>
      </c>
      <c r="H18" s="47"/>
      <c r="I18" s="57">
        <f>I17</f>
        <v>3.5579999999999998</v>
      </c>
      <c r="J18" s="57"/>
      <c r="K18" s="49">
        <f t="shared" si="1"/>
        <v>0</v>
      </c>
      <c r="L18" s="50">
        <f t="shared" si="2"/>
        <v>0</v>
      </c>
      <c r="N18" s="51">
        <v>5103</v>
      </c>
      <c r="O18" s="54">
        <v>254</v>
      </c>
      <c r="P18" s="53"/>
      <c r="Q18" s="54"/>
      <c r="V18" s="623" t="s">
        <v>47</v>
      </c>
      <c r="W18" s="623"/>
      <c r="X18" s="618">
        <f>IF('0664 June Final'!K$84=1,'0664 June Final'!G18,0)</f>
        <v>0</v>
      </c>
      <c r="Y18" s="618"/>
      <c r="Z18" s="624">
        <v>1</v>
      </c>
      <c r="AA18" s="624"/>
      <c r="AB18" s="55">
        <f t="shared" si="3"/>
        <v>0</v>
      </c>
      <c r="AC18" s="56">
        <f t="shared" si="4"/>
        <v>0</v>
      </c>
      <c r="AD18" s="9"/>
    </row>
    <row r="19" spans="1:30" ht="15" customHeight="1" x14ac:dyDescent="0.25">
      <c r="A19" s="1" t="s">
        <v>48</v>
      </c>
      <c r="B19" s="13" t="s">
        <v>49</v>
      </c>
      <c r="C19" s="13"/>
      <c r="D19" s="13">
        <v>0</v>
      </c>
      <c r="E19" s="13">
        <v>0</v>
      </c>
      <c r="F19" s="13">
        <v>0</v>
      </c>
      <c r="G19" s="46">
        <f t="shared" si="0"/>
        <v>0</v>
      </c>
      <c r="H19" s="47"/>
      <c r="I19" s="57">
        <v>5.0890000000000004</v>
      </c>
      <c r="J19" s="57"/>
      <c r="K19" s="49">
        <f t="shared" si="1"/>
        <v>0</v>
      </c>
      <c r="L19" s="50">
        <f t="shared" si="2"/>
        <v>0</v>
      </c>
      <c r="N19" s="51">
        <v>5101</v>
      </c>
      <c r="O19" s="53">
        <v>255</v>
      </c>
      <c r="P19" s="53"/>
      <c r="Q19" s="54"/>
      <c r="V19" s="623" t="s">
        <v>49</v>
      </c>
      <c r="W19" s="623"/>
      <c r="X19" s="618">
        <f>IF('0664 June Final'!K$84=1,'0664 June Final'!G19,0)</f>
        <v>0</v>
      </c>
      <c r="Y19" s="618"/>
      <c r="Z19" s="624">
        <v>1</v>
      </c>
      <c r="AA19" s="624"/>
      <c r="AB19" s="55">
        <f t="shared" si="3"/>
        <v>0</v>
      </c>
      <c r="AC19" s="56">
        <f t="shared" si="4"/>
        <v>0</v>
      </c>
      <c r="AD19" s="9"/>
    </row>
    <row r="20" spans="1:30" ht="15" customHeight="1" x14ac:dyDescent="0.25">
      <c r="A20" s="1" t="s">
        <v>50</v>
      </c>
      <c r="B20" s="13" t="s">
        <v>51</v>
      </c>
      <c r="C20" s="13"/>
      <c r="D20" s="13">
        <v>0</v>
      </c>
      <c r="E20" s="13">
        <v>0</v>
      </c>
      <c r="F20" s="13">
        <v>0</v>
      </c>
      <c r="G20" s="46">
        <f t="shared" si="0"/>
        <v>0</v>
      </c>
      <c r="H20" s="47"/>
      <c r="I20" s="57">
        <f>I19</f>
        <v>5.0890000000000004</v>
      </c>
      <c r="J20" s="57"/>
      <c r="K20" s="49">
        <f t="shared" si="1"/>
        <v>0</v>
      </c>
      <c r="L20" s="50">
        <f t="shared" si="2"/>
        <v>0</v>
      </c>
      <c r="N20" s="51">
        <v>5102</v>
      </c>
      <c r="O20" s="54">
        <v>255</v>
      </c>
      <c r="P20" s="53"/>
      <c r="Q20" s="54"/>
      <c r="V20" s="623" t="s">
        <v>51</v>
      </c>
      <c r="W20" s="623"/>
      <c r="X20" s="618">
        <f>IF('0664 June Final'!K$84=1,'0664 June Final'!G20,0)</f>
        <v>0</v>
      </c>
      <c r="Y20" s="618"/>
      <c r="Z20" s="624">
        <v>1</v>
      </c>
      <c r="AA20" s="624"/>
      <c r="AB20" s="55">
        <f t="shared" si="3"/>
        <v>0</v>
      </c>
      <c r="AC20" s="56">
        <f t="shared" si="4"/>
        <v>0</v>
      </c>
      <c r="AD20" s="9"/>
    </row>
    <row r="21" spans="1:30" ht="15" customHeight="1" x14ac:dyDescent="0.25">
      <c r="A21" s="1" t="s">
        <v>52</v>
      </c>
      <c r="B21" s="13" t="s">
        <v>53</v>
      </c>
      <c r="C21" s="13"/>
      <c r="D21" s="13">
        <v>0</v>
      </c>
      <c r="E21" s="13">
        <v>0</v>
      </c>
      <c r="F21" s="13">
        <v>0</v>
      </c>
      <c r="G21" s="46">
        <f t="shared" si="0"/>
        <v>0</v>
      </c>
      <c r="H21" s="47"/>
      <c r="I21" s="57">
        <f>I20</f>
        <v>5.0890000000000004</v>
      </c>
      <c r="J21" s="57"/>
      <c r="K21" s="49">
        <f t="shared" si="1"/>
        <v>0</v>
      </c>
      <c r="L21" s="50">
        <f t="shared" si="2"/>
        <v>0</v>
      </c>
      <c r="N21" s="51">
        <v>5103</v>
      </c>
      <c r="O21" s="54">
        <v>255</v>
      </c>
      <c r="P21" s="53"/>
      <c r="Q21" s="54"/>
      <c r="V21" s="623" t="s">
        <v>53</v>
      </c>
      <c r="W21" s="623"/>
      <c r="X21" s="618">
        <f>IF('0664 June Final'!K$84=1,'0664 June Final'!G21,0)</f>
        <v>0</v>
      </c>
      <c r="Y21" s="618"/>
      <c r="Z21" s="624">
        <v>1</v>
      </c>
      <c r="AA21" s="624"/>
      <c r="AB21" s="55">
        <f t="shared" si="3"/>
        <v>0</v>
      </c>
      <c r="AC21" s="56">
        <f t="shared" si="4"/>
        <v>0</v>
      </c>
      <c r="AD21" s="9"/>
    </row>
    <row r="22" spans="1:30" x14ac:dyDescent="0.25">
      <c r="A22" s="1" t="s">
        <v>54</v>
      </c>
      <c r="B22" s="13" t="s">
        <v>55</v>
      </c>
      <c r="C22" s="13"/>
      <c r="D22" s="13">
        <v>1.55</v>
      </c>
      <c r="E22" s="13">
        <v>1.64</v>
      </c>
      <c r="F22" s="13">
        <v>3.85</v>
      </c>
      <c r="G22" s="46">
        <f t="shared" si="0"/>
        <v>3.19</v>
      </c>
      <c r="H22" s="47"/>
      <c r="I22" s="57">
        <v>1.145</v>
      </c>
      <c r="J22" s="57"/>
      <c r="K22" s="49">
        <f t="shared" si="1"/>
        <v>3.6526000000000001</v>
      </c>
      <c r="L22" s="50">
        <f t="shared" si="2"/>
        <v>14152</v>
      </c>
      <c r="N22" s="51">
        <v>5101</v>
      </c>
      <c r="O22" s="52">
        <v>130</v>
      </c>
      <c r="P22" s="53"/>
      <c r="Q22" s="54"/>
      <c r="V22" s="623" t="s">
        <v>55</v>
      </c>
      <c r="W22" s="623"/>
      <c r="X22" s="618">
        <f>IF('0664 June Final'!K$84=1,'0664 June Final'!G22,0)</f>
        <v>0</v>
      </c>
      <c r="Y22" s="618"/>
      <c r="Z22" s="624">
        <v>1</v>
      </c>
      <c r="AA22" s="624"/>
      <c r="AB22" s="55">
        <f t="shared" si="3"/>
        <v>0</v>
      </c>
      <c r="AC22" s="56">
        <f t="shared" si="4"/>
        <v>0</v>
      </c>
      <c r="AD22" s="9"/>
    </row>
    <row r="23" spans="1:30" x14ac:dyDescent="0.25">
      <c r="A23" s="1" t="s">
        <v>56</v>
      </c>
      <c r="B23" s="13" t="s">
        <v>57</v>
      </c>
      <c r="C23" s="13"/>
      <c r="D23" s="577">
        <v>1.43</v>
      </c>
      <c r="E23" s="13">
        <v>1.34</v>
      </c>
      <c r="F23" s="13">
        <v>0</v>
      </c>
      <c r="G23" s="46">
        <f t="shared" si="0"/>
        <v>2.77</v>
      </c>
      <c r="H23" s="47"/>
      <c r="I23" s="57">
        <f>I22</f>
        <v>1.145</v>
      </c>
      <c r="J23" s="57"/>
      <c r="K23" s="49">
        <f t="shared" si="1"/>
        <v>3.1717</v>
      </c>
      <c r="L23" s="50">
        <f t="shared" si="2"/>
        <v>12289</v>
      </c>
      <c r="N23" s="51">
        <v>5102</v>
      </c>
      <c r="O23" s="52">
        <v>130</v>
      </c>
      <c r="P23" s="53"/>
      <c r="Q23" s="54"/>
      <c r="V23" s="623" t="s">
        <v>57</v>
      </c>
      <c r="W23" s="623"/>
      <c r="X23" s="618">
        <f>IF('0664 June Final'!K$84=1,'0664 June Final'!G23,0)</f>
        <v>0</v>
      </c>
      <c r="Y23" s="618"/>
      <c r="Z23" s="624">
        <v>1</v>
      </c>
      <c r="AA23" s="624"/>
      <c r="AB23" s="55">
        <f t="shared" si="3"/>
        <v>0</v>
      </c>
      <c r="AC23" s="56">
        <f t="shared" si="4"/>
        <v>0</v>
      </c>
      <c r="AD23" s="9"/>
    </row>
    <row r="24" spans="1:30" x14ac:dyDescent="0.25">
      <c r="A24" s="1" t="s">
        <v>58</v>
      </c>
      <c r="B24" s="13" t="s">
        <v>59</v>
      </c>
      <c r="C24" s="13"/>
      <c r="D24" s="13">
        <v>0</v>
      </c>
      <c r="E24" s="13">
        <v>0</v>
      </c>
      <c r="F24" s="13">
        <v>0</v>
      </c>
      <c r="G24" s="46">
        <f t="shared" si="0"/>
        <v>0</v>
      </c>
      <c r="H24" s="47"/>
      <c r="I24" s="57">
        <f>I23</f>
        <v>1.145</v>
      </c>
      <c r="J24" s="57"/>
      <c r="K24" s="49">
        <f t="shared" si="1"/>
        <v>0</v>
      </c>
      <c r="L24" s="50">
        <f t="shared" si="2"/>
        <v>0</v>
      </c>
      <c r="N24" s="51">
        <v>5103</v>
      </c>
      <c r="O24" s="52">
        <v>130</v>
      </c>
      <c r="P24" s="53"/>
      <c r="Q24" s="54"/>
      <c r="V24" s="623" t="s">
        <v>59</v>
      </c>
      <c r="W24" s="623"/>
      <c r="X24" s="618">
        <f>IF('0664 June Final'!K$84=1,'0664 June Final'!G24,0)</f>
        <v>0</v>
      </c>
      <c r="Y24" s="618"/>
      <c r="Z24" s="624">
        <v>1</v>
      </c>
      <c r="AA24" s="624"/>
      <c r="AB24" s="55">
        <f t="shared" si="3"/>
        <v>0</v>
      </c>
      <c r="AC24" s="56">
        <f t="shared" si="4"/>
        <v>0</v>
      </c>
      <c r="AD24" s="9"/>
    </row>
    <row r="25" spans="1:30" ht="16.5" thickBot="1" x14ac:dyDescent="0.3">
      <c r="A25" s="1" t="s">
        <v>60</v>
      </c>
      <c r="B25" s="13" t="s">
        <v>61</v>
      </c>
      <c r="C25" s="13"/>
      <c r="D25" s="13">
        <v>0</v>
      </c>
      <c r="E25" s="13">
        <v>0</v>
      </c>
      <c r="F25" s="13">
        <v>0</v>
      </c>
      <c r="G25" s="46">
        <f t="shared" si="0"/>
        <v>0</v>
      </c>
      <c r="H25" s="47"/>
      <c r="I25" s="57">
        <v>1.0109999999999999</v>
      </c>
      <c r="J25" s="57"/>
      <c r="K25" s="49">
        <f t="shared" si="1"/>
        <v>0</v>
      </c>
      <c r="L25" s="50">
        <f t="shared" si="2"/>
        <v>0</v>
      </c>
      <c r="N25" s="51">
        <v>5310</v>
      </c>
      <c r="O25" s="52">
        <v>300</v>
      </c>
      <c r="P25" s="53"/>
      <c r="Q25" s="54"/>
      <c r="V25" s="623" t="s">
        <v>61</v>
      </c>
      <c r="W25" s="623"/>
      <c r="X25" s="618">
        <f>IF('0664 June Final'!K$84=1,'0664 June Final'!G25,0)</f>
        <v>0</v>
      </c>
      <c r="Y25" s="618"/>
      <c r="Z25" s="624">
        <v>1</v>
      </c>
      <c r="AA25" s="624"/>
      <c r="AB25" s="55">
        <f t="shared" si="3"/>
        <v>0</v>
      </c>
      <c r="AC25" s="56">
        <f t="shared" si="4"/>
        <v>0</v>
      </c>
      <c r="AD25" s="9"/>
    </row>
    <row r="26" spans="1:30" ht="20.25" customHeight="1" thickBot="1" x14ac:dyDescent="0.3">
      <c r="B26" s="62" t="s">
        <v>62</v>
      </c>
      <c r="C26" s="62"/>
      <c r="D26" s="63">
        <f>SUM(D10:D25)</f>
        <v>68.180000000000007</v>
      </c>
      <c r="E26" s="63">
        <f>SUM(E10:E25)</f>
        <v>64.64</v>
      </c>
      <c r="F26" s="63"/>
      <c r="G26" s="63">
        <f>SUM(G10:G25)</f>
        <v>132.82</v>
      </c>
      <c r="H26" s="64"/>
      <c r="I26" s="64"/>
      <c r="J26" s="65"/>
      <c r="K26" s="66">
        <f>SUM(K10:K25)</f>
        <v>141.74059999999997</v>
      </c>
      <c r="L26" s="67">
        <f>SUM(L10:L25)</f>
        <v>549191</v>
      </c>
      <c r="N26" s="54"/>
      <c r="O26" s="68"/>
      <c r="P26" s="54"/>
      <c r="Q26" s="54"/>
      <c r="V26" s="625" t="s">
        <v>62</v>
      </c>
      <c r="W26" s="625"/>
      <c r="X26" s="626">
        <f>SUM(X10:X25)</f>
        <v>0</v>
      </c>
      <c r="Y26" s="626"/>
      <c r="Z26" s="627"/>
      <c r="AA26" s="628"/>
      <c r="AB26" s="69">
        <f>SUM(AB10:AB25)</f>
        <v>0</v>
      </c>
      <c r="AC26" s="70">
        <f>SUM(AC10:AC25)</f>
        <v>0</v>
      </c>
      <c r="AD26" s="9"/>
    </row>
    <row r="27" spans="1:30" ht="51.75" customHeight="1" x14ac:dyDescent="0.25">
      <c r="B27" s="62" t="s">
        <v>63</v>
      </c>
      <c r="C27" s="62"/>
      <c r="D27" s="71" t="s">
        <v>13</v>
      </c>
      <c r="E27" s="71" t="s">
        <v>14</v>
      </c>
      <c r="F27" s="27"/>
      <c r="G27" s="72" t="s">
        <v>64</v>
      </c>
      <c r="H27" s="73"/>
      <c r="I27" s="74" t="s">
        <v>65</v>
      </c>
      <c r="J27" s="74" t="s">
        <v>66</v>
      </c>
      <c r="K27" s="75" t="s">
        <v>67</v>
      </c>
      <c r="N27" s="54"/>
      <c r="O27" s="68"/>
      <c r="P27" s="54"/>
      <c r="Q27" s="54"/>
      <c r="V27" s="629" t="s">
        <v>63</v>
      </c>
      <c r="W27" s="629"/>
      <c r="X27" s="630" t="s">
        <v>64</v>
      </c>
      <c r="Y27" s="630"/>
      <c r="Z27" s="76" t="s">
        <v>65</v>
      </c>
      <c r="AA27" s="77" t="s">
        <v>66</v>
      </c>
      <c r="AB27" s="78" t="s">
        <v>67</v>
      </c>
      <c r="AC27" s="9"/>
      <c r="AD27" s="9"/>
    </row>
    <row r="28" spans="1:30" ht="15.75" customHeight="1" x14ac:dyDescent="0.25">
      <c r="A28" s="1" t="s">
        <v>68</v>
      </c>
      <c r="B28" s="631" t="s">
        <v>69</v>
      </c>
      <c r="C28" s="632"/>
      <c r="D28" s="13">
        <v>1.5</v>
      </c>
      <c r="E28" s="13">
        <v>1.5</v>
      </c>
      <c r="F28" s="79">
        <v>3.5</v>
      </c>
      <c r="G28" s="46">
        <f t="shared" ref="G28:G36" si="5">D28+E28</f>
        <v>3</v>
      </c>
      <c r="H28" s="80"/>
      <c r="I28" s="81" t="s">
        <v>70</v>
      </c>
      <c r="J28" s="82">
        <v>251</v>
      </c>
      <c r="K28" s="83">
        <v>1047</v>
      </c>
      <c r="L28" s="84">
        <f t="shared" ref="L28:L36" si="6">ROUND(G28*K28,0)</f>
        <v>3141</v>
      </c>
      <c r="N28" s="337">
        <v>5101</v>
      </c>
      <c r="O28" s="54">
        <v>251</v>
      </c>
      <c r="P28" s="86"/>
      <c r="Q28" s="87"/>
      <c r="V28" s="637" t="s">
        <v>69</v>
      </c>
      <c r="W28" s="637"/>
      <c r="X28" s="638"/>
      <c r="Y28" s="638"/>
      <c r="Z28" s="88" t="s">
        <v>70</v>
      </c>
      <c r="AA28" s="330">
        <v>251</v>
      </c>
      <c r="AB28" s="90">
        <f t="shared" ref="AB28:AB36" si="7">+K28</f>
        <v>1047</v>
      </c>
      <c r="AC28" s="91">
        <f t="shared" ref="AC28:AC36" si="8">ROUND(X28*AB28,0)</f>
        <v>0</v>
      </c>
      <c r="AD28" s="9"/>
    </row>
    <row r="29" spans="1:30" x14ac:dyDescent="0.25">
      <c r="A29" s="1" t="s">
        <v>71</v>
      </c>
      <c r="B29" s="633"/>
      <c r="C29" s="634"/>
      <c r="D29" s="13">
        <v>0</v>
      </c>
      <c r="E29" s="13">
        <v>0</v>
      </c>
      <c r="F29" s="92">
        <v>0</v>
      </c>
      <c r="G29" s="46">
        <f t="shared" si="5"/>
        <v>0</v>
      </c>
      <c r="H29" s="80"/>
      <c r="I29" s="82" t="s">
        <v>70</v>
      </c>
      <c r="J29" s="82">
        <v>252</v>
      </c>
      <c r="K29" s="83">
        <v>3380</v>
      </c>
      <c r="L29" s="84">
        <f t="shared" si="6"/>
        <v>0</v>
      </c>
      <c r="N29" s="337">
        <v>5101</v>
      </c>
      <c r="O29" s="54">
        <v>252</v>
      </c>
      <c r="P29" s="86"/>
      <c r="Q29" s="87"/>
      <c r="V29" s="637"/>
      <c r="W29" s="637"/>
      <c r="X29" s="638"/>
      <c r="Y29" s="638"/>
      <c r="Z29" s="330" t="s">
        <v>70</v>
      </c>
      <c r="AA29" s="330">
        <v>252</v>
      </c>
      <c r="AB29" s="90">
        <f t="shared" si="7"/>
        <v>3380</v>
      </c>
      <c r="AC29" s="91">
        <f t="shared" si="8"/>
        <v>0</v>
      </c>
      <c r="AD29" s="9"/>
    </row>
    <row r="30" spans="1:30" x14ac:dyDescent="0.25">
      <c r="A30" s="1" t="s">
        <v>72</v>
      </c>
      <c r="B30" s="633"/>
      <c r="C30" s="634"/>
      <c r="D30" s="13">
        <v>0</v>
      </c>
      <c r="E30" s="13">
        <v>0</v>
      </c>
      <c r="F30" s="92">
        <v>0</v>
      </c>
      <c r="G30" s="46">
        <f t="shared" si="5"/>
        <v>0</v>
      </c>
      <c r="H30" s="80"/>
      <c r="I30" s="82" t="s">
        <v>70</v>
      </c>
      <c r="J30" s="82">
        <v>253</v>
      </c>
      <c r="K30" s="83">
        <v>6896</v>
      </c>
      <c r="L30" s="84">
        <f t="shared" si="6"/>
        <v>0</v>
      </c>
      <c r="N30" s="337">
        <v>5101</v>
      </c>
      <c r="O30" s="54">
        <v>253</v>
      </c>
      <c r="P30" s="86"/>
      <c r="Q30" s="68"/>
      <c r="V30" s="637"/>
      <c r="W30" s="637"/>
      <c r="X30" s="638"/>
      <c r="Y30" s="638"/>
      <c r="Z30" s="330" t="s">
        <v>70</v>
      </c>
      <c r="AA30" s="330">
        <v>253</v>
      </c>
      <c r="AB30" s="90">
        <f t="shared" si="7"/>
        <v>6896</v>
      </c>
      <c r="AC30" s="91">
        <f t="shared" si="8"/>
        <v>0</v>
      </c>
      <c r="AD30" s="9"/>
    </row>
    <row r="31" spans="1:30" x14ac:dyDescent="0.25">
      <c r="A31" s="1" t="s">
        <v>73</v>
      </c>
      <c r="B31" s="633"/>
      <c r="C31" s="634"/>
      <c r="D31" s="13">
        <v>5.58</v>
      </c>
      <c r="E31" s="13">
        <v>4.46</v>
      </c>
      <c r="F31" s="92">
        <v>2</v>
      </c>
      <c r="G31" s="46">
        <f t="shared" si="5"/>
        <v>10.039999999999999</v>
      </c>
      <c r="H31" s="80"/>
      <c r="I31" s="93" t="s">
        <v>74</v>
      </c>
      <c r="J31" s="82">
        <v>251</v>
      </c>
      <c r="K31" s="83">
        <v>1173</v>
      </c>
      <c r="L31" s="84">
        <f t="shared" si="6"/>
        <v>11777</v>
      </c>
      <c r="N31" s="337">
        <v>5102</v>
      </c>
      <c r="O31" s="54">
        <v>251</v>
      </c>
      <c r="P31" s="86"/>
      <c r="Q31" s="68"/>
      <c r="V31" s="637"/>
      <c r="W31" s="637"/>
      <c r="X31" s="638"/>
      <c r="Y31" s="638"/>
      <c r="Z31" s="94" t="s">
        <v>74</v>
      </c>
      <c r="AA31" s="330">
        <v>251</v>
      </c>
      <c r="AB31" s="90">
        <f t="shared" si="7"/>
        <v>1173</v>
      </c>
      <c r="AC31" s="91">
        <f t="shared" si="8"/>
        <v>0</v>
      </c>
      <c r="AD31" s="9"/>
    </row>
    <row r="32" spans="1:30" x14ac:dyDescent="0.25">
      <c r="A32" s="1" t="s">
        <v>75</v>
      </c>
      <c r="B32" s="633"/>
      <c r="C32" s="634"/>
      <c r="D32" s="13">
        <v>0</v>
      </c>
      <c r="E32" s="13">
        <v>0</v>
      </c>
      <c r="F32" s="92">
        <v>0</v>
      </c>
      <c r="G32" s="46">
        <f t="shared" si="5"/>
        <v>0</v>
      </c>
      <c r="H32" s="80"/>
      <c r="I32" s="93" t="s">
        <v>74</v>
      </c>
      <c r="J32" s="82">
        <v>252</v>
      </c>
      <c r="K32" s="83">
        <v>3506</v>
      </c>
      <c r="L32" s="84">
        <f t="shared" si="6"/>
        <v>0</v>
      </c>
      <c r="N32" s="337">
        <v>5102</v>
      </c>
      <c r="O32" s="54">
        <v>252</v>
      </c>
      <c r="P32" s="86"/>
      <c r="Q32" s="54"/>
      <c r="V32" s="637"/>
      <c r="W32" s="637"/>
      <c r="X32" s="638"/>
      <c r="Y32" s="638"/>
      <c r="Z32" s="94" t="s">
        <v>74</v>
      </c>
      <c r="AA32" s="330">
        <v>252</v>
      </c>
      <c r="AB32" s="90">
        <f t="shared" si="7"/>
        <v>3506</v>
      </c>
      <c r="AC32" s="91">
        <f t="shared" si="8"/>
        <v>0</v>
      </c>
      <c r="AD32" s="9"/>
    </row>
    <row r="33" spans="1:30" x14ac:dyDescent="0.25">
      <c r="A33" s="1" t="s">
        <v>76</v>
      </c>
      <c r="B33" s="633"/>
      <c r="C33" s="634"/>
      <c r="D33" s="13">
        <v>0</v>
      </c>
      <c r="E33" s="13">
        <v>0</v>
      </c>
      <c r="F33" s="92">
        <v>0</v>
      </c>
      <c r="G33" s="46">
        <f t="shared" si="5"/>
        <v>0</v>
      </c>
      <c r="H33" s="80"/>
      <c r="I33" s="93" t="s">
        <v>74</v>
      </c>
      <c r="J33" s="82">
        <v>253</v>
      </c>
      <c r="K33" s="83">
        <v>7023</v>
      </c>
      <c r="L33" s="84">
        <f t="shared" si="6"/>
        <v>0</v>
      </c>
      <c r="N33" s="337">
        <v>5102</v>
      </c>
      <c r="O33" s="54">
        <v>253</v>
      </c>
      <c r="P33" s="86"/>
      <c r="Q33" s="87"/>
      <c r="V33" s="637"/>
      <c r="W33" s="637"/>
      <c r="X33" s="638"/>
      <c r="Y33" s="638"/>
      <c r="Z33" s="94" t="s">
        <v>74</v>
      </c>
      <c r="AA33" s="330">
        <v>253</v>
      </c>
      <c r="AB33" s="90">
        <f t="shared" si="7"/>
        <v>7023</v>
      </c>
      <c r="AC33" s="91">
        <f t="shared" si="8"/>
        <v>0</v>
      </c>
      <c r="AD33" s="9"/>
    </row>
    <row r="34" spans="1:30" x14ac:dyDescent="0.25">
      <c r="A34" s="1" t="s">
        <v>77</v>
      </c>
      <c r="B34" s="633"/>
      <c r="C34" s="634"/>
      <c r="D34" s="13">
        <v>0</v>
      </c>
      <c r="E34" s="13">
        <v>0</v>
      </c>
      <c r="F34" s="92">
        <v>0</v>
      </c>
      <c r="G34" s="46">
        <f t="shared" si="5"/>
        <v>0</v>
      </c>
      <c r="H34" s="80"/>
      <c r="I34" s="93" t="s">
        <v>78</v>
      </c>
      <c r="J34" s="82">
        <v>251</v>
      </c>
      <c r="K34" s="83">
        <v>835</v>
      </c>
      <c r="L34" s="84">
        <f t="shared" si="6"/>
        <v>0</v>
      </c>
      <c r="N34" s="337">
        <v>5103</v>
      </c>
      <c r="O34" s="54">
        <v>251</v>
      </c>
      <c r="P34" s="86"/>
      <c r="Q34" s="87"/>
      <c r="V34" s="637"/>
      <c r="W34" s="637"/>
      <c r="X34" s="638"/>
      <c r="Y34" s="638"/>
      <c r="Z34" s="94" t="s">
        <v>78</v>
      </c>
      <c r="AA34" s="330">
        <v>251</v>
      </c>
      <c r="AB34" s="90">
        <f t="shared" si="7"/>
        <v>835</v>
      </c>
      <c r="AC34" s="91">
        <f t="shared" si="8"/>
        <v>0</v>
      </c>
      <c r="AD34" s="9"/>
    </row>
    <row r="35" spans="1:30" x14ac:dyDescent="0.25">
      <c r="A35" s="1" t="s">
        <v>79</v>
      </c>
      <c r="B35" s="633"/>
      <c r="C35" s="634"/>
      <c r="D35" s="13">
        <v>0</v>
      </c>
      <c r="E35" s="13">
        <v>0</v>
      </c>
      <c r="F35" s="92">
        <v>0</v>
      </c>
      <c r="G35" s="46">
        <f t="shared" si="5"/>
        <v>0</v>
      </c>
      <c r="H35" s="80"/>
      <c r="I35" s="93" t="s">
        <v>78</v>
      </c>
      <c r="J35" s="82">
        <v>252</v>
      </c>
      <c r="K35" s="83">
        <v>3168</v>
      </c>
      <c r="L35" s="84">
        <f t="shared" si="6"/>
        <v>0</v>
      </c>
      <c r="N35" s="337">
        <v>5103</v>
      </c>
      <c r="O35" s="54">
        <v>252</v>
      </c>
      <c r="P35" s="86"/>
      <c r="Q35" s="95"/>
      <c r="V35" s="637"/>
      <c r="W35" s="637"/>
      <c r="X35" s="638"/>
      <c r="Y35" s="638"/>
      <c r="Z35" s="94" t="s">
        <v>78</v>
      </c>
      <c r="AA35" s="330">
        <v>252</v>
      </c>
      <c r="AB35" s="90">
        <f t="shared" si="7"/>
        <v>3168</v>
      </c>
      <c r="AC35" s="91">
        <f t="shared" si="8"/>
        <v>0</v>
      </c>
      <c r="AD35" s="9"/>
    </row>
    <row r="36" spans="1:30" ht="16.5" thickBot="1" x14ac:dyDescent="0.3">
      <c r="A36" s="1" t="s">
        <v>80</v>
      </c>
      <c r="B36" s="635"/>
      <c r="C36" s="636"/>
      <c r="D36" s="13">
        <v>0</v>
      </c>
      <c r="E36" s="13">
        <v>0</v>
      </c>
      <c r="F36" s="92">
        <v>0</v>
      </c>
      <c r="G36" s="46">
        <f t="shared" si="5"/>
        <v>0</v>
      </c>
      <c r="H36" s="80"/>
      <c r="I36" s="93" t="s">
        <v>78</v>
      </c>
      <c r="J36" s="82">
        <v>253</v>
      </c>
      <c r="K36" s="83">
        <v>6685</v>
      </c>
      <c r="L36" s="96">
        <f t="shared" si="6"/>
        <v>0</v>
      </c>
      <c r="N36" s="337">
        <v>5103</v>
      </c>
      <c r="O36" s="54">
        <v>253</v>
      </c>
      <c r="P36" s="86"/>
      <c r="Q36" s="97"/>
      <c r="V36" s="637"/>
      <c r="W36" s="637"/>
      <c r="X36" s="645"/>
      <c r="Y36" s="645"/>
      <c r="Z36" s="94" t="s">
        <v>78</v>
      </c>
      <c r="AA36" s="330">
        <v>253</v>
      </c>
      <c r="AB36" s="90">
        <f t="shared" si="7"/>
        <v>6685</v>
      </c>
      <c r="AC36" s="98">
        <f t="shared" si="8"/>
        <v>0</v>
      </c>
      <c r="AD36" s="9"/>
    </row>
    <row r="37" spans="1:30" ht="18.75" customHeight="1" x14ac:dyDescent="0.25">
      <c r="B37" s="13" t="s">
        <v>81</v>
      </c>
      <c r="C37" s="13"/>
      <c r="D37" s="63">
        <f>SUM(D28:D36)</f>
        <v>7.08</v>
      </c>
      <c r="E37" s="63">
        <f>SUM(E28:E36)</f>
        <v>5.96</v>
      </c>
      <c r="F37" s="63"/>
      <c r="G37" s="63">
        <f>SUM(G28:G36)</f>
        <v>13.04</v>
      </c>
      <c r="H37" s="64"/>
      <c r="I37" s="13" t="s">
        <v>82</v>
      </c>
      <c r="J37" s="13"/>
      <c r="K37" s="13"/>
      <c r="L37" s="50">
        <f>SUM(L28:L36)</f>
        <v>14918</v>
      </c>
      <c r="N37" s="54"/>
      <c r="O37" s="68"/>
      <c r="P37" s="54"/>
      <c r="Q37" s="54"/>
      <c r="V37" s="646" t="s">
        <v>81</v>
      </c>
      <c r="W37" s="646"/>
      <c r="X37" s="626">
        <f>SUM(X28:X36)</f>
        <v>0</v>
      </c>
      <c r="Y37" s="626"/>
      <c r="Z37" s="646" t="s">
        <v>82</v>
      </c>
      <c r="AA37" s="646"/>
      <c r="AB37" s="646"/>
      <c r="AC37" s="56">
        <f>SUM(AC28:AC36)</f>
        <v>0</v>
      </c>
      <c r="AD37" s="9"/>
    </row>
    <row r="38" spans="1:30" ht="30.75" customHeight="1" x14ac:dyDescent="0.25">
      <c r="B38" s="99" t="s">
        <v>83</v>
      </c>
      <c r="C38" s="99"/>
      <c r="D38" s="99"/>
      <c r="E38" s="99"/>
      <c r="F38" s="99"/>
      <c r="G38" s="99"/>
      <c r="H38" s="100"/>
      <c r="I38" s="99"/>
      <c r="J38" s="99"/>
      <c r="K38" s="99"/>
      <c r="L38" s="99"/>
      <c r="M38" s="101"/>
      <c r="N38" s="54"/>
      <c r="O38" s="68"/>
      <c r="P38" s="54"/>
      <c r="Q38" s="54"/>
      <c r="V38" s="639" t="s">
        <v>83</v>
      </c>
      <c r="W38" s="639"/>
      <c r="X38" s="639"/>
      <c r="Y38" s="639"/>
      <c r="Z38" s="639"/>
      <c r="AA38" s="639"/>
      <c r="AB38" s="639"/>
      <c r="AC38" s="639"/>
      <c r="AD38" s="102"/>
    </row>
    <row r="39" spans="1:30" ht="15.75" customHeight="1" x14ac:dyDescent="0.25">
      <c r="B39" s="103" t="s">
        <v>84</v>
      </c>
      <c r="C39" s="103"/>
      <c r="D39" s="103"/>
      <c r="E39" s="103"/>
      <c r="F39" s="103"/>
      <c r="G39" s="104">
        <v>34389540</v>
      </c>
      <c r="H39" s="104"/>
      <c r="I39" s="13" t="s">
        <v>85</v>
      </c>
      <c r="J39" s="13"/>
      <c r="K39" s="13"/>
      <c r="L39" s="13"/>
      <c r="O39" s="1"/>
      <c r="V39" s="640" t="s">
        <v>84</v>
      </c>
      <c r="W39" s="640"/>
      <c r="X39" s="641">
        <f>+G39</f>
        <v>34389540</v>
      </c>
      <c r="Y39" s="641"/>
      <c r="Z39" s="642" t="s">
        <v>85</v>
      </c>
      <c r="AA39" s="642"/>
      <c r="AB39" s="642"/>
      <c r="AC39" s="642"/>
      <c r="AD39" s="9"/>
    </row>
    <row r="40" spans="1:30" ht="15.75" customHeight="1" x14ac:dyDescent="0.25">
      <c r="B40" s="105" t="s">
        <v>86</v>
      </c>
      <c r="C40" s="105"/>
      <c r="D40" s="105"/>
      <c r="E40" s="105"/>
      <c r="F40" s="105"/>
      <c r="G40" s="106">
        <v>180284.81</v>
      </c>
      <c r="H40" s="106"/>
      <c r="I40" s="106"/>
      <c r="J40" s="106"/>
      <c r="K40" s="50">
        <f>ROUND(G39/G40,0)</f>
        <v>191</v>
      </c>
      <c r="L40" s="50">
        <f>ROUND(K40*$G$26,0)</f>
        <v>25369</v>
      </c>
      <c r="N40" s="107"/>
      <c r="O40" s="107"/>
      <c r="P40" s="107"/>
      <c r="Q40" s="107"/>
      <c r="V40" s="643" t="s">
        <v>86</v>
      </c>
      <c r="W40" s="643"/>
      <c r="X40" s="644">
        <f>+G40</f>
        <v>180284.81</v>
      </c>
      <c r="Y40" s="644"/>
      <c r="Z40" s="644"/>
      <c r="AA40" s="644"/>
      <c r="AB40" s="56">
        <f>ROUND(X39/X40,0)</f>
        <v>191</v>
      </c>
      <c r="AC40" s="56">
        <f>ROUND(AB40*$X$26,0)</f>
        <v>0</v>
      </c>
      <c r="AD40" s="9"/>
    </row>
    <row r="41" spans="1:30" ht="15.75" customHeight="1" x14ac:dyDescent="0.25">
      <c r="B41" s="108" t="s">
        <v>87</v>
      </c>
      <c r="C41" s="108"/>
      <c r="D41" s="108"/>
      <c r="E41" s="108"/>
      <c r="F41" s="108"/>
      <c r="G41" s="108"/>
      <c r="H41" s="108"/>
      <c r="I41" s="108"/>
      <c r="J41" s="108"/>
      <c r="K41" s="108"/>
      <c r="L41" s="108"/>
      <c r="N41" s="101"/>
      <c r="O41" s="109"/>
      <c r="P41" s="101"/>
      <c r="Q41" s="101"/>
      <c r="V41" s="652" t="s">
        <v>87</v>
      </c>
      <c r="W41" s="652"/>
      <c r="X41" s="652"/>
      <c r="Y41" s="652"/>
      <c r="Z41" s="652"/>
      <c r="AA41" s="652"/>
      <c r="AB41" s="652"/>
      <c r="AC41" s="652"/>
      <c r="AD41" s="9"/>
    </row>
    <row r="42" spans="1:30" ht="28.5" customHeight="1" x14ac:dyDescent="0.25">
      <c r="B42" s="99" t="s">
        <v>88</v>
      </c>
      <c r="C42" s="99"/>
      <c r="D42" s="99"/>
      <c r="E42" s="99"/>
      <c r="F42" s="99"/>
      <c r="G42" s="99"/>
      <c r="H42" s="99"/>
      <c r="I42" s="99"/>
      <c r="J42" s="99"/>
      <c r="K42" s="99"/>
      <c r="L42" s="99"/>
      <c r="M42" s="107"/>
      <c r="O42" s="1"/>
      <c r="V42" s="639" t="s">
        <v>88</v>
      </c>
      <c r="W42" s="639"/>
      <c r="X42" s="639"/>
      <c r="Y42" s="639"/>
      <c r="Z42" s="639"/>
      <c r="AA42" s="639"/>
      <c r="AB42" s="639"/>
      <c r="AC42" s="639"/>
      <c r="AD42" s="334"/>
    </row>
    <row r="43" spans="1:30" x14ac:dyDescent="0.25">
      <c r="B43" s="111" t="s">
        <v>89</v>
      </c>
      <c r="C43" s="111"/>
      <c r="D43" s="111"/>
      <c r="E43" s="111"/>
      <c r="F43" s="111"/>
      <c r="G43" s="111"/>
      <c r="H43" s="111"/>
      <c r="I43" s="111"/>
      <c r="J43" s="111"/>
      <c r="K43" s="111"/>
      <c r="L43" s="111"/>
      <c r="M43" s="112"/>
      <c r="N43" s="101"/>
      <c r="O43" s="101"/>
      <c r="P43" s="101"/>
      <c r="Q43" s="101"/>
      <c r="V43" s="653" t="s">
        <v>89</v>
      </c>
      <c r="W43" s="653"/>
      <c r="X43" s="653"/>
      <c r="Y43" s="653"/>
      <c r="Z43" s="653"/>
      <c r="AA43" s="653"/>
      <c r="AB43" s="653"/>
      <c r="AC43" s="653"/>
      <c r="AD43" s="113"/>
    </row>
    <row r="44" spans="1:30" ht="24" customHeight="1" x14ac:dyDescent="0.25">
      <c r="B44" s="62" t="s">
        <v>90</v>
      </c>
      <c r="C44" s="62"/>
      <c r="D44" s="62"/>
      <c r="E44" s="62"/>
      <c r="F44" s="62"/>
      <c r="G44" s="62"/>
      <c r="H44" s="62"/>
      <c r="I44" s="62"/>
      <c r="J44" s="62"/>
      <c r="K44" s="62"/>
      <c r="L44" s="114">
        <f>SUM(L26,L37,L40)</f>
        <v>589478</v>
      </c>
      <c r="O44" s="1"/>
      <c r="V44" s="654" t="s">
        <v>90</v>
      </c>
      <c r="W44" s="654"/>
      <c r="X44" s="654"/>
      <c r="Y44" s="654"/>
      <c r="Z44" s="654"/>
      <c r="AA44" s="654"/>
      <c r="AB44" s="654"/>
      <c r="AC44" s="115">
        <f>SUM(AC26,AC37,AC40)</f>
        <v>0</v>
      </c>
      <c r="AD44" s="9"/>
    </row>
    <row r="45" spans="1:30" ht="30.75" customHeight="1" x14ac:dyDescent="0.25">
      <c r="B45" s="99" t="s">
        <v>91</v>
      </c>
      <c r="C45" s="99"/>
      <c r="D45" s="99"/>
      <c r="E45" s="99"/>
      <c r="F45" s="99"/>
      <c r="G45" s="99"/>
      <c r="H45" s="99"/>
      <c r="I45" s="99"/>
      <c r="J45" s="99"/>
      <c r="K45" s="99"/>
      <c r="L45" s="99"/>
      <c r="M45" s="116"/>
      <c r="O45" s="1"/>
      <c r="V45" s="639" t="s">
        <v>91</v>
      </c>
      <c r="W45" s="639"/>
      <c r="X45" s="639"/>
      <c r="Y45" s="639"/>
      <c r="Z45" s="639"/>
      <c r="AA45" s="639"/>
      <c r="AB45" s="639"/>
      <c r="AC45" s="639"/>
      <c r="AD45" s="333"/>
    </row>
    <row r="46" spans="1:30" ht="18.75" customHeight="1" x14ac:dyDescent="0.25">
      <c r="B46" s="1"/>
      <c r="C46" s="118" t="s">
        <v>92</v>
      </c>
      <c r="D46" s="118"/>
      <c r="E46" s="118"/>
      <c r="F46" s="118"/>
      <c r="G46" s="118" t="s">
        <v>93</v>
      </c>
      <c r="H46" s="119"/>
      <c r="I46" s="120" t="s">
        <v>94</v>
      </c>
      <c r="J46" s="121"/>
      <c r="K46" s="121"/>
      <c r="L46" s="121"/>
      <c r="M46" s="122"/>
      <c r="O46" s="1"/>
      <c r="V46" s="9"/>
      <c r="W46" s="336" t="s">
        <v>92</v>
      </c>
      <c r="X46" s="655" t="s">
        <v>95</v>
      </c>
      <c r="Y46" s="655"/>
      <c r="Z46" s="656" t="s">
        <v>94</v>
      </c>
      <c r="AA46" s="656"/>
      <c r="AB46" s="656"/>
      <c r="AC46" s="656"/>
      <c r="AD46" s="124"/>
    </row>
    <row r="47" spans="1:30" ht="18.75" customHeight="1" x14ac:dyDescent="0.25">
      <c r="B47" s="107" t="s">
        <v>96</v>
      </c>
      <c r="C47" s="125">
        <f>K10+K11+K16+K19+K22</f>
        <v>76.158900000000003</v>
      </c>
      <c r="D47" s="125"/>
      <c r="E47" s="125"/>
      <c r="F47" s="125"/>
      <c r="G47" s="126">
        <f>K7</f>
        <v>1.0326</v>
      </c>
      <c r="H47" s="126"/>
      <c r="I47" s="127">
        <v>1316.85</v>
      </c>
      <c r="J47" s="128" t="s">
        <v>97</v>
      </c>
      <c r="K47" s="129">
        <f>ROUND(C47*G47*I47,0)</f>
        <v>103559</v>
      </c>
      <c r="L47" s="130"/>
      <c r="O47" s="1"/>
      <c r="V47" s="334" t="s">
        <v>96</v>
      </c>
      <c r="W47" s="131">
        <f>AB10+AB11+AB16+AB19+AB22</f>
        <v>0</v>
      </c>
      <c r="X47" s="647">
        <f>AB7</f>
        <v>1.0326</v>
      </c>
      <c r="Y47" s="647"/>
      <c r="Z47" s="132">
        <f>+I47</f>
        <v>1316.85</v>
      </c>
      <c r="AA47" s="133" t="s">
        <v>97</v>
      </c>
      <c r="AB47" s="134">
        <f>ROUND(W47*X47*Z47,0)</f>
        <v>0</v>
      </c>
      <c r="AC47" s="135"/>
      <c r="AD47" s="9"/>
    </row>
    <row r="48" spans="1:30" ht="18" customHeight="1" x14ac:dyDescent="0.25">
      <c r="B48" s="136" t="s">
        <v>74</v>
      </c>
      <c r="C48" s="125">
        <f>K12+K13+K17+K20+K23</f>
        <v>65.581699999999998</v>
      </c>
      <c r="D48" s="125"/>
      <c r="E48" s="125"/>
      <c r="F48" s="125"/>
      <c r="G48" s="126">
        <f>K7</f>
        <v>1.0326</v>
      </c>
      <c r="H48" s="126"/>
      <c r="I48" s="127">
        <v>898.23</v>
      </c>
      <c r="J48" s="128" t="s">
        <v>97</v>
      </c>
      <c r="K48" s="129">
        <f>ROUND(C48*G48*I48,0)</f>
        <v>60828</v>
      </c>
      <c r="L48" s="62"/>
      <c r="O48" s="1"/>
      <c r="V48" s="137" t="s">
        <v>74</v>
      </c>
      <c r="W48" s="131">
        <f>AB12+AB13+AB17+AB20+AB23</f>
        <v>0</v>
      </c>
      <c r="X48" s="647">
        <f>AB7</f>
        <v>1.0326</v>
      </c>
      <c r="Y48" s="647"/>
      <c r="Z48" s="132">
        <f>+I48</f>
        <v>898.23</v>
      </c>
      <c r="AA48" s="133" t="s">
        <v>97</v>
      </c>
      <c r="AB48" s="134">
        <f>ROUND(W48*X48*Z48,0)</f>
        <v>0</v>
      </c>
      <c r="AC48" s="138"/>
      <c r="AD48" s="9"/>
    </row>
    <row r="49" spans="2:30" ht="19.5" customHeight="1" thickBot="1" x14ac:dyDescent="0.3">
      <c r="B49" s="139" t="s">
        <v>78</v>
      </c>
      <c r="C49" s="140">
        <f>K14+K15+K18+K21+K24+K25</f>
        <v>0</v>
      </c>
      <c r="D49" s="125"/>
      <c r="E49" s="125"/>
      <c r="F49" s="125"/>
      <c r="G49" s="126">
        <f>K7</f>
        <v>1.0326</v>
      </c>
      <c r="H49" s="126"/>
      <c r="I49" s="127">
        <v>900.39</v>
      </c>
      <c r="J49" s="128" t="s">
        <v>97</v>
      </c>
      <c r="K49" s="129">
        <f>ROUND(C49*G49*I49,0)</f>
        <v>0</v>
      </c>
      <c r="L49" s="62"/>
      <c r="M49" s="112"/>
      <c r="N49" s="141"/>
      <c r="O49" s="142"/>
      <c r="P49" s="101"/>
      <c r="Q49" s="143"/>
      <c r="V49" s="144" t="s">
        <v>78</v>
      </c>
      <c r="W49" s="145">
        <f>AB14+AB15+AB18+AB21+AB24+AB25</f>
        <v>0</v>
      </c>
      <c r="X49" s="647">
        <f>AB7</f>
        <v>1.0326</v>
      </c>
      <c r="Y49" s="647"/>
      <c r="Z49" s="132">
        <f>+I49</f>
        <v>900.39</v>
      </c>
      <c r="AA49" s="133" t="s">
        <v>97</v>
      </c>
      <c r="AB49" s="134">
        <f>ROUND(W49*X49*Z49,0)</f>
        <v>0</v>
      </c>
      <c r="AC49" s="138"/>
      <c r="AD49" s="113"/>
    </row>
    <row r="50" spans="2:30" ht="24" customHeight="1" thickBot="1" x14ac:dyDescent="0.3">
      <c r="B50" s="146" t="s">
        <v>98</v>
      </c>
      <c r="C50" s="147">
        <f>SUM(C47:C49)</f>
        <v>141.7406</v>
      </c>
      <c r="D50" s="148"/>
      <c r="E50" s="149"/>
      <c r="F50" s="149"/>
      <c r="G50" s="150" t="s">
        <v>99</v>
      </c>
      <c r="H50" s="150"/>
      <c r="I50" s="150"/>
      <c r="J50" s="150"/>
      <c r="K50" s="150"/>
      <c r="L50" s="50">
        <f>IF(B2=75,0,K49+K48+K47)</f>
        <v>164387</v>
      </c>
      <c r="N50" s="3"/>
      <c r="O50" s="1"/>
      <c r="V50" s="335" t="s">
        <v>98</v>
      </c>
      <c r="W50" s="152">
        <f>SUM(W47:W49)</f>
        <v>0</v>
      </c>
      <c r="X50" s="648" t="s">
        <v>99</v>
      </c>
      <c r="Y50" s="649"/>
      <c r="Z50" s="649"/>
      <c r="AA50" s="649"/>
      <c r="AB50" s="649"/>
      <c r="AC50" s="56">
        <f>IF(V2=75,0,AB49+AB48+AB47)</f>
        <v>0</v>
      </c>
      <c r="AD50" s="9"/>
    </row>
    <row r="51" spans="2:30" ht="19.5" customHeight="1" x14ac:dyDescent="0.25">
      <c r="B51" s="153" t="s">
        <v>100</v>
      </c>
      <c r="C51" s="153"/>
      <c r="D51" s="153"/>
      <c r="E51" s="153"/>
      <c r="F51" s="153"/>
      <c r="G51" s="153"/>
      <c r="H51" s="153"/>
      <c r="I51" s="153"/>
      <c r="J51" s="153"/>
      <c r="K51" s="153"/>
      <c r="L51" s="153"/>
      <c r="M51" s="141"/>
      <c r="N51" s="101"/>
      <c r="O51" s="1"/>
      <c r="V51" s="650" t="s">
        <v>100</v>
      </c>
      <c r="W51" s="650"/>
      <c r="X51" s="650"/>
      <c r="Y51" s="650"/>
      <c r="Z51" s="650"/>
      <c r="AA51" s="650"/>
      <c r="AB51" s="650"/>
      <c r="AC51" s="650"/>
      <c r="AD51" s="154"/>
    </row>
    <row r="52" spans="2:30" ht="27.75" customHeight="1" x14ac:dyDescent="0.25">
      <c r="B52" s="13" t="s">
        <v>101</v>
      </c>
      <c r="C52" s="13"/>
      <c r="D52" s="13"/>
      <c r="E52" s="13"/>
      <c r="F52" s="13"/>
      <c r="G52" s="13"/>
      <c r="H52" s="13"/>
      <c r="I52" s="13"/>
      <c r="J52" s="13"/>
      <c r="K52" s="13"/>
      <c r="L52" s="13"/>
      <c r="O52" s="1"/>
      <c r="V52" s="651" t="s">
        <v>101</v>
      </c>
      <c r="W52" s="651"/>
      <c r="X52" s="651"/>
      <c r="Y52" s="651"/>
      <c r="Z52" s="651"/>
      <c r="AA52" s="651"/>
      <c r="AB52" s="651"/>
      <c r="AC52" s="651"/>
      <c r="AD52" s="9"/>
    </row>
    <row r="53" spans="2:30" x14ac:dyDescent="0.25">
      <c r="B53" s="13" t="s">
        <v>102</v>
      </c>
      <c r="C53" s="13"/>
      <c r="D53" s="13"/>
      <c r="E53" s="13"/>
      <c r="F53" s="13"/>
      <c r="G53" s="155">
        <f>K26</f>
        <v>141.74059999999997</v>
      </c>
      <c r="H53" s="57" t="s">
        <v>103</v>
      </c>
      <c r="I53" s="57"/>
      <c r="J53" s="156">
        <v>197823.77</v>
      </c>
      <c r="K53" s="156"/>
      <c r="L53" s="156"/>
      <c r="N53" s="3"/>
      <c r="O53" s="1"/>
      <c r="V53" s="657" t="s">
        <v>102</v>
      </c>
      <c r="W53" s="657"/>
      <c r="X53" s="157">
        <f>AB26</f>
        <v>0</v>
      </c>
      <c r="Y53" s="658" t="s">
        <v>103</v>
      </c>
      <c r="Z53" s="658"/>
      <c r="AA53" s="659">
        <f>+J53</f>
        <v>197823.77</v>
      </c>
      <c r="AB53" s="659"/>
      <c r="AC53" s="659"/>
      <c r="AD53" s="9"/>
    </row>
    <row r="54" spans="2:30" x14ac:dyDescent="0.25">
      <c r="B54" s="13" t="s">
        <v>104</v>
      </c>
      <c r="C54" s="13"/>
      <c r="D54" s="13"/>
      <c r="E54" s="13"/>
      <c r="F54" s="13"/>
      <c r="G54" s="13"/>
      <c r="H54" s="13"/>
      <c r="I54" s="13"/>
      <c r="J54" s="13"/>
      <c r="K54" s="158">
        <f>ROUND(G53/J53,6)</f>
        <v>7.1599999999999995E-4</v>
      </c>
      <c r="L54" s="158"/>
      <c r="N54" s="101"/>
      <c r="O54" s="1"/>
      <c r="V54" s="657" t="s">
        <v>104</v>
      </c>
      <c r="W54" s="657"/>
      <c r="X54" s="657"/>
      <c r="Y54" s="657"/>
      <c r="Z54" s="657"/>
      <c r="AA54" s="657"/>
      <c r="AB54" s="660">
        <f>ROUND(X53/AA53,6)</f>
        <v>0</v>
      </c>
      <c r="AC54" s="660"/>
      <c r="AD54" s="9"/>
    </row>
    <row r="55" spans="2:30" ht="24" customHeight="1" x14ac:dyDescent="0.25">
      <c r="B55" s="13" t="s">
        <v>105</v>
      </c>
      <c r="C55" s="13"/>
      <c r="D55" s="13"/>
      <c r="E55" s="13"/>
      <c r="F55" s="13"/>
      <c r="G55" s="13"/>
      <c r="H55" s="13"/>
      <c r="I55" s="13"/>
      <c r="J55" s="13"/>
      <c r="K55" s="13"/>
      <c r="L55" s="13"/>
      <c r="O55" s="1"/>
      <c r="V55" s="651" t="s">
        <v>105</v>
      </c>
      <c r="W55" s="651"/>
      <c r="X55" s="651"/>
      <c r="Y55" s="651"/>
      <c r="Z55" s="651"/>
      <c r="AA55" s="651"/>
      <c r="AB55" s="651"/>
      <c r="AC55" s="651"/>
      <c r="AD55" s="9"/>
    </row>
    <row r="56" spans="2:30" x14ac:dyDescent="0.25">
      <c r="B56" s="13" t="s">
        <v>106</v>
      </c>
      <c r="C56" s="13"/>
      <c r="D56" s="13"/>
      <c r="E56" s="13"/>
      <c r="F56" s="13"/>
      <c r="G56" s="159">
        <f>G26</f>
        <v>132.82</v>
      </c>
      <c r="H56" s="57" t="s">
        <v>107</v>
      </c>
      <c r="I56" s="57"/>
      <c r="J56" s="156">
        <f>+G40</f>
        <v>180284.81</v>
      </c>
      <c r="K56" s="156"/>
      <c r="L56" s="156"/>
      <c r="O56" s="1"/>
      <c r="V56" s="657" t="s">
        <v>106</v>
      </c>
      <c r="W56" s="657"/>
      <c r="X56" s="160">
        <f>X26</f>
        <v>0</v>
      </c>
      <c r="Y56" s="658" t="s">
        <v>107</v>
      </c>
      <c r="Z56" s="658"/>
      <c r="AA56" s="659">
        <f>+J56</f>
        <v>180284.81</v>
      </c>
      <c r="AB56" s="659"/>
      <c r="AC56" s="659"/>
      <c r="AD56" s="9"/>
    </row>
    <row r="57" spans="2:30" x14ac:dyDescent="0.25">
      <c r="B57" s="13" t="s">
        <v>108</v>
      </c>
      <c r="C57" s="13"/>
      <c r="D57" s="13"/>
      <c r="E57" s="13"/>
      <c r="F57" s="13"/>
      <c r="G57" s="13"/>
      <c r="H57" s="13"/>
      <c r="I57" s="13"/>
      <c r="J57" s="13"/>
      <c r="K57" s="158">
        <f>ROUND(G56/J56,6)</f>
        <v>7.3700000000000002E-4</v>
      </c>
      <c r="L57" s="158"/>
      <c r="O57" s="1"/>
      <c r="V57" s="657" t="s">
        <v>108</v>
      </c>
      <c r="W57" s="657"/>
      <c r="X57" s="657"/>
      <c r="Y57" s="657"/>
      <c r="Z57" s="657"/>
      <c r="AA57" s="657"/>
      <c r="AB57" s="660">
        <f>ROUND(X56/AA56,6)</f>
        <v>0</v>
      </c>
      <c r="AC57" s="660"/>
      <c r="AD57" s="9"/>
    </row>
    <row r="58" spans="2:30" ht="20.25" customHeight="1" x14ac:dyDescent="0.25">
      <c r="B58" s="161" t="s">
        <v>109</v>
      </c>
      <c r="C58" s="161"/>
      <c r="D58" s="161"/>
      <c r="E58" s="161"/>
      <c r="F58" s="161"/>
      <c r="G58" s="161"/>
      <c r="H58" s="161"/>
      <c r="I58" s="161"/>
      <c r="J58" s="161"/>
      <c r="K58" s="161"/>
      <c r="L58" s="161"/>
      <c r="N58" s="18"/>
      <c r="O58" s="18"/>
      <c r="V58" s="629" t="s">
        <v>110</v>
      </c>
      <c r="W58" s="629"/>
      <c r="X58" s="629"/>
      <c r="Y58" s="661">
        <f>X65+X64+X62+X61+X60</f>
        <v>4123852</v>
      </c>
      <c r="Z58" s="661"/>
      <c r="AA58" s="332" t="s">
        <v>111</v>
      </c>
      <c r="AB58" s="163">
        <f>AB54</f>
        <v>0</v>
      </c>
      <c r="AC58" s="56">
        <f>ROUND(Y58*AB58,0)</f>
        <v>0</v>
      </c>
      <c r="AD58" s="9"/>
    </row>
    <row r="59" spans="2:30" x14ac:dyDescent="0.25">
      <c r="B59" s="62" t="s">
        <v>110</v>
      </c>
      <c r="C59" s="62"/>
      <c r="D59" s="62"/>
      <c r="E59" s="62"/>
      <c r="F59" s="62"/>
      <c r="G59" s="62"/>
      <c r="H59" s="164" t="s">
        <v>22</v>
      </c>
      <c r="I59" s="129">
        <v>4123852</v>
      </c>
      <c r="J59" s="165" t="s">
        <v>111</v>
      </c>
      <c r="K59" s="166">
        <f>K54</f>
        <v>7.1599999999999995E-4</v>
      </c>
      <c r="L59" s="50">
        <f>ROUND(I59*K59,0)</f>
        <v>2953</v>
      </c>
      <c r="O59" s="1"/>
      <c r="P59" s="165"/>
      <c r="Q59" s="165"/>
      <c r="V59" s="662" t="s">
        <v>112</v>
      </c>
      <c r="W59" s="662"/>
      <c r="X59" s="662"/>
      <c r="Y59" s="662"/>
      <c r="Z59" s="662"/>
      <c r="AA59" s="662"/>
      <c r="AB59" s="662"/>
      <c r="AC59" s="662"/>
      <c r="AD59" s="9"/>
    </row>
    <row r="60" spans="2:30" x14ac:dyDescent="0.25">
      <c r="B60" s="62" t="s">
        <v>112</v>
      </c>
      <c r="C60" s="62"/>
      <c r="D60" s="62"/>
      <c r="E60" s="62"/>
      <c r="F60" s="62"/>
      <c r="G60" s="62"/>
      <c r="H60" s="62"/>
      <c r="I60" s="62"/>
      <c r="J60" s="62"/>
      <c r="K60" s="62"/>
      <c r="L60" s="62"/>
      <c r="O60" s="1"/>
      <c r="P60" s="165"/>
      <c r="Q60" s="165"/>
      <c r="V60" s="663" t="s">
        <v>113</v>
      </c>
      <c r="W60" s="663"/>
      <c r="X60" s="664">
        <f>+G61</f>
        <v>0</v>
      </c>
      <c r="Y60" s="664"/>
      <c r="Z60" s="664"/>
      <c r="AA60" s="664"/>
      <c r="AB60" s="664"/>
      <c r="AC60" s="664"/>
      <c r="AD60" s="9"/>
    </row>
    <row r="61" spans="2:30" ht="15" customHeight="1" x14ac:dyDescent="0.25">
      <c r="B61" s="167" t="s">
        <v>113</v>
      </c>
      <c r="C61" s="62"/>
      <c r="D61" s="62"/>
      <c r="E61" s="62"/>
      <c r="F61" s="62"/>
      <c r="G61" s="168">
        <v>0</v>
      </c>
      <c r="H61" s="168"/>
      <c r="I61" s="168"/>
      <c r="J61" s="168"/>
      <c r="K61" s="168"/>
      <c r="L61" s="168"/>
      <c r="O61" s="1"/>
      <c r="P61" s="165"/>
      <c r="Q61" s="165"/>
      <c r="V61" s="663" t="s">
        <v>114</v>
      </c>
      <c r="W61" s="663"/>
      <c r="X61" s="664">
        <f>+G62</f>
        <v>0</v>
      </c>
      <c r="Y61" s="664"/>
      <c r="Z61" s="664"/>
      <c r="AA61" s="664"/>
      <c r="AB61" s="664"/>
      <c r="AC61" s="664"/>
      <c r="AD61" s="9"/>
    </row>
    <row r="62" spans="2:30" ht="13.5" customHeight="1" x14ac:dyDescent="0.25">
      <c r="B62" s="167" t="s">
        <v>114</v>
      </c>
      <c r="C62" s="62"/>
      <c r="D62" s="62"/>
      <c r="E62" s="62"/>
      <c r="F62" s="62"/>
      <c r="G62" s="168">
        <v>0</v>
      </c>
      <c r="H62" s="168"/>
      <c r="I62" s="168"/>
      <c r="J62" s="168"/>
      <c r="K62" s="168"/>
      <c r="L62" s="168"/>
      <c r="N62" s="165"/>
      <c r="O62" s="165"/>
      <c r="P62" s="165"/>
      <c r="Q62" s="165"/>
      <c r="V62" s="663" t="s">
        <v>115</v>
      </c>
      <c r="W62" s="663"/>
      <c r="X62" s="664">
        <v>0</v>
      </c>
      <c r="Y62" s="664"/>
      <c r="Z62" s="664"/>
      <c r="AA62" s="664"/>
      <c r="AB62" s="664"/>
      <c r="AC62" s="664"/>
      <c r="AD62" s="9"/>
    </row>
    <row r="63" spans="2:30" ht="13.5" hidden="1" customHeight="1" x14ac:dyDescent="0.25">
      <c r="B63" s="62" t="s">
        <v>115</v>
      </c>
      <c r="C63" s="62"/>
      <c r="D63" s="62"/>
      <c r="E63" s="62"/>
      <c r="F63" s="62"/>
      <c r="G63" s="168">
        <v>0</v>
      </c>
      <c r="H63" s="168"/>
      <c r="I63" s="168"/>
      <c r="J63" s="168"/>
      <c r="K63" s="168"/>
      <c r="L63" s="168"/>
      <c r="O63" s="1"/>
      <c r="P63" s="165"/>
      <c r="Q63" s="165"/>
      <c r="V63" s="662" t="s">
        <v>116</v>
      </c>
      <c r="W63" s="662"/>
      <c r="X63" s="662"/>
      <c r="Y63" s="662"/>
      <c r="Z63" s="662"/>
      <c r="AA63" s="662"/>
      <c r="AB63" s="662"/>
      <c r="AC63" s="662"/>
      <c r="AD63" s="333"/>
    </row>
    <row r="64" spans="2:30" ht="13.5" customHeight="1" x14ac:dyDescent="0.25">
      <c r="B64" s="62" t="s">
        <v>116</v>
      </c>
      <c r="C64" s="62"/>
      <c r="D64" s="62"/>
      <c r="E64" s="62"/>
      <c r="F64" s="62"/>
      <c r="G64" s="62"/>
      <c r="H64" s="62"/>
      <c r="I64" s="62"/>
      <c r="J64" s="62"/>
      <c r="K64" s="62"/>
      <c r="L64" s="62"/>
      <c r="M64" s="116"/>
      <c r="N64" s="18"/>
      <c r="O64" s="1"/>
      <c r="V64" s="663" t="s">
        <v>117</v>
      </c>
      <c r="W64" s="663"/>
      <c r="X64" s="664">
        <f>+G65</f>
        <v>4123852</v>
      </c>
      <c r="Y64" s="664"/>
      <c r="Z64" s="664"/>
      <c r="AA64" s="664"/>
      <c r="AB64" s="664"/>
      <c r="AC64" s="664"/>
      <c r="AD64" s="9"/>
    </row>
    <row r="65" spans="1:30" ht="12.75" customHeight="1" x14ac:dyDescent="0.25">
      <c r="B65" s="167" t="s">
        <v>117</v>
      </c>
      <c r="C65" s="62"/>
      <c r="D65" s="62"/>
      <c r="E65" s="62"/>
      <c r="F65" s="62"/>
      <c r="G65" s="168">
        <f>+I59</f>
        <v>4123852</v>
      </c>
      <c r="H65" s="168"/>
      <c r="I65" s="168"/>
      <c r="J65" s="168"/>
      <c r="K65" s="168"/>
      <c r="L65" s="168"/>
      <c r="O65" s="1"/>
      <c r="V65" s="663" t="s">
        <v>118</v>
      </c>
      <c r="W65" s="663"/>
      <c r="X65" s="664">
        <f>+G66</f>
        <v>0</v>
      </c>
      <c r="Y65" s="664"/>
      <c r="Z65" s="664"/>
      <c r="AA65" s="664"/>
      <c r="AB65" s="664"/>
      <c r="AC65" s="664"/>
      <c r="AD65" s="20"/>
    </row>
    <row r="66" spans="1:30" ht="15" customHeight="1" x14ac:dyDescent="0.25">
      <c r="B66" s="167" t="s">
        <v>118</v>
      </c>
      <c r="C66" s="62"/>
      <c r="D66" s="62"/>
      <c r="E66" s="62"/>
      <c r="F66" s="62"/>
      <c r="G66" s="168">
        <v>0</v>
      </c>
      <c r="H66" s="168"/>
      <c r="I66" s="168"/>
      <c r="J66" s="168"/>
      <c r="K66" s="168"/>
      <c r="L66" s="168"/>
      <c r="M66" s="18"/>
      <c r="N66" s="3"/>
      <c r="O66" s="169"/>
      <c r="P66" s="169"/>
      <c r="Q66" s="169"/>
      <c r="V66" s="651" t="s">
        <v>119</v>
      </c>
      <c r="W66" s="651"/>
      <c r="X66" s="651"/>
      <c r="Y66" s="661">
        <f>+I67</f>
        <v>96774526</v>
      </c>
      <c r="Z66" s="661"/>
      <c r="AA66" s="332" t="s">
        <v>111</v>
      </c>
      <c r="AB66" s="163">
        <f>AB54</f>
        <v>0</v>
      </c>
      <c r="AC66" s="56">
        <f>ROUND(Y66*AB66,0)</f>
        <v>0</v>
      </c>
      <c r="AD66" s="9"/>
    </row>
    <row r="67" spans="1:30" ht="20.25" customHeight="1" x14ac:dyDescent="0.25">
      <c r="B67" s="13" t="s">
        <v>119</v>
      </c>
      <c r="C67" s="13"/>
      <c r="D67" s="13"/>
      <c r="E67" s="13"/>
      <c r="F67" s="13"/>
      <c r="H67" s="164" t="s">
        <v>25</v>
      </c>
      <c r="I67" s="129">
        <v>96774526</v>
      </c>
      <c r="J67" s="165" t="s">
        <v>111</v>
      </c>
      <c r="K67" s="166">
        <f>K54</f>
        <v>7.1599999999999995E-4</v>
      </c>
      <c r="L67" s="50">
        <f>ROUND(I67*K67,0)</f>
        <v>69291</v>
      </c>
      <c r="O67" s="1"/>
      <c r="V67" s="651" t="s">
        <v>120</v>
      </c>
      <c r="W67" s="651"/>
      <c r="X67" s="651"/>
      <c r="Y67" s="651"/>
      <c r="Z67" s="651"/>
      <c r="AA67" s="651"/>
      <c r="AB67" s="651"/>
      <c r="AC67" s="651"/>
      <c r="AD67" s="9"/>
    </row>
    <row r="68" spans="1:30" ht="20.25" customHeight="1" x14ac:dyDescent="0.25">
      <c r="B68" s="13" t="s">
        <v>120</v>
      </c>
      <c r="C68" s="13"/>
      <c r="D68" s="13"/>
      <c r="E68" s="13"/>
      <c r="F68" s="13"/>
      <c r="H68" s="13"/>
      <c r="I68" s="13"/>
      <c r="J68" s="82"/>
      <c r="K68" s="13"/>
      <c r="L68" s="13"/>
      <c r="O68" s="1"/>
      <c r="V68" s="667" t="s">
        <v>121</v>
      </c>
      <c r="W68" s="667"/>
      <c r="X68" s="667"/>
      <c r="Y68" s="661">
        <f>+I69</f>
        <v>0</v>
      </c>
      <c r="Z68" s="661"/>
      <c r="AA68" s="332" t="s">
        <v>111</v>
      </c>
      <c r="AB68" s="163">
        <f>AB57</f>
        <v>0</v>
      </c>
      <c r="AC68" s="56">
        <f>ROUND(Y68*AB68,0)</f>
        <v>0</v>
      </c>
      <c r="AD68" s="9"/>
    </row>
    <row r="69" spans="1:30" ht="15" customHeight="1" x14ac:dyDescent="0.25">
      <c r="B69" s="170" t="s">
        <v>121</v>
      </c>
      <c r="C69" s="13"/>
      <c r="D69" s="13"/>
      <c r="E69" s="13"/>
      <c r="F69" s="13"/>
      <c r="H69" s="164" t="s">
        <v>23</v>
      </c>
      <c r="I69" s="129">
        <v>0</v>
      </c>
      <c r="J69" s="165" t="s">
        <v>111</v>
      </c>
      <c r="K69" s="166">
        <f>K57</f>
        <v>7.3700000000000002E-4</v>
      </c>
      <c r="L69" s="50">
        <f>ROUND(I69*K69,0)</f>
        <v>0</v>
      </c>
      <c r="O69" s="1"/>
      <c r="V69" s="651" t="s">
        <v>122</v>
      </c>
      <c r="W69" s="651"/>
      <c r="X69" s="651"/>
      <c r="Y69" s="668">
        <f>+I70</f>
        <v>-3460775</v>
      </c>
      <c r="Z69" s="668"/>
      <c r="AA69" s="332" t="s">
        <v>111</v>
      </c>
      <c r="AB69" s="163">
        <f>AB54</f>
        <v>0</v>
      </c>
      <c r="AC69" s="56">
        <f>ROUND(Y69*AB69,0)</f>
        <v>0</v>
      </c>
      <c r="AD69" s="9"/>
    </row>
    <row r="70" spans="1:30" ht="20.25" customHeight="1" x14ac:dyDescent="0.25">
      <c r="B70" s="13" t="s">
        <v>122</v>
      </c>
      <c r="C70" s="13"/>
      <c r="D70" s="13"/>
      <c r="E70" s="13"/>
      <c r="F70" s="13"/>
      <c r="H70" s="164" t="s">
        <v>22</v>
      </c>
      <c r="I70" s="129">
        <v>-3460775</v>
      </c>
      <c r="J70" s="165" t="s">
        <v>111</v>
      </c>
      <c r="K70" s="166">
        <f>K54</f>
        <v>7.1599999999999995E-4</v>
      </c>
      <c r="L70" s="50">
        <f>ROUND(I70*K70,0)</f>
        <v>-2478</v>
      </c>
      <c r="O70" s="1"/>
      <c r="V70" s="651" t="s">
        <v>123</v>
      </c>
      <c r="W70" s="651"/>
      <c r="X70" s="651"/>
      <c r="Y70" s="665">
        <f>+I71</f>
        <v>1874788</v>
      </c>
      <c r="Z70" s="665"/>
      <c r="AA70" s="332" t="s">
        <v>111</v>
      </c>
      <c r="AB70" s="163">
        <f>AB54</f>
        <v>0</v>
      </c>
      <c r="AC70" s="56">
        <f>ROUND(Y70*AB70,0)</f>
        <v>0</v>
      </c>
      <c r="AD70" s="9"/>
    </row>
    <row r="71" spans="1:30" ht="20.25" customHeight="1" x14ac:dyDescent="0.25">
      <c r="B71" s="13" t="s">
        <v>123</v>
      </c>
      <c r="C71" s="13"/>
      <c r="D71" s="13"/>
      <c r="E71" s="13"/>
      <c r="F71" s="13"/>
      <c r="H71" s="164" t="s">
        <v>22</v>
      </c>
      <c r="I71" s="129">
        <v>1874788</v>
      </c>
      <c r="J71" s="165" t="s">
        <v>111</v>
      </c>
      <c r="K71" s="166">
        <f>K54</f>
        <v>7.1599999999999995E-4</v>
      </c>
      <c r="L71" s="50">
        <f>ROUND(I71*K71,0)</f>
        <v>1342</v>
      </c>
      <c r="O71" s="1"/>
      <c r="V71" s="651" t="s">
        <v>124</v>
      </c>
      <c r="W71" s="651"/>
      <c r="X71" s="651"/>
      <c r="Y71" s="665">
        <f>+I72</f>
        <v>14223298</v>
      </c>
      <c r="Z71" s="665"/>
      <c r="AA71" s="332" t="s">
        <v>111</v>
      </c>
      <c r="AB71" s="163">
        <f>AB57</f>
        <v>0</v>
      </c>
      <c r="AC71" s="56">
        <f>ROUND(Y71*AB71,0)</f>
        <v>0</v>
      </c>
      <c r="AD71" s="9"/>
    </row>
    <row r="72" spans="1:30" ht="21" customHeight="1" x14ac:dyDescent="0.25">
      <c r="B72" s="13" t="s">
        <v>124</v>
      </c>
      <c r="C72" s="13"/>
      <c r="D72" s="13"/>
      <c r="E72" s="13"/>
      <c r="F72" s="13"/>
      <c r="H72" s="164" t="s">
        <v>23</v>
      </c>
      <c r="I72" s="171">
        <v>14223298</v>
      </c>
      <c r="J72" s="165" t="s">
        <v>111</v>
      </c>
      <c r="K72" s="166">
        <f>K57</f>
        <v>7.3700000000000002E-4</v>
      </c>
      <c r="L72" s="50">
        <f>ROUND(I72*K72,0)</f>
        <v>10483</v>
      </c>
      <c r="O72" s="1"/>
      <c r="V72" s="623" t="s">
        <v>125</v>
      </c>
      <c r="W72" s="623"/>
      <c r="X72" s="623"/>
      <c r="Y72" s="623"/>
      <c r="Z72" s="623"/>
      <c r="AA72" s="623"/>
      <c r="AB72" s="623"/>
      <c r="AC72" s="60"/>
      <c r="AD72" s="9"/>
    </row>
    <row r="73" spans="1:30" ht="17.25" customHeight="1" x14ac:dyDescent="0.25">
      <c r="B73" s="13" t="s">
        <v>125</v>
      </c>
      <c r="C73" s="13"/>
      <c r="D73" s="13"/>
      <c r="E73" s="13"/>
      <c r="F73" s="13"/>
      <c r="H73" s="13"/>
      <c r="I73" s="13"/>
      <c r="J73" s="82"/>
      <c r="K73" s="13"/>
      <c r="L73" s="59"/>
      <c r="O73" s="1"/>
      <c r="V73" s="651" t="s">
        <v>126</v>
      </c>
      <c r="W73" s="651"/>
      <c r="X73" s="651"/>
      <c r="Y73" s="651"/>
      <c r="Z73" s="651"/>
      <c r="AA73" s="651"/>
      <c r="AB73" s="651"/>
      <c r="AC73" s="651"/>
      <c r="AD73" s="9"/>
    </row>
    <row r="74" spans="1:30" ht="31.5" x14ac:dyDescent="0.25">
      <c r="B74" s="13" t="s">
        <v>126</v>
      </c>
      <c r="C74" s="13"/>
      <c r="D74" s="27" t="s">
        <v>13</v>
      </c>
      <c r="E74" s="27" t="s">
        <v>14</v>
      </c>
      <c r="F74" s="27"/>
      <c r="H74" s="164" t="s">
        <v>26</v>
      </c>
      <c r="I74" s="172"/>
      <c r="J74" s="164"/>
      <c r="K74" s="172"/>
      <c r="L74" s="112"/>
      <c r="O74" s="1"/>
      <c r="V74" s="666" t="s">
        <v>127</v>
      </c>
      <c r="W74" s="666"/>
      <c r="X74" s="173" t="s">
        <v>128</v>
      </c>
      <c r="Y74" s="174"/>
      <c r="Z74" s="175">
        <f>+I75</f>
        <v>19.5</v>
      </c>
      <c r="AA74" s="331" t="s">
        <v>129</v>
      </c>
      <c r="AB74" s="177">
        <f>+K75</f>
        <v>361</v>
      </c>
      <c r="AC74" s="56">
        <f>ROUND(AB74*Z74,0)</f>
        <v>7040</v>
      </c>
      <c r="AD74" s="9"/>
    </row>
    <row r="75" spans="1:30" ht="19.5" customHeight="1" x14ac:dyDescent="0.25">
      <c r="A75" s="1" t="s">
        <v>130</v>
      </c>
      <c r="B75" s="178" t="s">
        <v>127</v>
      </c>
      <c r="C75" s="179" t="s">
        <v>128</v>
      </c>
      <c r="D75" s="178">
        <v>19</v>
      </c>
      <c r="E75" s="178">
        <v>20</v>
      </c>
      <c r="F75" s="178">
        <v>0</v>
      </c>
      <c r="G75" s="180">
        <f>IF(E75=0,D75,E75)</f>
        <v>20</v>
      </c>
      <c r="H75" s="181"/>
      <c r="I75" s="182">
        <f>AVERAGE(G75,D75)</f>
        <v>19.5</v>
      </c>
      <c r="J75" s="183" t="s">
        <v>129</v>
      </c>
      <c r="K75" s="184">
        <v>361</v>
      </c>
      <c r="L75" s="50">
        <f>ROUND(K75*I75,0)</f>
        <v>7040</v>
      </c>
      <c r="N75" s="1">
        <v>7802</v>
      </c>
      <c r="O75" s="1">
        <v>0</v>
      </c>
      <c r="V75" s="666" t="s">
        <v>127</v>
      </c>
      <c r="W75" s="666"/>
      <c r="X75" s="173" t="s">
        <v>131</v>
      </c>
      <c r="Y75" s="185"/>
      <c r="Z75" s="186">
        <f>+I76</f>
        <v>0</v>
      </c>
      <c r="AA75" s="331" t="s">
        <v>129</v>
      </c>
      <c r="AB75" s="187">
        <f>+K76</f>
        <v>1358</v>
      </c>
      <c r="AC75" s="56">
        <f>ROUND(AB75*Z75,0)</f>
        <v>0</v>
      </c>
      <c r="AD75" s="9"/>
    </row>
    <row r="76" spans="1:30" ht="19.5" customHeight="1" x14ac:dyDescent="0.25">
      <c r="A76" s="1" t="s">
        <v>132</v>
      </c>
      <c r="B76" s="178" t="s">
        <v>127</v>
      </c>
      <c r="C76" s="179" t="s">
        <v>131</v>
      </c>
      <c r="D76" s="178">
        <v>0</v>
      </c>
      <c r="E76" s="178">
        <v>0</v>
      </c>
      <c r="F76" s="178">
        <v>0</v>
      </c>
      <c r="G76" s="180">
        <f>IF(E76=0,D76,E76)</f>
        <v>0</v>
      </c>
      <c r="H76" s="181"/>
      <c r="I76" s="182">
        <f>AVERAGE(G76,D76)</f>
        <v>0</v>
      </c>
      <c r="J76" s="183" t="s">
        <v>129</v>
      </c>
      <c r="K76" s="188">
        <v>1358</v>
      </c>
      <c r="L76" s="50">
        <f>ROUND(K76*I76,0)</f>
        <v>0</v>
      </c>
      <c r="N76" s="1">
        <v>7802</v>
      </c>
      <c r="O76" s="1">
        <v>110</v>
      </c>
      <c r="V76" s="651" t="s">
        <v>133</v>
      </c>
      <c r="W76" s="651"/>
      <c r="X76" s="651"/>
      <c r="Y76" s="661">
        <f>+I77</f>
        <v>33305823</v>
      </c>
      <c r="Z76" s="661"/>
      <c r="AA76" s="331" t="s">
        <v>129</v>
      </c>
      <c r="AB76" s="163">
        <f>AB54</f>
        <v>0</v>
      </c>
      <c r="AC76" s="56">
        <f>ROUND(Y76*AB76,0)</f>
        <v>0</v>
      </c>
      <c r="AD76" s="9"/>
    </row>
    <row r="77" spans="1:30" ht="26.25" customHeight="1" x14ac:dyDescent="0.25">
      <c r="B77" s="13" t="s">
        <v>133</v>
      </c>
      <c r="C77" s="13"/>
      <c r="D77" s="13"/>
      <c r="E77" s="13"/>
      <c r="F77" s="13"/>
      <c r="H77" s="164" t="s">
        <v>134</v>
      </c>
      <c r="I77" s="189">
        <v>33305823</v>
      </c>
      <c r="J77" s="165" t="s">
        <v>111</v>
      </c>
      <c r="K77" s="166">
        <f>K54</f>
        <v>7.1599999999999995E-4</v>
      </c>
      <c r="L77" s="50">
        <f>ROUND(I77*K77,0)</f>
        <v>23847</v>
      </c>
      <c r="O77" s="1"/>
      <c r="V77" s="651" t="str">
        <f>+B78</f>
        <v>15.  Additional Allocation (WFTE share)</v>
      </c>
      <c r="W77" s="651"/>
      <c r="X77" s="651"/>
      <c r="Y77" s="661">
        <f>+I78</f>
        <v>680688</v>
      </c>
      <c r="Z77" s="661"/>
      <c r="AA77" s="331" t="s">
        <v>129</v>
      </c>
      <c r="AB77" s="163">
        <f>AB54</f>
        <v>0</v>
      </c>
      <c r="AC77" s="56">
        <f>ROUND(Y77*AB77,0)</f>
        <v>0</v>
      </c>
      <c r="AD77" s="9"/>
    </row>
    <row r="78" spans="1:30" ht="26.25" customHeight="1" x14ac:dyDescent="0.25">
      <c r="B78" s="669" t="s">
        <v>135</v>
      </c>
      <c r="C78" s="669"/>
      <c r="D78" s="669"/>
      <c r="E78" s="13"/>
      <c r="F78" s="13"/>
      <c r="H78" s="164" t="s">
        <v>136</v>
      </c>
      <c r="I78" s="190">
        <v>680688</v>
      </c>
      <c r="J78" s="165" t="s">
        <v>111</v>
      </c>
      <c r="K78" s="166">
        <f>K54</f>
        <v>7.1599999999999995E-4</v>
      </c>
      <c r="L78" s="50">
        <f>ROUND(I78*K78,0)</f>
        <v>487</v>
      </c>
      <c r="O78" s="1"/>
      <c r="V78" s="651" t="str">
        <f>+B79</f>
        <v>16.  Florida Teachers Lead Program Stipend</v>
      </c>
      <c r="W78" s="651"/>
      <c r="X78" s="651"/>
      <c r="Y78" s="191"/>
      <c r="Z78" s="191"/>
      <c r="AA78" s="191"/>
      <c r="AB78" s="191"/>
      <c r="AC78" s="134"/>
      <c r="AD78" s="9"/>
    </row>
    <row r="79" spans="1:30" ht="21" customHeight="1" x14ac:dyDescent="0.25">
      <c r="B79" s="669" t="s">
        <v>137</v>
      </c>
      <c r="C79" s="669"/>
      <c r="D79" s="669"/>
      <c r="E79" s="13"/>
      <c r="F79" s="13"/>
      <c r="H79" s="164"/>
      <c r="I79" s="172"/>
      <c r="J79" s="172"/>
      <c r="K79" s="172"/>
      <c r="L79" s="129"/>
      <c r="N79" s="192"/>
      <c r="O79" s="1"/>
      <c r="Q79" s="164"/>
      <c r="V79" s="651" t="str">
        <f>+B80</f>
        <v>17.  Food Service Allocation</v>
      </c>
      <c r="W79" s="651"/>
      <c r="X79" s="651"/>
      <c r="Y79" s="191"/>
      <c r="Z79" s="191"/>
      <c r="AA79" s="191"/>
      <c r="AB79" s="191"/>
      <c r="AC79" s="193"/>
      <c r="AD79" s="9"/>
    </row>
    <row r="80" spans="1:30" ht="21" customHeight="1" x14ac:dyDescent="0.25">
      <c r="B80" s="669" t="s">
        <v>138</v>
      </c>
      <c r="C80" s="669"/>
      <c r="D80" s="669"/>
      <c r="E80" s="13"/>
      <c r="F80" s="13"/>
      <c r="H80" s="194" t="s">
        <v>139</v>
      </c>
      <c r="I80" s="195"/>
      <c r="J80" s="195"/>
      <c r="K80" s="195"/>
      <c r="L80" s="196"/>
      <c r="N80" s="197"/>
      <c r="O80" s="1"/>
      <c r="Q80" s="164"/>
      <c r="V80" s="191"/>
      <c r="W80" s="191"/>
      <c r="X80" s="191"/>
      <c r="Y80" s="191"/>
      <c r="Z80" s="191"/>
      <c r="AA80" s="191"/>
      <c r="AB80" s="191"/>
      <c r="AC80" s="193"/>
      <c r="AD80" s="9"/>
    </row>
    <row r="81" spans="1:30" ht="21" customHeight="1" thickBot="1" x14ac:dyDescent="0.3">
      <c r="B81" s="13"/>
      <c r="C81" s="13"/>
      <c r="D81" s="13"/>
      <c r="E81" s="13"/>
      <c r="F81" s="13"/>
      <c r="G81" s="13"/>
      <c r="H81" s="13"/>
      <c r="I81" s="13"/>
      <c r="J81" s="13"/>
      <c r="K81" s="13"/>
      <c r="L81" s="196"/>
      <c r="M81" s="198"/>
      <c r="N81" s="197"/>
      <c r="O81" s="1"/>
      <c r="Q81" s="164"/>
      <c r="V81" s="191" t="s">
        <v>140</v>
      </c>
      <c r="W81" s="191"/>
      <c r="X81" s="191"/>
      <c r="Y81" s="191"/>
      <c r="Z81" s="191"/>
      <c r="AA81" s="191"/>
      <c r="AB81" s="191"/>
      <c r="AC81" s="199">
        <f>SUM(AC44:AC80)</f>
        <v>7040</v>
      </c>
      <c r="AD81" s="200"/>
    </row>
    <row r="82" spans="1:30" ht="22.5" customHeight="1" thickTop="1" thickBot="1" x14ac:dyDescent="0.3">
      <c r="B82" s="13" t="s">
        <v>141</v>
      </c>
      <c r="C82" s="13"/>
      <c r="D82" s="13"/>
      <c r="E82" s="13"/>
      <c r="F82" s="13"/>
      <c r="G82" s="13"/>
      <c r="H82" s="13"/>
      <c r="I82" s="13"/>
      <c r="J82" s="13"/>
      <c r="K82" s="13"/>
      <c r="L82" s="201">
        <f>SUM(L44:L81)</f>
        <v>866830</v>
      </c>
      <c r="M82" s="202"/>
      <c r="N82" s="203"/>
      <c r="O82" s="1"/>
      <c r="Q82" s="164"/>
      <c r="V82" s="191"/>
      <c r="W82" s="191"/>
      <c r="X82" s="191"/>
      <c r="Y82" s="191"/>
      <c r="Z82" s="191"/>
      <c r="AA82" s="191"/>
      <c r="AB82" s="191"/>
      <c r="AC82" s="204"/>
      <c r="AD82" s="200"/>
    </row>
    <row r="83" spans="1:30" ht="27.75" customHeight="1" thickTop="1" x14ac:dyDescent="0.25">
      <c r="B83" s="13" t="s">
        <v>142</v>
      </c>
      <c r="C83" s="13"/>
      <c r="D83" s="13"/>
      <c r="E83" s="13"/>
      <c r="F83" s="13"/>
      <c r="G83" s="13"/>
      <c r="H83" s="13"/>
      <c r="I83" s="13"/>
      <c r="J83" s="13"/>
      <c r="K83" s="82" t="s">
        <v>143</v>
      </c>
      <c r="L83" s="205" t="s">
        <v>144</v>
      </c>
      <c r="M83" s="202"/>
      <c r="N83" s="203"/>
      <c r="O83" s="1"/>
      <c r="Q83" s="164"/>
      <c r="V83" s="9" t="s">
        <v>145</v>
      </c>
      <c r="W83" s="9"/>
      <c r="X83" s="9"/>
      <c r="Y83" s="9"/>
      <c r="Z83" s="9"/>
      <c r="AA83" s="9"/>
      <c r="AB83" s="9"/>
      <c r="AC83" s="9"/>
      <c r="AD83" s="206"/>
    </row>
    <row r="84" spans="1:30" ht="18.75" customHeight="1" thickBot="1" x14ac:dyDescent="0.3">
      <c r="B84" s="13" t="s">
        <v>146</v>
      </c>
      <c r="C84" s="13"/>
      <c r="D84" s="13"/>
      <c r="E84" s="13"/>
      <c r="F84" s="13"/>
      <c r="G84" s="13"/>
      <c r="H84" s="13"/>
      <c r="I84" s="13"/>
      <c r="J84" s="13"/>
      <c r="K84" s="207" t="str">
        <f>IF(G26=0,"",IF((G11+G13+SUM(G15:G21))/G26&gt;0.75,1,""))</f>
        <v/>
      </c>
      <c r="L84" s="201">
        <f>'0664 June Final'!AC81</f>
        <v>7040</v>
      </c>
      <c r="M84" s="202"/>
      <c r="N84" s="203"/>
      <c r="O84" s="1"/>
      <c r="Q84" s="164"/>
      <c r="V84" s="208" t="s">
        <v>147</v>
      </c>
      <c r="W84" s="208"/>
      <c r="X84" s="208"/>
      <c r="Y84" s="208"/>
      <c r="Z84" s="208"/>
      <c r="AA84" s="208"/>
      <c r="AB84" s="208"/>
      <c r="AC84" s="208"/>
      <c r="AD84" s="9"/>
    </row>
    <row r="85" spans="1:30" ht="18.75" customHeight="1" thickTop="1" x14ac:dyDescent="0.25">
      <c r="B85" s="13"/>
      <c r="C85" s="13"/>
      <c r="D85" s="13"/>
      <c r="E85" s="13"/>
      <c r="F85" s="13"/>
      <c r="G85" s="13"/>
      <c r="H85" s="13"/>
      <c r="I85" s="13"/>
      <c r="J85" s="13"/>
      <c r="M85" s="202"/>
      <c r="N85" s="203"/>
      <c r="O85" s="1"/>
      <c r="Q85" s="164"/>
      <c r="V85" s="208" t="s">
        <v>148</v>
      </c>
      <c r="W85" s="208"/>
      <c r="X85" s="208"/>
      <c r="Y85" s="208"/>
      <c r="Z85" s="208"/>
      <c r="AA85" s="208"/>
      <c r="AB85" s="208"/>
      <c r="AC85" s="208"/>
      <c r="AD85" s="206"/>
    </row>
    <row r="86" spans="1:30" ht="18.75" customHeight="1" x14ac:dyDescent="0.25">
      <c r="B86" s="2" t="s">
        <v>149</v>
      </c>
      <c r="C86" s="13"/>
      <c r="D86" s="13"/>
      <c r="E86" s="13"/>
      <c r="F86" s="13"/>
      <c r="G86" s="13"/>
      <c r="H86" s="13"/>
      <c r="I86" s="13"/>
      <c r="J86" s="209" t="s">
        <v>150</v>
      </c>
      <c r="K86" s="210">
        <f>IF(K84=1,L84,L82)</f>
        <v>866830</v>
      </c>
      <c r="L86" s="211">
        <f>IF(G26=0,0,IF(G26&gt;250,-(((250/G26)*K86)*IF(M86="H",0.02,0.05)),IF(M86="H",-0.02*K86,-0.05*K86)))</f>
        <v>-43341.5</v>
      </c>
      <c r="M86" s="212" t="str">
        <f>IF(B123="2801","H",IF(B123="2911","H",IF(B123="3382","H"," ")))</f>
        <v xml:space="preserve"> </v>
      </c>
      <c r="N86" s="203"/>
      <c r="O86" s="1"/>
      <c r="Q86" s="164"/>
      <c r="V86" s="208" t="s">
        <v>151</v>
      </c>
      <c r="W86" s="208"/>
      <c r="X86" s="208"/>
      <c r="Y86" s="208"/>
      <c r="Z86" s="208"/>
      <c r="AA86" s="208"/>
      <c r="AB86" s="208"/>
      <c r="AC86" s="208"/>
      <c r="AD86" s="206"/>
    </row>
    <row r="87" spans="1:30" ht="18.75" customHeight="1" x14ac:dyDescent="0.25">
      <c r="B87" s="2" t="s">
        <v>152</v>
      </c>
      <c r="C87" s="13"/>
      <c r="D87" s="13"/>
      <c r="E87" s="13"/>
      <c r="F87" s="13"/>
      <c r="G87" s="13"/>
      <c r="H87" s="13"/>
      <c r="I87" s="13"/>
      <c r="J87" s="13"/>
      <c r="K87" s="213"/>
      <c r="L87" s="205">
        <f>L82+L86</f>
        <v>823488.5</v>
      </c>
      <c r="M87" s="202"/>
      <c r="N87" s="203"/>
      <c r="O87" s="1"/>
      <c r="Q87" s="164"/>
      <c r="V87" s="198"/>
      <c r="W87" s="198"/>
      <c r="X87" s="198"/>
      <c r="Y87" s="198"/>
      <c r="Z87" s="198"/>
      <c r="AA87" s="198"/>
      <c r="AB87" s="198"/>
      <c r="AC87" s="198"/>
      <c r="AD87" s="214"/>
    </row>
    <row r="88" spans="1:30" x14ac:dyDescent="0.25">
      <c r="V88" s="198"/>
      <c r="W88" s="198"/>
      <c r="X88" s="198"/>
      <c r="Y88" s="198"/>
      <c r="Z88" s="198"/>
      <c r="AA88" s="198"/>
      <c r="AB88" s="198"/>
      <c r="AC88" s="198"/>
      <c r="AD88" s="215"/>
    </row>
    <row r="89" spans="1:30" ht="18.75" customHeight="1" x14ac:dyDescent="0.25">
      <c r="A89" s="1" t="s">
        <v>153</v>
      </c>
      <c r="B89" s="13" t="s">
        <v>154</v>
      </c>
      <c r="C89" s="13"/>
      <c r="D89" s="13">
        <v>413022</v>
      </c>
      <c r="E89" s="13">
        <v>71143</v>
      </c>
      <c r="F89" s="13">
        <v>697526</v>
      </c>
      <c r="G89" s="13"/>
      <c r="H89" s="13"/>
      <c r="I89" s="13"/>
      <c r="J89" s="13"/>
      <c r="K89" s="213"/>
      <c r="L89" s="84">
        <v>-824977.15</v>
      </c>
      <c r="M89" s="202"/>
      <c r="N89" s="203"/>
      <c r="O89" s="1"/>
      <c r="Q89" s="164"/>
      <c r="V89" s="198">
        <v>2801</v>
      </c>
      <c r="W89" s="198"/>
      <c r="X89" s="198"/>
      <c r="Y89" s="198"/>
      <c r="Z89" s="198"/>
      <c r="AA89" s="198"/>
      <c r="AB89" s="198"/>
      <c r="AC89" s="198"/>
      <c r="AD89" s="214"/>
    </row>
    <row r="90" spans="1:30" ht="18.75" customHeight="1" x14ac:dyDescent="0.25">
      <c r="B90" s="13" t="s">
        <v>155</v>
      </c>
      <c r="C90" s="13"/>
      <c r="D90" s="13"/>
      <c r="E90" s="13"/>
      <c r="F90" s="13"/>
      <c r="G90" s="13"/>
      <c r="H90" s="13"/>
      <c r="I90" s="13"/>
      <c r="J90" s="13"/>
      <c r="K90" s="213"/>
      <c r="L90" s="205">
        <f>L87+L89</f>
        <v>-1488.6500000000233</v>
      </c>
      <c r="M90" s="202"/>
      <c r="N90" s="203"/>
      <c r="O90" s="1"/>
      <c r="Q90" s="164"/>
      <c r="V90" s="198">
        <v>2911</v>
      </c>
      <c r="W90" s="216"/>
      <c r="X90" s="216"/>
      <c r="Y90" s="216"/>
      <c r="Z90" s="216"/>
      <c r="AA90" s="216"/>
      <c r="AB90" s="216"/>
      <c r="AC90" s="216"/>
      <c r="AD90" s="214"/>
    </row>
    <row r="91" spans="1:30" ht="18.75" customHeight="1" x14ac:dyDescent="0.25">
      <c r="B91" s="13" t="s">
        <v>156</v>
      </c>
      <c r="C91" s="13"/>
      <c r="D91" s="13"/>
      <c r="E91" s="13"/>
      <c r="F91" s="13"/>
      <c r="G91" s="13"/>
      <c r="H91" s="13"/>
      <c r="I91" s="13"/>
      <c r="J91" s="13"/>
      <c r="K91" s="213"/>
      <c r="L91" s="205">
        <v>1</v>
      </c>
      <c r="M91" s="202"/>
      <c r="N91" s="203"/>
      <c r="O91" s="1"/>
      <c r="Q91" s="164"/>
      <c r="V91" s="198">
        <v>3382</v>
      </c>
      <c r="W91" s="216"/>
      <c r="X91" s="216"/>
      <c r="Y91" s="216"/>
      <c r="Z91" s="216"/>
      <c r="AA91" s="216"/>
      <c r="AB91" s="216"/>
      <c r="AC91" s="216"/>
      <c r="AD91" s="214"/>
    </row>
    <row r="92" spans="1:30" ht="18.75" customHeight="1" thickBot="1" x14ac:dyDescent="0.3">
      <c r="B92" s="13" t="s">
        <v>434</v>
      </c>
      <c r="C92" s="13"/>
      <c r="D92" s="13"/>
      <c r="E92" s="13"/>
      <c r="F92" s="13"/>
      <c r="G92" s="13"/>
      <c r="H92" s="13"/>
      <c r="I92" s="13"/>
      <c r="J92" s="13"/>
      <c r="K92" s="213"/>
      <c r="L92" s="217">
        <f>L90/L91</f>
        <v>-1488.6500000000233</v>
      </c>
      <c r="M92" s="202"/>
      <c r="N92" s="203"/>
      <c r="O92" s="1"/>
      <c r="Q92" s="164"/>
      <c r="V92" s="218"/>
      <c r="W92" s="218"/>
      <c r="X92" s="218"/>
      <c r="Y92" s="218"/>
      <c r="Z92" s="218"/>
      <c r="AA92" s="218"/>
      <c r="AB92" s="218"/>
      <c r="AC92" s="218"/>
      <c r="AD92" s="219"/>
    </row>
    <row r="93" spans="1:30" ht="18.75" customHeight="1" thickTop="1" x14ac:dyDescent="0.25">
      <c r="N93" s="219"/>
      <c r="O93" s="220"/>
      <c r="P93" s="219"/>
      <c r="Q93" s="219"/>
      <c r="V93" s="218"/>
      <c r="W93" s="218"/>
      <c r="X93" s="218"/>
      <c r="Y93" s="218"/>
      <c r="Z93" s="218"/>
      <c r="AA93" s="218"/>
      <c r="AB93" s="218"/>
      <c r="AC93" s="218"/>
      <c r="AD93" s="214"/>
    </row>
    <row r="94" spans="1:30" ht="18.75" customHeight="1" thickBot="1" x14ac:dyDescent="0.3">
      <c r="B94" s="221" t="s">
        <v>158</v>
      </c>
      <c r="C94" s="13"/>
      <c r="D94" s="13"/>
      <c r="E94" s="13"/>
      <c r="G94" s="13"/>
      <c r="H94" s="13"/>
      <c r="I94" s="13"/>
      <c r="J94" s="13"/>
      <c r="L94" s="222">
        <f>IF(M86="H",(K86*0.02)+L86,(K86*0.05)+L86)</f>
        <v>0</v>
      </c>
      <c r="M94" s="202"/>
      <c r="V94" s="223"/>
      <c r="W94" s="223"/>
      <c r="X94" s="223"/>
      <c r="Y94" s="223"/>
      <c r="Z94" s="223"/>
      <c r="AA94" s="223"/>
      <c r="AB94" s="223"/>
      <c r="AC94" s="223"/>
      <c r="AD94" s="214"/>
    </row>
    <row r="95" spans="1:30" ht="21.75" customHeight="1" thickTop="1" x14ac:dyDescent="0.25">
      <c r="B95" s="224" t="s">
        <v>159</v>
      </c>
      <c r="C95" s="224"/>
      <c r="D95" s="224"/>
      <c r="E95" s="224"/>
      <c r="F95" s="224"/>
      <c r="G95" s="224"/>
      <c r="H95" s="224"/>
      <c r="I95" s="224"/>
      <c r="J95" s="224"/>
      <c r="K95" s="224"/>
      <c r="L95" s="224"/>
      <c r="M95" s="219"/>
      <c r="V95" s="223"/>
      <c r="W95" s="223"/>
      <c r="X95" s="223"/>
      <c r="Y95" s="223"/>
      <c r="Z95" s="223"/>
      <c r="AA95" s="223"/>
      <c r="AB95" s="223"/>
      <c r="AC95" s="223"/>
      <c r="AD95" s="214"/>
    </row>
    <row r="96" spans="1:30" x14ac:dyDescent="0.25">
      <c r="B96" s="225"/>
      <c r="V96" s="223"/>
      <c r="W96" s="223"/>
      <c r="X96" s="223"/>
      <c r="Y96" s="223"/>
      <c r="Z96" s="223"/>
      <c r="AA96" s="223"/>
      <c r="AB96" s="223"/>
      <c r="AC96" s="223"/>
      <c r="AD96" s="219"/>
    </row>
    <row r="97" spans="2:30" x14ac:dyDescent="0.25">
      <c r="B97" s="225"/>
      <c r="V97" s="223"/>
      <c r="W97" s="223"/>
      <c r="X97" s="223"/>
      <c r="Y97" s="223"/>
      <c r="Z97" s="223"/>
      <c r="AA97" s="223"/>
      <c r="AB97" s="223"/>
      <c r="AC97" s="223"/>
      <c r="AD97" s="219"/>
    </row>
    <row r="98" spans="2:30" hidden="1" x14ac:dyDescent="0.25">
      <c r="B98" s="226" t="s">
        <v>160</v>
      </c>
      <c r="C98" s="227"/>
      <c r="V98" s="228"/>
      <c r="W98" s="228"/>
      <c r="X98" s="228"/>
      <c r="Y98" s="228"/>
      <c r="Z98" s="228"/>
      <c r="AA98" s="228"/>
      <c r="AB98" s="228"/>
      <c r="AC98" s="228"/>
    </row>
    <row r="99" spans="2:30" hidden="1" x14ac:dyDescent="0.25">
      <c r="B99" s="229"/>
      <c r="C99" s="227"/>
      <c r="V99" s="225"/>
      <c r="W99" s="13"/>
      <c r="X99" s="13"/>
      <c r="Y99" s="13"/>
      <c r="Z99" s="13"/>
      <c r="AA99" s="13"/>
      <c r="AB99" s="13"/>
      <c r="AC99" s="13"/>
    </row>
    <row r="100" spans="2:30" hidden="1" x14ac:dyDescent="0.25">
      <c r="B100" s="230" t="s">
        <v>161</v>
      </c>
      <c r="C100" s="226" t="s">
        <v>162</v>
      </c>
      <c r="V100" s="225"/>
    </row>
    <row r="101" spans="2:30" hidden="1" x14ac:dyDescent="0.25">
      <c r="B101" s="230" t="s">
        <v>163</v>
      </c>
      <c r="C101" s="226" t="s">
        <v>164</v>
      </c>
      <c r="V101" s="225"/>
    </row>
    <row r="102" spans="2:30" hidden="1" x14ac:dyDescent="0.25">
      <c r="B102" s="230" t="s">
        <v>165</v>
      </c>
      <c r="C102" s="226" t="s">
        <v>166</v>
      </c>
      <c r="V102" s="225"/>
      <c r="W102" s="231"/>
      <c r="X102" s="231"/>
      <c r="Y102" s="231"/>
      <c r="Z102" s="231"/>
      <c r="AA102" s="231"/>
      <c r="AB102" s="231"/>
      <c r="AC102" s="231"/>
      <c r="AD102" s="231"/>
    </row>
    <row r="103" spans="2:30" hidden="1" x14ac:dyDescent="0.25">
      <c r="B103" s="230" t="s">
        <v>167</v>
      </c>
      <c r="C103" s="226" t="s">
        <v>168</v>
      </c>
      <c r="V103" s="225"/>
    </row>
    <row r="104" spans="2:30" hidden="1" x14ac:dyDescent="0.25">
      <c r="B104" s="232"/>
      <c r="C104" s="226" t="s">
        <v>169</v>
      </c>
      <c r="V104" s="225"/>
    </row>
    <row r="105" spans="2:30" hidden="1" x14ac:dyDescent="0.25">
      <c r="B105" s="230" t="s">
        <v>170</v>
      </c>
      <c r="C105" s="226" t="s">
        <v>171</v>
      </c>
      <c r="V105" s="225"/>
    </row>
    <row r="106" spans="2:30" hidden="1" x14ac:dyDescent="0.25">
      <c r="B106" s="230" t="s">
        <v>172</v>
      </c>
      <c r="C106" s="226" t="s">
        <v>173</v>
      </c>
      <c r="V106" s="225"/>
    </row>
    <row r="107" spans="2:30" hidden="1" x14ac:dyDescent="0.25">
      <c r="B107" s="230" t="s">
        <v>216</v>
      </c>
      <c r="C107" s="226" t="s">
        <v>175</v>
      </c>
      <c r="V107" s="225"/>
    </row>
    <row r="108" spans="2:30" hidden="1" x14ac:dyDescent="0.25">
      <c r="B108" s="230" t="s">
        <v>176</v>
      </c>
      <c r="C108" s="226" t="s">
        <v>177</v>
      </c>
      <c r="V108" s="225"/>
    </row>
    <row r="109" spans="2:30" hidden="1" x14ac:dyDescent="0.25">
      <c r="B109" s="230" t="s">
        <v>178</v>
      </c>
      <c r="C109" s="226" t="s">
        <v>179</v>
      </c>
      <c r="V109" s="225"/>
    </row>
    <row r="110" spans="2:30" hidden="1" x14ac:dyDescent="0.25">
      <c r="B110" s="232"/>
      <c r="C110" s="226"/>
      <c r="V110" s="225"/>
    </row>
    <row r="111" spans="2:30" hidden="1" x14ac:dyDescent="0.25">
      <c r="B111" s="230" t="s">
        <v>180</v>
      </c>
      <c r="C111" s="226" t="s">
        <v>181</v>
      </c>
      <c r="V111" s="225"/>
    </row>
    <row r="112" spans="2:30" hidden="1" x14ac:dyDescent="0.25">
      <c r="B112" s="230" t="s">
        <v>180</v>
      </c>
      <c r="C112" s="226" t="s">
        <v>182</v>
      </c>
    </row>
    <row r="113" spans="2:3" hidden="1" x14ac:dyDescent="0.25">
      <c r="B113" s="230" t="s">
        <v>183</v>
      </c>
      <c r="C113" s="226" t="s">
        <v>184</v>
      </c>
    </row>
    <row r="114" spans="2:3" hidden="1" x14ac:dyDescent="0.25">
      <c r="B114" s="230" t="s">
        <v>185</v>
      </c>
      <c r="C114" s="226" t="s">
        <v>186</v>
      </c>
    </row>
    <row r="115" spans="2:3" hidden="1" x14ac:dyDescent="0.25">
      <c r="B115" s="230" t="s">
        <v>183</v>
      </c>
      <c r="C115" s="226" t="s">
        <v>187</v>
      </c>
    </row>
    <row r="116" spans="2:3" hidden="1" x14ac:dyDescent="0.25">
      <c r="B116" s="230" t="s">
        <v>188</v>
      </c>
      <c r="C116" s="226" t="s">
        <v>189</v>
      </c>
    </row>
    <row r="117" spans="2:3" hidden="1" x14ac:dyDescent="0.25">
      <c r="B117" s="230" t="s">
        <v>190</v>
      </c>
      <c r="C117" s="226" t="s">
        <v>191</v>
      </c>
    </row>
    <row r="118" spans="2:3" hidden="1" x14ac:dyDescent="0.25">
      <c r="B118" s="232" t="s">
        <v>192</v>
      </c>
      <c r="C118" s="226" t="s">
        <v>193</v>
      </c>
    </row>
    <row r="119" spans="2:3" hidden="1" x14ac:dyDescent="0.25">
      <c r="B119" s="232"/>
      <c r="C119" s="226"/>
    </row>
    <row r="120" spans="2:3" hidden="1" x14ac:dyDescent="0.25">
      <c r="B120" s="230" t="s">
        <v>161</v>
      </c>
      <c r="C120" s="226" t="s">
        <v>194</v>
      </c>
    </row>
    <row r="121" spans="2:3" hidden="1" x14ac:dyDescent="0.25">
      <c r="B121" s="230" t="s">
        <v>195</v>
      </c>
      <c r="C121" s="226" t="s">
        <v>196</v>
      </c>
    </row>
    <row r="122" spans="2:3" hidden="1" x14ac:dyDescent="0.25">
      <c r="B122" s="230" t="s">
        <v>197</v>
      </c>
      <c r="C122" s="226" t="s">
        <v>198</v>
      </c>
    </row>
    <row r="123" spans="2:3" hidden="1" x14ac:dyDescent="0.25">
      <c r="B123" s="230" t="s">
        <v>217</v>
      </c>
      <c r="C123" s="226" t="s">
        <v>200</v>
      </c>
    </row>
    <row r="124" spans="2:3" hidden="1" x14ac:dyDescent="0.25">
      <c r="B124" s="230" t="s">
        <v>218</v>
      </c>
      <c r="C124" s="226" t="s">
        <v>202</v>
      </c>
    </row>
    <row r="125" spans="2:3" hidden="1" x14ac:dyDescent="0.25">
      <c r="B125" s="230" t="s">
        <v>203</v>
      </c>
      <c r="C125" s="226" t="s">
        <v>204</v>
      </c>
    </row>
    <row r="126" spans="2:3" hidden="1" x14ac:dyDescent="0.25">
      <c r="B126" s="230" t="s">
        <v>203</v>
      </c>
      <c r="C126" s="226" t="s">
        <v>205</v>
      </c>
    </row>
    <row r="127" spans="2:3" hidden="1" x14ac:dyDescent="0.25">
      <c r="B127" s="230" t="s">
        <v>203</v>
      </c>
      <c r="C127" s="226" t="s">
        <v>206</v>
      </c>
    </row>
    <row r="128" spans="2:3" hidden="1" x14ac:dyDescent="0.25">
      <c r="B128" s="230" t="s">
        <v>203</v>
      </c>
      <c r="C128" s="226" t="s">
        <v>207</v>
      </c>
    </row>
    <row r="129" spans="2:3" hidden="1" x14ac:dyDescent="0.25">
      <c r="B129" s="230" t="s">
        <v>167</v>
      </c>
      <c r="C129" s="226" t="s">
        <v>208</v>
      </c>
    </row>
    <row r="130" spans="2:3" hidden="1" x14ac:dyDescent="0.25">
      <c r="B130" s="230" t="s">
        <v>209</v>
      </c>
      <c r="C130" s="226" t="s">
        <v>210</v>
      </c>
    </row>
    <row r="131" spans="2:3" hidden="1" x14ac:dyDescent="0.25">
      <c r="B131" s="230" t="s">
        <v>203</v>
      </c>
      <c r="C131" s="226" t="s">
        <v>211</v>
      </c>
    </row>
    <row r="132" spans="2:3" hidden="1" x14ac:dyDescent="0.25">
      <c r="B132" s="226"/>
      <c r="C132" s="226"/>
    </row>
    <row r="133" spans="2:3" hidden="1" x14ac:dyDescent="0.25">
      <c r="B133" s="226"/>
      <c r="C133" s="226"/>
    </row>
    <row r="134" spans="2:3" hidden="1" x14ac:dyDescent="0.25">
      <c r="B134" s="232"/>
      <c r="C134" s="232"/>
    </row>
    <row r="135" spans="2:3" hidden="1" x14ac:dyDescent="0.25">
      <c r="B135" s="232">
        <f>NvsElapsedTime</f>
        <v>1.15740695036948E-5</v>
      </c>
      <c r="C135" s="232"/>
    </row>
    <row r="136" spans="2:3" hidden="1" x14ac:dyDescent="0.25">
      <c r="B136" s="233">
        <f>NvsEndTime</f>
        <v>41754.487662036998</v>
      </c>
      <c r="C136" s="233" t="s">
        <v>212</v>
      </c>
    </row>
    <row r="137" spans="2:3" x14ac:dyDescent="0.25">
      <c r="B137" s="226"/>
      <c r="C137" s="234"/>
    </row>
    <row r="138" spans="2:3" x14ac:dyDescent="0.25">
      <c r="B138" s="226"/>
      <c r="C138" s="226"/>
    </row>
    <row r="139" spans="2:3" x14ac:dyDescent="0.25">
      <c r="B139" s="226"/>
      <c r="C139" s="226"/>
    </row>
    <row r="140" spans="2:3" x14ac:dyDescent="0.25">
      <c r="B140" s="226"/>
      <c r="C140" s="226"/>
    </row>
    <row r="141" spans="2:3" x14ac:dyDescent="0.25">
      <c r="B141" s="226"/>
      <c r="C141" s="226"/>
    </row>
    <row r="142" spans="2:3" x14ac:dyDescent="0.25">
      <c r="B142" s="226"/>
      <c r="C142" s="226"/>
    </row>
    <row r="143" spans="2:3" x14ac:dyDescent="0.25">
      <c r="B143" s="226"/>
      <c r="C143" s="226"/>
    </row>
    <row r="144" spans="2:3" x14ac:dyDescent="0.25">
      <c r="B144" s="226"/>
      <c r="C144" s="226"/>
    </row>
    <row r="145" spans="2:3" x14ac:dyDescent="0.25">
      <c r="B145" s="226"/>
      <c r="C145" s="226"/>
    </row>
    <row r="146" spans="2:3" x14ac:dyDescent="0.25">
      <c r="B146" s="226"/>
      <c r="C146" s="226"/>
    </row>
    <row r="147" spans="2:3" x14ac:dyDescent="0.25">
      <c r="B147" s="226"/>
      <c r="C147" s="226"/>
    </row>
    <row r="148" spans="2:3" x14ac:dyDescent="0.25">
      <c r="B148" s="226"/>
      <c r="C148" s="226"/>
    </row>
    <row r="149" spans="2:3" x14ac:dyDescent="0.25">
      <c r="B149" s="226"/>
      <c r="C149" s="226"/>
    </row>
    <row r="150" spans="2:3" x14ac:dyDescent="0.25">
      <c r="B150" s="226"/>
      <c r="C150" s="226"/>
    </row>
    <row r="151" spans="2:3" x14ac:dyDescent="0.25">
      <c r="B151" s="226"/>
      <c r="C151" s="226"/>
    </row>
  </sheetData>
  <mergeCells count="151">
    <mergeCell ref="W2:AC2"/>
    <mergeCell ref="V3:AC3"/>
    <mergeCell ref="V4:AC4"/>
    <mergeCell ref="V5:W5"/>
    <mergeCell ref="X5:Y5"/>
    <mergeCell ref="V6:AC6"/>
    <mergeCell ref="V7:W7"/>
    <mergeCell ref="X7:Y7"/>
    <mergeCell ref="Z7:AA7"/>
    <mergeCell ref="V9:W9"/>
    <mergeCell ref="X9:Y9"/>
    <mergeCell ref="Z9:AA9"/>
    <mergeCell ref="V10:W10"/>
    <mergeCell ref="X10:Y10"/>
    <mergeCell ref="Z10:AA10"/>
    <mergeCell ref="AB7:AC7"/>
    <mergeCell ref="V8:W8"/>
    <mergeCell ref="X8:Y8"/>
    <mergeCell ref="Z8:AA8"/>
    <mergeCell ref="V18:W18"/>
    <mergeCell ref="X18:Y18"/>
    <mergeCell ref="Z18:AA18"/>
    <mergeCell ref="V14:W14"/>
    <mergeCell ref="X14:Y14"/>
    <mergeCell ref="Z14:AA14"/>
    <mergeCell ref="V11:W11"/>
    <mergeCell ref="X11:Y11"/>
    <mergeCell ref="Z11:AA11"/>
    <mergeCell ref="V12:W12"/>
    <mergeCell ref="X12:Y12"/>
    <mergeCell ref="Z12:AA12"/>
    <mergeCell ref="V15:W15"/>
    <mergeCell ref="X15:Y15"/>
    <mergeCell ref="Z15:AA15"/>
    <mergeCell ref="V16:W16"/>
    <mergeCell ref="X16:Y16"/>
    <mergeCell ref="Z16:AA16"/>
    <mergeCell ref="V17:W17"/>
    <mergeCell ref="X17:Y17"/>
    <mergeCell ref="Z17:AA17"/>
    <mergeCell ref="V13:W13"/>
    <mergeCell ref="X13:Y13"/>
    <mergeCell ref="Z13:AA13"/>
    <mergeCell ref="V26:W26"/>
    <mergeCell ref="X26:Y26"/>
    <mergeCell ref="Z26:AA26"/>
    <mergeCell ref="V19:W19"/>
    <mergeCell ref="X19:Y19"/>
    <mergeCell ref="Z19:AA19"/>
    <mergeCell ref="V20:W20"/>
    <mergeCell ref="X20:Y20"/>
    <mergeCell ref="Z20:AA20"/>
    <mergeCell ref="V21:W21"/>
    <mergeCell ref="X21:Y21"/>
    <mergeCell ref="Z21:AA21"/>
    <mergeCell ref="V22:W22"/>
    <mergeCell ref="X22:Y22"/>
    <mergeCell ref="Z22:AA22"/>
    <mergeCell ref="V23:W23"/>
    <mergeCell ref="X23:Y23"/>
    <mergeCell ref="Z23:AA23"/>
    <mergeCell ref="V24:W24"/>
    <mergeCell ref="X24:Y24"/>
    <mergeCell ref="Z24:AA24"/>
    <mergeCell ref="V25:W25"/>
    <mergeCell ref="X25:Y25"/>
    <mergeCell ref="Z25:AA25"/>
    <mergeCell ref="V40:W40"/>
    <mergeCell ref="X40:AA40"/>
    <mergeCell ref="V27:W27"/>
    <mergeCell ref="X27:Y27"/>
    <mergeCell ref="B28:C36"/>
    <mergeCell ref="V28:W36"/>
    <mergeCell ref="X28:Y28"/>
    <mergeCell ref="X29:Y29"/>
    <mergeCell ref="X30:Y30"/>
    <mergeCell ref="X31:Y31"/>
    <mergeCell ref="X32:Y32"/>
    <mergeCell ref="X33:Y33"/>
    <mergeCell ref="X34:Y34"/>
    <mergeCell ref="X35:Y35"/>
    <mergeCell ref="X36:Y36"/>
    <mergeCell ref="V37:W37"/>
    <mergeCell ref="X37:Y37"/>
    <mergeCell ref="Z37:AB37"/>
    <mergeCell ref="V38:AC38"/>
    <mergeCell ref="V39:W39"/>
    <mergeCell ref="X39:Y39"/>
    <mergeCell ref="Z39:AC39"/>
    <mergeCell ref="V57:AA57"/>
    <mergeCell ref="AB57:AC57"/>
    <mergeCell ref="V58:X58"/>
    <mergeCell ref="Y58:Z58"/>
    <mergeCell ref="V41:AC41"/>
    <mergeCell ref="V42:AC42"/>
    <mergeCell ref="V43:AC43"/>
    <mergeCell ref="V44:AB44"/>
    <mergeCell ref="V45:AC45"/>
    <mergeCell ref="X46:Y46"/>
    <mergeCell ref="Z46:AC46"/>
    <mergeCell ref="X47:Y47"/>
    <mergeCell ref="X48:Y48"/>
    <mergeCell ref="X49:Y49"/>
    <mergeCell ref="X50:AB50"/>
    <mergeCell ref="V51:AC51"/>
    <mergeCell ref="V52:AC52"/>
    <mergeCell ref="V53:W53"/>
    <mergeCell ref="Y53:Z53"/>
    <mergeCell ref="AA53:AC53"/>
    <mergeCell ref="V54:AA54"/>
    <mergeCell ref="AB54:AC54"/>
    <mergeCell ref="V55:AC55"/>
    <mergeCell ref="V56:W56"/>
    <mergeCell ref="Y56:Z56"/>
    <mergeCell ref="AA56:AC56"/>
    <mergeCell ref="V72:AB72"/>
    <mergeCell ref="V73:AC73"/>
    <mergeCell ref="V74:W74"/>
    <mergeCell ref="V75:W75"/>
    <mergeCell ref="V59:AC59"/>
    <mergeCell ref="V60:W60"/>
    <mergeCell ref="X60:AC60"/>
    <mergeCell ref="V61:W61"/>
    <mergeCell ref="X61:AC61"/>
    <mergeCell ref="V62:W62"/>
    <mergeCell ref="X62:AC62"/>
    <mergeCell ref="V63:AC63"/>
    <mergeCell ref="V64:W64"/>
    <mergeCell ref="X64:AC64"/>
    <mergeCell ref="V65:W65"/>
    <mergeCell ref="X65:AC65"/>
    <mergeCell ref="V66:X66"/>
    <mergeCell ref="Y66:Z66"/>
    <mergeCell ref="V67:AC67"/>
    <mergeCell ref="V68:X68"/>
    <mergeCell ref="Y68:Z68"/>
    <mergeCell ref="V69:X69"/>
    <mergeCell ref="Y69:Z69"/>
    <mergeCell ref="V70:X70"/>
    <mergeCell ref="Y70:Z70"/>
    <mergeCell ref="V71:X71"/>
    <mergeCell ref="Y71:Z71"/>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77</vt:i4>
      </vt:variant>
      <vt:variant>
        <vt:lpstr>Named Ranges</vt:lpstr>
      </vt:variant>
      <vt:variant>
        <vt:i4>3580</vt:i4>
      </vt:variant>
    </vt:vector>
  </HeadingPairs>
  <TitlesOfParts>
    <vt:vector size="3657" baseType="lpstr">
      <vt:lpstr>Net Payment</vt:lpstr>
      <vt:lpstr>Charter Schools</vt:lpstr>
      <vt:lpstr>Notes</vt:lpstr>
      <vt:lpstr>0054</vt:lpstr>
      <vt:lpstr>0054 June Final</vt:lpstr>
      <vt:lpstr>0642</vt:lpstr>
      <vt:lpstr>0642 June Final</vt:lpstr>
      <vt:lpstr>0664</vt:lpstr>
      <vt:lpstr>0664 June Final</vt:lpstr>
      <vt:lpstr>1461</vt:lpstr>
      <vt:lpstr>1571</vt:lpstr>
      <vt:lpstr>2521</vt:lpstr>
      <vt:lpstr>2531</vt:lpstr>
      <vt:lpstr>2531 June final</vt:lpstr>
      <vt:lpstr>2641</vt:lpstr>
      <vt:lpstr>2641 June Final</vt:lpstr>
      <vt:lpstr>2661</vt:lpstr>
      <vt:lpstr>2661 June Final</vt:lpstr>
      <vt:lpstr>2791</vt:lpstr>
      <vt:lpstr>2791 June final</vt:lpstr>
      <vt:lpstr>2801</vt:lpstr>
      <vt:lpstr>2801 June Final</vt:lpstr>
      <vt:lpstr>2911</vt:lpstr>
      <vt:lpstr>2911 June final</vt:lpstr>
      <vt:lpstr>2941</vt:lpstr>
      <vt:lpstr>2941 June final</vt:lpstr>
      <vt:lpstr>3083</vt:lpstr>
      <vt:lpstr>3344</vt:lpstr>
      <vt:lpstr>3345</vt:lpstr>
      <vt:lpstr>3347</vt:lpstr>
      <vt:lpstr>3381</vt:lpstr>
      <vt:lpstr>3381 June Final</vt:lpstr>
      <vt:lpstr>3382</vt:lpstr>
      <vt:lpstr>3382 June Final</vt:lpstr>
      <vt:lpstr>3384</vt:lpstr>
      <vt:lpstr>3384 June Final</vt:lpstr>
      <vt:lpstr>3385</vt:lpstr>
      <vt:lpstr>3385 June Final</vt:lpstr>
      <vt:lpstr>3386</vt:lpstr>
      <vt:lpstr>3391</vt:lpstr>
      <vt:lpstr>3392</vt:lpstr>
      <vt:lpstr>3392 June Final</vt:lpstr>
      <vt:lpstr>3394</vt:lpstr>
      <vt:lpstr>3394 June Final</vt:lpstr>
      <vt:lpstr>3395</vt:lpstr>
      <vt:lpstr>3395 June Final</vt:lpstr>
      <vt:lpstr>3396</vt:lpstr>
      <vt:lpstr>3398</vt:lpstr>
      <vt:lpstr>3400</vt:lpstr>
      <vt:lpstr>3401</vt:lpstr>
      <vt:lpstr>3411</vt:lpstr>
      <vt:lpstr>3413</vt:lpstr>
      <vt:lpstr>3413 June Final</vt:lpstr>
      <vt:lpstr>3421</vt:lpstr>
      <vt:lpstr>3431</vt:lpstr>
      <vt:lpstr>3431 June Final</vt:lpstr>
      <vt:lpstr>3441</vt:lpstr>
      <vt:lpstr>3443</vt:lpstr>
      <vt:lpstr>3941</vt:lpstr>
      <vt:lpstr>3941 June Final</vt:lpstr>
      <vt:lpstr>3961</vt:lpstr>
      <vt:lpstr>3961 June Final</vt:lpstr>
      <vt:lpstr>3971</vt:lpstr>
      <vt:lpstr>4000</vt:lpstr>
      <vt:lpstr>4000 June Final</vt:lpstr>
      <vt:lpstr>4002</vt:lpstr>
      <vt:lpstr>4002 June Final</vt:lpstr>
      <vt:lpstr>4010</vt:lpstr>
      <vt:lpstr>4012</vt:lpstr>
      <vt:lpstr>4013</vt:lpstr>
      <vt:lpstr>4020</vt:lpstr>
      <vt:lpstr>4020 June Tch Alloc.</vt:lpstr>
      <vt:lpstr>4020 June Final</vt:lpstr>
      <vt:lpstr>4037</vt:lpstr>
      <vt:lpstr>4037 June Final</vt:lpstr>
      <vt:lpstr>4040</vt:lpstr>
      <vt:lpstr>4041</vt:lpstr>
      <vt:lpstr>'0054'!_1.__2009_10_FEFP_State_and_Local_Funding</vt:lpstr>
      <vt:lpstr>'0054 June Final'!_1.__2009_10_FEFP_State_and_Local_Funding</vt:lpstr>
      <vt:lpstr>'0642'!_1.__2009_10_FEFP_State_and_Local_Funding</vt:lpstr>
      <vt:lpstr>'0642 June Final'!_1.__2009_10_FEFP_State_and_Local_Funding</vt:lpstr>
      <vt:lpstr>'0664'!_1.__2009_10_FEFP_State_and_Local_Funding</vt:lpstr>
      <vt:lpstr>'0664 June Final'!_1.__2009_10_FEFP_State_and_Local_Funding</vt:lpstr>
      <vt:lpstr>'1461'!_1.__2009_10_FEFP_State_and_Local_Funding</vt:lpstr>
      <vt:lpstr>'1571'!_1.__2009_10_FEFP_State_and_Local_Funding</vt:lpstr>
      <vt:lpstr>'2521'!_1.__2009_10_FEFP_State_and_Local_Funding</vt:lpstr>
      <vt:lpstr>'2531'!_1.__2009_10_FEFP_State_and_Local_Funding</vt:lpstr>
      <vt:lpstr>'2531 June final'!_1.__2009_10_FEFP_State_and_Local_Funding</vt:lpstr>
      <vt:lpstr>'2641'!_1.__2009_10_FEFP_State_and_Local_Funding</vt:lpstr>
      <vt:lpstr>'2641 June Final'!_1.__2009_10_FEFP_State_and_Local_Funding</vt:lpstr>
      <vt:lpstr>'2661'!_1.__2009_10_FEFP_State_and_Local_Funding</vt:lpstr>
      <vt:lpstr>'2661 June Final'!_1.__2009_10_FEFP_State_and_Local_Funding</vt:lpstr>
      <vt:lpstr>'2791'!_1.__2009_10_FEFP_State_and_Local_Funding</vt:lpstr>
      <vt:lpstr>'2791 June final'!_1.__2009_10_FEFP_State_and_Local_Funding</vt:lpstr>
      <vt:lpstr>'2801'!_1.__2009_10_FEFP_State_and_Local_Funding</vt:lpstr>
      <vt:lpstr>'2801 June Final'!_1.__2009_10_FEFP_State_and_Local_Funding</vt:lpstr>
      <vt:lpstr>'2911'!_1.__2009_10_FEFP_State_and_Local_Funding</vt:lpstr>
      <vt:lpstr>'2911 June final'!_1.__2009_10_FEFP_State_and_Local_Funding</vt:lpstr>
      <vt:lpstr>'2941'!_1.__2009_10_FEFP_State_and_Local_Funding</vt:lpstr>
      <vt:lpstr>'2941 June final'!_1.__2009_10_FEFP_State_and_Local_Funding</vt:lpstr>
      <vt:lpstr>'3083'!_1.__2009_10_FEFP_State_and_Local_Funding</vt:lpstr>
      <vt:lpstr>'3344'!_1.__2009_10_FEFP_State_and_Local_Funding</vt:lpstr>
      <vt:lpstr>'3345'!_1.__2009_10_FEFP_State_and_Local_Funding</vt:lpstr>
      <vt:lpstr>'3347'!_1.__2009_10_FEFP_State_and_Local_Funding</vt:lpstr>
      <vt:lpstr>'3381'!_1.__2009_10_FEFP_State_and_Local_Funding</vt:lpstr>
      <vt:lpstr>'3381 June Final'!_1.__2009_10_FEFP_State_and_Local_Funding</vt:lpstr>
      <vt:lpstr>'3382'!_1.__2009_10_FEFP_State_and_Local_Funding</vt:lpstr>
      <vt:lpstr>'3382 June Final'!_1.__2009_10_FEFP_State_and_Local_Funding</vt:lpstr>
      <vt:lpstr>'3384'!_1.__2009_10_FEFP_State_and_Local_Funding</vt:lpstr>
      <vt:lpstr>'3384 June Final'!_1.__2009_10_FEFP_State_and_Local_Funding</vt:lpstr>
      <vt:lpstr>'3385'!_1.__2009_10_FEFP_State_and_Local_Funding</vt:lpstr>
      <vt:lpstr>'3385 June Final'!_1.__2009_10_FEFP_State_and_Local_Funding</vt:lpstr>
      <vt:lpstr>'3386'!_1.__2009_10_FEFP_State_and_Local_Funding</vt:lpstr>
      <vt:lpstr>'3391'!_1.__2009_10_FEFP_State_and_Local_Funding</vt:lpstr>
      <vt:lpstr>'3392'!_1.__2009_10_FEFP_State_and_Local_Funding</vt:lpstr>
      <vt:lpstr>'3392 June Final'!_1.__2009_10_FEFP_State_and_Local_Funding</vt:lpstr>
      <vt:lpstr>'3394'!_1.__2009_10_FEFP_State_and_Local_Funding</vt:lpstr>
      <vt:lpstr>'3394 June Final'!_1.__2009_10_FEFP_State_and_Local_Funding</vt:lpstr>
      <vt:lpstr>'3395'!_1.__2009_10_FEFP_State_and_Local_Funding</vt:lpstr>
      <vt:lpstr>'3395 June Final'!_1.__2009_10_FEFP_State_and_Local_Funding</vt:lpstr>
      <vt:lpstr>'3396'!_1.__2009_10_FEFP_State_and_Local_Funding</vt:lpstr>
      <vt:lpstr>'3398'!_1.__2009_10_FEFP_State_and_Local_Funding</vt:lpstr>
      <vt:lpstr>'3400'!_1.__2009_10_FEFP_State_and_Local_Funding</vt:lpstr>
      <vt:lpstr>'3401'!_1.__2009_10_FEFP_State_and_Local_Funding</vt:lpstr>
      <vt:lpstr>'3411'!_1.__2009_10_FEFP_State_and_Local_Funding</vt:lpstr>
      <vt:lpstr>'3413'!_1.__2009_10_FEFP_State_and_Local_Funding</vt:lpstr>
      <vt:lpstr>'3413 June Final'!_1.__2009_10_FEFP_State_and_Local_Funding</vt:lpstr>
      <vt:lpstr>'3421'!_1.__2009_10_FEFP_State_and_Local_Funding</vt:lpstr>
      <vt:lpstr>'3431'!_1.__2009_10_FEFP_State_and_Local_Funding</vt:lpstr>
      <vt:lpstr>'3431 June Final'!_1.__2009_10_FEFP_State_and_Local_Funding</vt:lpstr>
      <vt:lpstr>'3441'!_1.__2009_10_FEFP_State_and_Local_Funding</vt:lpstr>
      <vt:lpstr>'3443'!_1.__2009_10_FEFP_State_and_Local_Funding</vt:lpstr>
      <vt:lpstr>'3941'!_1.__2009_10_FEFP_State_and_Local_Funding</vt:lpstr>
      <vt:lpstr>'3941 June Final'!_1.__2009_10_FEFP_State_and_Local_Funding</vt:lpstr>
      <vt:lpstr>'3961'!_1.__2009_10_FEFP_State_and_Local_Funding</vt:lpstr>
      <vt:lpstr>'3961 June Final'!_1.__2009_10_FEFP_State_and_Local_Funding</vt:lpstr>
      <vt:lpstr>'3971'!_1.__2009_10_FEFP_State_and_Local_Funding</vt:lpstr>
      <vt:lpstr>'4000'!_1.__2009_10_FEFP_State_and_Local_Funding</vt:lpstr>
      <vt:lpstr>'4000 June Final'!_1.__2009_10_FEFP_State_and_Local_Funding</vt:lpstr>
      <vt:lpstr>'4002'!_1.__2009_10_FEFP_State_and_Local_Funding</vt:lpstr>
      <vt:lpstr>'4002 June Final'!_1.__2009_10_FEFP_State_and_Local_Funding</vt:lpstr>
      <vt:lpstr>'4010'!_1.__2009_10_FEFP_State_and_Local_Funding</vt:lpstr>
      <vt:lpstr>'4012'!_1.__2009_10_FEFP_State_and_Local_Funding</vt:lpstr>
      <vt:lpstr>'4013'!_1.__2009_10_FEFP_State_and_Local_Funding</vt:lpstr>
      <vt:lpstr>'4020'!_1.__2009_10_FEFP_State_and_Local_Funding</vt:lpstr>
      <vt:lpstr>'4020 June Final'!_1.__2009_10_FEFP_State_and_Local_Funding</vt:lpstr>
      <vt:lpstr>'4020 June Tch Alloc.'!_1.__2009_10_FEFP_State_and_Local_Funding</vt:lpstr>
      <vt:lpstr>'4037'!_1.__2009_10_FEFP_State_and_Local_Funding</vt:lpstr>
      <vt:lpstr>'4037 June Final'!_1.__2009_10_FEFP_State_and_Local_Funding</vt:lpstr>
      <vt:lpstr>'4041'!_1.__2009_10_FEFP_State_and_Local_Funding</vt:lpstr>
      <vt:lpstr>'0054'!_1.__2010_11_FEFP_State_and_Local_Funding</vt:lpstr>
      <vt:lpstr>'0054 June Final'!_1.__2010_11_FEFP_State_and_Local_Funding</vt:lpstr>
      <vt:lpstr>'0642'!_1.__2010_11_FEFP_State_and_Local_Funding</vt:lpstr>
      <vt:lpstr>'0642 June Final'!_1.__2010_11_FEFP_State_and_Local_Funding</vt:lpstr>
      <vt:lpstr>'0664'!_1.__2010_11_FEFP_State_and_Local_Funding</vt:lpstr>
      <vt:lpstr>'0664 June Final'!_1.__2010_11_FEFP_State_and_Local_Funding</vt:lpstr>
      <vt:lpstr>'1461'!_1.__2010_11_FEFP_State_and_Local_Funding</vt:lpstr>
      <vt:lpstr>'1571'!_1.__2010_11_FEFP_State_and_Local_Funding</vt:lpstr>
      <vt:lpstr>'2521'!_1.__2010_11_FEFP_State_and_Local_Funding</vt:lpstr>
      <vt:lpstr>'2531'!_1.__2010_11_FEFP_State_and_Local_Funding</vt:lpstr>
      <vt:lpstr>'2531 June final'!_1.__2010_11_FEFP_State_and_Local_Funding</vt:lpstr>
      <vt:lpstr>'2641'!_1.__2010_11_FEFP_State_and_Local_Funding</vt:lpstr>
      <vt:lpstr>'2641 June Final'!_1.__2010_11_FEFP_State_and_Local_Funding</vt:lpstr>
      <vt:lpstr>'2661'!_1.__2010_11_FEFP_State_and_Local_Funding</vt:lpstr>
      <vt:lpstr>'2661 June Final'!_1.__2010_11_FEFP_State_and_Local_Funding</vt:lpstr>
      <vt:lpstr>'2791'!_1.__2010_11_FEFP_State_and_Local_Funding</vt:lpstr>
      <vt:lpstr>'2791 June final'!_1.__2010_11_FEFP_State_and_Local_Funding</vt:lpstr>
      <vt:lpstr>'2801'!_1.__2010_11_FEFP_State_and_Local_Funding</vt:lpstr>
      <vt:lpstr>'2801 June Final'!_1.__2010_11_FEFP_State_and_Local_Funding</vt:lpstr>
      <vt:lpstr>'2911'!_1.__2010_11_FEFP_State_and_Local_Funding</vt:lpstr>
      <vt:lpstr>'2911 June final'!_1.__2010_11_FEFP_State_and_Local_Funding</vt:lpstr>
      <vt:lpstr>'2941'!_1.__2010_11_FEFP_State_and_Local_Funding</vt:lpstr>
      <vt:lpstr>'2941 June final'!_1.__2010_11_FEFP_State_and_Local_Funding</vt:lpstr>
      <vt:lpstr>'3083'!_1.__2010_11_FEFP_State_and_Local_Funding</vt:lpstr>
      <vt:lpstr>'3344'!_1.__2010_11_FEFP_State_and_Local_Funding</vt:lpstr>
      <vt:lpstr>'3345'!_1.__2010_11_FEFP_State_and_Local_Funding</vt:lpstr>
      <vt:lpstr>'3347'!_1.__2010_11_FEFP_State_and_Local_Funding</vt:lpstr>
      <vt:lpstr>'3381'!_1.__2010_11_FEFP_State_and_Local_Funding</vt:lpstr>
      <vt:lpstr>'3381 June Final'!_1.__2010_11_FEFP_State_and_Local_Funding</vt:lpstr>
      <vt:lpstr>'3382'!_1.__2010_11_FEFP_State_and_Local_Funding</vt:lpstr>
      <vt:lpstr>'3382 June Final'!_1.__2010_11_FEFP_State_and_Local_Funding</vt:lpstr>
      <vt:lpstr>'3384'!_1.__2010_11_FEFP_State_and_Local_Funding</vt:lpstr>
      <vt:lpstr>'3384 June Final'!_1.__2010_11_FEFP_State_and_Local_Funding</vt:lpstr>
      <vt:lpstr>'3385'!_1.__2010_11_FEFP_State_and_Local_Funding</vt:lpstr>
      <vt:lpstr>'3385 June Final'!_1.__2010_11_FEFP_State_and_Local_Funding</vt:lpstr>
      <vt:lpstr>'3386'!_1.__2010_11_FEFP_State_and_Local_Funding</vt:lpstr>
      <vt:lpstr>'3391'!_1.__2010_11_FEFP_State_and_Local_Funding</vt:lpstr>
      <vt:lpstr>'3392'!_1.__2010_11_FEFP_State_and_Local_Funding</vt:lpstr>
      <vt:lpstr>'3392 June Final'!_1.__2010_11_FEFP_State_and_Local_Funding</vt:lpstr>
      <vt:lpstr>'3394'!_1.__2010_11_FEFP_State_and_Local_Funding</vt:lpstr>
      <vt:lpstr>'3394 June Final'!_1.__2010_11_FEFP_State_and_Local_Funding</vt:lpstr>
      <vt:lpstr>'3395'!_1.__2010_11_FEFP_State_and_Local_Funding</vt:lpstr>
      <vt:lpstr>'3395 June Final'!_1.__2010_11_FEFP_State_and_Local_Funding</vt:lpstr>
      <vt:lpstr>'3396'!_1.__2010_11_FEFP_State_and_Local_Funding</vt:lpstr>
      <vt:lpstr>'3398'!_1.__2010_11_FEFP_State_and_Local_Funding</vt:lpstr>
      <vt:lpstr>'3400'!_1.__2010_11_FEFP_State_and_Local_Funding</vt:lpstr>
      <vt:lpstr>'3401'!_1.__2010_11_FEFP_State_and_Local_Funding</vt:lpstr>
      <vt:lpstr>'3411'!_1.__2010_11_FEFP_State_and_Local_Funding</vt:lpstr>
      <vt:lpstr>'3413'!_1.__2010_11_FEFP_State_and_Local_Funding</vt:lpstr>
      <vt:lpstr>'3413 June Final'!_1.__2010_11_FEFP_State_and_Local_Funding</vt:lpstr>
      <vt:lpstr>'3421'!_1.__2010_11_FEFP_State_and_Local_Funding</vt:lpstr>
      <vt:lpstr>'3431'!_1.__2010_11_FEFP_State_and_Local_Funding</vt:lpstr>
      <vt:lpstr>'3431 June Final'!_1.__2010_11_FEFP_State_and_Local_Funding</vt:lpstr>
      <vt:lpstr>'3441'!_1.__2010_11_FEFP_State_and_Local_Funding</vt:lpstr>
      <vt:lpstr>'3443'!_1.__2010_11_FEFP_State_and_Local_Funding</vt:lpstr>
      <vt:lpstr>'3941'!_1.__2010_11_FEFP_State_and_Local_Funding</vt:lpstr>
      <vt:lpstr>'3941 June Final'!_1.__2010_11_FEFP_State_and_Local_Funding</vt:lpstr>
      <vt:lpstr>'3961'!_1.__2010_11_FEFP_State_and_Local_Funding</vt:lpstr>
      <vt:lpstr>'3961 June Final'!_1.__2010_11_FEFP_State_and_Local_Funding</vt:lpstr>
      <vt:lpstr>'3971'!_1.__2010_11_FEFP_State_and_Local_Funding</vt:lpstr>
      <vt:lpstr>'4000'!_1.__2010_11_FEFP_State_and_Local_Funding</vt:lpstr>
      <vt:lpstr>'4000 June Final'!_1.__2010_11_FEFP_State_and_Local_Funding</vt:lpstr>
      <vt:lpstr>'4002'!_1.__2010_11_FEFP_State_and_Local_Funding</vt:lpstr>
      <vt:lpstr>'4002 June Final'!_1.__2010_11_FEFP_State_and_Local_Funding</vt:lpstr>
      <vt:lpstr>'4010'!_1.__2010_11_FEFP_State_and_Local_Funding</vt:lpstr>
      <vt:lpstr>'4012'!_1.__2010_11_FEFP_State_and_Local_Funding</vt:lpstr>
      <vt:lpstr>'4013'!_1.__2010_11_FEFP_State_and_Local_Funding</vt:lpstr>
      <vt:lpstr>'4020'!_1.__2010_11_FEFP_State_and_Local_Funding</vt:lpstr>
      <vt:lpstr>'4020 June Final'!_1.__2010_11_FEFP_State_and_Local_Funding</vt:lpstr>
      <vt:lpstr>'4020 June Tch Alloc.'!_1.__2010_11_FEFP_State_and_Local_Funding</vt:lpstr>
      <vt:lpstr>'4037'!_1.__2010_11_FEFP_State_and_Local_Funding</vt:lpstr>
      <vt:lpstr>'4037 June Final'!_1.__2010_11_FEFP_State_and_Local_Funding</vt:lpstr>
      <vt:lpstr>'4041'!_1.__2010_11_FEFP_State_and_Local_Funding</vt:lpstr>
      <vt:lpstr>'0054'!_101_Basic_K_3</vt:lpstr>
      <vt:lpstr>'0054 June Final'!_101_Basic_K_3</vt:lpstr>
      <vt:lpstr>'0642'!_101_Basic_K_3</vt:lpstr>
      <vt:lpstr>'0642 June Final'!_101_Basic_K_3</vt:lpstr>
      <vt:lpstr>'0664'!_101_Basic_K_3</vt:lpstr>
      <vt:lpstr>'0664 June Final'!_101_Basic_K_3</vt:lpstr>
      <vt:lpstr>'1461'!_101_Basic_K_3</vt:lpstr>
      <vt:lpstr>'1571'!_101_Basic_K_3</vt:lpstr>
      <vt:lpstr>'2521'!_101_Basic_K_3</vt:lpstr>
      <vt:lpstr>'2531'!_101_Basic_K_3</vt:lpstr>
      <vt:lpstr>'2531 June final'!_101_Basic_K_3</vt:lpstr>
      <vt:lpstr>'2641'!_101_Basic_K_3</vt:lpstr>
      <vt:lpstr>'2641 June Final'!_101_Basic_K_3</vt:lpstr>
      <vt:lpstr>'2661'!_101_Basic_K_3</vt:lpstr>
      <vt:lpstr>'2661 June Final'!_101_Basic_K_3</vt:lpstr>
      <vt:lpstr>'2791'!_101_Basic_K_3</vt:lpstr>
      <vt:lpstr>'2791 June final'!_101_Basic_K_3</vt:lpstr>
      <vt:lpstr>'2801'!_101_Basic_K_3</vt:lpstr>
      <vt:lpstr>'2801 June Final'!_101_Basic_K_3</vt:lpstr>
      <vt:lpstr>'2911'!_101_Basic_K_3</vt:lpstr>
      <vt:lpstr>'2911 June final'!_101_Basic_K_3</vt:lpstr>
      <vt:lpstr>'2941'!_101_Basic_K_3</vt:lpstr>
      <vt:lpstr>'2941 June final'!_101_Basic_K_3</vt:lpstr>
      <vt:lpstr>'3083'!_101_Basic_K_3</vt:lpstr>
      <vt:lpstr>'3344'!_101_Basic_K_3</vt:lpstr>
      <vt:lpstr>'3345'!_101_Basic_K_3</vt:lpstr>
      <vt:lpstr>'3347'!_101_Basic_K_3</vt:lpstr>
      <vt:lpstr>'3381'!_101_Basic_K_3</vt:lpstr>
      <vt:lpstr>'3381 June Final'!_101_Basic_K_3</vt:lpstr>
      <vt:lpstr>'3382'!_101_Basic_K_3</vt:lpstr>
      <vt:lpstr>'3382 June Final'!_101_Basic_K_3</vt:lpstr>
      <vt:lpstr>'3384'!_101_Basic_K_3</vt:lpstr>
      <vt:lpstr>'3384 June Final'!_101_Basic_K_3</vt:lpstr>
      <vt:lpstr>'3385'!_101_Basic_K_3</vt:lpstr>
      <vt:lpstr>'3385 June Final'!_101_Basic_K_3</vt:lpstr>
      <vt:lpstr>'3386'!_101_Basic_K_3</vt:lpstr>
      <vt:lpstr>'3391'!_101_Basic_K_3</vt:lpstr>
      <vt:lpstr>'3392'!_101_Basic_K_3</vt:lpstr>
      <vt:lpstr>'3392 June Final'!_101_Basic_K_3</vt:lpstr>
      <vt:lpstr>'3394'!_101_Basic_K_3</vt:lpstr>
      <vt:lpstr>'3394 June Final'!_101_Basic_K_3</vt:lpstr>
      <vt:lpstr>'3395'!_101_Basic_K_3</vt:lpstr>
      <vt:lpstr>'3395 June Final'!_101_Basic_K_3</vt:lpstr>
      <vt:lpstr>'3396'!_101_Basic_K_3</vt:lpstr>
      <vt:lpstr>'3398'!_101_Basic_K_3</vt:lpstr>
      <vt:lpstr>'3400'!_101_Basic_K_3</vt:lpstr>
      <vt:lpstr>'3401'!_101_Basic_K_3</vt:lpstr>
      <vt:lpstr>'3411'!_101_Basic_K_3</vt:lpstr>
      <vt:lpstr>'3413'!_101_Basic_K_3</vt:lpstr>
      <vt:lpstr>'3413 June Final'!_101_Basic_K_3</vt:lpstr>
      <vt:lpstr>'3421'!_101_Basic_K_3</vt:lpstr>
      <vt:lpstr>'3431'!_101_Basic_K_3</vt:lpstr>
      <vt:lpstr>'3431 June Final'!_101_Basic_K_3</vt:lpstr>
      <vt:lpstr>'3441'!_101_Basic_K_3</vt:lpstr>
      <vt:lpstr>'3443'!_101_Basic_K_3</vt:lpstr>
      <vt:lpstr>'3941'!_101_Basic_K_3</vt:lpstr>
      <vt:lpstr>'3941 June Final'!_101_Basic_K_3</vt:lpstr>
      <vt:lpstr>'3961'!_101_Basic_K_3</vt:lpstr>
      <vt:lpstr>'3961 June Final'!_101_Basic_K_3</vt:lpstr>
      <vt:lpstr>'3971'!_101_Basic_K_3</vt:lpstr>
      <vt:lpstr>'4000'!_101_Basic_K_3</vt:lpstr>
      <vt:lpstr>'4000 June Final'!_101_Basic_K_3</vt:lpstr>
      <vt:lpstr>'4002'!_101_Basic_K_3</vt:lpstr>
      <vt:lpstr>'4002 June Final'!_101_Basic_K_3</vt:lpstr>
      <vt:lpstr>'4010'!_101_Basic_K_3</vt:lpstr>
      <vt:lpstr>'4012'!_101_Basic_K_3</vt:lpstr>
      <vt:lpstr>'4013'!_101_Basic_K_3</vt:lpstr>
      <vt:lpstr>'4020'!_101_Basic_K_3</vt:lpstr>
      <vt:lpstr>'4020 June Final'!_101_Basic_K_3</vt:lpstr>
      <vt:lpstr>'4020 June Tch Alloc.'!_101_Basic_K_3</vt:lpstr>
      <vt:lpstr>'4037'!_101_Basic_K_3</vt:lpstr>
      <vt:lpstr>'4037 June Final'!_101_Basic_K_3</vt:lpstr>
      <vt:lpstr>'4041'!_101_Basic_K_3</vt:lpstr>
      <vt:lpstr>'0054'!_102_Basic_4_8</vt:lpstr>
      <vt:lpstr>'0054 June Final'!_102_Basic_4_8</vt:lpstr>
      <vt:lpstr>'0642'!_102_Basic_4_8</vt:lpstr>
      <vt:lpstr>'0642 June Final'!_102_Basic_4_8</vt:lpstr>
      <vt:lpstr>'0664'!_102_Basic_4_8</vt:lpstr>
      <vt:lpstr>'0664 June Final'!_102_Basic_4_8</vt:lpstr>
      <vt:lpstr>'1461'!_102_Basic_4_8</vt:lpstr>
      <vt:lpstr>'1571'!_102_Basic_4_8</vt:lpstr>
      <vt:lpstr>'2521'!_102_Basic_4_8</vt:lpstr>
      <vt:lpstr>'2531'!_102_Basic_4_8</vt:lpstr>
      <vt:lpstr>'2531 June final'!_102_Basic_4_8</vt:lpstr>
      <vt:lpstr>'2641'!_102_Basic_4_8</vt:lpstr>
      <vt:lpstr>'2641 June Final'!_102_Basic_4_8</vt:lpstr>
      <vt:lpstr>'2661'!_102_Basic_4_8</vt:lpstr>
      <vt:lpstr>'2661 June Final'!_102_Basic_4_8</vt:lpstr>
      <vt:lpstr>'2791'!_102_Basic_4_8</vt:lpstr>
      <vt:lpstr>'2791 June final'!_102_Basic_4_8</vt:lpstr>
      <vt:lpstr>'2801'!_102_Basic_4_8</vt:lpstr>
      <vt:lpstr>'2801 June Final'!_102_Basic_4_8</vt:lpstr>
      <vt:lpstr>'2911'!_102_Basic_4_8</vt:lpstr>
      <vt:lpstr>'2911 June final'!_102_Basic_4_8</vt:lpstr>
      <vt:lpstr>'2941'!_102_Basic_4_8</vt:lpstr>
      <vt:lpstr>'2941 June final'!_102_Basic_4_8</vt:lpstr>
      <vt:lpstr>'3083'!_102_Basic_4_8</vt:lpstr>
      <vt:lpstr>'3344'!_102_Basic_4_8</vt:lpstr>
      <vt:lpstr>'3345'!_102_Basic_4_8</vt:lpstr>
      <vt:lpstr>'3347'!_102_Basic_4_8</vt:lpstr>
      <vt:lpstr>'3381'!_102_Basic_4_8</vt:lpstr>
      <vt:lpstr>'3381 June Final'!_102_Basic_4_8</vt:lpstr>
      <vt:lpstr>'3382'!_102_Basic_4_8</vt:lpstr>
      <vt:lpstr>'3382 June Final'!_102_Basic_4_8</vt:lpstr>
      <vt:lpstr>'3384'!_102_Basic_4_8</vt:lpstr>
      <vt:lpstr>'3384 June Final'!_102_Basic_4_8</vt:lpstr>
      <vt:lpstr>'3385'!_102_Basic_4_8</vt:lpstr>
      <vt:lpstr>'3385 June Final'!_102_Basic_4_8</vt:lpstr>
      <vt:lpstr>'3386'!_102_Basic_4_8</vt:lpstr>
      <vt:lpstr>'3391'!_102_Basic_4_8</vt:lpstr>
      <vt:lpstr>'3392'!_102_Basic_4_8</vt:lpstr>
      <vt:lpstr>'3392 June Final'!_102_Basic_4_8</vt:lpstr>
      <vt:lpstr>'3394'!_102_Basic_4_8</vt:lpstr>
      <vt:lpstr>'3394 June Final'!_102_Basic_4_8</vt:lpstr>
      <vt:lpstr>'3395'!_102_Basic_4_8</vt:lpstr>
      <vt:lpstr>'3395 June Final'!_102_Basic_4_8</vt:lpstr>
      <vt:lpstr>'3396'!_102_Basic_4_8</vt:lpstr>
      <vt:lpstr>'3398'!_102_Basic_4_8</vt:lpstr>
      <vt:lpstr>'3400'!_102_Basic_4_8</vt:lpstr>
      <vt:lpstr>'3401'!_102_Basic_4_8</vt:lpstr>
      <vt:lpstr>'3411'!_102_Basic_4_8</vt:lpstr>
      <vt:lpstr>'3413'!_102_Basic_4_8</vt:lpstr>
      <vt:lpstr>'3413 June Final'!_102_Basic_4_8</vt:lpstr>
      <vt:lpstr>'3421'!_102_Basic_4_8</vt:lpstr>
      <vt:lpstr>'3431'!_102_Basic_4_8</vt:lpstr>
      <vt:lpstr>'3431 June Final'!_102_Basic_4_8</vt:lpstr>
      <vt:lpstr>'3441'!_102_Basic_4_8</vt:lpstr>
      <vt:lpstr>'3443'!_102_Basic_4_8</vt:lpstr>
      <vt:lpstr>'3941'!_102_Basic_4_8</vt:lpstr>
      <vt:lpstr>'3941 June Final'!_102_Basic_4_8</vt:lpstr>
      <vt:lpstr>'3961'!_102_Basic_4_8</vt:lpstr>
      <vt:lpstr>'3961 June Final'!_102_Basic_4_8</vt:lpstr>
      <vt:lpstr>'3971'!_102_Basic_4_8</vt:lpstr>
      <vt:lpstr>'4000'!_102_Basic_4_8</vt:lpstr>
      <vt:lpstr>'4000 June Final'!_102_Basic_4_8</vt:lpstr>
      <vt:lpstr>'4002'!_102_Basic_4_8</vt:lpstr>
      <vt:lpstr>'4002 June Final'!_102_Basic_4_8</vt:lpstr>
      <vt:lpstr>'4010'!_102_Basic_4_8</vt:lpstr>
      <vt:lpstr>'4012'!_102_Basic_4_8</vt:lpstr>
      <vt:lpstr>'4013'!_102_Basic_4_8</vt:lpstr>
      <vt:lpstr>'4020'!_102_Basic_4_8</vt:lpstr>
      <vt:lpstr>'4020 June Final'!_102_Basic_4_8</vt:lpstr>
      <vt:lpstr>'4020 June Tch Alloc.'!_102_Basic_4_8</vt:lpstr>
      <vt:lpstr>'4037'!_102_Basic_4_8</vt:lpstr>
      <vt:lpstr>'4037 June Final'!_102_Basic_4_8</vt:lpstr>
      <vt:lpstr>'4041'!_102_Basic_4_8</vt:lpstr>
      <vt:lpstr>'0054'!_103_Basic_9_12</vt:lpstr>
      <vt:lpstr>'0054 June Final'!_103_Basic_9_12</vt:lpstr>
      <vt:lpstr>'0642'!_103_Basic_9_12</vt:lpstr>
      <vt:lpstr>'0642 June Final'!_103_Basic_9_12</vt:lpstr>
      <vt:lpstr>'0664'!_103_Basic_9_12</vt:lpstr>
      <vt:lpstr>'0664 June Final'!_103_Basic_9_12</vt:lpstr>
      <vt:lpstr>'1461'!_103_Basic_9_12</vt:lpstr>
      <vt:lpstr>'1571'!_103_Basic_9_12</vt:lpstr>
      <vt:lpstr>'2521'!_103_Basic_9_12</vt:lpstr>
      <vt:lpstr>'2531'!_103_Basic_9_12</vt:lpstr>
      <vt:lpstr>'2531 June final'!_103_Basic_9_12</vt:lpstr>
      <vt:lpstr>'2641'!_103_Basic_9_12</vt:lpstr>
      <vt:lpstr>'2641 June Final'!_103_Basic_9_12</vt:lpstr>
      <vt:lpstr>'2661'!_103_Basic_9_12</vt:lpstr>
      <vt:lpstr>'2661 June Final'!_103_Basic_9_12</vt:lpstr>
      <vt:lpstr>'2791'!_103_Basic_9_12</vt:lpstr>
      <vt:lpstr>'2791 June final'!_103_Basic_9_12</vt:lpstr>
      <vt:lpstr>'2801'!_103_Basic_9_12</vt:lpstr>
      <vt:lpstr>'2801 June Final'!_103_Basic_9_12</vt:lpstr>
      <vt:lpstr>'2911'!_103_Basic_9_12</vt:lpstr>
      <vt:lpstr>'2911 June final'!_103_Basic_9_12</vt:lpstr>
      <vt:lpstr>'2941'!_103_Basic_9_12</vt:lpstr>
      <vt:lpstr>'2941 June final'!_103_Basic_9_12</vt:lpstr>
      <vt:lpstr>'3083'!_103_Basic_9_12</vt:lpstr>
      <vt:lpstr>'3344'!_103_Basic_9_12</vt:lpstr>
      <vt:lpstr>'3345'!_103_Basic_9_12</vt:lpstr>
      <vt:lpstr>'3347'!_103_Basic_9_12</vt:lpstr>
      <vt:lpstr>'3381'!_103_Basic_9_12</vt:lpstr>
      <vt:lpstr>'3381 June Final'!_103_Basic_9_12</vt:lpstr>
      <vt:lpstr>'3382'!_103_Basic_9_12</vt:lpstr>
      <vt:lpstr>'3382 June Final'!_103_Basic_9_12</vt:lpstr>
      <vt:lpstr>'3384'!_103_Basic_9_12</vt:lpstr>
      <vt:lpstr>'3384 June Final'!_103_Basic_9_12</vt:lpstr>
      <vt:lpstr>'3385'!_103_Basic_9_12</vt:lpstr>
      <vt:lpstr>'3385 June Final'!_103_Basic_9_12</vt:lpstr>
      <vt:lpstr>'3386'!_103_Basic_9_12</vt:lpstr>
      <vt:lpstr>'3391'!_103_Basic_9_12</vt:lpstr>
      <vt:lpstr>'3392'!_103_Basic_9_12</vt:lpstr>
      <vt:lpstr>'3392 June Final'!_103_Basic_9_12</vt:lpstr>
      <vt:lpstr>'3394'!_103_Basic_9_12</vt:lpstr>
      <vt:lpstr>'3394 June Final'!_103_Basic_9_12</vt:lpstr>
      <vt:lpstr>'3395'!_103_Basic_9_12</vt:lpstr>
      <vt:lpstr>'3395 June Final'!_103_Basic_9_12</vt:lpstr>
      <vt:lpstr>'3396'!_103_Basic_9_12</vt:lpstr>
      <vt:lpstr>'3398'!_103_Basic_9_12</vt:lpstr>
      <vt:lpstr>'3400'!_103_Basic_9_12</vt:lpstr>
      <vt:lpstr>'3401'!_103_Basic_9_12</vt:lpstr>
      <vt:lpstr>'3411'!_103_Basic_9_12</vt:lpstr>
      <vt:lpstr>'3413'!_103_Basic_9_12</vt:lpstr>
      <vt:lpstr>'3413 June Final'!_103_Basic_9_12</vt:lpstr>
      <vt:lpstr>'3421'!_103_Basic_9_12</vt:lpstr>
      <vt:lpstr>'3431'!_103_Basic_9_12</vt:lpstr>
      <vt:lpstr>'3431 June Final'!_103_Basic_9_12</vt:lpstr>
      <vt:lpstr>'3441'!_103_Basic_9_12</vt:lpstr>
      <vt:lpstr>'3443'!_103_Basic_9_12</vt:lpstr>
      <vt:lpstr>'3941'!_103_Basic_9_12</vt:lpstr>
      <vt:lpstr>'3941 June Final'!_103_Basic_9_12</vt:lpstr>
      <vt:lpstr>'3961'!_103_Basic_9_12</vt:lpstr>
      <vt:lpstr>'3961 June Final'!_103_Basic_9_12</vt:lpstr>
      <vt:lpstr>'3971'!_103_Basic_9_12</vt:lpstr>
      <vt:lpstr>'4000'!_103_Basic_9_12</vt:lpstr>
      <vt:lpstr>'4000 June Final'!_103_Basic_9_12</vt:lpstr>
      <vt:lpstr>'4002'!_103_Basic_9_12</vt:lpstr>
      <vt:lpstr>'4002 June Final'!_103_Basic_9_12</vt:lpstr>
      <vt:lpstr>'4010'!_103_Basic_9_12</vt:lpstr>
      <vt:lpstr>'4012'!_103_Basic_9_12</vt:lpstr>
      <vt:lpstr>'4013'!_103_Basic_9_12</vt:lpstr>
      <vt:lpstr>'4020'!_103_Basic_9_12</vt:lpstr>
      <vt:lpstr>'4020 June Final'!_103_Basic_9_12</vt:lpstr>
      <vt:lpstr>'4020 June Tch Alloc.'!_103_Basic_9_12</vt:lpstr>
      <vt:lpstr>'4037'!_103_Basic_9_12</vt:lpstr>
      <vt:lpstr>'4037 June Final'!_103_Basic_9_12</vt:lpstr>
      <vt:lpstr>'4041'!_103_Basic_9_12</vt:lpstr>
      <vt:lpstr>'0054'!_111_Basic_K_3_with_ESE_Services</vt:lpstr>
      <vt:lpstr>'0054 June Final'!_111_Basic_K_3_with_ESE_Services</vt:lpstr>
      <vt:lpstr>'0642'!_111_Basic_K_3_with_ESE_Services</vt:lpstr>
      <vt:lpstr>'0642 June Final'!_111_Basic_K_3_with_ESE_Services</vt:lpstr>
      <vt:lpstr>'0664'!_111_Basic_K_3_with_ESE_Services</vt:lpstr>
      <vt:lpstr>'0664 June Final'!_111_Basic_K_3_with_ESE_Services</vt:lpstr>
      <vt:lpstr>'1461'!_111_Basic_K_3_with_ESE_Services</vt:lpstr>
      <vt:lpstr>'1571'!_111_Basic_K_3_with_ESE_Services</vt:lpstr>
      <vt:lpstr>'2521'!_111_Basic_K_3_with_ESE_Services</vt:lpstr>
      <vt:lpstr>'2531'!_111_Basic_K_3_with_ESE_Services</vt:lpstr>
      <vt:lpstr>'2531 June final'!_111_Basic_K_3_with_ESE_Services</vt:lpstr>
      <vt:lpstr>'2641'!_111_Basic_K_3_with_ESE_Services</vt:lpstr>
      <vt:lpstr>'2641 June Final'!_111_Basic_K_3_with_ESE_Services</vt:lpstr>
      <vt:lpstr>'2661'!_111_Basic_K_3_with_ESE_Services</vt:lpstr>
      <vt:lpstr>'2661 June Final'!_111_Basic_K_3_with_ESE_Services</vt:lpstr>
      <vt:lpstr>'2791'!_111_Basic_K_3_with_ESE_Services</vt:lpstr>
      <vt:lpstr>'2791 June final'!_111_Basic_K_3_with_ESE_Services</vt:lpstr>
      <vt:lpstr>'2801'!_111_Basic_K_3_with_ESE_Services</vt:lpstr>
      <vt:lpstr>'2801 June Final'!_111_Basic_K_3_with_ESE_Services</vt:lpstr>
      <vt:lpstr>'2911'!_111_Basic_K_3_with_ESE_Services</vt:lpstr>
      <vt:lpstr>'2911 June final'!_111_Basic_K_3_with_ESE_Services</vt:lpstr>
      <vt:lpstr>'2941'!_111_Basic_K_3_with_ESE_Services</vt:lpstr>
      <vt:lpstr>'2941 June final'!_111_Basic_K_3_with_ESE_Services</vt:lpstr>
      <vt:lpstr>'3083'!_111_Basic_K_3_with_ESE_Services</vt:lpstr>
      <vt:lpstr>'3344'!_111_Basic_K_3_with_ESE_Services</vt:lpstr>
      <vt:lpstr>'3345'!_111_Basic_K_3_with_ESE_Services</vt:lpstr>
      <vt:lpstr>'3347'!_111_Basic_K_3_with_ESE_Services</vt:lpstr>
      <vt:lpstr>'3381'!_111_Basic_K_3_with_ESE_Services</vt:lpstr>
      <vt:lpstr>'3381 June Final'!_111_Basic_K_3_with_ESE_Services</vt:lpstr>
      <vt:lpstr>'3382'!_111_Basic_K_3_with_ESE_Services</vt:lpstr>
      <vt:lpstr>'3382 June Final'!_111_Basic_K_3_with_ESE_Services</vt:lpstr>
      <vt:lpstr>'3384'!_111_Basic_K_3_with_ESE_Services</vt:lpstr>
      <vt:lpstr>'3384 June Final'!_111_Basic_K_3_with_ESE_Services</vt:lpstr>
      <vt:lpstr>'3385'!_111_Basic_K_3_with_ESE_Services</vt:lpstr>
      <vt:lpstr>'3385 June Final'!_111_Basic_K_3_with_ESE_Services</vt:lpstr>
      <vt:lpstr>'3386'!_111_Basic_K_3_with_ESE_Services</vt:lpstr>
      <vt:lpstr>'3391'!_111_Basic_K_3_with_ESE_Services</vt:lpstr>
      <vt:lpstr>'3392'!_111_Basic_K_3_with_ESE_Services</vt:lpstr>
      <vt:lpstr>'3392 June Final'!_111_Basic_K_3_with_ESE_Services</vt:lpstr>
      <vt:lpstr>'3394'!_111_Basic_K_3_with_ESE_Services</vt:lpstr>
      <vt:lpstr>'3394 June Final'!_111_Basic_K_3_with_ESE_Services</vt:lpstr>
      <vt:lpstr>'3395'!_111_Basic_K_3_with_ESE_Services</vt:lpstr>
      <vt:lpstr>'3395 June Final'!_111_Basic_K_3_with_ESE_Services</vt:lpstr>
      <vt:lpstr>'3396'!_111_Basic_K_3_with_ESE_Services</vt:lpstr>
      <vt:lpstr>'3398'!_111_Basic_K_3_with_ESE_Services</vt:lpstr>
      <vt:lpstr>'3400'!_111_Basic_K_3_with_ESE_Services</vt:lpstr>
      <vt:lpstr>'3401'!_111_Basic_K_3_with_ESE_Services</vt:lpstr>
      <vt:lpstr>'3411'!_111_Basic_K_3_with_ESE_Services</vt:lpstr>
      <vt:lpstr>'3413'!_111_Basic_K_3_with_ESE_Services</vt:lpstr>
      <vt:lpstr>'3413 June Final'!_111_Basic_K_3_with_ESE_Services</vt:lpstr>
      <vt:lpstr>'3421'!_111_Basic_K_3_with_ESE_Services</vt:lpstr>
      <vt:lpstr>'3431'!_111_Basic_K_3_with_ESE_Services</vt:lpstr>
      <vt:lpstr>'3431 June Final'!_111_Basic_K_3_with_ESE_Services</vt:lpstr>
      <vt:lpstr>'3441'!_111_Basic_K_3_with_ESE_Services</vt:lpstr>
      <vt:lpstr>'3443'!_111_Basic_K_3_with_ESE_Services</vt:lpstr>
      <vt:lpstr>'3941'!_111_Basic_K_3_with_ESE_Services</vt:lpstr>
      <vt:lpstr>'3941 June Final'!_111_Basic_K_3_with_ESE_Services</vt:lpstr>
      <vt:lpstr>'3961'!_111_Basic_K_3_with_ESE_Services</vt:lpstr>
      <vt:lpstr>'3961 June Final'!_111_Basic_K_3_with_ESE_Services</vt:lpstr>
      <vt:lpstr>'3971'!_111_Basic_K_3_with_ESE_Services</vt:lpstr>
      <vt:lpstr>'4000'!_111_Basic_K_3_with_ESE_Services</vt:lpstr>
      <vt:lpstr>'4000 June Final'!_111_Basic_K_3_with_ESE_Services</vt:lpstr>
      <vt:lpstr>'4002'!_111_Basic_K_3_with_ESE_Services</vt:lpstr>
      <vt:lpstr>'4002 June Final'!_111_Basic_K_3_with_ESE_Services</vt:lpstr>
      <vt:lpstr>'4010'!_111_Basic_K_3_with_ESE_Services</vt:lpstr>
      <vt:lpstr>'4012'!_111_Basic_K_3_with_ESE_Services</vt:lpstr>
      <vt:lpstr>'4013'!_111_Basic_K_3_with_ESE_Services</vt:lpstr>
      <vt:lpstr>'4020'!_111_Basic_K_3_with_ESE_Services</vt:lpstr>
      <vt:lpstr>'4020 June Final'!_111_Basic_K_3_with_ESE_Services</vt:lpstr>
      <vt:lpstr>'4020 June Tch Alloc.'!_111_Basic_K_3_with_ESE_Services</vt:lpstr>
      <vt:lpstr>'4037'!_111_Basic_K_3_with_ESE_Services</vt:lpstr>
      <vt:lpstr>'4037 June Final'!_111_Basic_K_3_with_ESE_Services</vt:lpstr>
      <vt:lpstr>'4041'!_111_Basic_K_3_with_ESE_Services</vt:lpstr>
      <vt:lpstr>'0054'!_112_Basic_4_8_with_ESE_Services</vt:lpstr>
      <vt:lpstr>'0054 June Final'!_112_Basic_4_8_with_ESE_Services</vt:lpstr>
      <vt:lpstr>'0642'!_112_Basic_4_8_with_ESE_Services</vt:lpstr>
      <vt:lpstr>'0642 June Final'!_112_Basic_4_8_with_ESE_Services</vt:lpstr>
      <vt:lpstr>'0664'!_112_Basic_4_8_with_ESE_Services</vt:lpstr>
      <vt:lpstr>'0664 June Final'!_112_Basic_4_8_with_ESE_Services</vt:lpstr>
      <vt:lpstr>'1461'!_112_Basic_4_8_with_ESE_Services</vt:lpstr>
      <vt:lpstr>'1571'!_112_Basic_4_8_with_ESE_Services</vt:lpstr>
      <vt:lpstr>'2521'!_112_Basic_4_8_with_ESE_Services</vt:lpstr>
      <vt:lpstr>'2531'!_112_Basic_4_8_with_ESE_Services</vt:lpstr>
      <vt:lpstr>'2531 June final'!_112_Basic_4_8_with_ESE_Services</vt:lpstr>
      <vt:lpstr>'2641'!_112_Basic_4_8_with_ESE_Services</vt:lpstr>
      <vt:lpstr>'2641 June Final'!_112_Basic_4_8_with_ESE_Services</vt:lpstr>
      <vt:lpstr>'2661'!_112_Basic_4_8_with_ESE_Services</vt:lpstr>
      <vt:lpstr>'2661 June Final'!_112_Basic_4_8_with_ESE_Services</vt:lpstr>
      <vt:lpstr>'2791'!_112_Basic_4_8_with_ESE_Services</vt:lpstr>
      <vt:lpstr>'2791 June final'!_112_Basic_4_8_with_ESE_Services</vt:lpstr>
      <vt:lpstr>'2801'!_112_Basic_4_8_with_ESE_Services</vt:lpstr>
      <vt:lpstr>'2801 June Final'!_112_Basic_4_8_with_ESE_Services</vt:lpstr>
      <vt:lpstr>'2911'!_112_Basic_4_8_with_ESE_Services</vt:lpstr>
      <vt:lpstr>'2911 June final'!_112_Basic_4_8_with_ESE_Services</vt:lpstr>
      <vt:lpstr>'2941'!_112_Basic_4_8_with_ESE_Services</vt:lpstr>
      <vt:lpstr>'2941 June final'!_112_Basic_4_8_with_ESE_Services</vt:lpstr>
      <vt:lpstr>'3083'!_112_Basic_4_8_with_ESE_Services</vt:lpstr>
      <vt:lpstr>'3344'!_112_Basic_4_8_with_ESE_Services</vt:lpstr>
      <vt:lpstr>'3345'!_112_Basic_4_8_with_ESE_Services</vt:lpstr>
      <vt:lpstr>'3347'!_112_Basic_4_8_with_ESE_Services</vt:lpstr>
      <vt:lpstr>'3381'!_112_Basic_4_8_with_ESE_Services</vt:lpstr>
      <vt:lpstr>'3381 June Final'!_112_Basic_4_8_with_ESE_Services</vt:lpstr>
      <vt:lpstr>'3382'!_112_Basic_4_8_with_ESE_Services</vt:lpstr>
      <vt:lpstr>'3382 June Final'!_112_Basic_4_8_with_ESE_Services</vt:lpstr>
      <vt:lpstr>'3384'!_112_Basic_4_8_with_ESE_Services</vt:lpstr>
      <vt:lpstr>'3384 June Final'!_112_Basic_4_8_with_ESE_Services</vt:lpstr>
      <vt:lpstr>'3385'!_112_Basic_4_8_with_ESE_Services</vt:lpstr>
      <vt:lpstr>'3385 June Final'!_112_Basic_4_8_with_ESE_Services</vt:lpstr>
      <vt:lpstr>'3386'!_112_Basic_4_8_with_ESE_Services</vt:lpstr>
      <vt:lpstr>'3391'!_112_Basic_4_8_with_ESE_Services</vt:lpstr>
      <vt:lpstr>'3392'!_112_Basic_4_8_with_ESE_Services</vt:lpstr>
      <vt:lpstr>'3392 June Final'!_112_Basic_4_8_with_ESE_Services</vt:lpstr>
      <vt:lpstr>'3394'!_112_Basic_4_8_with_ESE_Services</vt:lpstr>
      <vt:lpstr>'3394 June Final'!_112_Basic_4_8_with_ESE_Services</vt:lpstr>
      <vt:lpstr>'3395'!_112_Basic_4_8_with_ESE_Services</vt:lpstr>
      <vt:lpstr>'3395 June Final'!_112_Basic_4_8_with_ESE_Services</vt:lpstr>
      <vt:lpstr>'3396'!_112_Basic_4_8_with_ESE_Services</vt:lpstr>
      <vt:lpstr>'3398'!_112_Basic_4_8_with_ESE_Services</vt:lpstr>
      <vt:lpstr>'3400'!_112_Basic_4_8_with_ESE_Services</vt:lpstr>
      <vt:lpstr>'3401'!_112_Basic_4_8_with_ESE_Services</vt:lpstr>
      <vt:lpstr>'3411'!_112_Basic_4_8_with_ESE_Services</vt:lpstr>
      <vt:lpstr>'3413'!_112_Basic_4_8_with_ESE_Services</vt:lpstr>
      <vt:lpstr>'3413 June Final'!_112_Basic_4_8_with_ESE_Services</vt:lpstr>
      <vt:lpstr>'3421'!_112_Basic_4_8_with_ESE_Services</vt:lpstr>
      <vt:lpstr>'3431'!_112_Basic_4_8_with_ESE_Services</vt:lpstr>
      <vt:lpstr>'3431 June Final'!_112_Basic_4_8_with_ESE_Services</vt:lpstr>
      <vt:lpstr>'3441'!_112_Basic_4_8_with_ESE_Services</vt:lpstr>
      <vt:lpstr>'3443'!_112_Basic_4_8_with_ESE_Services</vt:lpstr>
      <vt:lpstr>'3941'!_112_Basic_4_8_with_ESE_Services</vt:lpstr>
      <vt:lpstr>'3941 June Final'!_112_Basic_4_8_with_ESE_Services</vt:lpstr>
      <vt:lpstr>'3961'!_112_Basic_4_8_with_ESE_Services</vt:lpstr>
      <vt:lpstr>'3961 June Final'!_112_Basic_4_8_with_ESE_Services</vt:lpstr>
      <vt:lpstr>'3971'!_112_Basic_4_8_with_ESE_Services</vt:lpstr>
      <vt:lpstr>'4000'!_112_Basic_4_8_with_ESE_Services</vt:lpstr>
      <vt:lpstr>'4000 June Final'!_112_Basic_4_8_with_ESE_Services</vt:lpstr>
      <vt:lpstr>'4002'!_112_Basic_4_8_with_ESE_Services</vt:lpstr>
      <vt:lpstr>'4002 June Final'!_112_Basic_4_8_with_ESE_Services</vt:lpstr>
      <vt:lpstr>'4010'!_112_Basic_4_8_with_ESE_Services</vt:lpstr>
      <vt:lpstr>'4012'!_112_Basic_4_8_with_ESE_Services</vt:lpstr>
      <vt:lpstr>'4013'!_112_Basic_4_8_with_ESE_Services</vt:lpstr>
      <vt:lpstr>'4020'!_112_Basic_4_8_with_ESE_Services</vt:lpstr>
      <vt:lpstr>'4020 June Final'!_112_Basic_4_8_with_ESE_Services</vt:lpstr>
      <vt:lpstr>'4020 June Tch Alloc.'!_112_Basic_4_8_with_ESE_Services</vt:lpstr>
      <vt:lpstr>'4037'!_112_Basic_4_8_with_ESE_Services</vt:lpstr>
      <vt:lpstr>'4037 June Final'!_112_Basic_4_8_with_ESE_Services</vt:lpstr>
      <vt:lpstr>'4041'!_112_Basic_4_8_with_ESE_Services</vt:lpstr>
      <vt:lpstr>'0054'!_113_Basic_9_12_with_ESE_Services</vt:lpstr>
      <vt:lpstr>'0054 June Final'!_113_Basic_9_12_with_ESE_Services</vt:lpstr>
      <vt:lpstr>'0642'!_113_Basic_9_12_with_ESE_Services</vt:lpstr>
      <vt:lpstr>'0642 June Final'!_113_Basic_9_12_with_ESE_Services</vt:lpstr>
      <vt:lpstr>'0664'!_113_Basic_9_12_with_ESE_Services</vt:lpstr>
      <vt:lpstr>'0664 June Final'!_113_Basic_9_12_with_ESE_Services</vt:lpstr>
      <vt:lpstr>'1461'!_113_Basic_9_12_with_ESE_Services</vt:lpstr>
      <vt:lpstr>'1571'!_113_Basic_9_12_with_ESE_Services</vt:lpstr>
      <vt:lpstr>'2521'!_113_Basic_9_12_with_ESE_Services</vt:lpstr>
      <vt:lpstr>'2531'!_113_Basic_9_12_with_ESE_Services</vt:lpstr>
      <vt:lpstr>'2531 June final'!_113_Basic_9_12_with_ESE_Services</vt:lpstr>
      <vt:lpstr>'2641'!_113_Basic_9_12_with_ESE_Services</vt:lpstr>
      <vt:lpstr>'2641 June Final'!_113_Basic_9_12_with_ESE_Services</vt:lpstr>
      <vt:lpstr>'2661'!_113_Basic_9_12_with_ESE_Services</vt:lpstr>
      <vt:lpstr>'2661 June Final'!_113_Basic_9_12_with_ESE_Services</vt:lpstr>
      <vt:lpstr>'2791'!_113_Basic_9_12_with_ESE_Services</vt:lpstr>
      <vt:lpstr>'2791 June final'!_113_Basic_9_12_with_ESE_Services</vt:lpstr>
      <vt:lpstr>'2801'!_113_Basic_9_12_with_ESE_Services</vt:lpstr>
      <vt:lpstr>'2801 June Final'!_113_Basic_9_12_with_ESE_Services</vt:lpstr>
      <vt:lpstr>'2911'!_113_Basic_9_12_with_ESE_Services</vt:lpstr>
      <vt:lpstr>'2911 June final'!_113_Basic_9_12_with_ESE_Services</vt:lpstr>
      <vt:lpstr>'2941'!_113_Basic_9_12_with_ESE_Services</vt:lpstr>
      <vt:lpstr>'2941 June final'!_113_Basic_9_12_with_ESE_Services</vt:lpstr>
      <vt:lpstr>'3083'!_113_Basic_9_12_with_ESE_Services</vt:lpstr>
      <vt:lpstr>'3344'!_113_Basic_9_12_with_ESE_Services</vt:lpstr>
      <vt:lpstr>'3345'!_113_Basic_9_12_with_ESE_Services</vt:lpstr>
      <vt:lpstr>'3347'!_113_Basic_9_12_with_ESE_Services</vt:lpstr>
      <vt:lpstr>'3381'!_113_Basic_9_12_with_ESE_Services</vt:lpstr>
      <vt:lpstr>'3381 June Final'!_113_Basic_9_12_with_ESE_Services</vt:lpstr>
      <vt:lpstr>'3382'!_113_Basic_9_12_with_ESE_Services</vt:lpstr>
      <vt:lpstr>'3382 June Final'!_113_Basic_9_12_with_ESE_Services</vt:lpstr>
      <vt:lpstr>'3384'!_113_Basic_9_12_with_ESE_Services</vt:lpstr>
      <vt:lpstr>'3384 June Final'!_113_Basic_9_12_with_ESE_Services</vt:lpstr>
      <vt:lpstr>'3385'!_113_Basic_9_12_with_ESE_Services</vt:lpstr>
      <vt:lpstr>'3385 June Final'!_113_Basic_9_12_with_ESE_Services</vt:lpstr>
      <vt:lpstr>'3386'!_113_Basic_9_12_with_ESE_Services</vt:lpstr>
      <vt:lpstr>'3391'!_113_Basic_9_12_with_ESE_Services</vt:lpstr>
      <vt:lpstr>'3392'!_113_Basic_9_12_with_ESE_Services</vt:lpstr>
      <vt:lpstr>'3392 June Final'!_113_Basic_9_12_with_ESE_Services</vt:lpstr>
      <vt:lpstr>'3394'!_113_Basic_9_12_with_ESE_Services</vt:lpstr>
      <vt:lpstr>'3394 June Final'!_113_Basic_9_12_with_ESE_Services</vt:lpstr>
      <vt:lpstr>'3395'!_113_Basic_9_12_with_ESE_Services</vt:lpstr>
      <vt:lpstr>'3395 June Final'!_113_Basic_9_12_with_ESE_Services</vt:lpstr>
      <vt:lpstr>'3396'!_113_Basic_9_12_with_ESE_Services</vt:lpstr>
      <vt:lpstr>'3398'!_113_Basic_9_12_with_ESE_Services</vt:lpstr>
      <vt:lpstr>'3400'!_113_Basic_9_12_with_ESE_Services</vt:lpstr>
      <vt:lpstr>'3401'!_113_Basic_9_12_with_ESE_Services</vt:lpstr>
      <vt:lpstr>'3411'!_113_Basic_9_12_with_ESE_Services</vt:lpstr>
      <vt:lpstr>'3413'!_113_Basic_9_12_with_ESE_Services</vt:lpstr>
      <vt:lpstr>'3413 June Final'!_113_Basic_9_12_with_ESE_Services</vt:lpstr>
      <vt:lpstr>'3421'!_113_Basic_9_12_with_ESE_Services</vt:lpstr>
      <vt:lpstr>'3431'!_113_Basic_9_12_with_ESE_Services</vt:lpstr>
      <vt:lpstr>'3431 June Final'!_113_Basic_9_12_with_ESE_Services</vt:lpstr>
      <vt:lpstr>'3441'!_113_Basic_9_12_with_ESE_Services</vt:lpstr>
      <vt:lpstr>'3443'!_113_Basic_9_12_with_ESE_Services</vt:lpstr>
      <vt:lpstr>'3941'!_113_Basic_9_12_with_ESE_Services</vt:lpstr>
      <vt:lpstr>'3941 June Final'!_113_Basic_9_12_with_ESE_Services</vt:lpstr>
      <vt:lpstr>'3961'!_113_Basic_9_12_with_ESE_Services</vt:lpstr>
      <vt:lpstr>'3961 June Final'!_113_Basic_9_12_with_ESE_Services</vt:lpstr>
      <vt:lpstr>'3971'!_113_Basic_9_12_with_ESE_Services</vt:lpstr>
      <vt:lpstr>'4000'!_113_Basic_9_12_with_ESE_Services</vt:lpstr>
      <vt:lpstr>'4000 June Final'!_113_Basic_9_12_with_ESE_Services</vt:lpstr>
      <vt:lpstr>'4002'!_113_Basic_9_12_with_ESE_Services</vt:lpstr>
      <vt:lpstr>'4002 June Final'!_113_Basic_9_12_with_ESE_Services</vt:lpstr>
      <vt:lpstr>'4010'!_113_Basic_9_12_with_ESE_Services</vt:lpstr>
      <vt:lpstr>'4012'!_113_Basic_9_12_with_ESE_Services</vt:lpstr>
      <vt:lpstr>'4013'!_113_Basic_9_12_with_ESE_Services</vt:lpstr>
      <vt:lpstr>'4020'!_113_Basic_9_12_with_ESE_Services</vt:lpstr>
      <vt:lpstr>'4020 June Final'!_113_Basic_9_12_with_ESE_Services</vt:lpstr>
      <vt:lpstr>'4020 June Tch Alloc.'!_113_Basic_9_12_with_ESE_Services</vt:lpstr>
      <vt:lpstr>'4037'!_113_Basic_9_12_with_ESE_Services</vt:lpstr>
      <vt:lpstr>'4037 June Final'!_113_Basic_9_12_with_ESE_Services</vt:lpstr>
      <vt:lpstr>'4041'!_113_Basic_9_12_with_ESE_Services</vt:lpstr>
      <vt:lpstr>'0054'!_130_ESOL__Grade_Level_4_8</vt:lpstr>
      <vt:lpstr>'0054 June Final'!_130_ESOL__Grade_Level_4_8</vt:lpstr>
      <vt:lpstr>'0642'!_130_ESOL__Grade_Level_4_8</vt:lpstr>
      <vt:lpstr>'0642 June Final'!_130_ESOL__Grade_Level_4_8</vt:lpstr>
      <vt:lpstr>'0664'!_130_ESOL__Grade_Level_4_8</vt:lpstr>
      <vt:lpstr>'0664 June Final'!_130_ESOL__Grade_Level_4_8</vt:lpstr>
      <vt:lpstr>'1461'!_130_ESOL__Grade_Level_4_8</vt:lpstr>
      <vt:lpstr>'1571'!_130_ESOL__Grade_Level_4_8</vt:lpstr>
      <vt:lpstr>'2521'!_130_ESOL__Grade_Level_4_8</vt:lpstr>
      <vt:lpstr>'2531'!_130_ESOL__Grade_Level_4_8</vt:lpstr>
      <vt:lpstr>'2531 June final'!_130_ESOL__Grade_Level_4_8</vt:lpstr>
      <vt:lpstr>'2641'!_130_ESOL__Grade_Level_4_8</vt:lpstr>
      <vt:lpstr>'2641 June Final'!_130_ESOL__Grade_Level_4_8</vt:lpstr>
      <vt:lpstr>'2661'!_130_ESOL__Grade_Level_4_8</vt:lpstr>
      <vt:lpstr>'2661 June Final'!_130_ESOL__Grade_Level_4_8</vt:lpstr>
      <vt:lpstr>'2791'!_130_ESOL__Grade_Level_4_8</vt:lpstr>
      <vt:lpstr>'2791 June final'!_130_ESOL__Grade_Level_4_8</vt:lpstr>
      <vt:lpstr>'2801'!_130_ESOL__Grade_Level_4_8</vt:lpstr>
      <vt:lpstr>'2801 June Final'!_130_ESOL__Grade_Level_4_8</vt:lpstr>
      <vt:lpstr>'2911'!_130_ESOL__Grade_Level_4_8</vt:lpstr>
      <vt:lpstr>'2911 June final'!_130_ESOL__Grade_Level_4_8</vt:lpstr>
      <vt:lpstr>'2941'!_130_ESOL__Grade_Level_4_8</vt:lpstr>
      <vt:lpstr>'2941 June final'!_130_ESOL__Grade_Level_4_8</vt:lpstr>
      <vt:lpstr>'3083'!_130_ESOL__Grade_Level_4_8</vt:lpstr>
      <vt:lpstr>'3344'!_130_ESOL__Grade_Level_4_8</vt:lpstr>
      <vt:lpstr>'3345'!_130_ESOL__Grade_Level_4_8</vt:lpstr>
      <vt:lpstr>'3347'!_130_ESOL__Grade_Level_4_8</vt:lpstr>
      <vt:lpstr>'3381'!_130_ESOL__Grade_Level_4_8</vt:lpstr>
      <vt:lpstr>'3381 June Final'!_130_ESOL__Grade_Level_4_8</vt:lpstr>
      <vt:lpstr>'3382'!_130_ESOL__Grade_Level_4_8</vt:lpstr>
      <vt:lpstr>'3382 June Final'!_130_ESOL__Grade_Level_4_8</vt:lpstr>
      <vt:lpstr>'3384'!_130_ESOL__Grade_Level_4_8</vt:lpstr>
      <vt:lpstr>'3384 June Final'!_130_ESOL__Grade_Level_4_8</vt:lpstr>
      <vt:lpstr>'3385'!_130_ESOL__Grade_Level_4_8</vt:lpstr>
      <vt:lpstr>'3385 June Final'!_130_ESOL__Grade_Level_4_8</vt:lpstr>
      <vt:lpstr>'3386'!_130_ESOL__Grade_Level_4_8</vt:lpstr>
      <vt:lpstr>'3391'!_130_ESOL__Grade_Level_4_8</vt:lpstr>
      <vt:lpstr>'3392'!_130_ESOL__Grade_Level_4_8</vt:lpstr>
      <vt:lpstr>'3392 June Final'!_130_ESOL__Grade_Level_4_8</vt:lpstr>
      <vt:lpstr>'3394'!_130_ESOL__Grade_Level_4_8</vt:lpstr>
      <vt:lpstr>'3394 June Final'!_130_ESOL__Grade_Level_4_8</vt:lpstr>
      <vt:lpstr>'3395'!_130_ESOL__Grade_Level_4_8</vt:lpstr>
      <vt:lpstr>'3395 June Final'!_130_ESOL__Grade_Level_4_8</vt:lpstr>
      <vt:lpstr>'3396'!_130_ESOL__Grade_Level_4_8</vt:lpstr>
      <vt:lpstr>'3398'!_130_ESOL__Grade_Level_4_8</vt:lpstr>
      <vt:lpstr>'3400'!_130_ESOL__Grade_Level_4_8</vt:lpstr>
      <vt:lpstr>'3401'!_130_ESOL__Grade_Level_4_8</vt:lpstr>
      <vt:lpstr>'3411'!_130_ESOL__Grade_Level_4_8</vt:lpstr>
      <vt:lpstr>'3413'!_130_ESOL__Grade_Level_4_8</vt:lpstr>
      <vt:lpstr>'3413 June Final'!_130_ESOL__Grade_Level_4_8</vt:lpstr>
      <vt:lpstr>'3421'!_130_ESOL__Grade_Level_4_8</vt:lpstr>
      <vt:lpstr>'3431'!_130_ESOL__Grade_Level_4_8</vt:lpstr>
      <vt:lpstr>'3431 June Final'!_130_ESOL__Grade_Level_4_8</vt:lpstr>
      <vt:lpstr>'3441'!_130_ESOL__Grade_Level_4_8</vt:lpstr>
      <vt:lpstr>'3443'!_130_ESOL__Grade_Level_4_8</vt:lpstr>
      <vt:lpstr>'3941'!_130_ESOL__Grade_Level_4_8</vt:lpstr>
      <vt:lpstr>'3941 June Final'!_130_ESOL__Grade_Level_4_8</vt:lpstr>
      <vt:lpstr>'3961'!_130_ESOL__Grade_Level_4_8</vt:lpstr>
      <vt:lpstr>'3961 June Final'!_130_ESOL__Grade_Level_4_8</vt:lpstr>
      <vt:lpstr>'3971'!_130_ESOL__Grade_Level_4_8</vt:lpstr>
      <vt:lpstr>'4000'!_130_ESOL__Grade_Level_4_8</vt:lpstr>
      <vt:lpstr>'4000 June Final'!_130_ESOL__Grade_Level_4_8</vt:lpstr>
      <vt:lpstr>'4002'!_130_ESOL__Grade_Level_4_8</vt:lpstr>
      <vt:lpstr>'4002 June Final'!_130_ESOL__Grade_Level_4_8</vt:lpstr>
      <vt:lpstr>'4010'!_130_ESOL__Grade_Level_4_8</vt:lpstr>
      <vt:lpstr>'4012'!_130_ESOL__Grade_Level_4_8</vt:lpstr>
      <vt:lpstr>'4013'!_130_ESOL__Grade_Level_4_8</vt:lpstr>
      <vt:lpstr>'4020'!_130_ESOL__Grade_Level_4_8</vt:lpstr>
      <vt:lpstr>'4020 June Final'!_130_ESOL__Grade_Level_4_8</vt:lpstr>
      <vt:lpstr>'4020 June Tch Alloc.'!_130_ESOL__Grade_Level_4_8</vt:lpstr>
      <vt:lpstr>'4037'!_130_ESOL__Grade_Level_4_8</vt:lpstr>
      <vt:lpstr>'4037 June Final'!_130_ESOL__Grade_Level_4_8</vt:lpstr>
      <vt:lpstr>'4041'!_130_ESOL__Grade_Level_4_8</vt:lpstr>
      <vt:lpstr>'0054'!_130_ESOL__Grade_Level_9_12</vt:lpstr>
      <vt:lpstr>'0054 June Final'!_130_ESOL__Grade_Level_9_12</vt:lpstr>
      <vt:lpstr>'0642'!_130_ESOL__Grade_Level_9_12</vt:lpstr>
      <vt:lpstr>'0642 June Final'!_130_ESOL__Grade_Level_9_12</vt:lpstr>
      <vt:lpstr>'0664'!_130_ESOL__Grade_Level_9_12</vt:lpstr>
      <vt:lpstr>'0664 June Final'!_130_ESOL__Grade_Level_9_12</vt:lpstr>
      <vt:lpstr>'1461'!_130_ESOL__Grade_Level_9_12</vt:lpstr>
      <vt:lpstr>'1571'!_130_ESOL__Grade_Level_9_12</vt:lpstr>
      <vt:lpstr>'2521'!_130_ESOL__Grade_Level_9_12</vt:lpstr>
      <vt:lpstr>'2531'!_130_ESOL__Grade_Level_9_12</vt:lpstr>
      <vt:lpstr>'2531 June final'!_130_ESOL__Grade_Level_9_12</vt:lpstr>
      <vt:lpstr>'2641'!_130_ESOL__Grade_Level_9_12</vt:lpstr>
      <vt:lpstr>'2641 June Final'!_130_ESOL__Grade_Level_9_12</vt:lpstr>
      <vt:lpstr>'2661'!_130_ESOL__Grade_Level_9_12</vt:lpstr>
      <vt:lpstr>'2661 June Final'!_130_ESOL__Grade_Level_9_12</vt:lpstr>
      <vt:lpstr>'2791'!_130_ESOL__Grade_Level_9_12</vt:lpstr>
      <vt:lpstr>'2791 June final'!_130_ESOL__Grade_Level_9_12</vt:lpstr>
      <vt:lpstr>'2801'!_130_ESOL__Grade_Level_9_12</vt:lpstr>
      <vt:lpstr>'2801 June Final'!_130_ESOL__Grade_Level_9_12</vt:lpstr>
      <vt:lpstr>'2911'!_130_ESOL__Grade_Level_9_12</vt:lpstr>
      <vt:lpstr>'2911 June final'!_130_ESOL__Grade_Level_9_12</vt:lpstr>
      <vt:lpstr>'2941'!_130_ESOL__Grade_Level_9_12</vt:lpstr>
      <vt:lpstr>'2941 June final'!_130_ESOL__Grade_Level_9_12</vt:lpstr>
      <vt:lpstr>'3083'!_130_ESOL__Grade_Level_9_12</vt:lpstr>
      <vt:lpstr>'3344'!_130_ESOL__Grade_Level_9_12</vt:lpstr>
      <vt:lpstr>'3345'!_130_ESOL__Grade_Level_9_12</vt:lpstr>
      <vt:lpstr>'3347'!_130_ESOL__Grade_Level_9_12</vt:lpstr>
      <vt:lpstr>'3381'!_130_ESOL__Grade_Level_9_12</vt:lpstr>
      <vt:lpstr>'3381 June Final'!_130_ESOL__Grade_Level_9_12</vt:lpstr>
      <vt:lpstr>'3382'!_130_ESOL__Grade_Level_9_12</vt:lpstr>
      <vt:lpstr>'3382 June Final'!_130_ESOL__Grade_Level_9_12</vt:lpstr>
      <vt:lpstr>'3384'!_130_ESOL__Grade_Level_9_12</vt:lpstr>
      <vt:lpstr>'3384 June Final'!_130_ESOL__Grade_Level_9_12</vt:lpstr>
      <vt:lpstr>'3385'!_130_ESOL__Grade_Level_9_12</vt:lpstr>
      <vt:lpstr>'3385 June Final'!_130_ESOL__Grade_Level_9_12</vt:lpstr>
      <vt:lpstr>'3386'!_130_ESOL__Grade_Level_9_12</vt:lpstr>
      <vt:lpstr>'3391'!_130_ESOL__Grade_Level_9_12</vt:lpstr>
      <vt:lpstr>'3392'!_130_ESOL__Grade_Level_9_12</vt:lpstr>
      <vt:lpstr>'3392 June Final'!_130_ESOL__Grade_Level_9_12</vt:lpstr>
      <vt:lpstr>'3394'!_130_ESOL__Grade_Level_9_12</vt:lpstr>
      <vt:lpstr>'3394 June Final'!_130_ESOL__Grade_Level_9_12</vt:lpstr>
      <vt:lpstr>'3395'!_130_ESOL__Grade_Level_9_12</vt:lpstr>
      <vt:lpstr>'3395 June Final'!_130_ESOL__Grade_Level_9_12</vt:lpstr>
      <vt:lpstr>'3396'!_130_ESOL__Grade_Level_9_12</vt:lpstr>
      <vt:lpstr>'3398'!_130_ESOL__Grade_Level_9_12</vt:lpstr>
      <vt:lpstr>'3400'!_130_ESOL__Grade_Level_9_12</vt:lpstr>
      <vt:lpstr>'3401'!_130_ESOL__Grade_Level_9_12</vt:lpstr>
      <vt:lpstr>'3411'!_130_ESOL__Grade_Level_9_12</vt:lpstr>
      <vt:lpstr>'3413'!_130_ESOL__Grade_Level_9_12</vt:lpstr>
      <vt:lpstr>'3413 June Final'!_130_ESOL__Grade_Level_9_12</vt:lpstr>
      <vt:lpstr>'3421'!_130_ESOL__Grade_Level_9_12</vt:lpstr>
      <vt:lpstr>'3431'!_130_ESOL__Grade_Level_9_12</vt:lpstr>
      <vt:lpstr>'3431 June Final'!_130_ESOL__Grade_Level_9_12</vt:lpstr>
      <vt:lpstr>'3441'!_130_ESOL__Grade_Level_9_12</vt:lpstr>
      <vt:lpstr>'3443'!_130_ESOL__Grade_Level_9_12</vt:lpstr>
      <vt:lpstr>'3941'!_130_ESOL__Grade_Level_9_12</vt:lpstr>
      <vt:lpstr>'3941 June Final'!_130_ESOL__Grade_Level_9_12</vt:lpstr>
      <vt:lpstr>'3961'!_130_ESOL__Grade_Level_9_12</vt:lpstr>
      <vt:lpstr>'3961 June Final'!_130_ESOL__Grade_Level_9_12</vt:lpstr>
      <vt:lpstr>'3971'!_130_ESOL__Grade_Level_9_12</vt:lpstr>
      <vt:lpstr>'4000'!_130_ESOL__Grade_Level_9_12</vt:lpstr>
      <vt:lpstr>'4000 June Final'!_130_ESOL__Grade_Level_9_12</vt:lpstr>
      <vt:lpstr>'4002'!_130_ESOL__Grade_Level_9_12</vt:lpstr>
      <vt:lpstr>'4002 June Final'!_130_ESOL__Grade_Level_9_12</vt:lpstr>
      <vt:lpstr>'4010'!_130_ESOL__Grade_Level_9_12</vt:lpstr>
      <vt:lpstr>'4012'!_130_ESOL__Grade_Level_9_12</vt:lpstr>
      <vt:lpstr>'4013'!_130_ESOL__Grade_Level_9_12</vt:lpstr>
      <vt:lpstr>'4020'!_130_ESOL__Grade_Level_9_12</vt:lpstr>
      <vt:lpstr>'4020 June Final'!_130_ESOL__Grade_Level_9_12</vt:lpstr>
      <vt:lpstr>'4020 June Tch Alloc.'!_130_ESOL__Grade_Level_9_12</vt:lpstr>
      <vt:lpstr>'4037'!_130_ESOL__Grade_Level_9_12</vt:lpstr>
      <vt:lpstr>'4037 June Final'!_130_ESOL__Grade_Level_9_12</vt:lpstr>
      <vt:lpstr>'4041'!_130_ESOL__Grade_Level_9_12</vt:lpstr>
      <vt:lpstr>'0054'!_130_ESOL__Grade_Level_PK_3</vt:lpstr>
      <vt:lpstr>'0054 June Final'!_130_ESOL__Grade_Level_PK_3</vt:lpstr>
      <vt:lpstr>'0642'!_130_ESOL__Grade_Level_PK_3</vt:lpstr>
      <vt:lpstr>'0642 June Final'!_130_ESOL__Grade_Level_PK_3</vt:lpstr>
      <vt:lpstr>'0664'!_130_ESOL__Grade_Level_PK_3</vt:lpstr>
      <vt:lpstr>'0664 June Final'!_130_ESOL__Grade_Level_PK_3</vt:lpstr>
      <vt:lpstr>'1461'!_130_ESOL__Grade_Level_PK_3</vt:lpstr>
      <vt:lpstr>'1571'!_130_ESOL__Grade_Level_PK_3</vt:lpstr>
      <vt:lpstr>'2521'!_130_ESOL__Grade_Level_PK_3</vt:lpstr>
      <vt:lpstr>'2531'!_130_ESOL__Grade_Level_PK_3</vt:lpstr>
      <vt:lpstr>'2531 June final'!_130_ESOL__Grade_Level_PK_3</vt:lpstr>
      <vt:lpstr>'2641'!_130_ESOL__Grade_Level_PK_3</vt:lpstr>
      <vt:lpstr>'2641 June Final'!_130_ESOL__Grade_Level_PK_3</vt:lpstr>
      <vt:lpstr>'2661'!_130_ESOL__Grade_Level_PK_3</vt:lpstr>
      <vt:lpstr>'2661 June Final'!_130_ESOL__Grade_Level_PK_3</vt:lpstr>
      <vt:lpstr>'2791'!_130_ESOL__Grade_Level_PK_3</vt:lpstr>
      <vt:lpstr>'2791 June final'!_130_ESOL__Grade_Level_PK_3</vt:lpstr>
      <vt:lpstr>'2801'!_130_ESOL__Grade_Level_PK_3</vt:lpstr>
      <vt:lpstr>'2801 June Final'!_130_ESOL__Grade_Level_PK_3</vt:lpstr>
      <vt:lpstr>'2911'!_130_ESOL__Grade_Level_PK_3</vt:lpstr>
      <vt:lpstr>'2911 June final'!_130_ESOL__Grade_Level_PK_3</vt:lpstr>
      <vt:lpstr>'2941'!_130_ESOL__Grade_Level_PK_3</vt:lpstr>
      <vt:lpstr>'2941 June final'!_130_ESOL__Grade_Level_PK_3</vt:lpstr>
      <vt:lpstr>'3083'!_130_ESOL__Grade_Level_PK_3</vt:lpstr>
      <vt:lpstr>'3344'!_130_ESOL__Grade_Level_PK_3</vt:lpstr>
      <vt:lpstr>'3345'!_130_ESOL__Grade_Level_PK_3</vt:lpstr>
      <vt:lpstr>'3347'!_130_ESOL__Grade_Level_PK_3</vt:lpstr>
      <vt:lpstr>'3381'!_130_ESOL__Grade_Level_PK_3</vt:lpstr>
      <vt:lpstr>'3381 June Final'!_130_ESOL__Grade_Level_PK_3</vt:lpstr>
      <vt:lpstr>'3382'!_130_ESOL__Grade_Level_PK_3</vt:lpstr>
      <vt:lpstr>'3382 June Final'!_130_ESOL__Grade_Level_PK_3</vt:lpstr>
      <vt:lpstr>'3384'!_130_ESOL__Grade_Level_PK_3</vt:lpstr>
      <vt:lpstr>'3384 June Final'!_130_ESOL__Grade_Level_PK_3</vt:lpstr>
      <vt:lpstr>'3385'!_130_ESOL__Grade_Level_PK_3</vt:lpstr>
      <vt:lpstr>'3385 June Final'!_130_ESOL__Grade_Level_PK_3</vt:lpstr>
      <vt:lpstr>'3386'!_130_ESOL__Grade_Level_PK_3</vt:lpstr>
      <vt:lpstr>'3391'!_130_ESOL__Grade_Level_PK_3</vt:lpstr>
      <vt:lpstr>'3392'!_130_ESOL__Grade_Level_PK_3</vt:lpstr>
      <vt:lpstr>'3392 June Final'!_130_ESOL__Grade_Level_PK_3</vt:lpstr>
      <vt:lpstr>'3394'!_130_ESOL__Grade_Level_PK_3</vt:lpstr>
      <vt:lpstr>'3394 June Final'!_130_ESOL__Grade_Level_PK_3</vt:lpstr>
      <vt:lpstr>'3395'!_130_ESOL__Grade_Level_PK_3</vt:lpstr>
      <vt:lpstr>'3395 June Final'!_130_ESOL__Grade_Level_PK_3</vt:lpstr>
      <vt:lpstr>'3396'!_130_ESOL__Grade_Level_PK_3</vt:lpstr>
      <vt:lpstr>'3398'!_130_ESOL__Grade_Level_PK_3</vt:lpstr>
      <vt:lpstr>'3400'!_130_ESOL__Grade_Level_PK_3</vt:lpstr>
      <vt:lpstr>'3401'!_130_ESOL__Grade_Level_PK_3</vt:lpstr>
      <vt:lpstr>'3411'!_130_ESOL__Grade_Level_PK_3</vt:lpstr>
      <vt:lpstr>'3413'!_130_ESOL__Grade_Level_PK_3</vt:lpstr>
      <vt:lpstr>'3413 June Final'!_130_ESOL__Grade_Level_PK_3</vt:lpstr>
      <vt:lpstr>'3421'!_130_ESOL__Grade_Level_PK_3</vt:lpstr>
      <vt:lpstr>'3431'!_130_ESOL__Grade_Level_PK_3</vt:lpstr>
      <vt:lpstr>'3431 June Final'!_130_ESOL__Grade_Level_PK_3</vt:lpstr>
      <vt:lpstr>'3441'!_130_ESOL__Grade_Level_PK_3</vt:lpstr>
      <vt:lpstr>'3443'!_130_ESOL__Grade_Level_PK_3</vt:lpstr>
      <vt:lpstr>'3941'!_130_ESOL__Grade_Level_PK_3</vt:lpstr>
      <vt:lpstr>'3941 June Final'!_130_ESOL__Grade_Level_PK_3</vt:lpstr>
      <vt:lpstr>'3961'!_130_ESOL__Grade_Level_PK_3</vt:lpstr>
      <vt:lpstr>'3961 June Final'!_130_ESOL__Grade_Level_PK_3</vt:lpstr>
      <vt:lpstr>'3971'!_130_ESOL__Grade_Level_PK_3</vt:lpstr>
      <vt:lpstr>'4000'!_130_ESOL__Grade_Level_PK_3</vt:lpstr>
      <vt:lpstr>'4000 June Final'!_130_ESOL__Grade_Level_PK_3</vt:lpstr>
      <vt:lpstr>'4002'!_130_ESOL__Grade_Level_PK_3</vt:lpstr>
      <vt:lpstr>'4002 June Final'!_130_ESOL__Grade_Level_PK_3</vt:lpstr>
      <vt:lpstr>'4010'!_130_ESOL__Grade_Level_PK_3</vt:lpstr>
      <vt:lpstr>'4012'!_130_ESOL__Grade_Level_PK_3</vt:lpstr>
      <vt:lpstr>'4013'!_130_ESOL__Grade_Level_PK_3</vt:lpstr>
      <vt:lpstr>'4020'!_130_ESOL__Grade_Level_PK_3</vt:lpstr>
      <vt:lpstr>'4020 June Final'!_130_ESOL__Grade_Level_PK_3</vt:lpstr>
      <vt:lpstr>'4020 June Tch Alloc.'!_130_ESOL__Grade_Level_PK_3</vt:lpstr>
      <vt:lpstr>'4037'!_130_ESOL__Grade_Level_PK_3</vt:lpstr>
      <vt:lpstr>'4037 June Final'!_130_ESOL__Grade_Level_PK_3</vt:lpstr>
      <vt:lpstr>'4041'!_130_ESOL__Grade_Level_PK_3</vt:lpstr>
      <vt:lpstr>'0054'!_2.__ESE_Guaranteed_Allocation</vt:lpstr>
      <vt:lpstr>'0054 June Final'!_2.__ESE_Guaranteed_Allocation</vt:lpstr>
      <vt:lpstr>'0642'!_2.__ESE_Guaranteed_Allocation</vt:lpstr>
      <vt:lpstr>'0642 June Final'!_2.__ESE_Guaranteed_Allocation</vt:lpstr>
      <vt:lpstr>'0664'!_2.__ESE_Guaranteed_Allocation</vt:lpstr>
      <vt:lpstr>'0664 June Final'!_2.__ESE_Guaranteed_Allocation</vt:lpstr>
      <vt:lpstr>'1461'!_2.__ESE_Guaranteed_Allocation</vt:lpstr>
      <vt:lpstr>'1571'!_2.__ESE_Guaranteed_Allocation</vt:lpstr>
      <vt:lpstr>'2521'!_2.__ESE_Guaranteed_Allocation</vt:lpstr>
      <vt:lpstr>'2531'!_2.__ESE_Guaranteed_Allocation</vt:lpstr>
      <vt:lpstr>'2531 June final'!_2.__ESE_Guaranteed_Allocation</vt:lpstr>
      <vt:lpstr>'2641'!_2.__ESE_Guaranteed_Allocation</vt:lpstr>
      <vt:lpstr>'2641 June Final'!_2.__ESE_Guaranteed_Allocation</vt:lpstr>
      <vt:lpstr>'2661'!_2.__ESE_Guaranteed_Allocation</vt:lpstr>
      <vt:lpstr>'2661 June Final'!_2.__ESE_Guaranteed_Allocation</vt:lpstr>
      <vt:lpstr>'2791'!_2.__ESE_Guaranteed_Allocation</vt:lpstr>
      <vt:lpstr>'2791 June final'!_2.__ESE_Guaranteed_Allocation</vt:lpstr>
      <vt:lpstr>'2801'!_2.__ESE_Guaranteed_Allocation</vt:lpstr>
      <vt:lpstr>'2801 June Final'!_2.__ESE_Guaranteed_Allocation</vt:lpstr>
      <vt:lpstr>'2911'!_2.__ESE_Guaranteed_Allocation</vt:lpstr>
      <vt:lpstr>'2911 June final'!_2.__ESE_Guaranteed_Allocation</vt:lpstr>
      <vt:lpstr>'2941'!_2.__ESE_Guaranteed_Allocation</vt:lpstr>
      <vt:lpstr>'2941 June final'!_2.__ESE_Guaranteed_Allocation</vt:lpstr>
      <vt:lpstr>'3083'!_2.__ESE_Guaranteed_Allocation</vt:lpstr>
      <vt:lpstr>'3344'!_2.__ESE_Guaranteed_Allocation</vt:lpstr>
      <vt:lpstr>'3345'!_2.__ESE_Guaranteed_Allocation</vt:lpstr>
      <vt:lpstr>'3347'!_2.__ESE_Guaranteed_Allocation</vt:lpstr>
      <vt:lpstr>'3381'!_2.__ESE_Guaranteed_Allocation</vt:lpstr>
      <vt:lpstr>'3381 June Final'!_2.__ESE_Guaranteed_Allocation</vt:lpstr>
      <vt:lpstr>'3382'!_2.__ESE_Guaranteed_Allocation</vt:lpstr>
      <vt:lpstr>'3382 June Final'!_2.__ESE_Guaranteed_Allocation</vt:lpstr>
      <vt:lpstr>'3384'!_2.__ESE_Guaranteed_Allocation</vt:lpstr>
      <vt:lpstr>'3384 June Final'!_2.__ESE_Guaranteed_Allocation</vt:lpstr>
      <vt:lpstr>'3385'!_2.__ESE_Guaranteed_Allocation</vt:lpstr>
      <vt:lpstr>'3385 June Final'!_2.__ESE_Guaranteed_Allocation</vt:lpstr>
      <vt:lpstr>'3386'!_2.__ESE_Guaranteed_Allocation</vt:lpstr>
      <vt:lpstr>'3391'!_2.__ESE_Guaranteed_Allocation</vt:lpstr>
      <vt:lpstr>'3392'!_2.__ESE_Guaranteed_Allocation</vt:lpstr>
      <vt:lpstr>'3392 June Final'!_2.__ESE_Guaranteed_Allocation</vt:lpstr>
      <vt:lpstr>'3394'!_2.__ESE_Guaranteed_Allocation</vt:lpstr>
      <vt:lpstr>'3394 June Final'!_2.__ESE_Guaranteed_Allocation</vt:lpstr>
      <vt:lpstr>'3395'!_2.__ESE_Guaranteed_Allocation</vt:lpstr>
      <vt:lpstr>'3395 June Final'!_2.__ESE_Guaranteed_Allocation</vt:lpstr>
      <vt:lpstr>'3396'!_2.__ESE_Guaranteed_Allocation</vt:lpstr>
      <vt:lpstr>'3398'!_2.__ESE_Guaranteed_Allocation</vt:lpstr>
      <vt:lpstr>'3400'!_2.__ESE_Guaranteed_Allocation</vt:lpstr>
      <vt:lpstr>'3401'!_2.__ESE_Guaranteed_Allocation</vt:lpstr>
      <vt:lpstr>'3411'!_2.__ESE_Guaranteed_Allocation</vt:lpstr>
      <vt:lpstr>'3413'!_2.__ESE_Guaranteed_Allocation</vt:lpstr>
      <vt:lpstr>'3413 June Final'!_2.__ESE_Guaranteed_Allocation</vt:lpstr>
      <vt:lpstr>'3421'!_2.__ESE_Guaranteed_Allocation</vt:lpstr>
      <vt:lpstr>'3431'!_2.__ESE_Guaranteed_Allocation</vt:lpstr>
      <vt:lpstr>'3431 June Final'!_2.__ESE_Guaranteed_Allocation</vt:lpstr>
      <vt:lpstr>'3441'!_2.__ESE_Guaranteed_Allocation</vt:lpstr>
      <vt:lpstr>'3443'!_2.__ESE_Guaranteed_Allocation</vt:lpstr>
      <vt:lpstr>'3941'!_2.__ESE_Guaranteed_Allocation</vt:lpstr>
      <vt:lpstr>'3941 June Final'!_2.__ESE_Guaranteed_Allocation</vt:lpstr>
      <vt:lpstr>'3961'!_2.__ESE_Guaranteed_Allocation</vt:lpstr>
      <vt:lpstr>'3961 June Final'!_2.__ESE_Guaranteed_Allocation</vt:lpstr>
      <vt:lpstr>'3971'!_2.__ESE_Guaranteed_Allocation</vt:lpstr>
      <vt:lpstr>'4000'!_2.__ESE_Guaranteed_Allocation</vt:lpstr>
      <vt:lpstr>'4000 June Final'!_2.__ESE_Guaranteed_Allocation</vt:lpstr>
      <vt:lpstr>'4002'!_2.__ESE_Guaranteed_Allocation</vt:lpstr>
      <vt:lpstr>'4002 June Final'!_2.__ESE_Guaranteed_Allocation</vt:lpstr>
      <vt:lpstr>'4010'!_2.__ESE_Guaranteed_Allocation</vt:lpstr>
      <vt:lpstr>'4012'!_2.__ESE_Guaranteed_Allocation</vt:lpstr>
      <vt:lpstr>'4013'!_2.__ESE_Guaranteed_Allocation</vt:lpstr>
      <vt:lpstr>'4020'!_2.__ESE_Guaranteed_Allocation</vt:lpstr>
      <vt:lpstr>'4020 June Final'!_2.__ESE_Guaranteed_Allocation</vt:lpstr>
      <vt:lpstr>'4020 June Tch Alloc.'!_2.__ESE_Guaranteed_Allocation</vt:lpstr>
      <vt:lpstr>'4037'!_2.__ESE_Guaranteed_Allocation</vt:lpstr>
      <vt:lpstr>'4037 June Final'!_2.__ESE_Guaranteed_Allocation</vt:lpstr>
      <vt:lpstr>'4041'!_2.__ESE_Guaranteed_Allocation</vt:lpstr>
      <vt:lpstr>'0054'!_2010_11_Base_Funding_WFTE_x_BSA_x_DCD</vt:lpstr>
      <vt:lpstr>'0054 June Final'!_2010_11_Base_Funding_WFTE_x_BSA_x_DCD</vt:lpstr>
      <vt:lpstr>'0642'!_2010_11_Base_Funding_WFTE_x_BSA_x_DCD</vt:lpstr>
      <vt:lpstr>'0642 June Final'!_2010_11_Base_Funding_WFTE_x_BSA_x_DCD</vt:lpstr>
      <vt:lpstr>'0664'!_2010_11_Base_Funding_WFTE_x_BSA_x_DCD</vt:lpstr>
      <vt:lpstr>'0664 June Final'!_2010_11_Base_Funding_WFTE_x_BSA_x_DCD</vt:lpstr>
      <vt:lpstr>'1461'!_2010_11_Base_Funding_WFTE_x_BSA_x_DCD</vt:lpstr>
      <vt:lpstr>'1571'!_2010_11_Base_Funding_WFTE_x_BSA_x_DCD</vt:lpstr>
      <vt:lpstr>'2521'!_2010_11_Base_Funding_WFTE_x_BSA_x_DCD</vt:lpstr>
      <vt:lpstr>'2531'!_2010_11_Base_Funding_WFTE_x_BSA_x_DCD</vt:lpstr>
      <vt:lpstr>'2531 June final'!_2010_11_Base_Funding_WFTE_x_BSA_x_DCD</vt:lpstr>
      <vt:lpstr>'2641'!_2010_11_Base_Funding_WFTE_x_BSA_x_DCD</vt:lpstr>
      <vt:lpstr>'2641 June Final'!_2010_11_Base_Funding_WFTE_x_BSA_x_DCD</vt:lpstr>
      <vt:lpstr>'2661'!_2010_11_Base_Funding_WFTE_x_BSA_x_DCD</vt:lpstr>
      <vt:lpstr>'2661 June Final'!_2010_11_Base_Funding_WFTE_x_BSA_x_DCD</vt:lpstr>
      <vt:lpstr>'2791'!_2010_11_Base_Funding_WFTE_x_BSA_x_DCD</vt:lpstr>
      <vt:lpstr>'2791 June final'!_2010_11_Base_Funding_WFTE_x_BSA_x_DCD</vt:lpstr>
      <vt:lpstr>'2801'!_2010_11_Base_Funding_WFTE_x_BSA_x_DCD</vt:lpstr>
      <vt:lpstr>'2801 June Final'!_2010_11_Base_Funding_WFTE_x_BSA_x_DCD</vt:lpstr>
      <vt:lpstr>'2911'!_2010_11_Base_Funding_WFTE_x_BSA_x_DCD</vt:lpstr>
      <vt:lpstr>'2911 June final'!_2010_11_Base_Funding_WFTE_x_BSA_x_DCD</vt:lpstr>
      <vt:lpstr>'2941'!_2010_11_Base_Funding_WFTE_x_BSA_x_DCD</vt:lpstr>
      <vt:lpstr>'2941 June final'!_2010_11_Base_Funding_WFTE_x_BSA_x_DCD</vt:lpstr>
      <vt:lpstr>'3083'!_2010_11_Base_Funding_WFTE_x_BSA_x_DCD</vt:lpstr>
      <vt:lpstr>'3344'!_2010_11_Base_Funding_WFTE_x_BSA_x_DCD</vt:lpstr>
      <vt:lpstr>'3345'!_2010_11_Base_Funding_WFTE_x_BSA_x_DCD</vt:lpstr>
      <vt:lpstr>'3347'!_2010_11_Base_Funding_WFTE_x_BSA_x_DCD</vt:lpstr>
      <vt:lpstr>'3381'!_2010_11_Base_Funding_WFTE_x_BSA_x_DCD</vt:lpstr>
      <vt:lpstr>'3381 June Final'!_2010_11_Base_Funding_WFTE_x_BSA_x_DCD</vt:lpstr>
      <vt:lpstr>'3382'!_2010_11_Base_Funding_WFTE_x_BSA_x_DCD</vt:lpstr>
      <vt:lpstr>'3382 June Final'!_2010_11_Base_Funding_WFTE_x_BSA_x_DCD</vt:lpstr>
      <vt:lpstr>'3384'!_2010_11_Base_Funding_WFTE_x_BSA_x_DCD</vt:lpstr>
      <vt:lpstr>'3384 June Final'!_2010_11_Base_Funding_WFTE_x_BSA_x_DCD</vt:lpstr>
      <vt:lpstr>'3385'!_2010_11_Base_Funding_WFTE_x_BSA_x_DCD</vt:lpstr>
      <vt:lpstr>'3385 June Final'!_2010_11_Base_Funding_WFTE_x_BSA_x_DCD</vt:lpstr>
      <vt:lpstr>'3386'!_2010_11_Base_Funding_WFTE_x_BSA_x_DCD</vt:lpstr>
      <vt:lpstr>'3391'!_2010_11_Base_Funding_WFTE_x_BSA_x_DCD</vt:lpstr>
      <vt:lpstr>'3392'!_2010_11_Base_Funding_WFTE_x_BSA_x_DCD</vt:lpstr>
      <vt:lpstr>'3392 June Final'!_2010_11_Base_Funding_WFTE_x_BSA_x_DCD</vt:lpstr>
      <vt:lpstr>'3394'!_2010_11_Base_Funding_WFTE_x_BSA_x_DCD</vt:lpstr>
      <vt:lpstr>'3394 June Final'!_2010_11_Base_Funding_WFTE_x_BSA_x_DCD</vt:lpstr>
      <vt:lpstr>'3395'!_2010_11_Base_Funding_WFTE_x_BSA_x_DCD</vt:lpstr>
      <vt:lpstr>'3395 June Final'!_2010_11_Base_Funding_WFTE_x_BSA_x_DCD</vt:lpstr>
      <vt:lpstr>'3396'!_2010_11_Base_Funding_WFTE_x_BSA_x_DCD</vt:lpstr>
      <vt:lpstr>'3398'!_2010_11_Base_Funding_WFTE_x_BSA_x_DCD</vt:lpstr>
      <vt:lpstr>'3400'!_2010_11_Base_Funding_WFTE_x_BSA_x_DCD</vt:lpstr>
      <vt:lpstr>'3401'!_2010_11_Base_Funding_WFTE_x_BSA_x_DCD</vt:lpstr>
      <vt:lpstr>'3411'!_2010_11_Base_Funding_WFTE_x_BSA_x_DCD</vt:lpstr>
      <vt:lpstr>'3413'!_2010_11_Base_Funding_WFTE_x_BSA_x_DCD</vt:lpstr>
      <vt:lpstr>'3413 June Final'!_2010_11_Base_Funding_WFTE_x_BSA_x_DCD</vt:lpstr>
      <vt:lpstr>'3421'!_2010_11_Base_Funding_WFTE_x_BSA_x_DCD</vt:lpstr>
      <vt:lpstr>'3431'!_2010_11_Base_Funding_WFTE_x_BSA_x_DCD</vt:lpstr>
      <vt:lpstr>'3431 June Final'!_2010_11_Base_Funding_WFTE_x_BSA_x_DCD</vt:lpstr>
      <vt:lpstr>'3441'!_2010_11_Base_Funding_WFTE_x_BSA_x_DCD</vt:lpstr>
      <vt:lpstr>'3443'!_2010_11_Base_Funding_WFTE_x_BSA_x_DCD</vt:lpstr>
      <vt:lpstr>'3941'!_2010_11_Base_Funding_WFTE_x_BSA_x_DCD</vt:lpstr>
      <vt:lpstr>'3941 June Final'!_2010_11_Base_Funding_WFTE_x_BSA_x_DCD</vt:lpstr>
      <vt:lpstr>'3961'!_2010_11_Base_Funding_WFTE_x_BSA_x_DCD</vt:lpstr>
      <vt:lpstr>'3961 June Final'!_2010_11_Base_Funding_WFTE_x_BSA_x_DCD</vt:lpstr>
      <vt:lpstr>'3971'!_2010_11_Base_Funding_WFTE_x_BSA_x_DCD</vt:lpstr>
      <vt:lpstr>'4000'!_2010_11_Base_Funding_WFTE_x_BSA_x_DCD</vt:lpstr>
      <vt:lpstr>'4000 June Final'!_2010_11_Base_Funding_WFTE_x_BSA_x_DCD</vt:lpstr>
      <vt:lpstr>'4002'!_2010_11_Base_Funding_WFTE_x_BSA_x_DCD</vt:lpstr>
      <vt:lpstr>'4002 June Final'!_2010_11_Base_Funding_WFTE_x_BSA_x_DCD</vt:lpstr>
      <vt:lpstr>'4010'!_2010_11_Base_Funding_WFTE_x_BSA_x_DCD</vt:lpstr>
      <vt:lpstr>'4012'!_2010_11_Base_Funding_WFTE_x_BSA_x_DCD</vt:lpstr>
      <vt:lpstr>'4013'!_2010_11_Base_Funding_WFTE_x_BSA_x_DCD</vt:lpstr>
      <vt:lpstr>'4020'!_2010_11_Base_Funding_WFTE_x_BSA_x_DCD</vt:lpstr>
      <vt:lpstr>'4020 June Final'!_2010_11_Base_Funding_WFTE_x_BSA_x_DCD</vt:lpstr>
      <vt:lpstr>'4020 June Tch Alloc.'!_2010_11_Base_Funding_WFTE_x_BSA_x_DCD</vt:lpstr>
      <vt:lpstr>'4037'!_2010_11_Base_Funding_WFTE_x_BSA_x_DCD</vt:lpstr>
      <vt:lpstr>'4037 June Final'!_2010_11_Base_Funding_WFTE_x_BSA_x_DCD</vt:lpstr>
      <vt:lpstr>'4041'!_2010_11_Base_Funding_WFTE_x_BSA_x_DCD</vt:lpstr>
      <vt:lpstr>'0054'!_254_ESE_Level_4__Grade_Level_4_8</vt:lpstr>
      <vt:lpstr>'0054 June Final'!_254_ESE_Level_4__Grade_Level_4_8</vt:lpstr>
      <vt:lpstr>'0642'!_254_ESE_Level_4__Grade_Level_4_8</vt:lpstr>
      <vt:lpstr>'0642 June Final'!_254_ESE_Level_4__Grade_Level_4_8</vt:lpstr>
      <vt:lpstr>'0664'!_254_ESE_Level_4__Grade_Level_4_8</vt:lpstr>
      <vt:lpstr>'0664 June Final'!_254_ESE_Level_4__Grade_Level_4_8</vt:lpstr>
      <vt:lpstr>'1461'!_254_ESE_Level_4__Grade_Level_4_8</vt:lpstr>
      <vt:lpstr>'1571'!_254_ESE_Level_4__Grade_Level_4_8</vt:lpstr>
      <vt:lpstr>'2521'!_254_ESE_Level_4__Grade_Level_4_8</vt:lpstr>
      <vt:lpstr>'2531'!_254_ESE_Level_4__Grade_Level_4_8</vt:lpstr>
      <vt:lpstr>'2531 June final'!_254_ESE_Level_4__Grade_Level_4_8</vt:lpstr>
      <vt:lpstr>'2641'!_254_ESE_Level_4__Grade_Level_4_8</vt:lpstr>
      <vt:lpstr>'2641 June Final'!_254_ESE_Level_4__Grade_Level_4_8</vt:lpstr>
      <vt:lpstr>'2661'!_254_ESE_Level_4__Grade_Level_4_8</vt:lpstr>
      <vt:lpstr>'2661 June Final'!_254_ESE_Level_4__Grade_Level_4_8</vt:lpstr>
      <vt:lpstr>'2791'!_254_ESE_Level_4__Grade_Level_4_8</vt:lpstr>
      <vt:lpstr>'2791 June final'!_254_ESE_Level_4__Grade_Level_4_8</vt:lpstr>
      <vt:lpstr>'2801'!_254_ESE_Level_4__Grade_Level_4_8</vt:lpstr>
      <vt:lpstr>'2801 June Final'!_254_ESE_Level_4__Grade_Level_4_8</vt:lpstr>
      <vt:lpstr>'2911'!_254_ESE_Level_4__Grade_Level_4_8</vt:lpstr>
      <vt:lpstr>'2911 June final'!_254_ESE_Level_4__Grade_Level_4_8</vt:lpstr>
      <vt:lpstr>'2941'!_254_ESE_Level_4__Grade_Level_4_8</vt:lpstr>
      <vt:lpstr>'2941 June final'!_254_ESE_Level_4__Grade_Level_4_8</vt:lpstr>
      <vt:lpstr>'3083'!_254_ESE_Level_4__Grade_Level_4_8</vt:lpstr>
      <vt:lpstr>'3344'!_254_ESE_Level_4__Grade_Level_4_8</vt:lpstr>
      <vt:lpstr>'3345'!_254_ESE_Level_4__Grade_Level_4_8</vt:lpstr>
      <vt:lpstr>'3347'!_254_ESE_Level_4__Grade_Level_4_8</vt:lpstr>
      <vt:lpstr>'3381'!_254_ESE_Level_4__Grade_Level_4_8</vt:lpstr>
      <vt:lpstr>'3381 June Final'!_254_ESE_Level_4__Grade_Level_4_8</vt:lpstr>
      <vt:lpstr>'3382'!_254_ESE_Level_4__Grade_Level_4_8</vt:lpstr>
      <vt:lpstr>'3382 June Final'!_254_ESE_Level_4__Grade_Level_4_8</vt:lpstr>
      <vt:lpstr>'3384'!_254_ESE_Level_4__Grade_Level_4_8</vt:lpstr>
      <vt:lpstr>'3384 June Final'!_254_ESE_Level_4__Grade_Level_4_8</vt:lpstr>
      <vt:lpstr>'3385'!_254_ESE_Level_4__Grade_Level_4_8</vt:lpstr>
      <vt:lpstr>'3385 June Final'!_254_ESE_Level_4__Grade_Level_4_8</vt:lpstr>
      <vt:lpstr>'3386'!_254_ESE_Level_4__Grade_Level_4_8</vt:lpstr>
      <vt:lpstr>'3391'!_254_ESE_Level_4__Grade_Level_4_8</vt:lpstr>
      <vt:lpstr>'3392'!_254_ESE_Level_4__Grade_Level_4_8</vt:lpstr>
      <vt:lpstr>'3392 June Final'!_254_ESE_Level_4__Grade_Level_4_8</vt:lpstr>
      <vt:lpstr>'3394'!_254_ESE_Level_4__Grade_Level_4_8</vt:lpstr>
      <vt:lpstr>'3394 June Final'!_254_ESE_Level_4__Grade_Level_4_8</vt:lpstr>
      <vt:lpstr>'3395'!_254_ESE_Level_4__Grade_Level_4_8</vt:lpstr>
      <vt:lpstr>'3395 June Final'!_254_ESE_Level_4__Grade_Level_4_8</vt:lpstr>
      <vt:lpstr>'3396'!_254_ESE_Level_4__Grade_Level_4_8</vt:lpstr>
      <vt:lpstr>'3398'!_254_ESE_Level_4__Grade_Level_4_8</vt:lpstr>
      <vt:lpstr>'3400'!_254_ESE_Level_4__Grade_Level_4_8</vt:lpstr>
      <vt:lpstr>'3401'!_254_ESE_Level_4__Grade_Level_4_8</vt:lpstr>
      <vt:lpstr>'3411'!_254_ESE_Level_4__Grade_Level_4_8</vt:lpstr>
      <vt:lpstr>'3413'!_254_ESE_Level_4__Grade_Level_4_8</vt:lpstr>
      <vt:lpstr>'3413 June Final'!_254_ESE_Level_4__Grade_Level_4_8</vt:lpstr>
      <vt:lpstr>'3421'!_254_ESE_Level_4__Grade_Level_4_8</vt:lpstr>
      <vt:lpstr>'3431'!_254_ESE_Level_4__Grade_Level_4_8</vt:lpstr>
      <vt:lpstr>'3431 June Final'!_254_ESE_Level_4__Grade_Level_4_8</vt:lpstr>
      <vt:lpstr>'3441'!_254_ESE_Level_4__Grade_Level_4_8</vt:lpstr>
      <vt:lpstr>'3443'!_254_ESE_Level_4__Grade_Level_4_8</vt:lpstr>
      <vt:lpstr>'3941'!_254_ESE_Level_4__Grade_Level_4_8</vt:lpstr>
      <vt:lpstr>'3941 June Final'!_254_ESE_Level_4__Grade_Level_4_8</vt:lpstr>
      <vt:lpstr>'3961'!_254_ESE_Level_4__Grade_Level_4_8</vt:lpstr>
      <vt:lpstr>'3961 June Final'!_254_ESE_Level_4__Grade_Level_4_8</vt:lpstr>
      <vt:lpstr>'3971'!_254_ESE_Level_4__Grade_Level_4_8</vt:lpstr>
      <vt:lpstr>'4000'!_254_ESE_Level_4__Grade_Level_4_8</vt:lpstr>
      <vt:lpstr>'4000 June Final'!_254_ESE_Level_4__Grade_Level_4_8</vt:lpstr>
      <vt:lpstr>'4002'!_254_ESE_Level_4__Grade_Level_4_8</vt:lpstr>
      <vt:lpstr>'4002 June Final'!_254_ESE_Level_4__Grade_Level_4_8</vt:lpstr>
      <vt:lpstr>'4010'!_254_ESE_Level_4__Grade_Level_4_8</vt:lpstr>
      <vt:lpstr>'4012'!_254_ESE_Level_4__Grade_Level_4_8</vt:lpstr>
      <vt:lpstr>'4013'!_254_ESE_Level_4__Grade_Level_4_8</vt:lpstr>
      <vt:lpstr>'4020'!_254_ESE_Level_4__Grade_Level_4_8</vt:lpstr>
      <vt:lpstr>'4020 June Final'!_254_ESE_Level_4__Grade_Level_4_8</vt:lpstr>
      <vt:lpstr>'4020 June Tch Alloc.'!_254_ESE_Level_4__Grade_Level_4_8</vt:lpstr>
      <vt:lpstr>'4037'!_254_ESE_Level_4__Grade_Level_4_8</vt:lpstr>
      <vt:lpstr>'4037 June Final'!_254_ESE_Level_4__Grade_Level_4_8</vt:lpstr>
      <vt:lpstr>'4041'!_254_ESE_Level_4__Grade_Level_4_8</vt:lpstr>
      <vt:lpstr>'0054'!_254_ESE_Level_4__Grade_Level_9_12</vt:lpstr>
      <vt:lpstr>'0054 June Final'!_254_ESE_Level_4__Grade_Level_9_12</vt:lpstr>
      <vt:lpstr>'0642'!_254_ESE_Level_4__Grade_Level_9_12</vt:lpstr>
      <vt:lpstr>'0642 June Final'!_254_ESE_Level_4__Grade_Level_9_12</vt:lpstr>
      <vt:lpstr>'0664'!_254_ESE_Level_4__Grade_Level_9_12</vt:lpstr>
      <vt:lpstr>'0664 June Final'!_254_ESE_Level_4__Grade_Level_9_12</vt:lpstr>
      <vt:lpstr>'1461'!_254_ESE_Level_4__Grade_Level_9_12</vt:lpstr>
      <vt:lpstr>'1571'!_254_ESE_Level_4__Grade_Level_9_12</vt:lpstr>
      <vt:lpstr>'2521'!_254_ESE_Level_4__Grade_Level_9_12</vt:lpstr>
      <vt:lpstr>'2531'!_254_ESE_Level_4__Grade_Level_9_12</vt:lpstr>
      <vt:lpstr>'2531 June final'!_254_ESE_Level_4__Grade_Level_9_12</vt:lpstr>
      <vt:lpstr>'2641'!_254_ESE_Level_4__Grade_Level_9_12</vt:lpstr>
      <vt:lpstr>'2641 June Final'!_254_ESE_Level_4__Grade_Level_9_12</vt:lpstr>
      <vt:lpstr>'2661'!_254_ESE_Level_4__Grade_Level_9_12</vt:lpstr>
      <vt:lpstr>'2661 June Final'!_254_ESE_Level_4__Grade_Level_9_12</vt:lpstr>
      <vt:lpstr>'2791'!_254_ESE_Level_4__Grade_Level_9_12</vt:lpstr>
      <vt:lpstr>'2791 June final'!_254_ESE_Level_4__Grade_Level_9_12</vt:lpstr>
      <vt:lpstr>'2801'!_254_ESE_Level_4__Grade_Level_9_12</vt:lpstr>
      <vt:lpstr>'2801 June Final'!_254_ESE_Level_4__Grade_Level_9_12</vt:lpstr>
      <vt:lpstr>'2911'!_254_ESE_Level_4__Grade_Level_9_12</vt:lpstr>
      <vt:lpstr>'2911 June final'!_254_ESE_Level_4__Grade_Level_9_12</vt:lpstr>
      <vt:lpstr>'2941'!_254_ESE_Level_4__Grade_Level_9_12</vt:lpstr>
      <vt:lpstr>'2941 June final'!_254_ESE_Level_4__Grade_Level_9_12</vt:lpstr>
      <vt:lpstr>'3083'!_254_ESE_Level_4__Grade_Level_9_12</vt:lpstr>
      <vt:lpstr>'3344'!_254_ESE_Level_4__Grade_Level_9_12</vt:lpstr>
      <vt:lpstr>'3345'!_254_ESE_Level_4__Grade_Level_9_12</vt:lpstr>
      <vt:lpstr>'3347'!_254_ESE_Level_4__Grade_Level_9_12</vt:lpstr>
      <vt:lpstr>'3381'!_254_ESE_Level_4__Grade_Level_9_12</vt:lpstr>
      <vt:lpstr>'3381 June Final'!_254_ESE_Level_4__Grade_Level_9_12</vt:lpstr>
      <vt:lpstr>'3382'!_254_ESE_Level_4__Grade_Level_9_12</vt:lpstr>
      <vt:lpstr>'3382 June Final'!_254_ESE_Level_4__Grade_Level_9_12</vt:lpstr>
      <vt:lpstr>'3384'!_254_ESE_Level_4__Grade_Level_9_12</vt:lpstr>
      <vt:lpstr>'3384 June Final'!_254_ESE_Level_4__Grade_Level_9_12</vt:lpstr>
      <vt:lpstr>'3385'!_254_ESE_Level_4__Grade_Level_9_12</vt:lpstr>
      <vt:lpstr>'3385 June Final'!_254_ESE_Level_4__Grade_Level_9_12</vt:lpstr>
      <vt:lpstr>'3386'!_254_ESE_Level_4__Grade_Level_9_12</vt:lpstr>
      <vt:lpstr>'3391'!_254_ESE_Level_4__Grade_Level_9_12</vt:lpstr>
      <vt:lpstr>'3392'!_254_ESE_Level_4__Grade_Level_9_12</vt:lpstr>
      <vt:lpstr>'3392 June Final'!_254_ESE_Level_4__Grade_Level_9_12</vt:lpstr>
      <vt:lpstr>'3394'!_254_ESE_Level_4__Grade_Level_9_12</vt:lpstr>
      <vt:lpstr>'3394 June Final'!_254_ESE_Level_4__Grade_Level_9_12</vt:lpstr>
      <vt:lpstr>'3395'!_254_ESE_Level_4__Grade_Level_9_12</vt:lpstr>
      <vt:lpstr>'3395 June Final'!_254_ESE_Level_4__Grade_Level_9_12</vt:lpstr>
      <vt:lpstr>'3396'!_254_ESE_Level_4__Grade_Level_9_12</vt:lpstr>
      <vt:lpstr>'3398'!_254_ESE_Level_4__Grade_Level_9_12</vt:lpstr>
      <vt:lpstr>'3400'!_254_ESE_Level_4__Grade_Level_9_12</vt:lpstr>
      <vt:lpstr>'3401'!_254_ESE_Level_4__Grade_Level_9_12</vt:lpstr>
      <vt:lpstr>'3411'!_254_ESE_Level_4__Grade_Level_9_12</vt:lpstr>
      <vt:lpstr>'3413'!_254_ESE_Level_4__Grade_Level_9_12</vt:lpstr>
      <vt:lpstr>'3413 June Final'!_254_ESE_Level_4__Grade_Level_9_12</vt:lpstr>
      <vt:lpstr>'3421'!_254_ESE_Level_4__Grade_Level_9_12</vt:lpstr>
      <vt:lpstr>'3431'!_254_ESE_Level_4__Grade_Level_9_12</vt:lpstr>
      <vt:lpstr>'3431 June Final'!_254_ESE_Level_4__Grade_Level_9_12</vt:lpstr>
      <vt:lpstr>'3441'!_254_ESE_Level_4__Grade_Level_9_12</vt:lpstr>
      <vt:lpstr>'3443'!_254_ESE_Level_4__Grade_Level_9_12</vt:lpstr>
      <vt:lpstr>'3941'!_254_ESE_Level_4__Grade_Level_9_12</vt:lpstr>
      <vt:lpstr>'3941 June Final'!_254_ESE_Level_4__Grade_Level_9_12</vt:lpstr>
      <vt:lpstr>'3961'!_254_ESE_Level_4__Grade_Level_9_12</vt:lpstr>
      <vt:lpstr>'3961 June Final'!_254_ESE_Level_4__Grade_Level_9_12</vt:lpstr>
      <vt:lpstr>'3971'!_254_ESE_Level_4__Grade_Level_9_12</vt:lpstr>
      <vt:lpstr>'4000'!_254_ESE_Level_4__Grade_Level_9_12</vt:lpstr>
      <vt:lpstr>'4000 June Final'!_254_ESE_Level_4__Grade_Level_9_12</vt:lpstr>
      <vt:lpstr>'4002'!_254_ESE_Level_4__Grade_Level_9_12</vt:lpstr>
      <vt:lpstr>'4002 June Final'!_254_ESE_Level_4__Grade_Level_9_12</vt:lpstr>
      <vt:lpstr>'4010'!_254_ESE_Level_4__Grade_Level_9_12</vt:lpstr>
      <vt:lpstr>'4012'!_254_ESE_Level_4__Grade_Level_9_12</vt:lpstr>
      <vt:lpstr>'4013'!_254_ESE_Level_4__Grade_Level_9_12</vt:lpstr>
      <vt:lpstr>'4020'!_254_ESE_Level_4__Grade_Level_9_12</vt:lpstr>
      <vt:lpstr>'4020 June Final'!_254_ESE_Level_4__Grade_Level_9_12</vt:lpstr>
      <vt:lpstr>'4020 June Tch Alloc.'!_254_ESE_Level_4__Grade_Level_9_12</vt:lpstr>
      <vt:lpstr>'4037'!_254_ESE_Level_4__Grade_Level_9_12</vt:lpstr>
      <vt:lpstr>'4037 June Final'!_254_ESE_Level_4__Grade_Level_9_12</vt:lpstr>
      <vt:lpstr>'4041'!_254_ESE_Level_4__Grade_Level_9_12</vt:lpstr>
      <vt:lpstr>'0054'!_254_ESE_Level_4__Grade_Level_PK_3</vt:lpstr>
      <vt:lpstr>'0054 June Final'!_254_ESE_Level_4__Grade_Level_PK_3</vt:lpstr>
      <vt:lpstr>'0642'!_254_ESE_Level_4__Grade_Level_PK_3</vt:lpstr>
      <vt:lpstr>'0642 June Final'!_254_ESE_Level_4__Grade_Level_PK_3</vt:lpstr>
      <vt:lpstr>'0664'!_254_ESE_Level_4__Grade_Level_PK_3</vt:lpstr>
      <vt:lpstr>'0664 June Final'!_254_ESE_Level_4__Grade_Level_PK_3</vt:lpstr>
      <vt:lpstr>'1461'!_254_ESE_Level_4__Grade_Level_PK_3</vt:lpstr>
      <vt:lpstr>'1571'!_254_ESE_Level_4__Grade_Level_PK_3</vt:lpstr>
      <vt:lpstr>'2521'!_254_ESE_Level_4__Grade_Level_PK_3</vt:lpstr>
      <vt:lpstr>'2531'!_254_ESE_Level_4__Grade_Level_PK_3</vt:lpstr>
      <vt:lpstr>'2531 June final'!_254_ESE_Level_4__Grade_Level_PK_3</vt:lpstr>
      <vt:lpstr>'2641'!_254_ESE_Level_4__Grade_Level_PK_3</vt:lpstr>
      <vt:lpstr>'2641 June Final'!_254_ESE_Level_4__Grade_Level_PK_3</vt:lpstr>
      <vt:lpstr>'2661'!_254_ESE_Level_4__Grade_Level_PK_3</vt:lpstr>
      <vt:lpstr>'2661 June Final'!_254_ESE_Level_4__Grade_Level_PK_3</vt:lpstr>
      <vt:lpstr>'2791'!_254_ESE_Level_4__Grade_Level_PK_3</vt:lpstr>
      <vt:lpstr>'2791 June final'!_254_ESE_Level_4__Grade_Level_PK_3</vt:lpstr>
      <vt:lpstr>'2801'!_254_ESE_Level_4__Grade_Level_PK_3</vt:lpstr>
      <vt:lpstr>'2801 June Final'!_254_ESE_Level_4__Grade_Level_PK_3</vt:lpstr>
      <vt:lpstr>'2911'!_254_ESE_Level_4__Grade_Level_PK_3</vt:lpstr>
      <vt:lpstr>'2911 June final'!_254_ESE_Level_4__Grade_Level_PK_3</vt:lpstr>
      <vt:lpstr>'2941'!_254_ESE_Level_4__Grade_Level_PK_3</vt:lpstr>
      <vt:lpstr>'2941 June final'!_254_ESE_Level_4__Grade_Level_PK_3</vt:lpstr>
      <vt:lpstr>'3083'!_254_ESE_Level_4__Grade_Level_PK_3</vt:lpstr>
      <vt:lpstr>'3344'!_254_ESE_Level_4__Grade_Level_PK_3</vt:lpstr>
      <vt:lpstr>'3345'!_254_ESE_Level_4__Grade_Level_PK_3</vt:lpstr>
      <vt:lpstr>'3347'!_254_ESE_Level_4__Grade_Level_PK_3</vt:lpstr>
      <vt:lpstr>'3381'!_254_ESE_Level_4__Grade_Level_PK_3</vt:lpstr>
      <vt:lpstr>'3381 June Final'!_254_ESE_Level_4__Grade_Level_PK_3</vt:lpstr>
      <vt:lpstr>'3382'!_254_ESE_Level_4__Grade_Level_PK_3</vt:lpstr>
      <vt:lpstr>'3382 June Final'!_254_ESE_Level_4__Grade_Level_PK_3</vt:lpstr>
      <vt:lpstr>'3384'!_254_ESE_Level_4__Grade_Level_PK_3</vt:lpstr>
      <vt:lpstr>'3384 June Final'!_254_ESE_Level_4__Grade_Level_PK_3</vt:lpstr>
      <vt:lpstr>'3385'!_254_ESE_Level_4__Grade_Level_PK_3</vt:lpstr>
      <vt:lpstr>'3385 June Final'!_254_ESE_Level_4__Grade_Level_PK_3</vt:lpstr>
      <vt:lpstr>'3386'!_254_ESE_Level_4__Grade_Level_PK_3</vt:lpstr>
      <vt:lpstr>'3391'!_254_ESE_Level_4__Grade_Level_PK_3</vt:lpstr>
      <vt:lpstr>'3392'!_254_ESE_Level_4__Grade_Level_PK_3</vt:lpstr>
      <vt:lpstr>'3392 June Final'!_254_ESE_Level_4__Grade_Level_PK_3</vt:lpstr>
      <vt:lpstr>'3394'!_254_ESE_Level_4__Grade_Level_PK_3</vt:lpstr>
      <vt:lpstr>'3394 June Final'!_254_ESE_Level_4__Grade_Level_PK_3</vt:lpstr>
      <vt:lpstr>'3395'!_254_ESE_Level_4__Grade_Level_PK_3</vt:lpstr>
      <vt:lpstr>'3395 June Final'!_254_ESE_Level_4__Grade_Level_PK_3</vt:lpstr>
      <vt:lpstr>'3396'!_254_ESE_Level_4__Grade_Level_PK_3</vt:lpstr>
      <vt:lpstr>'3398'!_254_ESE_Level_4__Grade_Level_PK_3</vt:lpstr>
      <vt:lpstr>'3400'!_254_ESE_Level_4__Grade_Level_PK_3</vt:lpstr>
      <vt:lpstr>'3401'!_254_ESE_Level_4__Grade_Level_PK_3</vt:lpstr>
      <vt:lpstr>'3411'!_254_ESE_Level_4__Grade_Level_PK_3</vt:lpstr>
      <vt:lpstr>'3413'!_254_ESE_Level_4__Grade_Level_PK_3</vt:lpstr>
      <vt:lpstr>'3413 June Final'!_254_ESE_Level_4__Grade_Level_PK_3</vt:lpstr>
      <vt:lpstr>'3421'!_254_ESE_Level_4__Grade_Level_PK_3</vt:lpstr>
      <vt:lpstr>'3431'!_254_ESE_Level_4__Grade_Level_PK_3</vt:lpstr>
      <vt:lpstr>'3431 June Final'!_254_ESE_Level_4__Grade_Level_PK_3</vt:lpstr>
      <vt:lpstr>'3441'!_254_ESE_Level_4__Grade_Level_PK_3</vt:lpstr>
      <vt:lpstr>'3443'!_254_ESE_Level_4__Grade_Level_PK_3</vt:lpstr>
      <vt:lpstr>'3941'!_254_ESE_Level_4__Grade_Level_PK_3</vt:lpstr>
      <vt:lpstr>'3941 June Final'!_254_ESE_Level_4__Grade_Level_PK_3</vt:lpstr>
      <vt:lpstr>'3961'!_254_ESE_Level_4__Grade_Level_PK_3</vt:lpstr>
      <vt:lpstr>'3961 June Final'!_254_ESE_Level_4__Grade_Level_PK_3</vt:lpstr>
      <vt:lpstr>'3971'!_254_ESE_Level_4__Grade_Level_PK_3</vt:lpstr>
      <vt:lpstr>'4000'!_254_ESE_Level_4__Grade_Level_PK_3</vt:lpstr>
      <vt:lpstr>'4000 June Final'!_254_ESE_Level_4__Grade_Level_PK_3</vt:lpstr>
      <vt:lpstr>'4002'!_254_ESE_Level_4__Grade_Level_PK_3</vt:lpstr>
      <vt:lpstr>'4002 June Final'!_254_ESE_Level_4__Grade_Level_PK_3</vt:lpstr>
      <vt:lpstr>'4010'!_254_ESE_Level_4__Grade_Level_PK_3</vt:lpstr>
      <vt:lpstr>'4012'!_254_ESE_Level_4__Grade_Level_PK_3</vt:lpstr>
      <vt:lpstr>'4013'!_254_ESE_Level_4__Grade_Level_PK_3</vt:lpstr>
      <vt:lpstr>'4020'!_254_ESE_Level_4__Grade_Level_PK_3</vt:lpstr>
      <vt:lpstr>'4020 June Final'!_254_ESE_Level_4__Grade_Level_PK_3</vt:lpstr>
      <vt:lpstr>'4020 June Tch Alloc.'!_254_ESE_Level_4__Grade_Level_PK_3</vt:lpstr>
      <vt:lpstr>'4037'!_254_ESE_Level_4__Grade_Level_PK_3</vt:lpstr>
      <vt:lpstr>'4037 June Final'!_254_ESE_Level_4__Grade_Level_PK_3</vt:lpstr>
      <vt:lpstr>'4041'!_254_ESE_Level_4__Grade_Level_PK_3</vt:lpstr>
      <vt:lpstr>'0054'!_255_ESE_Level_5__Grade_Level_4_8</vt:lpstr>
      <vt:lpstr>'0054 June Final'!_255_ESE_Level_5__Grade_Level_4_8</vt:lpstr>
      <vt:lpstr>'0642'!_255_ESE_Level_5__Grade_Level_4_8</vt:lpstr>
      <vt:lpstr>'0642 June Final'!_255_ESE_Level_5__Grade_Level_4_8</vt:lpstr>
      <vt:lpstr>'0664'!_255_ESE_Level_5__Grade_Level_4_8</vt:lpstr>
      <vt:lpstr>'0664 June Final'!_255_ESE_Level_5__Grade_Level_4_8</vt:lpstr>
      <vt:lpstr>'1461'!_255_ESE_Level_5__Grade_Level_4_8</vt:lpstr>
      <vt:lpstr>'1571'!_255_ESE_Level_5__Grade_Level_4_8</vt:lpstr>
      <vt:lpstr>'2521'!_255_ESE_Level_5__Grade_Level_4_8</vt:lpstr>
      <vt:lpstr>'2531'!_255_ESE_Level_5__Grade_Level_4_8</vt:lpstr>
      <vt:lpstr>'2531 June final'!_255_ESE_Level_5__Grade_Level_4_8</vt:lpstr>
      <vt:lpstr>'2641'!_255_ESE_Level_5__Grade_Level_4_8</vt:lpstr>
      <vt:lpstr>'2641 June Final'!_255_ESE_Level_5__Grade_Level_4_8</vt:lpstr>
      <vt:lpstr>'2661'!_255_ESE_Level_5__Grade_Level_4_8</vt:lpstr>
      <vt:lpstr>'2661 June Final'!_255_ESE_Level_5__Grade_Level_4_8</vt:lpstr>
      <vt:lpstr>'2791'!_255_ESE_Level_5__Grade_Level_4_8</vt:lpstr>
      <vt:lpstr>'2791 June final'!_255_ESE_Level_5__Grade_Level_4_8</vt:lpstr>
      <vt:lpstr>'2801'!_255_ESE_Level_5__Grade_Level_4_8</vt:lpstr>
      <vt:lpstr>'2801 June Final'!_255_ESE_Level_5__Grade_Level_4_8</vt:lpstr>
      <vt:lpstr>'2911'!_255_ESE_Level_5__Grade_Level_4_8</vt:lpstr>
      <vt:lpstr>'2911 June final'!_255_ESE_Level_5__Grade_Level_4_8</vt:lpstr>
      <vt:lpstr>'2941'!_255_ESE_Level_5__Grade_Level_4_8</vt:lpstr>
      <vt:lpstr>'2941 June final'!_255_ESE_Level_5__Grade_Level_4_8</vt:lpstr>
      <vt:lpstr>'3083'!_255_ESE_Level_5__Grade_Level_4_8</vt:lpstr>
      <vt:lpstr>'3344'!_255_ESE_Level_5__Grade_Level_4_8</vt:lpstr>
      <vt:lpstr>'3345'!_255_ESE_Level_5__Grade_Level_4_8</vt:lpstr>
      <vt:lpstr>'3347'!_255_ESE_Level_5__Grade_Level_4_8</vt:lpstr>
      <vt:lpstr>'3381'!_255_ESE_Level_5__Grade_Level_4_8</vt:lpstr>
      <vt:lpstr>'3381 June Final'!_255_ESE_Level_5__Grade_Level_4_8</vt:lpstr>
      <vt:lpstr>'3382'!_255_ESE_Level_5__Grade_Level_4_8</vt:lpstr>
      <vt:lpstr>'3382 June Final'!_255_ESE_Level_5__Grade_Level_4_8</vt:lpstr>
      <vt:lpstr>'3384'!_255_ESE_Level_5__Grade_Level_4_8</vt:lpstr>
      <vt:lpstr>'3384 June Final'!_255_ESE_Level_5__Grade_Level_4_8</vt:lpstr>
      <vt:lpstr>'3385'!_255_ESE_Level_5__Grade_Level_4_8</vt:lpstr>
      <vt:lpstr>'3385 June Final'!_255_ESE_Level_5__Grade_Level_4_8</vt:lpstr>
      <vt:lpstr>'3386'!_255_ESE_Level_5__Grade_Level_4_8</vt:lpstr>
      <vt:lpstr>'3391'!_255_ESE_Level_5__Grade_Level_4_8</vt:lpstr>
      <vt:lpstr>'3392'!_255_ESE_Level_5__Grade_Level_4_8</vt:lpstr>
      <vt:lpstr>'3392 June Final'!_255_ESE_Level_5__Grade_Level_4_8</vt:lpstr>
      <vt:lpstr>'3394'!_255_ESE_Level_5__Grade_Level_4_8</vt:lpstr>
      <vt:lpstr>'3394 June Final'!_255_ESE_Level_5__Grade_Level_4_8</vt:lpstr>
      <vt:lpstr>'3395'!_255_ESE_Level_5__Grade_Level_4_8</vt:lpstr>
      <vt:lpstr>'3395 June Final'!_255_ESE_Level_5__Grade_Level_4_8</vt:lpstr>
      <vt:lpstr>'3396'!_255_ESE_Level_5__Grade_Level_4_8</vt:lpstr>
      <vt:lpstr>'3398'!_255_ESE_Level_5__Grade_Level_4_8</vt:lpstr>
      <vt:lpstr>'3400'!_255_ESE_Level_5__Grade_Level_4_8</vt:lpstr>
      <vt:lpstr>'3401'!_255_ESE_Level_5__Grade_Level_4_8</vt:lpstr>
      <vt:lpstr>'3411'!_255_ESE_Level_5__Grade_Level_4_8</vt:lpstr>
      <vt:lpstr>'3413'!_255_ESE_Level_5__Grade_Level_4_8</vt:lpstr>
      <vt:lpstr>'3413 June Final'!_255_ESE_Level_5__Grade_Level_4_8</vt:lpstr>
      <vt:lpstr>'3421'!_255_ESE_Level_5__Grade_Level_4_8</vt:lpstr>
      <vt:lpstr>'3431'!_255_ESE_Level_5__Grade_Level_4_8</vt:lpstr>
      <vt:lpstr>'3431 June Final'!_255_ESE_Level_5__Grade_Level_4_8</vt:lpstr>
      <vt:lpstr>'3441'!_255_ESE_Level_5__Grade_Level_4_8</vt:lpstr>
      <vt:lpstr>'3443'!_255_ESE_Level_5__Grade_Level_4_8</vt:lpstr>
      <vt:lpstr>'3941'!_255_ESE_Level_5__Grade_Level_4_8</vt:lpstr>
      <vt:lpstr>'3941 June Final'!_255_ESE_Level_5__Grade_Level_4_8</vt:lpstr>
      <vt:lpstr>'3961'!_255_ESE_Level_5__Grade_Level_4_8</vt:lpstr>
      <vt:lpstr>'3961 June Final'!_255_ESE_Level_5__Grade_Level_4_8</vt:lpstr>
      <vt:lpstr>'3971'!_255_ESE_Level_5__Grade_Level_4_8</vt:lpstr>
      <vt:lpstr>'4000'!_255_ESE_Level_5__Grade_Level_4_8</vt:lpstr>
      <vt:lpstr>'4000 June Final'!_255_ESE_Level_5__Grade_Level_4_8</vt:lpstr>
      <vt:lpstr>'4002'!_255_ESE_Level_5__Grade_Level_4_8</vt:lpstr>
      <vt:lpstr>'4002 June Final'!_255_ESE_Level_5__Grade_Level_4_8</vt:lpstr>
      <vt:lpstr>'4010'!_255_ESE_Level_5__Grade_Level_4_8</vt:lpstr>
      <vt:lpstr>'4012'!_255_ESE_Level_5__Grade_Level_4_8</vt:lpstr>
      <vt:lpstr>'4013'!_255_ESE_Level_5__Grade_Level_4_8</vt:lpstr>
      <vt:lpstr>'4020'!_255_ESE_Level_5__Grade_Level_4_8</vt:lpstr>
      <vt:lpstr>'4020 June Final'!_255_ESE_Level_5__Grade_Level_4_8</vt:lpstr>
      <vt:lpstr>'4020 June Tch Alloc.'!_255_ESE_Level_5__Grade_Level_4_8</vt:lpstr>
      <vt:lpstr>'4037'!_255_ESE_Level_5__Grade_Level_4_8</vt:lpstr>
      <vt:lpstr>'4037 June Final'!_255_ESE_Level_5__Grade_Level_4_8</vt:lpstr>
      <vt:lpstr>'4041'!_255_ESE_Level_5__Grade_Level_4_8</vt:lpstr>
      <vt:lpstr>'0054'!_255_ESE_Level_5__Grade_Level_9_12</vt:lpstr>
      <vt:lpstr>'0054 June Final'!_255_ESE_Level_5__Grade_Level_9_12</vt:lpstr>
      <vt:lpstr>'0642'!_255_ESE_Level_5__Grade_Level_9_12</vt:lpstr>
      <vt:lpstr>'0642 June Final'!_255_ESE_Level_5__Grade_Level_9_12</vt:lpstr>
      <vt:lpstr>'0664'!_255_ESE_Level_5__Grade_Level_9_12</vt:lpstr>
      <vt:lpstr>'0664 June Final'!_255_ESE_Level_5__Grade_Level_9_12</vt:lpstr>
      <vt:lpstr>'1461'!_255_ESE_Level_5__Grade_Level_9_12</vt:lpstr>
      <vt:lpstr>'1571'!_255_ESE_Level_5__Grade_Level_9_12</vt:lpstr>
      <vt:lpstr>'2521'!_255_ESE_Level_5__Grade_Level_9_12</vt:lpstr>
      <vt:lpstr>'2531'!_255_ESE_Level_5__Grade_Level_9_12</vt:lpstr>
      <vt:lpstr>'2531 June final'!_255_ESE_Level_5__Grade_Level_9_12</vt:lpstr>
      <vt:lpstr>'2641'!_255_ESE_Level_5__Grade_Level_9_12</vt:lpstr>
      <vt:lpstr>'2641 June Final'!_255_ESE_Level_5__Grade_Level_9_12</vt:lpstr>
      <vt:lpstr>'2661'!_255_ESE_Level_5__Grade_Level_9_12</vt:lpstr>
      <vt:lpstr>'2661 June Final'!_255_ESE_Level_5__Grade_Level_9_12</vt:lpstr>
      <vt:lpstr>'2791'!_255_ESE_Level_5__Grade_Level_9_12</vt:lpstr>
      <vt:lpstr>'2791 June final'!_255_ESE_Level_5__Grade_Level_9_12</vt:lpstr>
      <vt:lpstr>'2801'!_255_ESE_Level_5__Grade_Level_9_12</vt:lpstr>
      <vt:lpstr>'2801 June Final'!_255_ESE_Level_5__Grade_Level_9_12</vt:lpstr>
      <vt:lpstr>'2911'!_255_ESE_Level_5__Grade_Level_9_12</vt:lpstr>
      <vt:lpstr>'2911 June final'!_255_ESE_Level_5__Grade_Level_9_12</vt:lpstr>
      <vt:lpstr>'2941'!_255_ESE_Level_5__Grade_Level_9_12</vt:lpstr>
      <vt:lpstr>'2941 June final'!_255_ESE_Level_5__Grade_Level_9_12</vt:lpstr>
      <vt:lpstr>'3083'!_255_ESE_Level_5__Grade_Level_9_12</vt:lpstr>
      <vt:lpstr>'3344'!_255_ESE_Level_5__Grade_Level_9_12</vt:lpstr>
      <vt:lpstr>'3345'!_255_ESE_Level_5__Grade_Level_9_12</vt:lpstr>
      <vt:lpstr>'3347'!_255_ESE_Level_5__Grade_Level_9_12</vt:lpstr>
      <vt:lpstr>'3381'!_255_ESE_Level_5__Grade_Level_9_12</vt:lpstr>
      <vt:lpstr>'3381 June Final'!_255_ESE_Level_5__Grade_Level_9_12</vt:lpstr>
      <vt:lpstr>'3382'!_255_ESE_Level_5__Grade_Level_9_12</vt:lpstr>
      <vt:lpstr>'3382 June Final'!_255_ESE_Level_5__Grade_Level_9_12</vt:lpstr>
      <vt:lpstr>'3384'!_255_ESE_Level_5__Grade_Level_9_12</vt:lpstr>
      <vt:lpstr>'3384 June Final'!_255_ESE_Level_5__Grade_Level_9_12</vt:lpstr>
      <vt:lpstr>'3385'!_255_ESE_Level_5__Grade_Level_9_12</vt:lpstr>
      <vt:lpstr>'3385 June Final'!_255_ESE_Level_5__Grade_Level_9_12</vt:lpstr>
      <vt:lpstr>'3386'!_255_ESE_Level_5__Grade_Level_9_12</vt:lpstr>
      <vt:lpstr>'3391'!_255_ESE_Level_5__Grade_Level_9_12</vt:lpstr>
      <vt:lpstr>'3392'!_255_ESE_Level_5__Grade_Level_9_12</vt:lpstr>
      <vt:lpstr>'3392 June Final'!_255_ESE_Level_5__Grade_Level_9_12</vt:lpstr>
      <vt:lpstr>'3394'!_255_ESE_Level_5__Grade_Level_9_12</vt:lpstr>
      <vt:lpstr>'3394 June Final'!_255_ESE_Level_5__Grade_Level_9_12</vt:lpstr>
      <vt:lpstr>'3395'!_255_ESE_Level_5__Grade_Level_9_12</vt:lpstr>
      <vt:lpstr>'3395 June Final'!_255_ESE_Level_5__Grade_Level_9_12</vt:lpstr>
      <vt:lpstr>'3396'!_255_ESE_Level_5__Grade_Level_9_12</vt:lpstr>
      <vt:lpstr>'3398'!_255_ESE_Level_5__Grade_Level_9_12</vt:lpstr>
      <vt:lpstr>'3400'!_255_ESE_Level_5__Grade_Level_9_12</vt:lpstr>
      <vt:lpstr>'3401'!_255_ESE_Level_5__Grade_Level_9_12</vt:lpstr>
      <vt:lpstr>'3411'!_255_ESE_Level_5__Grade_Level_9_12</vt:lpstr>
      <vt:lpstr>'3413'!_255_ESE_Level_5__Grade_Level_9_12</vt:lpstr>
      <vt:lpstr>'3413 June Final'!_255_ESE_Level_5__Grade_Level_9_12</vt:lpstr>
      <vt:lpstr>'3421'!_255_ESE_Level_5__Grade_Level_9_12</vt:lpstr>
      <vt:lpstr>'3431'!_255_ESE_Level_5__Grade_Level_9_12</vt:lpstr>
      <vt:lpstr>'3431 June Final'!_255_ESE_Level_5__Grade_Level_9_12</vt:lpstr>
      <vt:lpstr>'3441'!_255_ESE_Level_5__Grade_Level_9_12</vt:lpstr>
      <vt:lpstr>'3443'!_255_ESE_Level_5__Grade_Level_9_12</vt:lpstr>
      <vt:lpstr>'3941'!_255_ESE_Level_5__Grade_Level_9_12</vt:lpstr>
      <vt:lpstr>'3941 June Final'!_255_ESE_Level_5__Grade_Level_9_12</vt:lpstr>
      <vt:lpstr>'3961'!_255_ESE_Level_5__Grade_Level_9_12</vt:lpstr>
      <vt:lpstr>'3961 June Final'!_255_ESE_Level_5__Grade_Level_9_12</vt:lpstr>
      <vt:lpstr>'3971'!_255_ESE_Level_5__Grade_Level_9_12</vt:lpstr>
      <vt:lpstr>'4000'!_255_ESE_Level_5__Grade_Level_9_12</vt:lpstr>
      <vt:lpstr>'4000 June Final'!_255_ESE_Level_5__Grade_Level_9_12</vt:lpstr>
      <vt:lpstr>'4002'!_255_ESE_Level_5__Grade_Level_9_12</vt:lpstr>
      <vt:lpstr>'4002 June Final'!_255_ESE_Level_5__Grade_Level_9_12</vt:lpstr>
      <vt:lpstr>'4010'!_255_ESE_Level_5__Grade_Level_9_12</vt:lpstr>
      <vt:lpstr>'4012'!_255_ESE_Level_5__Grade_Level_9_12</vt:lpstr>
      <vt:lpstr>'4013'!_255_ESE_Level_5__Grade_Level_9_12</vt:lpstr>
      <vt:lpstr>'4020'!_255_ESE_Level_5__Grade_Level_9_12</vt:lpstr>
      <vt:lpstr>'4020 June Final'!_255_ESE_Level_5__Grade_Level_9_12</vt:lpstr>
      <vt:lpstr>'4020 June Tch Alloc.'!_255_ESE_Level_5__Grade_Level_9_12</vt:lpstr>
      <vt:lpstr>'4037'!_255_ESE_Level_5__Grade_Level_9_12</vt:lpstr>
      <vt:lpstr>'4037 June Final'!_255_ESE_Level_5__Grade_Level_9_12</vt:lpstr>
      <vt:lpstr>'4041'!_255_ESE_Level_5__Grade_Level_9_12</vt:lpstr>
      <vt:lpstr>'0054'!_255_ESE_Level_5__Grade_Level_PK_3</vt:lpstr>
      <vt:lpstr>'0054 June Final'!_255_ESE_Level_5__Grade_Level_PK_3</vt:lpstr>
      <vt:lpstr>'0642'!_255_ESE_Level_5__Grade_Level_PK_3</vt:lpstr>
      <vt:lpstr>'0642 June Final'!_255_ESE_Level_5__Grade_Level_PK_3</vt:lpstr>
      <vt:lpstr>'0664'!_255_ESE_Level_5__Grade_Level_PK_3</vt:lpstr>
      <vt:lpstr>'0664 June Final'!_255_ESE_Level_5__Grade_Level_PK_3</vt:lpstr>
      <vt:lpstr>'1461'!_255_ESE_Level_5__Grade_Level_PK_3</vt:lpstr>
      <vt:lpstr>'1571'!_255_ESE_Level_5__Grade_Level_PK_3</vt:lpstr>
      <vt:lpstr>'2521'!_255_ESE_Level_5__Grade_Level_PK_3</vt:lpstr>
      <vt:lpstr>'2531'!_255_ESE_Level_5__Grade_Level_PK_3</vt:lpstr>
      <vt:lpstr>'2531 June final'!_255_ESE_Level_5__Grade_Level_PK_3</vt:lpstr>
      <vt:lpstr>'2641'!_255_ESE_Level_5__Grade_Level_PK_3</vt:lpstr>
      <vt:lpstr>'2641 June Final'!_255_ESE_Level_5__Grade_Level_PK_3</vt:lpstr>
      <vt:lpstr>'2661'!_255_ESE_Level_5__Grade_Level_PK_3</vt:lpstr>
      <vt:lpstr>'2661 June Final'!_255_ESE_Level_5__Grade_Level_PK_3</vt:lpstr>
      <vt:lpstr>'2791'!_255_ESE_Level_5__Grade_Level_PK_3</vt:lpstr>
      <vt:lpstr>'2791 June final'!_255_ESE_Level_5__Grade_Level_PK_3</vt:lpstr>
      <vt:lpstr>'2801'!_255_ESE_Level_5__Grade_Level_PK_3</vt:lpstr>
      <vt:lpstr>'2801 June Final'!_255_ESE_Level_5__Grade_Level_PK_3</vt:lpstr>
      <vt:lpstr>'2911'!_255_ESE_Level_5__Grade_Level_PK_3</vt:lpstr>
      <vt:lpstr>'2911 June final'!_255_ESE_Level_5__Grade_Level_PK_3</vt:lpstr>
      <vt:lpstr>'2941'!_255_ESE_Level_5__Grade_Level_PK_3</vt:lpstr>
      <vt:lpstr>'2941 June final'!_255_ESE_Level_5__Grade_Level_PK_3</vt:lpstr>
      <vt:lpstr>'3083'!_255_ESE_Level_5__Grade_Level_PK_3</vt:lpstr>
      <vt:lpstr>'3344'!_255_ESE_Level_5__Grade_Level_PK_3</vt:lpstr>
      <vt:lpstr>'3345'!_255_ESE_Level_5__Grade_Level_PK_3</vt:lpstr>
      <vt:lpstr>'3347'!_255_ESE_Level_5__Grade_Level_PK_3</vt:lpstr>
      <vt:lpstr>'3381'!_255_ESE_Level_5__Grade_Level_PK_3</vt:lpstr>
      <vt:lpstr>'3381 June Final'!_255_ESE_Level_5__Grade_Level_PK_3</vt:lpstr>
      <vt:lpstr>'3382'!_255_ESE_Level_5__Grade_Level_PK_3</vt:lpstr>
      <vt:lpstr>'3382 June Final'!_255_ESE_Level_5__Grade_Level_PK_3</vt:lpstr>
      <vt:lpstr>'3384'!_255_ESE_Level_5__Grade_Level_PK_3</vt:lpstr>
      <vt:lpstr>'3384 June Final'!_255_ESE_Level_5__Grade_Level_PK_3</vt:lpstr>
      <vt:lpstr>'3385'!_255_ESE_Level_5__Grade_Level_PK_3</vt:lpstr>
      <vt:lpstr>'3385 June Final'!_255_ESE_Level_5__Grade_Level_PK_3</vt:lpstr>
      <vt:lpstr>'3386'!_255_ESE_Level_5__Grade_Level_PK_3</vt:lpstr>
      <vt:lpstr>'3391'!_255_ESE_Level_5__Grade_Level_PK_3</vt:lpstr>
      <vt:lpstr>'3392'!_255_ESE_Level_5__Grade_Level_PK_3</vt:lpstr>
      <vt:lpstr>'3392 June Final'!_255_ESE_Level_5__Grade_Level_PK_3</vt:lpstr>
      <vt:lpstr>'3394'!_255_ESE_Level_5__Grade_Level_PK_3</vt:lpstr>
      <vt:lpstr>'3394 June Final'!_255_ESE_Level_5__Grade_Level_PK_3</vt:lpstr>
      <vt:lpstr>'3395'!_255_ESE_Level_5__Grade_Level_PK_3</vt:lpstr>
      <vt:lpstr>'3395 June Final'!_255_ESE_Level_5__Grade_Level_PK_3</vt:lpstr>
      <vt:lpstr>'3396'!_255_ESE_Level_5__Grade_Level_PK_3</vt:lpstr>
      <vt:lpstr>'3398'!_255_ESE_Level_5__Grade_Level_PK_3</vt:lpstr>
      <vt:lpstr>'3400'!_255_ESE_Level_5__Grade_Level_PK_3</vt:lpstr>
      <vt:lpstr>'3401'!_255_ESE_Level_5__Grade_Level_PK_3</vt:lpstr>
      <vt:lpstr>'3411'!_255_ESE_Level_5__Grade_Level_PK_3</vt:lpstr>
      <vt:lpstr>'3413'!_255_ESE_Level_5__Grade_Level_PK_3</vt:lpstr>
      <vt:lpstr>'3413 June Final'!_255_ESE_Level_5__Grade_Level_PK_3</vt:lpstr>
      <vt:lpstr>'3421'!_255_ESE_Level_5__Grade_Level_PK_3</vt:lpstr>
      <vt:lpstr>'3431'!_255_ESE_Level_5__Grade_Level_PK_3</vt:lpstr>
      <vt:lpstr>'3431 June Final'!_255_ESE_Level_5__Grade_Level_PK_3</vt:lpstr>
      <vt:lpstr>'3441'!_255_ESE_Level_5__Grade_Level_PK_3</vt:lpstr>
      <vt:lpstr>'3443'!_255_ESE_Level_5__Grade_Level_PK_3</vt:lpstr>
      <vt:lpstr>'3941'!_255_ESE_Level_5__Grade_Level_PK_3</vt:lpstr>
      <vt:lpstr>'3941 June Final'!_255_ESE_Level_5__Grade_Level_PK_3</vt:lpstr>
      <vt:lpstr>'3961'!_255_ESE_Level_5__Grade_Level_PK_3</vt:lpstr>
      <vt:lpstr>'3961 June Final'!_255_ESE_Level_5__Grade_Level_PK_3</vt:lpstr>
      <vt:lpstr>'3971'!_255_ESE_Level_5__Grade_Level_PK_3</vt:lpstr>
      <vt:lpstr>'4000'!_255_ESE_Level_5__Grade_Level_PK_3</vt:lpstr>
      <vt:lpstr>'4000 June Final'!_255_ESE_Level_5__Grade_Level_PK_3</vt:lpstr>
      <vt:lpstr>'4002'!_255_ESE_Level_5__Grade_Level_PK_3</vt:lpstr>
      <vt:lpstr>'4002 June Final'!_255_ESE_Level_5__Grade_Level_PK_3</vt:lpstr>
      <vt:lpstr>'4010'!_255_ESE_Level_5__Grade_Level_PK_3</vt:lpstr>
      <vt:lpstr>'4012'!_255_ESE_Level_5__Grade_Level_PK_3</vt:lpstr>
      <vt:lpstr>'4013'!_255_ESE_Level_5__Grade_Level_PK_3</vt:lpstr>
      <vt:lpstr>'4020'!_255_ESE_Level_5__Grade_Level_PK_3</vt:lpstr>
      <vt:lpstr>'4020 June Final'!_255_ESE_Level_5__Grade_Level_PK_3</vt:lpstr>
      <vt:lpstr>'4020 June Tch Alloc.'!_255_ESE_Level_5__Grade_Level_PK_3</vt:lpstr>
      <vt:lpstr>'4037'!_255_ESE_Level_5__Grade_Level_PK_3</vt:lpstr>
      <vt:lpstr>'4037 June Final'!_255_ESE_Level_5__Grade_Level_PK_3</vt:lpstr>
      <vt:lpstr>'4041'!_255_ESE_Level_5__Grade_Level_PK_3</vt:lpstr>
      <vt:lpstr>'0054'!_3.__Supplemental_Academic_Instruction</vt:lpstr>
      <vt:lpstr>'0054 June Final'!_3.__Supplemental_Academic_Instruction</vt:lpstr>
      <vt:lpstr>'0642'!_3.__Supplemental_Academic_Instruction</vt:lpstr>
      <vt:lpstr>'0642 June Final'!_3.__Supplemental_Academic_Instruction</vt:lpstr>
      <vt:lpstr>'0664'!_3.__Supplemental_Academic_Instruction</vt:lpstr>
      <vt:lpstr>'0664 June Final'!_3.__Supplemental_Academic_Instruction</vt:lpstr>
      <vt:lpstr>'1461'!_3.__Supplemental_Academic_Instruction</vt:lpstr>
      <vt:lpstr>'1571'!_3.__Supplemental_Academic_Instruction</vt:lpstr>
      <vt:lpstr>'2521'!_3.__Supplemental_Academic_Instruction</vt:lpstr>
      <vt:lpstr>'2531'!_3.__Supplemental_Academic_Instruction</vt:lpstr>
      <vt:lpstr>'2531 June final'!_3.__Supplemental_Academic_Instruction</vt:lpstr>
      <vt:lpstr>'2641'!_3.__Supplemental_Academic_Instruction</vt:lpstr>
      <vt:lpstr>'2641 June Final'!_3.__Supplemental_Academic_Instruction</vt:lpstr>
      <vt:lpstr>'2661'!_3.__Supplemental_Academic_Instruction</vt:lpstr>
      <vt:lpstr>'2661 June Final'!_3.__Supplemental_Academic_Instruction</vt:lpstr>
      <vt:lpstr>'2791'!_3.__Supplemental_Academic_Instruction</vt:lpstr>
      <vt:lpstr>'2791 June final'!_3.__Supplemental_Academic_Instruction</vt:lpstr>
      <vt:lpstr>'2801'!_3.__Supplemental_Academic_Instruction</vt:lpstr>
      <vt:lpstr>'2801 June Final'!_3.__Supplemental_Academic_Instruction</vt:lpstr>
      <vt:lpstr>'2911'!_3.__Supplemental_Academic_Instruction</vt:lpstr>
      <vt:lpstr>'2911 June final'!_3.__Supplemental_Academic_Instruction</vt:lpstr>
      <vt:lpstr>'2941'!_3.__Supplemental_Academic_Instruction</vt:lpstr>
      <vt:lpstr>'2941 June final'!_3.__Supplemental_Academic_Instruction</vt:lpstr>
      <vt:lpstr>'3083'!_3.__Supplemental_Academic_Instruction</vt:lpstr>
      <vt:lpstr>'3344'!_3.__Supplemental_Academic_Instruction</vt:lpstr>
      <vt:lpstr>'3345'!_3.__Supplemental_Academic_Instruction</vt:lpstr>
      <vt:lpstr>'3347'!_3.__Supplemental_Academic_Instruction</vt:lpstr>
      <vt:lpstr>'3381'!_3.__Supplemental_Academic_Instruction</vt:lpstr>
      <vt:lpstr>'3381 June Final'!_3.__Supplemental_Academic_Instruction</vt:lpstr>
      <vt:lpstr>'3382'!_3.__Supplemental_Academic_Instruction</vt:lpstr>
      <vt:lpstr>'3382 June Final'!_3.__Supplemental_Academic_Instruction</vt:lpstr>
      <vt:lpstr>'3384'!_3.__Supplemental_Academic_Instruction</vt:lpstr>
      <vt:lpstr>'3384 June Final'!_3.__Supplemental_Academic_Instruction</vt:lpstr>
      <vt:lpstr>'3385'!_3.__Supplemental_Academic_Instruction</vt:lpstr>
      <vt:lpstr>'3385 June Final'!_3.__Supplemental_Academic_Instruction</vt:lpstr>
      <vt:lpstr>'3386'!_3.__Supplemental_Academic_Instruction</vt:lpstr>
      <vt:lpstr>'3391'!_3.__Supplemental_Academic_Instruction</vt:lpstr>
      <vt:lpstr>'3392'!_3.__Supplemental_Academic_Instruction</vt:lpstr>
      <vt:lpstr>'3392 June Final'!_3.__Supplemental_Academic_Instruction</vt:lpstr>
      <vt:lpstr>'3394'!_3.__Supplemental_Academic_Instruction</vt:lpstr>
      <vt:lpstr>'3394 June Final'!_3.__Supplemental_Academic_Instruction</vt:lpstr>
      <vt:lpstr>'3395'!_3.__Supplemental_Academic_Instruction</vt:lpstr>
      <vt:lpstr>'3395 June Final'!_3.__Supplemental_Academic_Instruction</vt:lpstr>
      <vt:lpstr>'3396'!_3.__Supplemental_Academic_Instruction</vt:lpstr>
      <vt:lpstr>'3398'!_3.__Supplemental_Academic_Instruction</vt:lpstr>
      <vt:lpstr>'3400'!_3.__Supplemental_Academic_Instruction</vt:lpstr>
      <vt:lpstr>'3401'!_3.__Supplemental_Academic_Instruction</vt:lpstr>
      <vt:lpstr>'3411'!_3.__Supplemental_Academic_Instruction</vt:lpstr>
      <vt:lpstr>'3413'!_3.__Supplemental_Academic_Instruction</vt:lpstr>
      <vt:lpstr>'3413 June Final'!_3.__Supplemental_Academic_Instruction</vt:lpstr>
      <vt:lpstr>'3421'!_3.__Supplemental_Academic_Instruction</vt:lpstr>
      <vt:lpstr>'3431'!_3.__Supplemental_Academic_Instruction</vt:lpstr>
      <vt:lpstr>'3431 June Final'!_3.__Supplemental_Academic_Instruction</vt:lpstr>
      <vt:lpstr>'3441'!_3.__Supplemental_Academic_Instruction</vt:lpstr>
      <vt:lpstr>'3443'!_3.__Supplemental_Academic_Instruction</vt:lpstr>
      <vt:lpstr>'3941'!_3.__Supplemental_Academic_Instruction</vt:lpstr>
      <vt:lpstr>'3941 June Final'!_3.__Supplemental_Academic_Instruction</vt:lpstr>
      <vt:lpstr>'3961'!_3.__Supplemental_Academic_Instruction</vt:lpstr>
      <vt:lpstr>'3961 June Final'!_3.__Supplemental_Academic_Instruction</vt:lpstr>
      <vt:lpstr>'3971'!_3.__Supplemental_Academic_Instruction</vt:lpstr>
      <vt:lpstr>'4000'!_3.__Supplemental_Academic_Instruction</vt:lpstr>
      <vt:lpstr>'4000 June Final'!_3.__Supplemental_Academic_Instruction</vt:lpstr>
      <vt:lpstr>'4002'!_3.__Supplemental_Academic_Instruction</vt:lpstr>
      <vt:lpstr>'4002 June Final'!_3.__Supplemental_Academic_Instruction</vt:lpstr>
      <vt:lpstr>'4010'!_3.__Supplemental_Academic_Instruction</vt:lpstr>
      <vt:lpstr>'4012'!_3.__Supplemental_Academic_Instruction</vt:lpstr>
      <vt:lpstr>'4013'!_3.__Supplemental_Academic_Instruction</vt:lpstr>
      <vt:lpstr>'4020'!_3.__Supplemental_Academic_Instruction</vt:lpstr>
      <vt:lpstr>'4020 June Final'!_3.__Supplemental_Academic_Instruction</vt:lpstr>
      <vt:lpstr>'4020 June Tch Alloc.'!_3.__Supplemental_Academic_Instruction</vt:lpstr>
      <vt:lpstr>'4037'!_3.__Supplemental_Academic_Instruction</vt:lpstr>
      <vt:lpstr>'4037 June Final'!_3.__Supplemental_Academic_Instruction</vt:lpstr>
      <vt:lpstr>'4041'!_3.__Supplemental_Academic_Instruction</vt:lpstr>
      <vt:lpstr>'0054'!_300_Career_Education__Grades_9_12</vt:lpstr>
      <vt:lpstr>'0054 June Final'!_300_Career_Education__Grades_9_12</vt:lpstr>
      <vt:lpstr>'0642'!_300_Career_Education__Grades_9_12</vt:lpstr>
      <vt:lpstr>'0642 June Final'!_300_Career_Education__Grades_9_12</vt:lpstr>
      <vt:lpstr>'0664'!_300_Career_Education__Grades_9_12</vt:lpstr>
      <vt:lpstr>'0664 June Final'!_300_Career_Education__Grades_9_12</vt:lpstr>
      <vt:lpstr>'1461'!_300_Career_Education__Grades_9_12</vt:lpstr>
      <vt:lpstr>'1571'!_300_Career_Education__Grades_9_12</vt:lpstr>
      <vt:lpstr>'2521'!_300_Career_Education__Grades_9_12</vt:lpstr>
      <vt:lpstr>'2531'!_300_Career_Education__Grades_9_12</vt:lpstr>
      <vt:lpstr>'2531 June final'!_300_Career_Education__Grades_9_12</vt:lpstr>
      <vt:lpstr>'2641'!_300_Career_Education__Grades_9_12</vt:lpstr>
      <vt:lpstr>'2641 June Final'!_300_Career_Education__Grades_9_12</vt:lpstr>
      <vt:lpstr>'2661'!_300_Career_Education__Grades_9_12</vt:lpstr>
      <vt:lpstr>'2661 June Final'!_300_Career_Education__Grades_9_12</vt:lpstr>
      <vt:lpstr>'2791'!_300_Career_Education__Grades_9_12</vt:lpstr>
      <vt:lpstr>'2791 June final'!_300_Career_Education__Grades_9_12</vt:lpstr>
      <vt:lpstr>'2801'!_300_Career_Education__Grades_9_12</vt:lpstr>
      <vt:lpstr>'2801 June Final'!_300_Career_Education__Grades_9_12</vt:lpstr>
      <vt:lpstr>'2911'!_300_Career_Education__Grades_9_12</vt:lpstr>
      <vt:lpstr>'2911 June final'!_300_Career_Education__Grades_9_12</vt:lpstr>
      <vt:lpstr>'2941'!_300_Career_Education__Grades_9_12</vt:lpstr>
      <vt:lpstr>'2941 June final'!_300_Career_Education__Grades_9_12</vt:lpstr>
      <vt:lpstr>'3083'!_300_Career_Education__Grades_9_12</vt:lpstr>
      <vt:lpstr>'3344'!_300_Career_Education__Grades_9_12</vt:lpstr>
      <vt:lpstr>'3345'!_300_Career_Education__Grades_9_12</vt:lpstr>
      <vt:lpstr>'3347'!_300_Career_Education__Grades_9_12</vt:lpstr>
      <vt:lpstr>'3381'!_300_Career_Education__Grades_9_12</vt:lpstr>
      <vt:lpstr>'3381 June Final'!_300_Career_Education__Grades_9_12</vt:lpstr>
      <vt:lpstr>'3382'!_300_Career_Education__Grades_9_12</vt:lpstr>
      <vt:lpstr>'3382 June Final'!_300_Career_Education__Grades_9_12</vt:lpstr>
      <vt:lpstr>'3384'!_300_Career_Education__Grades_9_12</vt:lpstr>
      <vt:lpstr>'3384 June Final'!_300_Career_Education__Grades_9_12</vt:lpstr>
      <vt:lpstr>'3385'!_300_Career_Education__Grades_9_12</vt:lpstr>
      <vt:lpstr>'3385 June Final'!_300_Career_Education__Grades_9_12</vt:lpstr>
      <vt:lpstr>'3386'!_300_Career_Education__Grades_9_12</vt:lpstr>
      <vt:lpstr>'3391'!_300_Career_Education__Grades_9_12</vt:lpstr>
      <vt:lpstr>'3392'!_300_Career_Education__Grades_9_12</vt:lpstr>
      <vt:lpstr>'3392 June Final'!_300_Career_Education__Grades_9_12</vt:lpstr>
      <vt:lpstr>'3394'!_300_Career_Education__Grades_9_12</vt:lpstr>
      <vt:lpstr>'3394 June Final'!_300_Career_Education__Grades_9_12</vt:lpstr>
      <vt:lpstr>'3395'!_300_Career_Education__Grades_9_12</vt:lpstr>
      <vt:lpstr>'3395 June Final'!_300_Career_Education__Grades_9_12</vt:lpstr>
      <vt:lpstr>'3396'!_300_Career_Education__Grades_9_12</vt:lpstr>
      <vt:lpstr>'3398'!_300_Career_Education__Grades_9_12</vt:lpstr>
      <vt:lpstr>'3400'!_300_Career_Education__Grades_9_12</vt:lpstr>
      <vt:lpstr>'3401'!_300_Career_Education__Grades_9_12</vt:lpstr>
      <vt:lpstr>'3411'!_300_Career_Education__Grades_9_12</vt:lpstr>
      <vt:lpstr>'3413'!_300_Career_Education__Grades_9_12</vt:lpstr>
      <vt:lpstr>'3413 June Final'!_300_Career_Education__Grades_9_12</vt:lpstr>
      <vt:lpstr>'3421'!_300_Career_Education__Grades_9_12</vt:lpstr>
      <vt:lpstr>'3431'!_300_Career_Education__Grades_9_12</vt:lpstr>
      <vt:lpstr>'3431 June Final'!_300_Career_Education__Grades_9_12</vt:lpstr>
      <vt:lpstr>'3441'!_300_Career_Education__Grades_9_12</vt:lpstr>
      <vt:lpstr>'3443'!_300_Career_Education__Grades_9_12</vt:lpstr>
      <vt:lpstr>'3941'!_300_Career_Education__Grades_9_12</vt:lpstr>
      <vt:lpstr>'3941 June Final'!_300_Career_Education__Grades_9_12</vt:lpstr>
      <vt:lpstr>'3961'!_300_Career_Education__Grades_9_12</vt:lpstr>
      <vt:lpstr>'3961 June Final'!_300_Career_Education__Grades_9_12</vt:lpstr>
      <vt:lpstr>'3971'!_300_Career_Education__Grades_9_12</vt:lpstr>
      <vt:lpstr>'4000'!_300_Career_Education__Grades_9_12</vt:lpstr>
      <vt:lpstr>'4000 June Final'!_300_Career_Education__Grades_9_12</vt:lpstr>
      <vt:lpstr>'4002'!_300_Career_Education__Grades_9_12</vt:lpstr>
      <vt:lpstr>'4002 June Final'!_300_Career_Education__Grades_9_12</vt:lpstr>
      <vt:lpstr>'4010'!_300_Career_Education__Grades_9_12</vt:lpstr>
      <vt:lpstr>'4012'!_300_Career_Education__Grades_9_12</vt:lpstr>
      <vt:lpstr>'4013'!_300_Career_Education__Grades_9_12</vt:lpstr>
      <vt:lpstr>'4020'!_300_Career_Education__Grades_9_12</vt:lpstr>
      <vt:lpstr>'4020 June Final'!_300_Career_Education__Grades_9_12</vt:lpstr>
      <vt:lpstr>'4020 June Tch Alloc.'!_300_Career_Education__Grades_9_12</vt:lpstr>
      <vt:lpstr>'4037'!_300_Career_Education__Grades_9_12</vt:lpstr>
      <vt:lpstr>'4037 June Final'!_300_Career_Education__Grades_9_12</vt:lpstr>
      <vt:lpstr>'4041'!_300_Career_Education__Grades_9_12</vt:lpstr>
      <vt:lpstr>'0054'!_4_8</vt:lpstr>
      <vt:lpstr>'0054 June Final'!_4_8</vt:lpstr>
      <vt:lpstr>'0642'!_4_8</vt:lpstr>
      <vt:lpstr>'0642 June Final'!_4_8</vt:lpstr>
      <vt:lpstr>'0664'!_4_8</vt:lpstr>
      <vt:lpstr>'0664 June Final'!_4_8</vt:lpstr>
      <vt:lpstr>'1461'!_4_8</vt:lpstr>
      <vt:lpstr>'1571'!_4_8</vt:lpstr>
      <vt:lpstr>'2521'!_4_8</vt:lpstr>
      <vt:lpstr>'2531'!_4_8</vt:lpstr>
      <vt:lpstr>'2531 June final'!_4_8</vt:lpstr>
      <vt:lpstr>'2641'!_4_8</vt:lpstr>
      <vt:lpstr>'2641 June Final'!_4_8</vt:lpstr>
      <vt:lpstr>'2661'!_4_8</vt:lpstr>
      <vt:lpstr>'2661 June Final'!_4_8</vt:lpstr>
      <vt:lpstr>'2791'!_4_8</vt:lpstr>
      <vt:lpstr>'2791 June final'!_4_8</vt:lpstr>
      <vt:lpstr>'2801'!_4_8</vt:lpstr>
      <vt:lpstr>'2801 June Final'!_4_8</vt:lpstr>
      <vt:lpstr>'2911'!_4_8</vt:lpstr>
      <vt:lpstr>'2911 June final'!_4_8</vt:lpstr>
      <vt:lpstr>'2941'!_4_8</vt:lpstr>
      <vt:lpstr>'2941 June final'!_4_8</vt:lpstr>
      <vt:lpstr>'3083'!_4_8</vt:lpstr>
      <vt:lpstr>'3344'!_4_8</vt:lpstr>
      <vt:lpstr>'3345'!_4_8</vt:lpstr>
      <vt:lpstr>'3347'!_4_8</vt:lpstr>
      <vt:lpstr>'3381'!_4_8</vt:lpstr>
      <vt:lpstr>'3381 June Final'!_4_8</vt:lpstr>
      <vt:lpstr>'3382'!_4_8</vt:lpstr>
      <vt:lpstr>'3382 June Final'!_4_8</vt:lpstr>
      <vt:lpstr>'3384'!_4_8</vt:lpstr>
      <vt:lpstr>'3384 June Final'!_4_8</vt:lpstr>
      <vt:lpstr>'3385'!_4_8</vt:lpstr>
      <vt:lpstr>'3385 June Final'!_4_8</vt:lpstr>
      <vt:lpstr>'3386'!_4_8</vt:lpstr>
      <vt:lpstr>'3391'!_4_8</vt:lpstr>
      <vt:lpstr>'3392'!_4_8</vt:lpstr>
      <vt:lpstr>'3392 June Final'!_4_8</vt:lpstr>
      <vt:lpstr>'3394'!_4_8</vt:lpstr>
      <vt:lpstr>'3394 June Final'!_4_8</vt:lpstr>
      <vt:lpstr>'3395'!_4_8</vt:lpstr>
      <vt:lpstr>'3395 June Final'!_4_8</vt:lpstr>
      <vt:lpstr>'3396'!_4_8</vt:lpstr>
      <vt:lpstr>'3398'!_4_8</vt:lpstr>
      <vt:lpstr>'3400'!_4_8</vt:lpstr>
      <vt:lpstr>'3401'!_4_8</vt:lpstr>
      <vt:lpstr>'3411'!_4_8</vt:lpstr>
      <vt:lpstr>'3413'!_4_8</vt:lpstr>
      <vt:lpstr>'3413 June Final'!_4_8</vt:lpstr>
      <vt:lpstr>'3421'!_4_8</vt:lpstr>
      <vt:lpstr>'3431'!_4_8</vt:lpstr>
      <vt:lpstr>'3431 June Final'!_4_8</vt:lpstr>
      <vt:lpstr>'3441'!_4_8</vt:lpstr>
      <vt:lpstr>'3443'!_4_8</vt:lpstr>
      <vt:lpstr>'3941'!_4_8</vt:lpstr>
      <vt:lpstr>'3941 June Final'!_4_8</vt:lpstr>
      <vt:lpstr>'3961'!_4_8</vt:lpstr>
      <vt:lpstr>'3961 June Final'!_4_8</vt:lpstr>
      <vt:lpstr>'3971'!_4_8</vt:lpstr>
      <vt:lpstr>'4000'!_4_8</vt:lpstr>
      <vt:lpstr>'4000 June Final'!_4_8</vt:lpstr>
      <vt:lpstr>'4002'!_4_8</vt:lpstr>
      <vt:lpstr>'4002 June Final'!_4_8</vt:lpstr>
      <vt:lpstr>'4010'!_4_8</vt:lpstr>
      <vt:lpstr>'4012'!_4_8</vt:lpstr>
      <vt:lpstr>'4013'!_4_8</vt:lpstr>
      <vt:lpstr>'4020'!_4_8</vt:lpstr>
      <vt:lpstr>'4020 June Final'!_4_8</vt:lpstr>
      <vt:lpstr>'4020 June Tch Alloc.'!_4_8</vt:lpstr>
      <vt:lpstr>'4037'!_4_8</vt:lpstr>
      <vt:lpstr>'4037 June Final'!_4_8</vt:lpstr>
      <vt:lpstr>'4041'!_4_8</vt:lpstr>
      <vt:lpstr>'0054'!_9_12</vt:lpstr>
      <vt:lpstr>'0054 June Final'!_9_12</vt:lpstr>
      <vt:lpstr>'0642'!_9_12</vt:lpstr>
      <vt:lpstr>'0642 June Final'!_9_12</vt:lpstr>
      <vt:lpstr>'0664'!_9_12</vt:lpstr>
      <vt:lpstr>'0664 June Final'!_9_12</vt:lpstr>
      <vt:lpstr>'1461'!_9_12</vt:lpstr>
      <vt:lpstr>'1571'!_9_12</vt:lpstr>
      <vt:lpstr>'2521'!_9_12</vt:lpstr>
      <vt:lpstr>'2531'!_9_12</vt:lpstr>
      <vt:lpstr>'2531 June final'!_9_12</vt:lpstr>
      <vt:lpstr>'2641'!_9_12</vt:lpstr>
      <vt:lpstr>'2641 June Final'!_9_12</vt:lpstr>
      <vt:lpstr>'2661'!_9_12</vt:lpstr>
      <vt:lpstr>'2661 June Final'!_9_12</vt:lpstr>
      <vt:lpstr>'2791'!_9_12</vt:lpstr>
      <vt:lpstr>'2791 June final'!_9_12</vt:lpstr>
      <vt:lpstr>'2801'!_9_12</vt:lpstr>
      <vt:lpstr>'2801 June Final'!_9_12</vt:lpstr>
      <vt:lpstr>'2911'!_9_12</vt:lpstr>
      <vt:lpstr>'2911 June final'!_9_12</vt:lpstr>
      <vt:lpstr>'2941'!_9_12</vt:lpstr>
      <vt:lpstr>'2941 June final'!_9_12</vt:lpstr>
      <vt:lpstr>'3083'!_9_12</vt:lpstr>
      <vt:lpstr>'3344'!_9_12</vt:lpstr>
      <vt:lpstr>'3345'!_9_12</vt:lpstr>
      <vt:lpstr>'3347'!_9_12</vt:lpstr>
      <vt:lpstr>'3381'!_9_12</vt:lpstr>
      <vt:lpstr>'3381 June Final'!_9_12</vt:lpstr>
      <vt:lpstr>'3382'!_9_12</vt:lpstr>
      <vt:lpstr>'3382 June Final'!_9_12</vt:lpstr>
      <vt:lpstr>'3384'!_9_12</vt:lpstr>
      <vt:lpstr>'3384 June Final'!_9_12</vt:lpstr>
      <vt:lpstr>'3385'!_9_12</vt:lpstr>
      <vt:lpstr>'3385 June Final'!_9_12</vt:lpstr>
      <vt:lpstr>'3386'!_9_12</vt:lpstr>
      <vt:lpstr>'3391'!_9_12</vt:lpstr>
      <vt:lpstr>'3392'!_9_12</vt:lpstr>
      <vt:lpstr>'3392 June Final'!_9_12</vt:lpstr>
      <vt:lpstr>'3394'!_9_12</vt:lpstr>
      <vt:lpstr>'3394 June Final'!_9_12</vt:lpstr>
      <vt:lpstr>'3395'!_9_12</vt:lpstr>
      <vt:lpstr>'3395 June Final'!_9_12</vt:lpstr>
      <vt:lpstr>'3396'!_9_12</vt:lpstr>
      <vt:lpstr>'3398'!_9_12</vt:lpstr>
      <vt:lpstr>'3400'!_9_12</vt:lpstr>
      <vt:lpstr>'3401'!_9_12</vt:lpstr>
      <vt:lpstr>'3411'!_9_12</vt:lpstr>
      <vt:lpstr>'3413'!_9_12</vt:lpstr>
      <vt:lpstr>'3413 June Final'!_9_12</vt:lpstr>
      <vt:lpstr>'3421'!_9_12</vt:lpstr>
      <vt:lpstr>'3431'!_9_12</vt:lpstr>
      <vt:lpstr>'3431 June Final'!_9_12</vt:lpstr>
      <vt:lpstr>'3441'!_9_12</vt:lpstr>
      <vt:lpstr>'3443'!_9_12</vt:lpstr>
      <vt:lpstr>'3941'!_9_12</vt:lpstr>
      <vt:lpstr>'3941 June Final'!_9_12</vt:lpstr>
      <vt:lpstr>'3961'!_9_12</vt:lpstr>
      <vt:lpstr>'3961 June Final'!_9_12</vt:lpstr>
      <vt:lpstr>'3971'!_9_12</vt:lpstr>
      <vt:lpstr>'4000'!_9_12</vt:lpstr>
      <vt:lpstr>'4000 June Final'!_9_12</vt:lpstr>
      <vt:lpstr>'4002'!_9_12</vt:lpstr>
      <vt:lpstr>'4002 June Final'!_9_12</vt:lpstr>
      <vt:lpstr>'4010'!_9_12</vt:lpstr>
      <vt:lpstr>'4012'!_9_12</vt:lpstr>
      <vt:lpstr>'4013'!_9_12</vt:lpstr>
      <vt:lpstr>'4020'!_9_12</vt:lpstr>
      <vt:lpstr>'4020 June Final'!_9_12</vt:lpstr>
      <vt:lpstr>'4020 June Tch Alloc.'!_9_12</vt:lpstr>
      <vt:lpstr>'4037'!_9_12</vt:lpstr>
      <vt:lpstr>'4037 June Final'!_9_12</vt:lpstr>
      <vt:lpstr>'4041'!_9_12</vt:lpstr>
      <vt:lpstr>'0054'!Allocation_factors</vt:lpstr>
      <vt:lpstr>'0054 June Final'!Allocation_factors</vt:lpstr>
      <vt:lpstr>'0642'!Allocation_factors</vt:lpstr>
      <vt:lpstr>'0642 June Final'!Allocation_factors</vt:lpstr>
      <vt:lpstr>'0664'!Allocation_factors</vt:lpstr>
      <vt:lpstr>'0664 June Final'!Allocation_factors</vt:lpstr>
      <vt:lpstr>'1461'!Allocation_factors</vt:lpstr>
      <vt:lpstr>'1571'!Allocation_factors</vt:lpstr>
      <vt:lpstr>'2521'!Allocation_factors</vt:lpstr>
      <vt:lpstr>'2531'!Allocation_factors</vt:lpstr>
      <vt:lpstr>'2531 June final'!Allocation_factors</vt:lpstr>
      <vt:lpstr>'2641'!Allocation_factors</vt:lpstr>
      <vt:lpstr>'2641 June Final'!Allocation_factors</vt:lpstr>
      <vt:lpstr>'2661'!Allocation_factors</vt:lpstr>
      <vt:lpstr>'2661 June Final'!Allocation_factors</vt:lpstr>
      <vt:lpstr>'2791'!Allocation_factors</vt:lpstr>
      <vt:lpstr>'2791 June final'!Allocation_factors</vt:lpstr>
      <vt:lpstr>'2801'!Allocation_factors</vt:lpstr>
      <vt:lpstr>'2801 June Final'!Allocation_factors</vt:lpstr>
      <vt:lpstr>'2911'!Allocation_factors</vt:lpstr>
      <vt:lpstr>'2911 June final'!Allocation_factors</vt:lpstr>
      <vt:lpstr>'2941'!Allocation_factors</vt:lpstr>
      <vt:lpstr>'2941 June final'!Allocation_factors</vt:lpstr>
      <vt:lpstr>'3083'!Allocation_factors</vt:lpstr>
      <vt:lpstr>'3344'!Allocation_factors</vt:lpstr>
      <vt:lpstr>'3345'!Allocation_factors</vt:lpstr>
      <vt:lpstr>'3347'!Allocation_factors</vt:lpstr>
      <vt:lpstr>'3381'!Allocation_factors</vt:lpstr>
      <vt:lpstr>'3381 June Final'!Allocation_factors</vt:lpstr>
      <vt:lpstr>'3382'!Allocation_factors</vt:lpstr>
      <vt:lpstr>'3382 June Final'!Allocation_factors</vt:lpstr>
      <vt:lpstr>'3384'!Allocation_factors</vt:lpstr>
      <vt:lpstr>'3384 June Final'!Allocation_factors</vt:lpstr>
      <vt:lpstr>'3385'!Allocation_factors</vt:lpstr>
      <vt:lpstr>'3385 June Final'!Allocation_factors</vt:lpstr>
      <vt:lpstr>'3386'!Allocation_factors</vt:lpstr>
      <vt:lpstr>'3391'!Allocation_factors</vt:lpstr>
      <vt:lpstr>'3392'!Allocation_factors</vt:lpstr>
      <vt:lpstr>'3392 June Final'!Allocation_factors</vt:lpstr>
      <vt:lpstr>'3394'!Allocation_factors</vt:lpstr>
      <vt:lpstr>'3394 June Final'!Allocation_factors</vt:lpstr>
      <vt:lpstr>'3395'!Allocation_factors</vt:lpstr>
      <vt:lpstr>'3395 June Final'!Allocation_factors</vt:lpstr>
      <vt:lpstr>'3396'!Allocation_factors</vt:lpstr>
      <vt:lpstr>'3398'!Allocation_factors</vt:lpstr>
      <vt:lpstr>'3400'!Allocation_factors</vt:lpstr>
      <vt:lpstr>'3401'!Allocation_factors</vt:lpstr>
      <vt:lpstr>'3411'!Allocation_factors</vt:lpstr>
      <vt:lpstr>'3413'!Allocation_factors</vt:lpstr>
      <vt:lpstr>'3413 June Final'!Allocation_factors</vt:lpstr>
      <vt:lpstr>'3421'!Allocation_factors</vt:lpstr>
      <vt:lpstr>'3431'!Allocation_factors</vt:lpstr>
      <vt:lpstr>'3431 June Final'!Allocation_factors</vt:lpstr>
      <vt:lpstr>'3441'!Allocation_factors</vt:lpstr>
      <vt:lpstr>'3443'!Allocation_factors</vt:lpstr>
      <vt:lpstr>'3941'!Allocation_factors</vt:lpstr>
      <vt:lpstr>'3941 June Final'!Allocation_factors</vt:lpstr>
      <vt:lpstr>'3961'!Allocation_factors</vt:lpstr>
      <vt:lpstr>'3961 June Final'!Allocation_factors</vt:lpstr>
      <vt:lpstr>'3971'!Allocation_factors</vt:lpstr>
      <vt:lpstr>'4000'!Allocation_factors</vt:lpstr>
      <vt:lpstr>'4000 June Final'!Allocation_factors</vt:lpstr>
      <vt:lpstr>'4002'!Allocation_factors</vt:lpstr>
      <vt:lpstr>'4002 June Final'!Allocation_factors</vt:lpstr>
      <vt:lpstr>'4010'!Allocation_factors</vt:lpstr>
      <vt:lpstr>'4012'!Allocation_factors</vt:lpstr>
      <vt:lpstr>'4013'!Allocation_factors</vt:lpstr>
      <vt:lpstr>'4020'!Allocation_factors</vt:lpstr>
      <vt:lpstr>'4020 June Final'!Allocation_factors</vt:lpstr>
      <vt:lpstr>'4020 June Tch Alloc.'!Allocation_factors</vt:lpstr>
      <vt:lpstr>'4037'!Allocation_factors</vt:lpstr>
      <vt:lpstr>'4037 June Final'!Allocation_factors</vt:lpstr>
      <vt:lpstr>'4041'!Allocation_factors</vt:lpstr>
      <vt:lpstr>'0054'!Base_Student_Allocation</vt:lpstr>
      <vt:lpstr>'0054 June Final'!Base_Student_Allocation</vt:lpstr>
      <vt:lpstr>'0642'!Base_Student_Allocation</vt:lpstr>
      <vt:lpstr>'0642 June Final'!Base_Student_Allocation</vt:lpstr>
      <vt:lpstr>'0664'!Base_Student_Allocation</vt:lpstr>
      <vt:lpstr>'0664 June Final'!Base_Student_Allocation</vt:lpstr>
      <vt:lpstr>'1461'!Base_Student_Allocation</vt:lpstr>
      <vt:lpstr>'1571'!Base_Student_Allocation</vt:lpstr>
      <vt:lpstr>'2521'!Base_Student_Allocation</vt:lpstr>
      <vt:lpstr>'2531'!Base_Student_Allocation</vt:lpstr>
      <vt:lpstr>'2531 June final'!Base_Student_Allocation</vt:lpstr>
      <vt:lpstr>'2641'!Base_Student_Allocation</vt:lpstr>
      <vt:lpstr>'2641 June Final'!Base_Student_Allocation</vt:lpstr>
      <vt:lpstr>'2661'!Base_Student_Allocation</vt:lpstr>
      <vt:lpstr>'2661 June Final'!Base_Student_Allocation</vt:lpstr>
      <vt:lpstr>'2791'!Base_Student_Allocation</vt:lpstr>
      <vt:lpstr>'2791 June final'!Base_Student_Allocation</vt:lpstr>
      <vt:lpstr>'2801'!Base_Student_Allocation</vt:lpstr>
      <vt:lpstr>'2801 June Final'!Base_Student_Allocation</vt:lpstr>
      <vt:lpstr>'2911'!Base_Student_Allocation</vt:lpstr>
      <vt:lpstr>'2911 June final'!Base_Student_Allocation</vt:lpstr>
      <vt:lpstr>'2941'!Base_Student_Allocation</vt:lpstr>
      <vt:lpstr>'2941 June final'!Base_Student_Allocation</vt:lpstr>
      <vt:lpstr>'3083'!Base_Student_Allocation</vt:lpstr>
      <vt:lpstr>'3344'!Base_Student_Allocation</vt:lpstr>
      <vt:lpstr>'3345'!Base_Student_Allocation</vt:lpstr>
      <vt:lpstr>'3347'!Base_Student_Allocation</vt:lpstr>
      <vt:lpstr>'3381'!Base_Student_Allocation</vt:lpstr>
      <vt:lpstr>'3381 June Final'!Base_Student_Allocation</vt:lpstr>
      <vt:lpstr>'3382'!Base_Student_Allocation</vt:lpstr>
      <vt:lpstr>'3382 June Final'!Base_Student_Allocation</vt:lpstr>
      <vt:lpstr>'3384'!Base_Student_Allocation</vt:lpstr>
      <vt:lpstr>'3384 June Final'!Base_Student_Allocation</vt:lpstr>
      <vt:lpstr>'3385'!Base_Student_Allocation</vt:lpstr>
      <vt:lpstr>'3385 June Final'!Base_Student_Allocation</vt:lpstr>
      <vt:lpstr>'3386'!Base_Student_Allocation</vt:lpstr>
      <vt:lpstr>'3391'!Base_Student_Allocation</vt:lpstr>
      <vt:lpstr>'3392'!Base_Student_Allocation</vt:lpstr>
      <vt:lpstr>'3392 June Final'!Base_Student_Allocation</vt:lpstr>
      <vt:lpstr>'3394'!Base_Student_Allocation</vt:lpstr>
      <vt:lpstr>'3394 June Final'!Base_Student_Allocation</vt:lpstr>
      <vt:lpstr>'3395'!Base_Student_Allocation</vt:lpstr>
      <vt:lpstr>'3395 June Final'!Base_Student_Allocation</vt:lpstr>
      <vt:lpstr>'3396'!Base_Student_Allocation</vt:lpstr>
      <vt:lpstr>'3398'!Base_Student_Allocation</vt:lpstr>
      <vt:lpstr>'3400'!Base_Student_Allocation</vt:lpstr>
      <vt:lpstr>'3401'!Base_Student_Allocation</vt:lpstr>
      <vt:lpstr>'3411'!Base_Student_Allocation</vt:lpstr>
      <vt:lpstr>'3413'!Base_Student_Allocation</vt:lpstr>
      <vt:lpstr>'3413 June Final'!Base_Student_Allocation</vt:lpstr>
      <vt:lpstr>'3421'!Base_Student_Allocation</vt:lpstr>
      <vt:lpstr>'3431'!Base_Student_Allocation</vt:lpstr>
      <vt:lpstr>'3431 June Final'!Base_Student_Allocation</vt:lpstr>
      <vt:lpstr>'3441'!Base_Student_Allocation</vt:lpstr>
      <vt:lpstr>'3443'!Base_Student_Allocation</vt:lpstr>
      <vt:lpstr>'3941'!Base_Student_Allocation</vt:lpstr>
      <vt:lpstr>'3941 June Final'!Base_Student_Allocation</vt:lpstr>
      <vt:lpstr>'3961'!Base_Student_Allocation</vt:lpstr>
      <vt:lpstr>'3961 June Final'!Base_Student_Allocation</vt:lpstr>
      <vt:lpstr>'3971'!Base_Student_Allocation</vt:lpstr>
      <vt:lpstr>'4000'!Base_Student_Allocation</vt:lpstr>
      <vt:lpstr>'4000 June Final'!Base_Student_Allocation</vt:lpstr>
      <vt:lpstr>'4002'!Base_Student_Allocation</vt:lpstr>
      <vt:lpstr>'4002 June Final'!Base_Student_Allocation</vt:lpstr>
      <vt:lpstr>'4010'!Base_Student_Allocation</vt:lpstr>
      <vt:lpstr>'4012'!Base_Student_Allocation</vt:lpstr>
      <vt:lpstr>'4013'!Base_Student_Allocation</vt:lpstr>
      <vt:lpstr>'4020'!Base_Student_Allocation</vt:lpstr>
      <vt:lpstr>'4020 June Final'!Base_Student_Allocation</vt:lpstr>
      <vt:lpstr>'4020 June Tch Alloc.'!Base_Student_Allocation</vt:lpstr>
      <vt:lpstr>'4037'!Base_Student_Allocation</vt:lpstr>
      <vt:lpstr>'4037 June Final'!Base_Student_Allocation</vt:lpstr>
      <vt:lpstr>'4041'!Base_Student_Allocation</vt:lpstr>
      <vt:lpstr>'0054'!Based_on_the_Second_Calculation_of_the_FEFP_2010_11</vt:lpstr>
      <vt:lpstr>'0054 June Final'!Based_on_the_Second_Calculation_of_the_FEFP_2010_11</vt:lpstr>
      <vt:lpstr>'0642'!Based_on_the_Second_Calculation_of_the_FEFP_2010_11</vt:lpstr>
      <vt:lpstr>'0642 June Final'!Based_on_the_Second_Calculation_of_the_FEFP_2010_11</vt:lpstr>
      <vt:lpstr>'0664'!Based_on_the_Second_Calculation_of_the_FEFP_2010_11</vt:lpstr>
      <vt:lpstr>'0664 June Final'!Based_on_the_Second_Calculation_of_the_FEFP_2010_11</vt:lpstr>
      <vt:lpstr>'1461'!Based_on_the_Second_Calculation_of_the_FEFP_2010_11</vt:lpstr>
      <vt:lpstr>'1571'!Based_on_the_Second_Calculation_of_the_FEFP_2010_11</vt:lpstr>
      <vt:lpstr>'2521'!Based_on_the_Second_Calculation_of_the_FEFP_2010_11</vt:lpstr>
      <vt:lpstr>'2531'!Based_on_the_Second_Calculation_of_the_FEFP_2010_11</vt:lpstr>
      <vt:lpstr>'2531 June final'!Based_on_the_Second_Calculation_of_the_FEFP_2010_11</vt:lpstr>
      <vt:lpstr>'2641'!Based_on_the_Second_Calculation_of_the_FEFP_2010_11</vt:lpstr>
      <vt:lpstr>'2641 June Final'!Based_on_the_Second_Calculation_of_the_FEFP_2010_11</vt:lpstr>
      <vt:lpstr>'2661'!Based_on_the_Second_Calculation_of_the_FEFP_2010_11</vt:lpstr>
      <vt:lpstr>'2661 June Final'!Based_on_the_Second_Calculation_of_the_FEFP_2010_11</vt:lpstr>
      <vt:lpstr>'2791'!Based_on_the_Second_Calculation_of_the_FEFP_2010_11</vt:lpstr>
      <vt:lpstr>'2791 June final'!Based_on_the_Second_Calculation_of_the_FEFP_2010_11</vt:lpstr>
      <vt:lpstr>'2801'!Based_on_the_Second_Calculation_of_the_FEFP_2010_11</vt:lpstr>
      <vt:lpstr>'2801 June Final'!Based_on_the_Second_Calculation_of_the_FEFP_2010_11</vt:lpstr>
      <vt:lpstr>'2911'!Based_on_the_Second_Calculation_of_the_FEFP_2010_11</vt:lpstr>
      <vt:lpstr>'2911 June final'!Based_on_the_Second_Calculation_of_the_FEFP_2010_11</vt:lpstr>
      <vt:lpstr>'2941'!Based_on_the_Second_Calculation_of_the_FEFP_2010_11</vt:lpstr>
      <vt:lpstr>'2941 June final'!Based_on_the_Second_Calculation_of_the_FEFP_2010_11</vt:lpstr>
      <vt:lpstr>'3083'!Based_on_the_Second_Calculation_of_the_FEFP_2010_11</vt:lpstr>
      <vt:lpstr>'3344'!Based_on_the_Second_Calculation_of_the_FEFP_2010_11</vt:lpstr>
      <vt:lpstr>'3345'!Based_on_the_Second_Calculation_of_the_FEFP_2010_11</vt:lpstr>
      <vt:lpstr>'3347'!Based_on_the_Second_Calculation_of_the_FEFP_2010_11</vt:lpstr>
      <vt:lpstr>'3381'!Based_on_the_Second_Calculation_of_the_FEFP_2010_11</vt:lpstr>
      <vt:lpstr>'3381 June Final'!Based_on_the_Second_Calculation_of_the_FEFP_2010_11</vt:lpstr>
      <vt:lpstr>'3382'!Based_on_the_Second_Calculation_of_the_FEFP_2010_11</vt:lpstr>
      <vt:lpstr>'3382 June Final'!Based_on_the_Second_Calculation_of_the_FEFP_2010_11</vt:lpstr>
      <vt:lpstr>'3384'!Based_on_the_Second_Calculation_of_the_FEFP_2010_11</vt:lpstr>
      <vt:lpstr>'3384 June Final'!Based_on_the_Second_Calculation_of_the_FEFP_2010_11</vt:lpstr>
      <vt:lpstr>'3385'!Based_on_the_Second_Calculation_of_the_FEFP_2010_11</vt:lpstr>
      <vt:lpstr>'3385 June Final'!Based_on_the_Second_Calculation_of_the_FEFP_2010_11</vt:lpstr>
      <vt:lpstr>'3386'!Based_on_the_Second_Calculation_of_the_FEFP_2010_11</vt:lpstr>
      <vt:lpstr>'3391'!Based_on_the_Second_Calculation_of_the_FEFP_2010_11</vt:lpstr>
      <vt:lpstr>'3392'!Based_on_the_Second_Calculation_of_the_FEFP_2010_11</vt:lpstr>
      <vt:lpstr>'3392 June Final'!Based_on_the_Second_Calculation_of_the_FEFP_2010_11</vt:lpstr>
      <vt:lpstr>'3394'!Based_on_the_Second_Calculation_of_the_FEFP_2010_11</vt:lpstr>
      <vt:lpstr>'3394 June Final'!Based_on_the_Second_Calculation_of_the_FEFP_2010_11</vt:lpstr>
      <vt:lpstr>'3395'!Based_on_the_Second_Calculation_of_the_FEFP_2010_11</vt:lpstr>
      <vt:lpstr>'3395 June Final'!Based_on_the_Second_Calculation_of_the_FEFP_2010_11</vt:lpstr>
      <vt:lpstr>'3396'!Based_on_the_Second_Calculation_of_the_FEFP_2010_11</vt:lpstr>
      <vt:lpstr>'3398'!Based_on_the_Second_Calculation_of_the_FEFP_2010_11</vt:lpstr>
      <vt:lpstr>'3400'!Based_on_the_Second_Calculation_of_the_FEFP_2010_11</vt:lpstr>
      <vt:lpstr>'3401'!Based_on_the_Second_Calculation_of_the_FEFP_2010_11</vt:lpstr>
      <vt:lpstr>'3411'!Based_on_the_Second_Calculation_of_the_FEFP_2010_11</vt:lpstr>
      <vt:lpstr>'3413'!Based_on_the_Second_Calculation_of_the_FEFP_2010_11</vt:lpstr>
      <vt:lpstr>'3413 June Final'!Based_on_the_Second_Calculation_of_the_FEFP_2010_11</vt:lpstr>
      <vt:lpstr>'3421'!Based_on_the_Second_Calculation_of_the_FEFP_2010_11</vt:lpstr>
      <vt:lpstr>'3431'!Based_on_the_Second_Calculation_of_the_FEFP_2010_11</vt:lpstr>
      <vt:lpstr>'3431 June Final'!Based_on_the_Second_Calculation_of_the_FEFP_2010_11</vt:lpstr>
      <vt:lpstr>'3441'!Based_on_the_Second_Calculation_of_the_FEFP_2010_11</vt:lpstr>
      <vt:lpstr>'3443'!Based_on_the_Second_Calculation_of_the_FEFP_2010_11</vt:lpstr>
      <vt:lpstr>'3941'!Based_on_the_Second_Calculation_of_the_FEFP_2010_11</vt:lpstr>
      <vt:lpstr>'3941 June Final'!Based_on_the_Second_Calculation_of_the_FEFP_2010_11</vt:lpstr>
      <vt:lpstr>'3961'!Based_on_the_Second_Calculation_of_the_FEFP_2010_11</vt:lpstr>
      <vt:lpstr>'3961 June Final'!Based_on_the_Second_Calculation_of_the_FEFP_2010_11</vt:lpstr>
      <vt:lpstr>'3971'!Based_on_the_Second_Calculation_of_the_FEFP_2010_11</vt:lpstr>
      <vt:lpstr>'4000'!Based_on_the_Second_Calculation_of_the_FEFP_2010_11</vt:lpstr>
      <vt:lpstr>'4000 June Final'!Based_on_the_Second_Calculation_of_the_FEFP_2010_11</vt:lpstr>
      <vt:lpstr>'4002'!Based_on_the_Second_Calculation_of_the_FEFP_2010_11</vt:lpstr>
      <vt:lpstr>'4002 June Final'!Based_on_the_Second_Calculation_of_the_FEFP_2010_11</vt:lpstr>
      <vt:lpstr>'4010'!Based_on_the_Second_Calculation_of_the_FEFP_2010_11</vt:lpstr>
      <vt:lpstr>'4012'!Based_on_the_Second_Calculation_of_the_FEFP_2010_11</vt:lpstr>
      <vt:lpstr>'4013'!Based_on_the_Second_Calculation_of_the_FEFP_2010_11</vt:lpstr>
      <vt:lpstr>'4020'!Based_on_the_Second_Calculation_of_the_FEFP_2010_11</vt:lpstr>
      <vt:lpstr>'4020 June Final'!Based_on_the_Second_Calculation_of_the_FEFP_2010_11</vt:lpstr>
      <vt:lpstr>'4020 June Tch Alloc.'!Based_on_the_Second_Calculation_of_the_FEFP_2010_11</vt:lpstr>
      <vt:lpstr>'4037'!Based_on_the_Second_Calculation_of_the_FEFP_2010_11</vt:lpstr>
      <vt:lpstr>'4037 June Final'!Based_on_the_Second_Calculation_of_the_FEFP_2010_11</vt:lpstr>
      <vt:lpstr>'4041'!Based_on_the_Second_Calculation_of_the_FEFP_2010_11</vt:lpstr>
      <vt:lpstr>'0054'!DCD</vt:lpstr>
      <vt:lpstr>'0054 June Final'!DCD</vt:lpstr>
      <vt:lpstr>'0642'!DCD</vt:lpstr>
      <vt:lpstr>'0642 June Final'!DCD</vt:lpstr>
      <vt:lpstr>'0664'!DCD</vt:lpstr>
      <vt:lpstr>'0664 June Final'!DCD</vt:lpstr>
      <vt:lpstr>'1461'!DCD</vt:lpstr>
      <vt:lpstr>'1571'!DCD</vt:lpstr>
      <vt:lpstr>'2521'!DCD</vt:lpstr>
      <vt:lpstr>'2531'!DCD</vt:lpstr>
      <vt:lpstr>'2531 June final'!DCD</vt:lpstr>
      <vt:lpstr>'2641'!DCD</vt:lpstr>
      <vt:lpstr>'2641 June Final'!DCD</vt:lpstr>
      <vt:lpstr>'2661'!DCD</vt:lpstr>
      <vt:lpstr>'2661 June Final'!DCD</vt:lpstr>
      <vt:lpstr>'2791'!DCD</vt:lpstr>
      <vt:lpstr>'2791 June final'!DCD</vt:lpstr>
      <vt:lpstr>'2801'!DCD</vt:lpstr>
      <vt:lpstr>'2801 June Final'!DCD</vt:lpstr>
      <vt:lpstr>'2911'!DCD</vt:lpstr>
      <vt:lpstr>'2911 June final'!DCD</vt:lpstr>
      <vt:lpstr>'2941'!DCD</vt:lpstr>
      <vt:lpstr>'2941 June final'!DCD</vt:lpstr>
      <vt:lpstr>'3083'!DCD</vt:lpstr>
      <vt:lpstr>'3344'!DCD</vt:lpstr>
      <vt:lpstr>'3345'!DCD</vt:lpstr>
      <vt:lpstr>'3347'!DCD</vt:lpstr>
      <vt:lpstr>'3381'!DCD</vt:lpstr>
      <vt:lpstr>'3381 June Final'!DCD</vt:lpstr>
      <vt:lpstr>'3382'!DCD</vt:lpstr>
      <vt:lpstr>'3382 June Final'!DCD</vt:lpstr>
      <vt:lpstr>'3384'!DCD</vt:lpstr>
      <vt:lpstr>'3384 June Final'!DCD</vt:lpstr>
      <vt:lpstr>'3385'!DCD</vt:lpstr>
      <vt:lpstr>'3385 June Final'!DCD</vt:lpstr>
      <vt:lpstr>'3386'!DCD</vt:lpstr>
      <vt:lpstr>'3391'!DCD</vt:lpstr>
      <vt:lpstr>'3392'!DCD</vt:lpstr>
      <vt:lpstr>'3392 June Final'!DCD</vt:lpstr>
      <vt:lpstr>'3394'!DCD</vt:lpstr>
      <vt:lpstr>'3394 June Final'!DCD</vt:lpstr>
      <vt:lpstr>'3395'!DCD</vt:lpstr>
      <vt:lpstr>'3395 June Final'!DCD</vt:lpstr>
      <vt:lpstr>'3396'!DCD</vt:lpstr>
      <vt:lpstr>'3398'!DCD</vt:lpstr>
      <vt:lpstr>'3400'!DCD</vt:lpstr>
      <vt:lpstr>'3401'!DCD</vt:lpstr>
      <vt:lpstr>'3411'!DCD</vt:lpstr>
      <vt:lpstr>'3413'!DCD</vt:lpstr>
      <vt:lpstr>'3413 June Final'!DCD</vt:lpstr>
      <vt:lpstr>'3421'!DCD</vt:lpstr>
      <vt:lpstr>'3431'!DCD</vt:lpstr>
      <vt:lpstr>'3431 June Final'!DCD</vt:lpstr>
      <vt:lpstr>'3441'!DCD</vt:lpstr>
      <vt:lpstr>'3443'!DCD</vt:lpstr>
      <vt:lpstr>'3941'!DCD</vt:lpstr>
      <vt:lpstr>'3941 June Final'!DCD</vt:lpstr>
      <vt:lpstr>'3961'!DCD</vt:lpstr>
      <vt:lpstr>'3961 June Final'!DCD</vt:lpstr>
      <vt:lpstr>'3971'!DCD</vt:lpstr>
      <vt:lpstr>'4000'!DCD</vt:lpstr>
      <vt:lpstr>'4000 June Final'!DCD</vt:lpstr>
      <vt:lpstr>'4002'!DCD</vt:lpstr>
      <vt:lpstr>'4002 June Final'!DCD</vt:lpstr>
      <vt:lpstr>'4010'!DCD</vt:lpstr>
      <vt:lpstr>'4012'!DCD</vt:lpstr>
      <vt:lpstr>'4013'!DCD</vt:lpstr>
      <vt:lpstr>'4020'!DCD</vt:lpstr>
      <vt:lpstr>'4020 June Final'!DCD</vt:lpstr>
      <vt:lpstr>'4020 June Tch Alloc.'!DCD</vt:lpstr>
      <vt:lpstr>'4037'!DCD</vt:lpstr>
      <vt:lpstr>'4037 June Final'!DCD</vt:lpstr>
      <vt:lpstr>'4041'!DCD</vt:lpstr>
      <vt:lpstr>'0054'!District_Cost_Differential</vt:lpstr>
      <vt:lpstr>'0054 June Final'!District_Cost_Differential</vt:lpstr>
      <vt:lpstr>'0642'!District_Cost_Differential</vt:lpstr>
      <vt:lpstr>'0642 June Final'!District_Cost_Differential</vt:lpstr>
      <vt:lpstr>'0664'!District_Cost_Differential</vt:lpstr>
      <vt:lpstr>'0664 June Final'!District_Cost_Differential</vt:lpstr>
      <vt:lpstr>'1461'!District_Cost_Differential</vt:lpstr>
      <vt:lpstr>'1571'!District_Cost_Differential</vt:lpstr>
      <vt:lpstr>'2521'!District_Cost_Differential</vt:lpstr>
      <vt:lpstr>'2531'!District_Cost_Differential</vt:lpstr>
      <vt:lpstr>'2531 June final'!District_Cost_Differential</vt:lpstr>
      <vt:lpstr>'2641'!District_Cost_Differential</vt:lpstr>
      <vt:lpstr>'2641 June Final'!District_Cost_Differential</vt:lpstr>
      <vt:lpstr>'2661'!District_Cost_Differential</vt:lpstr>
      <vt:lpstr>'2661 June Final'!District_Cost_Differential</vt:lpstr>
      <vt:lpstr>'2791'!District_Cost_Differential</vt:lpstr>
      <vt:lpstr>'2791 June final'!District_Cost_Differential</vt:lpstr>
      <vt:lpstr>'2801'!District_Cost_Differential</vt:lpstr>
      <vt:lpstr>'2801 June Final'!District_Cost_Differential</vt:lpstr>
      <vt:lpstr>'2911'!District_Cost_Differential</vt:lpstr>
      <vt:lpstr>'2911 June final'!District_Cost_Differential</vt:lpstr>
      <vt:lpstr>'2941'!District_Cost_Differential</vt:lpstr>
      <vt:lpstr>'2941 June final'!District_Cost_Differential</vt:lpstr>
      <vt:lpstr>'3083'!District_Cost_Differential</vt:lpstr>
      <vt:lpstr>'3344'!District_Cost_Differential</vt:lpstr>
      <vt:lpstr>'3345'!District_Cost_Differential</vt:lpstr>
      <vt:lpstr>'3347'!District_Cost_Differential</vt:lpstr>
      <vt:lpstr>'3381'!District_Cost_Differential</vt:lpstr>
      <vt:lpstr>'3381 June Final'!District_Cost_Differential</vt:lpstr>
      <vt:lpstr>'3382'!District_Cost_Differential</vt:lpstr>
      <vt:lpstr>'3382 June Final'!District_Cost_Differential</vt:lpstr>
      <vt:lpstr>'3384'!District_Cost_Differential</vt:lpstr>
      <vt:lpstr>'3384 June Final'!District_Cost_Differential</vt:lpstr>
      <vt:lpstr>'3385'!District_Cost_Differential</vt:lpstr>
      <vt:lpstr>'3385 June Final'!District_Cost_Differential</vt:lpstr>
      <vt:lpstr>'3386'!District_Cost_Differential</vt:lpstr>
      <vt:lpstr>'3391'!District_Cost_Differential</vt:lpstr>
      <vt:lpstr>'3392'!District_Cost_Differential</vt:lpstr>
      <vt:lpstr>'3392 June Final'!District_Cost_Differential</vt:lpstr>
      <vt:lpstr>'3394'!District_Cost_Differential</vt:lpstr>
      <vt:lpstr>'3394 June Final'!District_Cost_Differential</vt:lpstr>
      <vt:lpstr>'3395'!District_Cost_Differential</vt:lpstr>
      <vt:lpstr>'3395 June Final'!District_Cost_Differential</vt:lpstr>
      <vt:lpstr>'3396'!District_Cost_Differential</vt:lpstr>
      <vt:lpstr>'3398'!District_Cost_Differential</vt:lpstr>
      <vt:lpstr>'3400'!District_Cost_Differential</vt:lpstr>
      <vt:lpstr>'3401'!District_Cost_Differential</vt:lpstr>
      <vt:lpstr>'3411'!District_Cost_Differential</vt:lpstr>
      <vt:lpstr>'3413'!District_Cost_Differential</vt:lpstr>
      <vt:lpstr>'3413 June Final'!District_Cost_Differential</vt:lpstr>
      <vt:lpstr>'3421'!District_Cost_Differential</vt:lpstr>
      <vt:lpstr>'3431'!District_Cost_Differential</vt:lpstr>
      <vt:lpstr>'3431 June Final'!District_Cost_Differential</vt:lpstr>
      <vt:lpstr>'3441'!District_Cost_Differential</vt:lpstr>
      <vt:lpstr>'3443'!District_Cost_Differential</vt:lpstr>
      <vt:lpstr>'3941'!District_Cost_Differential</vt:lpstr>
      <vt:lpstr>'3941 June Final'!District_Cost_Differential</vt:lpstr>
      <vt:lpstr>'3961'!District_Cost_Differential</vt:lpstr>
      <vt:lpstr>'3961 June Final'!District_Cost_Differential</vt:lpstr>
      <vt:lpstr>'3971'!District_Cost_Differential</vt:lpstr>
      <vt:lpstr>'4000'!District_Cost_Differential</vt:lpstr>
      <vt:lpstr>'4000 June Final'!District_Cost_Differential</vt:lpstr>
      <vt:lpstr>'4002'!District_Cost_Differential</vt:lpstr>
      <vt:lpstr>'4002 June Final'!District_Cost_Differential</vt:lpstr>
      <vt:lpstr>'4010'!District_Cost_Differential</vt:lpstr>
      <vt:lpstr>'4012'!District_Cost_Differential</vt:lpstr>
      <vt:lpstr>'4013'!District_Cost_Differential</vt:lpstr>
      <vt:lpstr>'4020'!District_Cost_Differential</vt:lpstr>
      <vt:lpstr>'4020 June Final'!District_Cost_Differential</vt:lpstr>
      <vt:lpstr>'4020 June Tch Alloc.'!District_Cost_Differential</vt:lpstr>
      <vt:lpstr>'4037'!District_Cost_Differential</vt:lpstr>
      <vt:lpstr>'4037 June Final'!District_Cost_Differential</vt:lpstr>
      <vt:lpstr>'4041'!District_Cost_Differential</vt:lpstr>
      <vt:lpstr>'0054'!District_SAI_Allocation</vt:lpstr>
      <vt:lpstr>'0054 June Final'!District_SAI_Allocation</vt:lpstr>
      <vt:lpstr>'0642'!District_SAI_Allocation</vt:lpstr>
      <vt:lpstr>'0642 June Final'!District_SAI_Allocation</vt:lpstr>
      <vt:lpstr>'0664'!District_SAI_Allocation</vt:lpstr>
      <vt:lpstr>'0664 June Final'!District_SAI_Allocation</vt:lpstr>
      <vt:lpstr>'1461'!District_SAI_Allocation</vt:lpstr>
      <vt:lpstr>'1571'!District_SAI_Allocation</vt:lpstr>
      <vt:lpstr>'2521'!District_SAI_Allocation</vt:lpstr>
      <vt:lpstr>'2531'!District_SAI_Allocation</vt:lpstr>
      <vt:lpstr>'2531 June final'!District_SAI_Allocation</vt:lpstr>
      <vt:lpstr>'2641'!District_SAI_Allocation</vt:lpstr>
      <vt:lpstr>'2641 June Final'!District_SAI_Allocation</vt:lpstr>
      <vt:lpstr>'2661'!District_SAI_Allocation</vt:lpstr>
      <vt:lpstr>'2661 June Final'!District_SAI_Allocation</vt:lpstr>
      <vt:lpstr>'2791'!District_SAI_Allocation</vt:lpstr>
      <vt:lpstr>'2791 June final'!District_SAI_Allocation</vt:lpstr>
      <vt:lpstr>'2801'!District_SAI_Allocation</vt:lpstr>
      <vt:lpstr>'2801 June Final'!District_SAI_Allocation</vt:lpstr>
      <vt:lpstr>'2911'!District_SAI_Allocation</vt:lpstr>
      <vt:lpstr>'2911 June final'!District_SAI_Allocation</vt:lpstr>
      <vt:lpstr>'2941'!District_SAI_Allocation</vt:lpstr>
      <vt:lpstr>'2941 June final'!District_SAI_Allocation</vt:lpstr>
      <vt:lpstr>'3083'!District_SAI_Allocation</vt:lpstr>
      <vt:lpstr>'3344'!District_SAI_Allocation</vt:lpstr>
      <vt:lpstr>'3345'!District_SAI_Allocation</vt:lpstr>
      <vt:lpstr>'3347'!District_SAI_Allocation</vt:lpstr>
      <vt:lpstr>'3381'!District_SAI_Allocation</vt:lpstr>
      <vt:lpstr>'3381 June Final'!District_SAI_Allocation</vt:lpstr>
      <vt:lpstr>'3382'!District_SAI_Allocation</vt:lpstr>
      <vt:lpstr>'3382 June Final'!District_SAI_Allocation</vt:lpstr>
      <vt:lpstr>'3384'!District_SAI_Allocation</vt:lpstr>
      <vt:lpstr>'3384 June Final'!District_SAI_Allocation</vt:lpstr>
      <vt:lpstr>'3385'!District_SAI_Allocation</vt:lpstr>
      <vt:lpstr>'3385 June Final'!District_SAI_Allocation</vt:lpstr>
      <vt:lpstr>'3386'!District_SAI_Allocation</vt:lpstr>
      <vt:lpstr>'3391'!District_SAI_Allocation</vt:lpstr>
      <vt:lpstr>'3392'!District_SAI_Allocation</vt:lpstr>
      <vt:lpstr>'3392 June Final'!District_SAI_Allocation</vt:lpstr>
      <vt:lpstr>'3394'!District_SAI_Allocation</vt:lpstr>
      <vt:lpstr>'3394 June Final'!District_SAI_Allocation</vt:lpstr>
      <vt:lpstr>'3395'!District_SAI_Allocation</vt:lpstr>
      <vt:lpstr>'3395 June Final'!District_SAI_Allocation</vt:lpstr>
      <vt:lpstr>'3396'!District_SAI_Allocation</vt:lpstr>
      <vt:lpstr>'3398'!District_SAI_Allocation</vt:lpstr>
      <vt:lpstr>'3400'!District_SAI_Allocation</vt:lpstr>
      <vt:lpstr>'3401'!District_SAI_Allocation</vt:lpstr>
      <vt:lpstr>'3411'!District_SAI_Allocation</vt:lpstr>
      <vt:lpstr>'3413'!District_SAI_Allocation</vt:lpstr>
      <vt:lpstr>'3413 June Final'!District_SAI_Allocation</vt:lpstr>
      <vt:lpstr>'3421'!District_SAI_Allocation</vt:lpstr>
      <vt:lpstr>'3431'!District_SAI_Allocation</vt:lpstr>
      <vt:lpstr>'3431 June Final'!District_SAI_Allocation</vt:lpstr>
      <vt:lpstr>'3441'!District_SAI_Allocation</vt:lpstr>
      <vt:lpstr>'3443'!District_SAI_Allocation</vt:lpstr>
      <vt:lpstr>'3941'!District_SAI_Allocation</vt:lpstr>
      <vt:lpstr>'3941 June Final'!District_SAI_Allocation</vt:lpstr>
      <vt:lpstr>'3961'!District_SAI_Allocation</vt:lpstr>
      <vt:lpstr>'3961 June Final'!District_SAI_Allocation</vt:lpstr>
      <vt:lpstr>'3971'!District_SAI_Allocation</vt:lpstr>
      <vt:lpstr>'4000'!District_SAI_Allocation</vt:lpstr>
      <vt:lpstr>'4000 June Final'!District_SAI_Allocation</vt:lpstr>
      <vt:lpstr>'4002'!District_SAI_Allocation</vt:lpstr>
      <vt:lpstr>'4002 June Final'!District_SAI_Allocation</vt:lpstr>
      <vt:lpstr>'4010'!District_SAI_Allocation</vt:lpstr>
      <vt:lpstr>'4012'!District_SAI_Allocation</vt:lpstr>
      <vt:lpstr>'4013'!District_SAI_Allocation</vt:lpstr>
      <vt:lpstr>'4020'!District_SAI_Allocation</vt:lpstr>
      <vt:lpstr>'4020 June Final'!District_SAI_Allocation</vt:lpstr>
      <vt:lpstr>'4020 June Tch Alloc.'!District_SAI_Allocation</vt:lpstr>
      <vt:lpstr>'4037'!District_SAI_Allocation</vt:lpstr>
      <vt:lpstr>'4037 June Final'!District_SAI_Allocation</vt:lpstr>
      <vt:lpstr>'4041'!District_SAI_Allocation</vt:lpstr>
      <vt:lpstr>'0054'!divided_by_district_FTE</vt:lpstr>
      <vt:lpstr>'0054 June Final'!divided_by_district_FTE</vt:lpstr>
      <vt:lpstr>'0642'!divided_by_district_FTE</vt:lpstr>
      <vt:lpstr>'0642 June Final'!divided_by_district_FTE</vt:lpstr>
      <vt:lpstr>'0664'!divided_by_district_FTE</vt:lpstr>
      <vt:lpstr>'0664 June Final'!divided_by_district_FTE</vt:lpstr>
      <vt:lpstr>'1461'!divided_by_district_FTE</vt:lpstr>
      <vt:lpstr>'1571'!divided_by_district_FTE</vt:lpstr>
      <vt:lpstr>'2521'!divided_by_district_FTE</vt:lpstr>
      <vt:lpstr>'2531'!divided_by_district_FTE</vt:lpstr>
      <vt:lpstr>'2531 June final'!divided_by_district_FTE</vt:lpstr>
      <vt:lpstr>'2641'!divided_by_district_FTE</vt:lpstr>
      <vt:lpstr>'2641 June Final'!divided_by_district_FTE</vt:lpstr>
      <vt:lpstr>'2661'!divided_by_district_FTE</vt:lpstr>
      <vt:lpstr>'2661 June Final'!divided_by_district_FTE</vt:lpstr>
      <vt:lpstr>'2791'!divided_by_district_FTE</vt:lpstr>
      <vt:lpstr>'2791 June final'!divided_by_district_FTE</vt:lpstr>
      <vt:lpstr>'2801'!divided_by_district_FTE</vt:lpstr>
      <vt:lpstr>'2801 June Final'!divided_by_district_FTE</vt:lpstr>
      <vt:lpstr>'2911'!divided_by_district_FTE</vt:lpstr>
      <vt:lpstr>'2911 June final'!divided_by_district_FTE</vt:lpstr>
      <vt:lpstr>'2941'!divided_by_district_FTE</vt:lpstr>
      <vt:lpstr>'2941 June final'!divided_by_district_FTE</vt:lpstr>
      <vt:lpstr>'3083'!divided_by_district_FTE</vt:lpstr>
      <vt:lpstr>'3344'!divided_by_district_FTE</vt:lpstr>
      <vt:lpstr>'3345'!divided_by_district_FTE</vt:lpstr>
      <vt:lpstr>'3347'!divided_by_district_FTE</vt:lpstr>
      <vt:lpstr>'3381'!divided_by_district_FTE</vt:lpstr>
      <vt:lpstr>'3381 June Final'!divided_by_district_FTE</vt:lpstr>
      <vt:lpstr>'3382'!divided_by_district_FTE</vt:lpstr>
      <vt:lpstr>'3382 June Final'!divided_by_district_FTE</vt:lpstr>
      <vt:lpstr>'3384'!divided_by_district_FTE</vt:lpstr>
      <vt:lpstr>'3384 June Final'!divided_by_district_FTE</vt:lpstr>
      <vt:lpstr>'3385'!divided_by_district_FTE</vt:lpstr>
      <vt:lpstr>'3385 June Final'!divided_by_district_FTE</vt:lpstr>
      <vt:lpstr>'3386'!divided_by_district_FTE</vt:lpstr>
      <vt:lpstr>'3391'!divided_by_district_FTE</vt:lpstr>
      <vt:lpstr>'3392'!divided_by_district_FTE</vt:lpstr>
      <vt:lpstr>'3392 June Final'!divided_by_district_FTE</vt:lpstr>
      <vt:lpstr>'3394'!divided_by_district_FTE</vt:lpstr>
      <vt:lpstr>'3394 June Final'!divided_by_district_FTE</vt:lpstr>
      <vt:lpstr>'3395'!divided_by_district_FTE</vt:lpstr>
      <vt:lpstr>'3395 June Final'!divided_by_district_FTE</vt:lpstr>
      <vt:lpstr>'3396'!divided_by_district_FTE</vt:lpstr>
      <vt:lpstr>'3398'!divided_by_district_FTE</vt:lpstr>
      <vt:lpstr>'3400'!divided_by_district_FTE</vt:lpstr>
      <vt:lpstr>'3401'!divided_by_district_FTE</vt:lpstr>
      <vt:lpstr>'3411'!divided_by_district_FTE</vt:lpstr>
      <vt:lpstr>'3413'!divided_by_district_FTE</vt:lpstr>
      <vt:lpstr>'3413 June Final'!divided_by_district_FTE</vt:lpstr>
      <vt:lpstr>'3421'!divided_by_district_FTE</vt:lpstr>
      <vt:lpstr>'3431'!divided_by_district_FTE</vt:lpstr>
      <vt:lpstr>'3431 June Final'!divided_by_district_FTE</vt:lpstr>
      <vt:lpstr>'3441'!divided_by_district_FTE</vt:lpstr>
      <vt:lpstr>'3443'!divided_by_district_FTE</vt:lpstr>
      <vt:lpstr>'3941'!divided_by_district_FTE</vt:lpstr>
      <vt:lpstr>'3941 June Final'!divided_by_district_FTE</vt:lpstr>
      <vt:lpstr>'3961'!divided_by_district_FTE</vt:lpstr>
      <vt:lpstr>'3961 June Final'!divided_by_district_FTE</vt:lpstr>
      <vt:lpstr>'3971'!divided_by_district_FTE</vt:lpstr>
      <vt:lpstr>'4000'!divided_by_district_FTE</vt:lpstr>
      <vt:lpstr>'4000 June Final'!divided_by_district_FTE</vt:lpstr>
      <vt:lpstr>'4002'!divided_by_district_FTE</vt:lpstr>
      <vt:lpstr>'4002 June Final'!divided_by_district_FTE</vt:lpstr>
      <vt:lpstr>'4010'!divided_by_district_FTE</vt:lpstr>
      <vt:lpstr>'4012'!divided_by_district_FTE</vt:lpstr>
      <vt:lpstr>'4013'!divided_by_district_FTE</vt:lpstr>
      <vt:lpstr>'4020'!divided_by_district_FTE</vt:lpstr>
      <vt:lpstr>'4020 June Final'!divided_by_district_FTE</vt:lpstr>
      <vt:lpstr>'4020 June Tch Alloc.'!divided_by_district_FTE</vt:lpstr>
      <vt:lpstr>'4037'!divided_by_district_FTE</vt:lpstr>
      <vt:lpstr>'4037 June Final'!divided_by_district_FTE</vt:lpstr>
      <vt:lpstr>'4041'!divided_by_district_FTE</vt:lpstr>
      <vt:lpstr>'0054'!FTE</vt:lpstr>
      <vt:lpstr>'0054 June Final'!FTE</vt:lpstr>
      <vt:lpstr>'0642'!FTE</vt:lpstr>
      <vt:lpstr>'0642 June Final'!FTE</vt:lpstr>
      <vt:lpstr>'0664'!FTE</vt:lpstr>
      <vt:lpstr>'0664 June Final'!FTE</vt:lpstr>
      <vt:lpstr>'1461'!FTE</vt:lpstr>
      <vt:lpstr>'1571'!FTE</vt:lpstr>
      <vt:lpstr>'2521'!FTE</vt:lpstr>
      <vt:lpstr>'2531'!FTE</vt:lpstr>
      <vt:lpstr>'2531 June final'!FTE</vt:lpstr>
      <vt:lpstr>'2641'!FTE</vt:lpstr>
      <vt:lpstr>'2641 June Final'!FTE</vt:lpstr>
      <vt:lpstr>'2661'!FTE</vt:lpstr>
      <vt:lpstr>'2661 June Final'!FTE</vt:lpstr>
      <vt:lpstr>'2791'!FTE</vt:lpstr>
      <vt:lpstr>'2791 June final'!FTE</vt:lpstr>
      <vt:lpstr>'2801'!FTE</vt:lpstr>
      <vt:lpstr>'2801 June Final'!FTE</vt:lpstr>
      <vt:lpstr>'2911'!FTE</vt:lpstr>
      <vt:lpstr>'2911 June final'!FTE</vt:lpstr>
      <vt:lpstr>'2941'!FTE</vt:lpstr>
      <vt:lpstr>'2941 June final'!FTE</vt:lpstr>
      <vt:lpstr>'3083'!FTE</vt:lpstr>
      <vt:lpstr>'3344'!FTE</vt:lpstr>
      <vt:lpstr>'3345'!FTE</vt:lpstr>
      <vt:lpstr>'3347'!FTE</vt:lpstr>
      <vt:lpstr>'3381'!FTE</vt:lpstr>
      <vt:lpstr>'3381 June Final'!FTE</vt:lpstr>
      <vt:lpstr>'3382'!FTE</vt:lpstr>
      <vt:lpstr>'3382 June Final'!FTE</vt:lpstr>
      <vt:lpstr>'3384'!FTE</vt:lpstr>
      <vt:lpstr>'3384 June Final'!FTE</vt:lpstr>
      <vt:lpstr>'3385'!FTE</vt:lpstr>
      <vt:lpstr>'3385 June Final'!FTE</vt:lpstr>
      <vt:lpstr>'3386'!FTE</vt:lpstr>
      <vt:lpstr>'3391'!FTE</vt:lpstr>
      <vt:lpstr>'3392'!FTE</vt:lpstr>
      <vt:lpstr>'3392 June Final'!FTE</vt:lpstr>
      <vt:lpstr>'3394'!FTE</vt:lpstr>
      <vt:lpstr>'3394 June Final'!FTE</vt:lpstr>
      <vt:lpstr>'3395'!FTE</vt:lpstr>
      <vt:lpstr>'3395 June Final'!FTE</vt:lpstr>
      <vt:lpstr>'3396'!FTE</vt:lpstr>
      <vt:lpstr>'3398'!FTE</vt:lpstr>
      <vt:lpstr>'3400'!FTE</vt:lpstr>
      <vt:lpstr>'3401'!FTE</vt:lpstr>
      <vt:lpstr>'3411'!FTE</vt:lpstr>
      <vt:lpstr>'3413'!FTE</vt:lpstr>
      <vt:lpstr>'3413 June Final'!FTE</vt:lpstr>
      <vt:lpstr>'3421'!FTE</vt:lpstr>
      <vt:lpstr>'3431'!FTE</vt:lpstr>
      <vt:lpstr>'3431 June Final'!FTE</vt:lpstr>
      <vt:lpstr>'3441'!FTE</vt:lpstr>
      <vt:lpstr>'3443'!FTE</vt:lpstr>
      <vt:lpstr>'3941'!FTE</vt:lpstr>
      <vt:lpstr>'3941 June Final'!FTE</vt:lpstr>
      <vt:lpstr>'3961'!FTE</vt:lpstr>
      <vt:lpstr>'3961 June Final'!FTE</vt:lpstr>
      <vt:lpstr>'3971'!FTE</vt:lpstr>
      <vt:lpstr>'4000'!FTE</vt:lpstr>
      <vt:lpstr>'4000 June Final'!FTE</vt:lpstr>
      <vt:lpstr>'4002'!FTE</vt:lpstr>
      <vt:lpstr>'4002 June Final'!FTE</vt:lpstr>
      <vt:lpstr>'4010'!FTE</vt:lpstr>
      <vt:lpstr>'4012'!FTE</vt:lpstr>
      <vt:lpstr>'4013'!FTE</vt:lpstr>
      <vt:lpstr>'4020'!FTE</vt:lpstr>
      <vt:lpstr>'4020 June Final'!FTE</vt:lpstr>
      <vt:lpstr>'4020 June Tch Alloc.'!FTE</vt:lpstr>
      <vt:lpstr>'4037'!FTE</vt:lpstr>
      <vt:lpstr>'4037 June Final'!FTE</vt:lpstr>
      <vt:lpstr>'4041'!FTE</vt:lpstr>
      <vt:lpstr>'0054'!Grade_Level</vt:lpstr>
      <vt:lpstr>'0054 June Final'!Grade_Level</vt:lpstr>
      <vt:lpstr>'0642'!Grade_Level</vt:lpstr>
      <vt:lpstr>'0642 June Final'!Grade_Level</vt:lpstr>
      <vt:lpstr>'0664'!Grade_Level</vt:lpstr>
      <vt:lpstr>'0664 June Final'!Grade_Level</vt:lpstr>
      <vt:lpstr>'1461'!Grade_Level</vt:lpstr>
      <vt:lpstr>'1571'!Grade_Level</vt:lpstr>
      <vt:lpstr>'2521'!Grade_Level</vt:lpstr>
      <vt:lpstr>'2531'!Grade_Level</vt:lpstr>
      <vt:lpstr>'2531 June final'!Grade_Level</vt:lpstr>
      <vt:lpstr>'2641'!Grade_Level</vt:lpstr>
      <vt:lpstr>'2641 June Final'!Grade_Level</vt:lpstr>
      <vt:lpstr>'2661'!Grade_Level</vt:lpstr>
      <vt:lpstr>'2661 June Final'!Grade_Level</vt:lpstr>
      <vt:lpstr>'2791'!Grade_Level</vt:lpstr>
      <vt:lpstr>'2791 June final'!Grade_Level</vt:lpstr>
      <vt:lpstr>'2801'!Grade_Level</vt:lpstr>
      <vt:lpstr>'2801 June Final'!Grade_Level</vt:lpstr>
      <vt:lpstr>'2911'!Grade_Level</vt:lpstr>
      <vt:lpstr>'2911 June final'!Grade_Level</vt:lpstr>
      <vt:lpstr>'2941'!Grade_Level</vt:lpstr>
      <vt:lpstr>'2941 June final'!Grade_Level</vt:lpstr>
      <vt:lpstr>'3083'!Grade_Level</vt:lpstr>
      <vt:lpstr>'3344'!Grade_Level</vt:lpstr>
      <vt:lpstr>'3345'!Grade_Level</vt:lpstr>
      <vt:lpstr>'3347'!Grade_Level</vt:lpstr>
      <vt:lpstr>'3381'!Grade_Level</vt:lpstr>
      <vt:lpstr>'3381 June Final'!Grade_Level</vt:lpstr>
      <vt:lpstr>'3382'!Grade_Level</vt:lpstr>
      <vt:lpstr>'3382 June Final'!Grade_Level</vt:lpstr>
      <vt:lpstr>'3384'!Grade_Level</vt:lpstr>
      <vt:lpstr>'3384 June Final'!Grade_Level</vt:lpstr>
      <vt:lpstr>'3385'!Grade_Level</vt:lpstr>
      <vt:lpstr>'3385 June Final'!Grade_Level</vt:lpstr>
      <vt:lpstr>'3386'!Grade_Level</vt:lpstr>
      <vt:lpstr>'3391'!Grade_Level</vt:lpstr>
      <vt:lpstr>'3392'!Grade_Level</vt:lpstr>
      <vt:lpstr>'3392 June Final'!Grade_Level</vt:lpstr>
      <vt:lpstr>'3394'!Grade_Level</vt:lpstr>
      <vt:lpstr>'3394 June Final'!Grade_Level</vt:lpstr>
      <vt:lpstr>'3395'!Grade_Level</vt:lpstr>
      <vt:lpstr>'3395 June Final'!Grade_Level</vt:lpstr>
      <vt:lpstr>'3396'!Grade_Level</vt:lpstr>
      <vt:lpstr>'3398'!Grade_Level</vt:lpstr>
      <vt:lpstr>'3400'!Grade_Level</vt:lpstr>
      <vt:lpstr>'3401'!Grade_Level</vt:lpstr>
      <vt:lpstr>'3411'!Grade_Level</vt:lpstr>
      <vt:lpstr>'3413'!Grade_Level</vt:lpstr>
      <vt:lpstr>'3413 June Final'!Grade_Level</vt:lpstr>
      <vt:lpstr>'3421'!Grade_Level</vt:lpstr>
      <vt:lpstr>'3431'!Grade_Level</vt:lpstr>
      <vt:lpstr>'3431 June Final'!Grade_Level</vt:lpstr>
      <vt:lpstr>'3441'!Grade_Level</vt:lpstr>
      <vt:lpstr>'3443'!Grade_Level</vt:lpstr>
      <vt:lpstr>'3941'!Grade_Level</vt:lpstr>
      <vt:lpstr>'3941 June Final'!Grade_Level</vt:lpstr>
      <vt:lpstr>'3961'!Grade_Level</vt:lpstr>
      <vt:lpstr>'3961 June Final'!Grade_Level</vt:lpstr>
      <vt:lpstr>'3971'!Grade_Level</vt:lpstr>
      <vt:lpstr>'4000'!Grade_Level</vt:lpstr>
      <vt:lpstr>'4000 June Final'!Grade_Level</vt:lpstr>
      <vt:lpstr>'4002'!Grade_Level</vt:lpstr>
      <vt:lpstr>'4002 June Final'!Grade_Level</vt:lpstr>
      <vt:lpstr>'4010'!Grade_Level</vt:lpstr>
      <vt:lpstr>'4012'!Grade_Level</vt:lpstr>
      <vt:lpstr>'4013'!Grade_Level</vt:lpstr>
      <vt:lpstr>'4020'!Grade_Level</vt:lpstr>
      <vt:lpstr>'4020 June Final'!Grade_Level</vt:lpstr>
      <vt:lpstr>'4020 June Tch Alloc.'!Grade_Level</vt:lpstr>
      <vt:lpstr>'4037'!Grade_Level</vt:lpstr>
      <vt:lpstr>'4037 June Final'!Grade_Level</vt:lpstr>
      <vt:lpstr>'4041'!Grade_Level</vt:lpstr>
      <vt:lpstr>'0054'!Guarantee_Per_Student</vt:lpstr>
      <vt:lpstr>'0054 June Final'!Guarantee_Per_Student</vt:lpstr>
      <vt:lpstr>'0642'!Guarantee_Per_Student</vt:lpstr>
      <vt:lpstr>'0642 June Final'!Guarantee_Per_Student</vt:lpstr>
      <vt:lpstr>'0664'!Guarantee_Per_Student</vt:lpstr>
      <vt:lpstr>'0664 June Final'!Guarantee_Per_Student</vt:lpstr>
      <vt:lpstr>'1461'!Guarantee_Per_Student</vt:lpstr>
      <vt:lpstr>'1571'!Guarantee_Per_Student</vt:lpstr>
      <vt:lpstr>'2521'!Guarantee_Per_Student</vt:lpstr>
      <vt:lpstr>'2531'!Guarantee_Per_Student</vt:lpstr>
      <vt:lpstr>'2531 June final'!Guarantee_Per_Student</vt:lpstr>
      <vt:lpstr>'2641'!Guarantee_Per_Student</vt:lpstr>
      <vt:lpstr>'2641 June Final'!Guarantee_Per_Student</vt:lpstr>
      <vt:lpstr>'2661'!Guarantee_Per_Student</vt:lpstr>
      <vt:lpstr>'2661 June Final'!Guarantee_Per_Student</vt:lpstr>
      <vt:lpstr>'2791'!Guarantee_Per_Student</vt:lpstr>
      <vt:lpstr>'2791 June final'!Guarantee_Per_Student</vt:lpstr>
      <vt:lpstr>'2801'!Guarantee_Per_Student</vt:lpstr>
      <vt:lpstr>'2801 June Final'!Guarantee_Per_Student</vt:lpstr>
      <vt:lpstr>'2911'!Guarantee_Per_Student</vt:lpstr>
      <vt:lpstr>'2911 June final'!Guarantee_Per_Student</vt:lpstr>
      <vt:lpstr>'2941'!Guarantee_Per_Student</vt:lpstr>
      <vt:lpstr>'2941 June final'!Guarantee_Per_Student</vt:lpstr>
      <vt:lpstr>'3083'!Guarantee_Per_Student</vt:lpstr>
      <vt:lpstr>'3344'!Guarantee_Per_Student</vt:lpstr>
      <vt:lpstr>'3345'!Guarantee_Per_Student</vt:lpstr>
      <vt:lpstr>'3347'!Guarantee_Per_Student</vt:lpstr>
      <vt:lpstr>'3381'!Guarantee_Per_Student</vt:lpstr>
      <vt:lpstr>'3381 June Final'!Guarantee_Per_Student</vt:lpstr>
      <vt:lpstr>'3382'!Guarantee_Per_Student</vt:lpstr>
      <vt:lpstr>'3382 June Final'!Guarantee_Per_Student</vt:lpstr>
      <vt:lpstr>'3384'!Guarantee_Per_Student</vt:lpstr>
      <vt:lpstr>'3384 June Final'!Guarantee_Per_Student</vt:lpstr>
      <vt:lpstr>'3385'!Guarantee_Per_Student</vt:lpstr>
      <vt:lpstr>'3385 June Final'!Guarantee_Per_Student</vt:lpstr>
      <vt:lpstr>'3386'!Guarantee_Per_Student</vt:lpstr>
      <vt:lpstr>'3391'!Guarantee_Per_Student</vt:lpstr>
      <vt:lpstr>'3392'!Guarantee_Per_Student</vt:lpstr>
      <vt:lpstr>'3392 June Final'!Guarantee_Per_Student</vt:lpstr>
      <vt:lpstr>'3394'!Guarantee_Per_Student</vt:lpstr>
      <vt:lpstr>'3394 June Final'!Guarantee_Per_Student</vt:lpstr>
      <vt:lpstr>'3395'!Guarantee_Per_Student</vt:lpstr>
      <vt:lpstr>'3395 June Final'!Guarantee_Per_Student</vt:lpstr>
      <vt:lpstr>'3396'!Guarantee_Per_Student</vt:lpstr>
      <vt:lpstr>'3398'!Guarantee_Per_Student</vt:lpstr>
      <vt:lpstr>'3400'!Guarantee_Per_Student</vt:lpstr>
      <vt:lpstr>'3401'!Guarantee_Per_Student</vt:lpstr>
      <vt:lpstr>'3411'!Guarantee_Per_Student</vt:lpstr>
      <vt:lpstr>'3413'!Guarantee_Per_Student</vt:lpstr>
      <vt:lpstr>'3413 June Final'!Guarantee_Per_Student</vt:lpstr>
      <vt:lpstr>'3421'!Guarantee_Per_Student</vt:lpstr>
      <vt:lpstr>'3431'!Guarantee_Per_Student</vt:lpstr>
      <vt:lpstr>'3431 June Final'!Guarantee_Per_Student</vt:lpstr>
      <vt:lpstr>'3441'!Guarantee_Per_Student</vt:lpstr>
      <vt:lpstr>'3443'!Guarantee_Per_Student</vt:lpstr>
      <vt:lpstr>'3941'!Guarantee_Per_Student</vt:lpstr>
      <vt:lpstr>'3941 June Final'!Guarantee_Per_Student</vt:lpstr>
      <vt:lpstr>'3961'!Guarantee_Per_Student</vt:lpstr>
      <vt:lpstr>'3961 June Final'!Guarantee_Per_Student</vt:lpstr>
      <vt:lpstr>'3971'!Guarantee_Per_Student</vt:lpstr>
      <vt:lpstr>'4000'!Guarantee_Per_Student</vt:lpstr>
      <vt:lpstr>'4000 June Final'!Guarantee_Per_Student</vt:lpstr>
      <vt:lpstr>'4002'!Guarantee_Per_Student</vt:lpstr>
      <vt:lpstr>'4002 June Final'!Guarantee_Per_Student</vt:lpstr>
      <vt:lpstr>'4010'!Guarantee_Per_Student</vt:lpstr>
      <vt:lpstr>'4012'!Guarantee_Per_Student</vt:lpstr>
      <vt:lpstr>'4013'!Guarantee_Per_Student</vt:lpstr>
      <vt:lpstr>'4020'!Guarantee_Per_Student</vt:lpstr>
      <vt:lpstr>'4020 June Final'!Guarantee_Per_Student</vt:lpstr>
      <vt:lpstr>'4020 June Tch Alloc.'!Guarantee_Per_Student</vt:lpstr>
      <vt:lpstr>'4037'!Guarantee_Per_Student</vt:lpstr>
      <vt:lpstr>'4037 June Final'!Guarantee_Per_Student</vt:lpstr>
      <vt:lpstr>'4041'!Guarantee_Per_Student</vt:lpstr>
      <vt:lpstr>'0054'!Matrix_Level</vt:lpstr>
      <vt:lpstr>'0054 June Final'!Matrix_Level</vt:lpstr>
      <vt:lpstr>'0642'!Matrix_Level</vt:lpstr>
      <vt:lpstr>'0642 June Final'!Matrix_Level</vt:lpstr>
      <vt:lpstr>'0664'!Matrix_Level</vt:lpstr>
      <vt:lpstr>'0664 June Final'!Matrix_Level</vt:lpstr>
      <vt:lpstr>'1461'!Matrix_Level</vt:lpstr>
      <vt:lpstr>'1571'!Matrix_Level</vt:lpstr>
      <vt:lpstr>'2521'!Matrix_Level</vt:lpstr>
      <vt:lpstr>'2531'!Matrix_Level</vt:lpstr>
      <vt:lpstr>'2531 June final'!Matrix_Level</vt:lpstr>
      <vt:lpstr>'2641'!Matrix_Level</vt:lpstr>
      <vt:lpstr>'2641 June Final'!Matrix_Level</vt:lpstr>
      <vt:lpstr>'2661'!Matrix_Level</vt:lpstr>
      <vt:lpstr>'2661 June Final'!Matrix_Level</vt:lpstr>
      <vt:lpstr>'2791'!Matrix_Level</vt:lpstr>
      <vt:lpstr>'2791 June final'!Matrix_Level</vt:lpstr>
      <vt:lpstr>'2801'!Matrix_Level</vt:lpstr>
      <vt:lpstr>'2801 June Final'!Matrix_Level</vt:lpstr>
      <vt:lpstr>'2911'!Matrix_Level</vt:lpstr>
      <vt:lpstr>'2911 June final'!Matrix_Level</vt:lpstr>
      <vt:lpstr>'2941'!Matrix_Level</vt:lpstr>
      <vt:lpstr>'2941 June final'!Matrix_Level</vt:lpstr>
      <vt:lpstr>'3083'!Matrix_Level</vt:lpstr>
      <vt:lpstr>'3344'!Matrix_Level</vt:lpstr>
      <vt:lpstr>'3345'!Matrix_Level</vt:lpstr>
      <vt:lpstr>'3347'!Matrix_Level</vt:lpstr>
      <vt:lpstr>'3381'!Matrix_Level</vt:lpstr>
      <vt:lpstr>'3381 June Final'!Matrix_Level</vt:lpstr>
      <vt:lpstr>'3382'!Matrix_Level</vt:lpstr>
      <vt:lpstr>'3382 June Final'!Matrix_Level</vt:lpstr>
      <vt:lpstr>'3384'!Matrix_Level</vt:lpstr>
      <vt:lpstr>'3384 June Final'!Matrix_Level</vt:lpstr>
      <vt:lpstr>'3385'!Matrix_Level</vt:lpstr>
      <vt:lpstr>'3385 June Final'!Matrix_Level</vt:lpstr>
      <vt:lpstr>'3386'!Matrix_Level</vt:lpstr>
      <vt:lpstr>'3391'!Matrix_Level</vt:lpstr>
      <vt:lpstr>'3392'!Matrix_Level</vt:lpstr>
      <vt:lpstr>'3392 June Final'!Matrix_Level</vt:lpstr>
      <vt:lpstr>'3394'!Matrix_Level</vt:lpstr>
      <vt:lpstr>'3394 June Final'!Matrix_Level</vt:lpstr>
      <vt:lpstr>'3395'!Matrix_Level</vt:lpstr>
      <vt:lpstr>'3395 June Final'!Matrix_Level</vt:lpstr>
      <vt:lpstr>'3396'!Matrix_Level</vt:lpstr>
      <vt:lpstr>'3398'!Matrix_Level</vt:lpstr>
      <vt:lpstr>'3400'!Matrix_Level</vt:lpstr>
      <vt:lpstr>'3401'!Matrix_Level</vt:lpstr>
      <vt:lpstr>'3411'!Matrix_Level</vt:lpstr>
      <vt:lpstr>'3413'!Matrix_Level</vt:lpstr>
      <vt:lpstr>'3413 June Final'!Matrix_Level</vt:lpstr>
      <vt:lpstr>'3421'!Matrix_Level</vt:lpstr>
      <vt:lpstr>'3431'!Matrix_Level</vt:lpstr>
      <vt:lpstr>'3431 June Final'!Matrix_Level</vt:lpstr>
      <vt:lpstr>'3441'!Matrix_Level</vt:lpstr>
      <vt:lpstr>'3443'!Matrix_Level</vt:lpstr>
      <vt:lpstr>'3941'!Matrix_Level</vt:lpstr>
      <vt:lpstr>'3941 June Final'!Matrix_Level</vt:lpstr>
      <vt:lpstr>'3961'!Matrix_Level</vt:lpstr>
      <vt:lpstr>'3961 June Final'!Matrix_Level</vt:lpstr>
      <vt:lpstr>'3971'!Matrix_Level</vt:lpstr>
      <vt:lpstr>'4000'!Matrix_Level</vt:lpstr>
      <vt:lpstr>'4000 June Final'!Matrix_Level</vt:lpstr>
      <vt:lpstr>'4002'!Matrix_Level</vt:lpstr>
      <vt:lpstr>'4002 June Final'!Matrix_Level</vt:lpstr>
      <vt:lpstr>'4010'!Matrix_Level</vt:lpstr>
      <vt:lpstr>'4012'!Matrix_Level</vt:lpstr>
      <vt:lpstr>'4013'!Matrix_Level</vt:lpstr>
      <vt:lpstr>'4020'!Matrix_Level</vt:lpstr>
      <vt:lpstr>'4020 June Final'!Matrix_Level</vt:lpstr>
      <vt:lpstr>'4020 June Tch Alloc.'!Matrix_Level</vt:lpstr>
      <vt:lpstr>'4037'!Matrix_Level</vt:lpstr>
      <vt:lpstr>'4037 June Final'!Matrix_Level</vt:lpstr>
      <vt:lpstr>'4041'!Matrix_Level</vt:lpstr>
      <vt:lpstr>'0054'!Number_of_FTE</vt:lpstr>
      <vt:lpstr>'0054 June Final'!Number_of_FTE</vt:lpstr>
      <vt:lpstr>'0642'!Number_of_FTE</vt:lpstr>
      <vt:lpstr>'0642 June Final'!Number_of_FTE</vt:lpstr>
      <vt:lpstr>'0664'!Number_of_FTE</vt:lpstr>
      <vt:lpstr>'0664 June Final'!Number_of_FTE</vt:lpstr>
      <vt:lpstr>'1461'!Number_of_FTE</vt:lpstr>
      <vt:lpstr>'1571'!Number_of_FTE</vt:lpstr>
      <vt:lpstr>'2521'!Number_of_FTE</vt:lpstr>
      <vt:lpstr>'2531'!Number_of_FTE</vt:lpstr>
      <vt:lpstr>'2531 June final'!Number_of_FTE</vt:lpstr>
      <vt:lpstr>'2641'!Number_of_FTE</vt:lpstr>
      <vt:lpstr>'2641 June Final'!Number_of_FTE</vt:lpstr>
      <vt:lpstr>'2661'!Number_of_FTE</vt:lpstr>
      <vt:lpstr>'2661 June Final'!Number_of_FTE</vt:lpstr>
      <vt:lpstr>'2791'!Number_of_FTE</vt:lpstr>
      <vt:lpstr>'2791 June final'!Number_of_FTE</vt:lpstr>
      <vt:lpstr>'2801'!Number_of_FTE</vt:lpstr>
      <vt:lpstr>'2801 June Final'!Number_of_FTE</vt:lpstr>
      <vt:lpstr>'2911'!Number_of_FTE</vt:lpstr>
      <vt:lpstr>'2911 June final'!Number_of_FTE</vt:lpstr>
      <vt:lpstr>'2941'!Number_of_FTE</vt:lpstr>
      <vt:lpstr>'2941 June final'!Number_of_FTE</vt:lpstr>
      <vt:lpstr>'3083'!Number_of_FTE</vt:lpstr>
      <vt:lpstr>'3344'!Number_of_FTE</vt:lpstr>
      <vt:lpstr>'3345'!Number_of_FTE</vt:lpstr>
      <vt:lpstr>'3347'!Number_of_FTE</vt:lpstr>
      <vt:lpstr>'3381'!Number_of_FTE</vt:lpstr>
      <vt:lpstr>'3381 June Final'!Number_of_FTE</vt:lpstr>
      <vt:lpstr>'3382'!Number_of_FTE</vt:lpstr>
      <vt:lpstr>'3382 June Final'!Number_of_FTE</vt:lpstr>
      <vt:lpstr>'3384'!Number_of_FTE</vt:lpstr>
      <vt:lpstr>'3384 June Final'!Number_of_FTE</vt:lpstr>
      <vt:lpstr>'3385'!Number_of_FTE</vt:lpstr>
      <vt:lpstr>'3385 June Final'!Number_of_FTE</vt:lpstr>
      <vt:lpstr>'3386'!Number_of_FTE</vt:lpstr>
      <vt:lpstr>'3391'!Number_of_FTE</vt:lpstr>
      <vt:lpstr>'3392'!Number_of_FTE</vt:lpstr>
      <vt:lpstr>'3392 June Final'!Number_of_FTE</vt:lpstr>
      <vt:lpstr>'3394'!Number_of_FTE</vt:lpstr>
      <vt:lpstr>'3394 June Final'!Number_of_FTE</vt:lpstr>
      <vt:lpstr>'3395'!Number_of_FTE</vt:lpstr>
      <vt:lpstr>'3395 June Final'!Number_of_FTE</vt:lpstr>
      <vt:lpstr>'3396'!Number_of_FTE</vt:lpstr>
      <vt:lpstr>'3398'!Number_of_FTE</vt:lpstr>
      <vt:lpstr>'3400'!Number_of_FTE</vt:lpstr>
      <vt:lpstr>'3401'!Number_of_FTE</vt:lpstr>
      <vt:lpstr>'3411'!Number_of_FTE</vt:lpstr>
      <vt:lpstr>'3413'!Number_of_FTE</vt:lpstr>
      <vt:lpstr>'3413 June Final'!Number_of_FTE</vt:lpstr>
      <vt:lpstr>'3421'!Number_of_FTE</vt:lpstr>
      <vt:lpstr>'3431'!Number_of_FTE</vt:lpstr>
      <vt:lpstr>'3431 June Final'!Number_of_FTE</vt:lpstr>
      <vt:lpstr>'3441'!Number_of_FTE</vt:lpstr>
      <vt:lpstr>'3443'!Number_of_FTE</vt:lpstr>
      <vt:lpstr>'3941'!Number_of_FTE</vt:lpstr>
      <vt:lpstr>'3941 June Final'!Number_of_FTE</vt:lpstr>
      <vt:lpstr>'3961'!Number_of_FTE</vt:lpstr>
      <vt:lpstr>'3961 June Final'!Number_of_FTE</vt:lpstr>
      <vt:lpstr>'3971'!Number_of_FTE</vt:lpstr>
      <vt:lpstr>'4000'!Number_of_FTE</vt:lpstr>
      <vt:lpstr>'4000 June Final'!Number_of_FTE</vt:lpstr>
      <vt:lpstr>'4002'!Number_of_FTE</vt:lpstr>
      <vt:lpstr>'4002 June Final'!Number_of_FTE</vt:lpstr>
      <vt:lpstr>'4010'!Number_of_FTE</vt:lpstr>
      <vt:lpstr>'4012'!Number_of_FTE</vt:lpstr>
      <vt:lpstr>'4013'!Number_of_FTE</vt:lpstr>
      <vt:lpstr>'4020'!Number_of_FTE</vt:lpstr>
      <vt:lpstr>'4020 June Final'!Number_of_FTE</vt:lpstr>
      <vt:lpstr>'4020 June Tch Alloc.'!Number_of_FTE</vt:lpstr>
      <vt:lpstr>'4037'!Number_of_FTE</vt:lpstr>
      <vt:lpstr>'4037 June Final'!Number_of_FTE</vt:lpstr>
      <vt:lpstr>'4041'!Number_of_FTE</vt:lpstr>
      <vt:lpstr>'0054'!Per_Student</vt:lpstr>
      <vt:lpstr>'0054 June Final'!Per_Student</vt:lpstr>
      <vt:lpstr>'0642'!Per_Student</vt:lpstr>
      <vt:lpstr>'0642 June Final'!Per_Student</vt:lpstr>
      <vt:lpstr>'0664'!Per_Student</vt:lpstr>
      <vt:lpstr>'0664 June Final'!Per_Student</vt:lpstr>
      <vt:lpstr>'1461'!Per_Student</vt:lpstr>
      <vt:lpstr>'1571'!Per_Student</vt:lpstr>
      <vt:lpstr>'2521'!Per_Student</vt:lpstr>
      <vt:lpstr>'2531'!Per_Student</vt:lpstr>
      <vt:lpstr>'2531 June final'!Per_Student</vt:lpstr>
      <vt:lpstr>'2641'!Per_Student</vt:lpstr>
      <vt:lpstr>'2641 June Final'!Per_Student</vt:lpstr>
      <vt:lpstr>'2661'!Per_Student</vt:lpstr>
      <vt:lpstr>'2661 June Final'!Per_Student</vt:lpstr>
      <vt:lpstr>'2791'!Per_Student</vt:lpstr>
      <vt:lpstr>'2791 June final'!Per_Student</vt:lpstr>
      <vt:lpstr>'2801'!Per_Student</vt:lpstr>
      <vt:lpstr>'2801 June Final'!Per_Student</vt:lpstr>
      <vt:lpstr>'2911'!Per_Student</vt:lpstr>
      <vt:lpstr>'2911 June final'!Per_Student</vt:lpstr>
      <vt:lpstr>'2941'!Per_Student</vt:lpstr>
      <vt:lpstr>'2941 June final'!Per_Student</vt:lpstr>
      <vt:lpstr>'3083'!Per_Student</vt:lpstr>
      <vt:lpstr>'3344'!Per_Student</vt:lpstr>
      <vt:lpstr>'3345'!Per_Student</vt:lpstr>
      <vt:lpstr>'3347'!Per_Student</vt:lpstr>
      <vt:lpstr>'3381'!Per_Student</vt:lpstr>
      <vt:lpstr>'3381 June Final'!Per_Student</vt:lpstr>
      <vt:lpstr>'3382'!Per_Student</vt:lpstr>
      <vt:lpstr>'3382 June Final'!Per_Student</vt:lpstr>
      <vt:lpstr>'3384'!Per_Student</vt:lpstr>
      <vt:lpstr>'3384 June Final'!Per_Student</vt:lpstr>
      <vt:lpstr>'3385'!Per_Student</vt:lpstr>
      <vt:lpstr>'3385 June Final'!Per_Student</vt:lpstr>
      <vt:lpstr>'3386'!Per_Student</vt:lpstr>
      <vt:lpstr>'3391'!Per_Student</vt:lpstr>
      <vt:lpstr>'3392'!Per_Student</vt:lpstr>
      <vt:lpstr>'3392 June Final'!Per_Student</vt:lpstr>
      <vt:lpstr>'3394'!Per_Student</vt:lpstr>
      <vt:lpstr>'3394 June Final'!Per_Student</vt:lpstr>
      <vt:lpstr>'3395'!Per_Student</vt:lpstr>
      <vt:lpstr>'3395 June Final'!Per_Student</vt:lpstr>
      <vt:lpstr>'3396'!Per_Student</vt:lpstr>
      <vt:lpstr>'3398'!Per_Student</vt:lpstr>
      <vt:lpstr>'3400'!Per_Student</vt:lpstr>
      <vt:lpstr>'3401'!Per_Student</vt:lpstr>
      <vt:lpstr>'3411'!Per_Student</vt:lpstr>
      <vt:lpstr>'3413'!Per_Student</vt:lpstr>
      <vt:lpstr>'3413 June Final'!Per_Student</vt:lpstr>
      <vt:lpstr>'3421'!Per_Student</vt:lpstr>
      <vt:lpstr>'3431'!Per_Student</vt:lpstr>
      <vt:lpstr>'3431 June Final'!Per_Student</vt:lpstr>
      <vt:lpstr>'3441'!Per_Student</vt:lpstr>
      <vt:lpstr>'3443'!Per_Student</vt:lpstr>
      <vt:lpstr>'3941'!Per_Student</vt:lpstr>
      <vt:lpstr>'3941 June Final'!Per_Student</vt:lpstr>
      <vt:lpstr>'3961'!Per_Student</vt:lpstr>
      <vt:lpstr>'3961 June Final'!Per_Student</vt:lpstr>
      <vt:lpstr>'3971'!Per_Student</vt:lpstr>
      <vt:lpstr>'4000'!Per_Student</vt:lpstr>
      <vt:lpstr>'4000 June Final'!Per_Student</vt:lpstr>
      <vt:lpstr>'4002'!Per_Student</vt:lpstr>
      <vt:lpstr>'4002 June Final'!Per_Student</vt:lpstr>
      <vt:lpstr>'4010'!Per_Student</vt:lpstr>
      <vt:lpstr>'4012'!Per_Student</vt:lpstr>
      <vt:lpstr>'4013'!Per_Student</vt:lpstr>
      <vt:lpstr>'4020'!Per_Student</vt:lpstr>
      <vt:lpstr>'4020 June Final'!Per_Student</vt:lpstr>
      <vt:lpstr>'4020 June Tch Alloc.'!Per_Student</vt:lpstr>
      <vt:lpstr>'4037'!Per_Student</vt:lpstr>
      <vt:lpstr>'4037 June Final'!Per_Student</vt:lpstr>
      <vt:lpstr>'4041'!Per_Student</vt:lpstr>
      <vt:lpstr>'0054'!PK___3</vt:lpstr>
      <vt:lpstr>'0054 June Final'!PK___3</vt:lpstr>
      <vt:lpstr>'0642'!PK___3</vt:lpstr>
      <vt:lpstr>'0642 June Final'!PK___3</vt:lpstr>
      <vt:lpstr>'0664'!PK___3</vt:lpstr>
      <vt:lpstr>'0664 June Final'!PK___3</vt:lpstr>
      <vt:lpstr>'1461'!PK___3</vt:lpstr>
      <vt:lpstr>'1571'!PK___3</vt:lpstr>
      <vt:lpstr>'2521'!PK___3</vt:lpstr>
      <vt:lpstr>'2531'!PK___3</vt:lpstr>
      <vt:lpstr>'2531 June final'!PK___3</vt:lpstr>
      <vt:lpstr>'2641'!PK___3</vt:lpstr>
      <vt:lpstr>'2641 June Final'!PK___3</vt:lpstr>
      <vt:lpstr>'2661'!PK___3</vt:lpstr>
      <vt:lpstr>'2661 June Final'!PK___3</vt:lpstr>
      <vt:lpstr>'2791'!PK___3</vt:lpstr>
      <vt:lpstr>'2791 June final'!PK___3</vt:lpstr>
      <vt:lpstr>'2801'!PK___3</vt:lpstr>
      <vt:lpstr>'2801 June Final'!PK___3</vt:lpstr>
      <vt:lpstr>'2911'!PK___3</vt:lpstr>
      <vt:lpstr>'2911 June final'!PK___3</vt:lpstr>
      <vt:lpstr>'2941'!PK___3</vt:lpstr>
      <vt:lpstr>'2941 June final'!PK___3</vt:lpstr>
      <vt:lpstr>'3083'!PK___3</vt:lpstr>
      <vt:lpstr>'3344'!PK___3</vt:lpstr>
      <vt:lpstr>'3345'!PK___3</vt:lpstr>
      <vt:lpstr>'3347'!PK___3</vt:lpstr>
      <vt:lpstr>'3381'!PK___3</vt:lpstr>
      <vt:lpstr>'3381 June Final'!PK___3</vt:lpstr>
      <vt:lpstr>'3382'!PK___3</vt:lpstr>
      <vt:lpstr>'3382 June Final'!PK___3</vt:lpstr>
      <vt:lpstr>'3384'!PK___3</vt:lpstr>
      <vt:lpstr>'3384 June Final'!PK___3</vt:lpstr>
      <vt:lpstr>'3385'!PK___3</vt:lpstr>
      <vt:lpstr>'3385 June Final'!PK___3</vt:lpstr>
      <vt:lpstr>'3386'!PK___3</vt:lpstr>
      <vt:lpstr>'3391'!PK___3</vt:lpstr>
      <vt:lpstr>'3392'!PK___3</vt:lpstr>
      <vt:lpstr>'3392 June Final'!PK___3</vt:lpstr>
      <vt:lpstr>'3394'!PK___3</vt:lpstr>
      <vt:lpstr>'3394 June Final'!PK___3</vt:lpstr>
      <vt:lpstr>'3395'!PK___3</vt:lpstr>
      <vt:lpstr>'3395 June Final'!PK___3</vt:lpstr>
      <vt:lpstr>'3396'!PK___3</vt:lpstr>
      <vt:lpstr>'3398'!PK___3</vt:lpstr>
      <vt:lpstr>'3400'!PK___3</vt:lpstr>
      <vt:lpstr>'3401'!PK___3</vt:lpstr>
      <vt:lpstr>'3411'!PK___3</vt:lpstr>
      <vt:lpstr>'3413'!PK___3</vt:lpstr>
      <vt:lpstr>'3413 June Final'!PK___3</vt:lpstr>
      <vt:lpstr>'3421'!PK___3</vt:lpstr>
      <vt:lpstr>'3431'!PK___3</vt:lpstr>
      <vt:lpstr>'3431 June Final'!PK___3</vt:lpstr>
      <vt:lpstr>'3441'!PK___3</vt:lpstr>
      <vt:lpstr>'3443'!PK___3</vt:lpstr>
      <vt:lpstr>'3941'!PK___3</vt:lpstr>
      <vt:lpstr>'3941 June Final'!PK___3</vt:lpstr>
      <vt:lpstr>'3961'!PK___3</vt:lpstr>
      <vt:lpstr>'3961 June Final'!PK___3</vt:lpstr>
      <vt:lpstr>'3971'!PK___3</vt:lpstr>
      <vt:lpstr>'4000'!PK___3</vt:lpstr>
      <vt:lpstr>'4000 June Final'!PK___3</vt:lpstr>
      <vt:lpstr>'4002'!PK___3</vt:lpstr>
      <vt:lpstr>'4002 June Final'!PK___3</vt:lpstr>
      <vt:lpstr>'4010'!PK___3</vt:lpstr>
      <vt:lpstr>'4012'!PK___3</vt:lpstr>
      <vt:lpstr>'4013'!PK___3</vt:lpstr>
      <vt:lpstr>'4020'!PK___3</vt:lpstr>
      <vt:lpstr>'4020 June Final'!PK___3</vt:lpstr>
      <vt:lpstr>'4020 June Tch Alloc.'!PK___3</vt:lpstr>
      <vt:lpstr>'4037'!PK___3</vt:lpstr>
      <vt:lpstr>'4037 June Final'!PK___3</vt:lpstr>
      <vt:lpstr>'4041'!PK___3</vt:lpstr>
      <vt:lpstr>'0054'!Print_Area</vt:lpstr>
      <vt:lpstr>'0054 June Final'!Print_Area</vt:lpstr>
      <vt:lpstr>'0642'!Print_Area</vt:lpstr>
      <vt:lpstr>'0642 June Final'!Print_Area</vt:lpstr>
      <vt:lpstr>'0664'!Print_Area</vt:lpstr>
      <vt:lpstr>'0664 June Final'!Print_Area</vt:lpstr>
      <vt:lpstr>'1461'!Print_Area</vt:lpstr>
      <vt:lpstr>'1571'!Print_Area</vt:lpstr>
      <vt:lpstr>'2521'!Print_Area</vt:lpstr>
      <vt:lpstr>'2531'!Print_Area</vt:lpstr>
      <vt:lpstr>'2531 June final'!Print_Area</vt:lpstr>
      <vt:lpstr>'2641'!Print_Area</vt:lpstr>
      <vt:lpstr>'2641 June Final'!Print_Area</vt:lpstr>
      <vt:lpstr>'2661'!Print_Area</vt:lpstr>
      <vt:lpstr>'2661 June Final'!Print_Area</vt:lpstr>
      <vt:lpstr>'2791'!Print_Area</vt:lpstr>
      <vt:lpstr>'2791 June final'!Print_Area</vt:lpstr>
      <vt:lpstr>'2801'!Print_Area</vt:lpstr>
      <vt:lpstr>'2801 June Final'!Print_Area</vt:lpstr>
      <vt:lpstr>'2911'!Print_Area</vt:lpstr>
      <vt:lpstr>'2911 June final'!Print_Area</vt:lpstr>
      <vt:lpstr>'2941'!Print_Area</vt:lpstr>
      <vt:lpstr>'2941 June final'!Print_Area</vt:lpstr>
      <vt:lpstr>'3083'!Print_Area</vt:lpstr>
      <vt:lpstr>'3344'!Print_Area</vt:lpstr>
      <vt:lpstr>'3345'!Print_Area</vt:lpstr>
      <vt:lpstr>'3347'!Print_Area</vt:lpstr>
      <vt:lpstr>'3381'!Print_Area</vt:lpstr>
      <vt:lpstr>'3381 June Final'!Print_Area</vt:lpstr>
      <vt:lpstr>'3382'!Print_Area</vt:lpstr>
      <vt:lpstr>'3382 June Final'!Print_Area</vt:lpstr>
      <vt:lpstr>'3384'!Print_Area</vt:lpstr>
      <vt:lpstr>'3384 June Final'!Print_Area</vt:lpstr>
      <vt:lpstr>'3385'!Print_Area</vt:lpstr>
      <vt:lpstr>'3385 June Final'!Print_Area</vt:lpstr>
      <vt:lpstr>'3386'!Print_Area</vt:lpstr>
      <vt:lpstr>'3391'!Print_Area</vt:lpstr>
      <vt:lpstr>'3392'!Print_Area</vt:lpstr>
      <vt:lpstr>'3392 June Final'!Print_Area</vt:lpstr>
      <vt:lpstr>'3394'!Print_Area</vt:lpstr>
      <vt:lpstr>'3394 June Final'!Print_Area</vt:lpstr>
      <vt:lpstr>'3395'!Print_Area</vt:lpstr>
      <vt:lpstr>'3395 June Final'!Print_Area</vt:lpstr>
      <vt:lpstr>'3396'!Print_Area</vt:lpstr>
      <vt:lpstr>'3398'!Print_Area</vt:lpstr>
      <vt:lpstr>'3400'!Print_Area</vt:lpstr>
      <vt:lpstr>'3401'!Print_Area</vt:lpstr>
      <vt:lpstr>'3411'!Print_Area</vt:lpstr>
      <vt:lpstr>'3413'!Print_Area</vt:lpstr>
      <vt:lpstr>'3413 June Final'!Print_Area</vt:lpstr>
      <vt:lpstr>'3421'!Print_Area</vt:lpstr>
      <vt:lpstr>'3431'!Print_Area</vt:lpstr>
      <vt:lpstr>'3431 June Final'!Print_Area</vt:lpstr>
      <vt:lpstr>'3441'!Print_Area</vt:lpstr>
      <vt:lpstr>'3443'!Print_Area</vt:lpstr>
      <vt:lpstr>'3941'!Print_Area</vt:lpstr>
      <vt:lpstr>'3941 June Final'!Print_Area</vt:lpstr>
      <vt:lpstr>'3961'!Print_Area</vt:lpstr>
      <vt:lpstr>'3961 June Final'!Print_Area</vt:lpstr>
      <vt:lpstr>'3971'!Print_Area</vt:lpstr>
      <vt:lpstr>'4000'!Print_Area</vt:lpstr>
      <vt:lpstr>'4000 June Final'!Print_Area</vt:lpstr>
      <vt:lpstr>'4002'!Print_Area</vt:lpstr>
      <vt:lpstr>'4002 June Final'!Print_Area</vt:lpstr>
      <vt:lpstr>'4010'!Print_Area</vt:lpstr>
      <vt:lpstr>'4012'!Print_Area</vt:lpstr>
      <vt:lpstr>'4013'!Print_Area</vt:lpstr>
      <vt:lpstr>'4020'!Print_Area</vt:lpstr>
      <vt:lpstr>'4020 June Final'!Print_Area</vt:lpstr>
      <vt:lpstr>'4020 June Tch Alloc.'!Print_Area</vt:lpstr>
      <vt:lpstr>'4037'!Print_Area</vt:lpstr>
      <vt:lpstr>'4037 June Final'!Print_Area</vt:lpstr>
      <vt:lpstr>'4040'!Print_Area</vt:lpstr>
      <vt:lpstr>'4041'!Print_Area</vt:lpstr>
      <vt:lpstr>'Net Payment'!Print_Area</vt:lpstr>
      <vt:lpstr>'Net Payment'!Print_Titles</vt:lpstr>
      <vt:lpstr>'0054'!Program</vt:lpstr>
      <vt:lpstr>'0054 June Final'!Program</vt:lpstr>
      <vt:lpstr>'0642'!Program</vt:lpstr>
      <vt:lpstr>'0642 June Final'!Program</vt:lpstr>
      <vt:lpstr>'0664'!Program</vt:lpstr>
      <vt:lpstr>'0664 June Final'!Program</vt:lpstr>
      <vt:lpstr>'1461'!Program</vt:lpstr>
      <vt:lpstr>'1571'!Program</vt:lpstr>
      <vt:lpstr>'2521'!Program</vt:lpstr>
      <vt:lpstr>'2531'!Program</vt:lpstr>
      <vt:lpstr>'2531 June final'!Program</vt:lpstr>
      <vt:lpstr>'2641'!Program</vt:lpstr>
      <vt:lpstr>'2641 June Final'!Program</vt:lpstr>
      <vt:lpstr>'2661'!Program</vt:lpstr>
      <vt:lpstr>'2661 June Final'!Program</vt:lpstr>
      <vt:lpstr>'2791'!Program</vt:lpstr>
      <vt:lpstr>'2791 June final'!Program</vt:lpstr>
      <vt:lpstr>'2801'!Program</vt:lpstr>
      <vt:lpstr>'2801 June Final'!Program</vt:lpstr>
      <vt:lpstr>'2911'!Program</vt:lpstr>
      <vt:lpstr>'2911 June final'!Program</vt:lpstr>
      <vt:lpstr>'2941'!Program</vt:lpstr>
      <vt:lpstr>'2941 June final'!Program</vt:lpstr>
      <vt:lpstr>'3083'!Program</vt:lpstr>
      <vt:lpstr>'3344'!Program</vt:lpstr>
      <vt:lpstr>'3345'!Program</vt:lpstr>
      <vt:lpstr>'3347'!Program</vt:lpstr>
      <vt:lpstr>'3381'!Program</vt:lpstr>
      <vt:lpstr>'3381 June Final'!Program</vt:lpstr>
      <vt:lpstr>'3382'!Program</vt:lpstr>
      <vt:lpstr>'3382 June Final'!Program</vt:lpstr>
      <vt:lpstr>'3384'!Program</vt:lpstr>
      <vt:lpstr>'3384 June Final'!Program</vt:lpstr>
      <vt:lpstr>'3385'!Program</vt:lpstr>
      <vt:lpstr>'3385 June Final'!Program</vt:lpstr>
      <vt:lpstr>'3386'!Program</vt:lpstr>
      <vt:lpstr>'3391'!Program</vt:lpstr>
      <vt:lpstr>'3392'!Program</vt:lpstr>
      <vt:lpstr>'3392 June Final'!Program</vt:lpstr>
      <vt:lpstr>'3394'!Program</vt:lpstr>
      <vt:lpstr>'3394 June Final'!Program</vt:lpstr>
      <vt:lpstr>'3395'!Program</vt:lpstr>
      <vt:lpstr>'3395 June Final'!Program</vt:lpstr>
      <vt:lpstr>'3396'!Program</vt:lpstr>
      <vt:lpstr>'3398'!Program</vt:lpstr>
      <vt:lpstr>'3400'!Program</vt:lpstr>
      <vt:lpstr>'3401'!Program</vt:lpstr>
      <vt:lpstr>'3411'!Program</vt:lpstr>
      <vt:lpstr>'3413'!Program</vt:lpstr>
      <vt:lpstr>'3413 June Final'!Program</vt:lpstr>
      <vt:lpstr>'3421'!Program</vt:lpstr>
      <vt:lpstr>'3431'!Program</vt:lpstr>
      <vt:lpstr>'3431 June Final'!Program</vt:lpstr>
      <vt:lpstr>'3441'!Program</vt:lpstr>
      <vt:lpstr>'3443'!Program</vt:lpstr>
      <vt:lpstr>'3941'!Program</vt:lpstr>
      <vt:lpstr>'3941 June Final'!Program</vt:lpstr>
      <vt:lpstr>'3961'!Program</vt:lpstr>
      <vt:lpstr>'3961 June Final'!Program</vt:lpstr>
      <vt:lpstr>'3971'!Program</vt:lpstr>
      <vt:lpstr>'4000'!Program</vt:lpstr>
      <vt:lpstr>'4000 June Final'!Program</vt:lpstr>
      <vt:lpstr>'4002'!Program</vt:lpstr>
      <vt:lpstr>'4002 June Final'!Program</vt:lpstr>
      <vt:lpstr>'4010'!Program</vt:lpstr>
      <vt:lpstr>'4012'!Program</vt:lpstr>
      <vt:lpstr>'4013'!Program</vt:lpstr>
      <vt:lpstr>'4020'!Program</vt:lpstr>
      <vt:lpstr>'4020 June Final'!Program</vt:lpstr>
      <vt:lpstr>'4020 June Tch Alloc.'!Program</vt:lpstr>
      <vt:lpstr>'4037'!Program</vt:lpstr>
      <vt:lpstr>'4037 June Final'!Program</vt:lpstr>
      <vt:lpstr>'4041'!Program</vt:lpstr>
      <vt:lpstr>'0054'!Program______________________________Cost_Factor</vt:lpstr>
      <vt:lpstr>'0054 June Final'!Program______________________________Cost_Factor</vt:lpstr>
      <vt:lpstr>'0642'!Program______________________________Cost_Factor</vt:lpstr>
      <vt:lpstr>'0642 June Final'!Program______________________________Cost_Factor</vt:lpstr>
      <vt:lpstr>'0664'!Program______________________________Cost_Factor</vt:lpstr>
      <vt:lpstr>'0664 June Final'!Program______________________________Cost_Factor</vt:lpstr>
      <vt:lpstr>'1461'!Program______________________________Cost_Factor</vt:lpstr>
      <vt:lpstr>'1571'!Program______________________________Cost_Factor</vt:lpstr>
      <vt:lpstr>'2521'!Program______________________________Cost_Factor</vt:lpstr>
      <vt:lpstr>'2531'!Program______________________________Cost_Factor</vt:lpstr>
      <vt:lpstr>'2531 June final'!Program______________________________Cost_Factor</vt:lpstr>
      <vt:lpstr>'2641'!Program______________________________Cost_Factor</vt:lpstr>
      <vt:lpstr>'2641 June Final'!Program______________________________Cost_Factor</vt:lpstr>
      <vt:lpstr>'2661'!Program______________________________Cost_Factor</vt:lpstr>
      <vt:lpstr>'2661 June Final'!Program______________________________Cost_Factor</vt:lpstr>
      <vt:lpstr>'2791'!Program______________________________Cost_Factor</vt:lpstr>
      <vt:lpstr>'2791 June final'!Program______________________________Cost_Factor</vt:lpstr>
      <vt:lpstr>'2801'!Program______________________________Cost_Factor</vt:lpstr>
      <vt:lpstr>'2801 June Final'!Program______________________________Cost_Factor</vt:lpstr>
      <vt:lpstr>'2911'!Program______________________________Cost_Factor</vt:lpstr>
      <vt:lpstr>'2911 June final'!Program______________________________Cost_Factor</vt:lpstr>
      <vt:lpstr>'2941'!Program______________________________Cost_Factor</vt:lpstr>
      <vt:lpstr>'2941 June final'!Program______________________________Cost_Factor</vt:lpstr>
      <vt:lpstr>'3083'!Program______________________________Cost_Factor</vt:lpstr>
      <vt:lpstr>'3344'!Program______________________________Cost_Factor</vt:lpstr>
      <vt:lpstr>'3345'!Program______________________________Cost_Factor</vt:lpstr>
      <vt:lpstr>'3347'!Program______________________________Cost_Factor</vt:lpstr>
      <vt:lpstr>'3381'!Program______________________________Cost_Factor</vt:lpstr>
      <vt:lpstr>'3381 June Final'!Program______________________________Cost_Factor</vt:lpstr>
      <vt:lpstr>'3382'!Program______________________________Cost_Factor</vt:lpstr>
      <vt:lpstr>'3382 June Final'!Program______________________________Cost_Factor</vt:lpstr>
      <vt:lpstr>'3384'!Program______________________________Cost_Factor</vt:lpstr>
      <vt:lpstr>'3384 June Final'!Program______________________________Cost_Factor</vt:lpstr>
      <vt:lpstr>'3385'!Program______________________________Cost_Factor</vt:lpstr>
      <vt:lpstr>'3385 June Final'!Program______________________________Cost_Factor</vt:lpstr>
      <vt:lpstr>'3386'!Program______________________________Cost_Factor</vt:lpstr>
      <vt:lpstr>'3391'!Program______________________________Cost_Factor</vt:lpstr>
      <vt:lpstr>'3392'!Program______________________________Cost_Factor</vt:lpstr>
      <vt:lpstr>'3392 June Final'!Program______________________________Cost_Factor</vt:lpstr>
      <vt:lpstr>'3394'!Program______________________________Cost_Factor</vt:lpstr>
      <vt:lpstr>'3394 June Final'!Program______________________________Cost_Factor</vt:lpstr>
      <vt:lpstr>'3395'!Program______________________________Cost_Factor</vt:lpstr>
      <vt:lpstr>'3395 June Final'!Program______________________________Cost_Factor</vt:lpstr>
      <vt:lpstr>'3396'!Program______________________________Cost_Factor</vt:lpstr>
      <vt:lpstr>'3398'!Program______________________________Cost_Factor</vt:lpstr>
      <vt:lpstr>'3400'!Program______________________________Cost_Factor</vt:lpstr>
      <vt:lpstr>'3401'!Program______________________________Cost_Factor</vt:lpstr>
      <vt:lpstr>'3411'!Program______________________________Cost_Factor</vt:lpstr>
      <vt:lpstr>'3413'!Program______________________________Cost_Factor</vt:lpstr>
      <vt:lpstr>'3413 June Final'!Program______________________________Cost_Factor</vt:lpstr>
      <vt:lpstr>'3421'!Program______________________________Cost_Factor</vt:lpstr>
      <vt:lpstr>'3431'!Program______________________________Cost_Factor</vt:lpstr>
      <vt:lpstr>'3431 June Final'!Program______________________________Cost_Factor</vt:lpstr>
      <vt:lpstr>'3441'!Program______________________________Cost_Factor</vt:lpstr>
      <vt:lpstr>'3443'!Program______________________________Cost_Factor</vt:lpstr>
      <vt:lpstr>'3941'!Program______________________________Cost_Factor</vt:lpstr>
      <vt:lpstr>'3941 June Final'!Program______________________________Cost_Factor</vt:lpstr>
      <vt:lpstr>'3961'!Program______________________________Cost_Factor</vt:lpstr>
      <vt:lpstr>'3961 June Final'!Program______________________________Cost_Factor</vt:lpstr>
      <vt:lpstr>'3971'!Program______________________________Cost_Factor</vt:lpstr>
      <vt:lpstr>'4000'!Program______________________________Cost_Factor</vt:lpstr>
      <vt:lpstr>'4000 June Final'!Program______________________________Cost_Factor</vt:lpstr>
      <vt:lpstr>'4002'!Program______________________________Cost_Factor</vt:lpstr>
      <vt:lpstr>'4002 June Final'!Program______________________________Cost_Factor</vt:lpstr>
      <vt:lpstr>'4010'!Program______________________________Cost_Factor</vt:lpstr>
      <vt:lpstr>'4012'!Program______________________________Cost_Factor</vt:lpstr>
      <vt:lpstr>'4013'!Program______________________________Cost_Factor</vt:lpstr>
      <vt:lpstr>'4020'!Program______________________________Cost_Factor</vt:lpstr>
      <vt:lpstr>'4020 June Final'!Program______________________________Cost_Factor</vt:lpstr>
      <vt:lpstr>'4020 June Tch Alloc.'!Program______________________________Cost_Factor</vt:lpstr>
      <vt:lpstr>'4037'!Program______________________________Cost_Factor</vt:lpstr>
      <vt:lpstr>'4037 June Final'!Program______________________________Cost_Factor</vt:lpstr>
      <vt:lpstr>'4041'!Program______________________________Cost_Factor</vt:lpstr>
      <vt:lpstr>'0054'!Revenue_Estimate_Worksheet_for___________Charter_School</vt:lpstr>
      <vt:lpstr>'0054 June Final'!Revenue_Estimate_Worksheet_for___________Charter_School</vt:lpstr>
      <vt:lpstr>'0642'!Revenue_Estimate_Worksheet_for___________Charter_School</vt:lpstr>
      <vt:lpstr>'0642 June Final'!Revenue_Estimate_Worksheet_for___________Charter_School</vt:lpstr>
      <vt:lpstr>'0664'!Revenue_Estimate_Worksheet_for___________Charter_School</vt:lpstr>
      <vt:lpstr>'0664 June Final'!Revenue_Estimate_Worksheet_for___________Charter_School</vt:lpstr>
      <vt:lpstr>'1461'!Revenue_Estimate_Worksheet_for___________Charter_School</vt:lpstr>
      <vt:lpstr>'1571'!Revenue_Estimate_Worksheet_for___________Charter_School</vt:lpstr>
      <vt:lpstr>'2521'!Revenue_Estimate_Worksheet_for___________Charter_School</vt:lpstr>
      <vt:lpstr>'2531'!Revenue_Estimate_Worksheet_for___________Charter_School</vt:lpstr>
      <vt:lpstr>'2531 June final'!Revenue_Estimate_Worksheet_for___________Charter_School</vt:lpstr>
      <vt:lpstr>'2641'!Revenue_Estimate_Worksheet_for___________Charter_School</vt:lpstr>
      <vt:lpstr>'2641 June Final'!Revenue_Estimate_Worksheet_for___________Charter_School</vt:lpstr>
      <vt:lpstr>'2661'!Revenue_Estimate_Worksheet_for___________Charter_School</vt:lpstr>
      <vt:lpstr>'2661 June Final'!Revenue_Estimate_Worksheet_for___________Charter_School</vt:lpstr>
      <vt:lpstr>'2791'!Revenue_Estimate_Worksheet_for___________Charter_School</vt:lpstr>
      <vt:lpstr>'2791 June final'!Revenue_Estimate_Worksheet_for___________Charter_School</vt:lpstr>
      <vt:lpstr>'2801'!Revenue_Estimate_Worksheet_for___________Charter_School</vt:lpstr>
      <vt:lpstr>'2801 June Final'!Revenue_Estimate_Worksheet_for___________Charter_School</vt:lpstr>
      <vt:lpstr>'2911'!Revenue_Estimate_Worksheet_for___________Charter_School</vt:lpstr>
      <vt:lpstr>'2911 June final'!Revenue_Estimate_Worksheet_for___________Charter_School</vt:lpstr>
      <vt:lpstr>'2941'!Revenue_Estimate_Worksheet_for___________Charter_School</vt:lpstr>
      <vt:lpstr>'2941 June final'!Revenue_Estimate_Worksheet_for___________Charter_School</vt:lpstr>
      <vt:lpstr>'3083'!Revenue_Estimate_Worksheet_for___________Charter_School</vt:lpstr>
      <vt:lpstr>'3344'!Revenue_Estimate_Worksheet_for___________Charter_School</vt:lpstr>
      <vt:lpstr>'3345'!Revenue_Estimate_Worksheet_for___________Charter_School</vt:lpstr>
      <vt:lpstr>'3347'!Revenue_Estimate_Worksheet_for___________Charter_School</vt:lpstr>
      <vt:lpstr>'3381'!Revenue_Estimate_Worksheet_for___________Charter_School</vt:lpstr>
      <vt:lpstr>'3381 June Final'!Revenue_Estimate_Worksheet_for___________Charter_School</vt:lpstr>
      <vt:lpstr>'3382'!Revenue_Estimate_Worksheet_for___________Charter_School</vt:lpstr>
      <vt:lpstr>'3382 June Final'!Revenue_Estimate_Worksheet_for___________Charter_School</vt:lpstr>
      <vt:lpstr>'3384'!Revenue_Estimate_Worksheet_for___________Charter_School</vt:lpstr>
      <vt:lpstr>'3384 June Final'!Revenue_Estimate_Worksheet_for___________Charter_School</vt:lpstr>
      <vt:lpstr>'3385'!Revenue_Estimate_Worksheet_for___________Charter_School</vt:lpstr>
      <vt:lpstr>'3385 June Final'!Revenue_Estimate_Worksheet_for___________Charter_School</vt:lpstr>
      <vt:lpstr>'3386'!Revenue_Estimate_Worksheet_for___________Charter_School</vt:lpstr>
      <vt:lpstr>'3391'!Revenue_Estimate_Worksheet_for___________Charter_School</vt:lpstr>
      <vt:lpstr>'3392'!Revenue_Estimate_Worksheet_for___________Charter_School</vt:lpstr>
      <vt:lpstr>'3392 June Final'!Revenue_Estimate_Worksheet_for___________Charter_School</vt:lpstr>
      <vt:lpstr>'3394'!Revenue_Estimate_Worksheet_for___________Charter_School</vt:lpstr>
      <vt:lpstr>'3394 June Final'!Revenue_Estimate_Worksheet_for___________Charter_School</vt:lpstr>
      <vt:lpstr>'3395'!Revenue_Estimate_Worksheet_for___________Charter_School</vt:lpstr>
      <vt:lpstr>'3395 June Final'!Revenue_Estimate_Worksheet_for___________Charter_School</vt:lpstr>
      <vt:lpstr>'3396'!Revenue_Estimate_Worksheet_for___________Charter_School</vt:lpstr>
      <vt:lpstr>'3398'!Revenue_Estimate_Worksheet_for___________Charter_School</vt:lpstr>
      <vt:lpstr>'3400'!Revenue_Estimate_Worksheet_for___________Charter_School</vt:lpstr>
      <vt:lpstr>'3401'!Revenue_Estimate_Worksheet_for___________Charter_School</vt:lpstr>
      <vt:lpstr>'3411'!Revenue_Estimate_Worksheet_for___________Charter_School</vt:lpstr>
      <vt:lpstr>'3413'!Revenue_Estimate_Worksheet_for___________Charter_School</vt:lpstr>
      <vt:lpstr>'3413 June Final'!Revenue_Estimate_Worksheet_for___________Charter_School</vt:lpstr>
      <vt:lpstr>'3421'!Revenue_Estimate_Worksheet_for___________Charter_School</vt:lpstr>
      <vt:lpstr>'3431'!Revenue_Estimate_Worksheet_for___________Charter_School</vt:lpstr>
      <vt:lpstr>'3431 June Final'!Revenue_Estimate_Worksheet_for___________Charter_School</vt:lpstr>
      <vt:lpstr>'3441'!Revenue_Estimate_Worksheet_for___________Charter_School</vt:lpstr>
      <vt:lpstr>'3443'!Revenue_Estimate_Worksheet_for___________Charter_School</vt:lpstr>
      <vt:lpstr>'3941'!Revenue_Estimate_Worksheet_for___________Charter_School</vt:lpstr>
      <vt:lpstr>'3941 June Final'!Revenue_Estimate_Worksheet_for___________Charter_School</vt:lpstr>
      <vt:lpstr>'3961'!Revenue_Estimate_Worksheet_for___________Charter_School</vt:lpstr>
      <vt:lpstr>'3961 June Final'!Revenue_Estimate_Worksheet_for___________Charter_School</vt:lpstr>
      <vt:lpstr>'3971'!Revenue_Estimate_Worksheet_for___________Charter_School</vt:lpstr>
      <vt:lpstr>'4000'!Revenue_Estimate_Worksheet_for___________Charter_School</vt:lpstr>
      <vt:lpstr>'4000 June Final'!Revenue_Estimate_Worksheet_for___________Charter_School</vt:lpstr>
      <vt:lpstr>'4002'!Revenue_Estimate_Worksheet_for___________Charter_School</vt:lpstr>
      <vt:lpstr>'4002 June Final'!Revenue_Estimate_Worksheet_for___________Charter_School</vt:lpstr>
      <vt:lpstr>'4010'!Revenue_Estimate_Worksheet_for___________Charter_School</vt:lpstr>
      <vt:lpstr>'4012'!Revenue_Estimate_Worksheet_for___________Charter_School</vt:lpstr>
      <vt:lpstr>'4013'!Revenue_Estimate_Worksheet_for___________Charter_School</vt:lpstr>
      <vt:lpstr>'4020'!Revenue_Estimate_Worksheet_for___________Charter_School</vt:lpstr>
      <vt:lpstr>'4020 June Final'!Revenue_Estimate_Worksheet_for___________Charter_School</vt:lpstr>
      <vt:lpstr>'4020 June Tch Alloc.'!Revenue_Estimate_Worksheet_for___________Charter_School</vt:lpstr>
      <vt:lpstr>'4037'!Revenue_Estimate_Worksheet_for___________Charter_School</vt:lpstr>
      <vt:lpstr>'4037 June Final'!Revenue_Estimate_Worksheet_for___________Charter_School</vt:lpstr>
      <vt:lpstr>'4041'!Revenue_Estimate_Worksheet_for___________Charter_School</vt:lpstr>
      <vt:lpstr>'0054'!School_District</vt:lpstr>
      <vt:lpstr>'0054 June Final'!School_District</vt:lpstr>
      <vt:lpstr>'0642'!School_District</vt:lpstr>
      <vt:lpstr>'0642 June Final'!School_District</vt:lpstr>
      <vt:lpstr>'0664'!School_District</vt:lpstr>
      <vt:lpstr>'0664 June Final'!School_District</vt:lpstr>
      <vt:lpstr>'1461'!School_District</vt:lpstr>
      <vt:lpstr>'1571'!School_District</vt:lpstr>
      <vt:lpstr>'2521'!School_District</vt:lpstr>
      <vt:lpstr>'2531'!School_District</vt:lpstr>
      <vt:lpstr>'2531 June final'!School_District</vt:lpstr>
      <vt:lpstr>'2641'!School_District</vt:lpstr>
      <vt:lpstr>'2641 June Final'!School_District</vt:lpstr>
      <vt:lpstr>'2661'!School_District</vt:lpstr>
      <vt:lpstr>'2661 June Final'!School_District</vt:lpstr>
      <vt:lpstr>'2791'!School_District</vt:lpstr>
      <vt:lpstr>'2791 June final'!School_District</vt:lpstr>
      <vt:lpstr>'2801'!School_District</vt:lpstr>
      <vt:lpstr>'2801 June Final'!School_District</vt:lpstr>
      <vt:lpstr>'2911'!School_District</vt:lpstr>
      <vt:lpstr>'2911 June final'!School_District</vt:lpstr>
      <vt:lpstr>'2941'!School_District</vt:lpstr>
      <vt:lpstr>'2941 June final'!School_District</vt:lpstr>
      <vt:lpstr>'3083'!School_District</vt:lpstr>
      <vt:lpstr>'3344'!School_District</vt:lpstr>
      <vt:lpstr>'3345'!School_District</vt:lpstr>
      <vt:lpstr>'3347'!School_District</vt:lpstr>
      <vt:lpstr>'3381'!School_District</vt:lpstr>
      <vt:lpstr>'3381 June Final'!School_District</vt:lpstr>
      <vt:lpstr>'3382'!School_District</vt:lpstr>
      <vt:lpstr>'3382 June Final'!School_District</vt:lpstr>
      <vt:lpstr>'3384'!School_District</vt:lpstr>
      <vt:lpstr>'3384 June Final'!School_District</vt:lpstr>
      <vt:lpstr>'3385'!School_District</vt:lpstr>
      <vt:lpstr>'3385 June Final'!School_District</vt:lpstr>
      <vt:lpstr>'3386'!School_District</vt:lpstr>
      <vt:lpstr>'3391'!School_District</vt:lpstr>
      <vt:lpstr>'3392'!School_District</vt:lpstr>
      <vt:lpstr>'3392 June Final'!School_District</vt:lpstr>
      <vt:lpstr>'3394'!School_District</vt:lpstr>
      <vt:lpstr>'3394 June Final'!School_District</vt:lpstr>
      <vt:lpstr>'3395'!School_District</vt:lpstr>
      <vt:lpstr>'3395 June Final'!School_District</vt:lpstr>
      <vt:lpstr>'3396'!School_District</vt:lpstr>
      <vt:lpstr>'3398'!School_District</vt:lpstr>
      <vt:lpstr>'3400'!School_District</vt:lpstr>
      <vt:lpstr>'3401'!School_District</vt:lpstr>
      <vt:lpstr>'3411'!School_District</vt:lpstr>
      <vt:lpstr>'3413'!School_District</vt:lpstr>
      <vt:lpstr>'3413 June Final'!School_District</vt:lpstr>
      <vt:lpstr>'3421'!School_District</vt:lpstr>
      <vt:lpstr>'3431'!School_District</vt:lpstr>
      <vt:lpstr>'3431 June Final'!School_District</vt:lpstr>
      <vt:lpstr>'3441'!School_District</vt:lpstr>
      <vt:lpstr>'3443'!School_District</vt:lpstr>
      <vt:lpstr>'3941'!School_District</vt:lpstr>
      <vt:lpstr>'3941 June Final'!School_District</vt:lpstr>
      <vt:lpstr>'3961'!School_District</vt:lpstr>
      <vt:lpstr>'3961 June Final'!School_District</vt:lpstr>
      <vt:lpstr>'3971'!School_District</vt:lpstr>
      <vt:lpstr>'4000'!School_District</vt:lpstr>
      <vt:lpstr>'4000 June Final'!School_District</vt:lpstr>
      <vt:lpstr>'4002'!School_District</vt:lpstr>
      <vt:lpstr>'4002 June Final'!School_District</vt:lpstr>
      <vt:lpstr>'4010'!School_District</vt:lpstr>
      <vt:lpstr>'4012'!School_District</vt:lpstr>
      <vt:lpstr>'4013'!School_District</vt:lpstr>
      <vt:lpstr>'4020'!School_District</vt:lpstr>
      <vt:lpstr>'4020 June Final'!School_District</vt:lpstr>
      <vt:lpstr>'4020 June Tch Alloc.'!School_District</vt:lpstr>
      <vt:lpstr>'4037'!School_District</vt:lpstr>
      <vt:lpstr>'4037 June Final'!School_District</vt:lpstr>
      <vt:lpstr>'4041'!School_District</vt:lpstr>
      <vt:lpstr>'0054'!Total</vt:lpstr>
      <vt:lpstr>'0054 June Final'!Total</vt:lpstr>
      <vt:lpstr>'0642'!Total</vt:lpstr>
      <vt:lpstr>'0642 June Final'!Total</vt:lpstr>
      <vt:lpstr>'0664'!Total</vt:lpstr>
      <vt:lpstr>'0664 June Final'!Total</vt:lpstr>
      <vt:lpstr>'1461'!Total</vt:lpstr>
      <vt:lpstr>'1571'!Total</vt:lpstr>
      <vt:lpstr>'2521'!Total</vt:lpstr>
      <vt:lpstr>'2531'!Total</vt:lpstr>
      <vt:lpstr>'2531 June final'!Total</vt:lpstr>
      <vt:lpstr>'2641'!Total</vt:lpstr>
      <vt:lpstr>'2641 June Final'!Total</vt:lpstr>
      <vt:lpstr>'2661'!Total</vt:lpstr>
      <vt:lpstr>'2661 June Final'!Total</vt:lpstr>
      <vt:lpstr>'2791'!Total</vt:lpstr>
      <vt:lpstr>'2791 June final'!Total</vt:lpstr>
      <vt:lpstr>'2801'!Total</vt:lpstr>
      <vt:lpstr>'2801 June Final'!Total</vt:lpstr>
      <vt:lpstr>'2911'!Total</vt:lpstr>
      <vt:lpstr>'2911 June final'!Total</vt:lpstr>
      <vt:lpstr>'2941'!Total</vt:lpstr>
      <vt:lpstr>'2941 June final'!Total</vt:lpstr>
      <vt:lpstr>'3083'!Total</vt:lpstr>
      <vt:lpstr>'3344'!Total</vt:lpstr>
      <vt:lpstr>'3345'!Total</vt:lpstr>
      <vt:lpstr>'3347'!Total</vt:lpstr>
      <vt:lpstr>'3381'!Total</vt:lpstr>
      <vt:lpstr>'3381 June Final'!Total</vt:lpstr>
      <vt:lpstr>'3382'!Total</vt:lpstr>
      <vt:lpstr>'3382 June Final'!Total</vt:lpstr>
      <vt:lpstr>'3384'!Total</vt:lpstr>
      <vt:lpstr>'3384 June Final'!Total</vt:lpstr>
      <vt:lpstr>'3385'!Total</vt:lpstr>
      <vt:lpstr>'3385 June Final'!Total</vt:lpstr>
      <vt:lpstr>'3386'!Total</vt:lpstr>
      <vt:lpstr>'3391'!Total</vt:lpstr>
      <vt:lpstr>'3392'!Total</vt:lpstr>
      <vt:lpstr>'3392 June Final'!Total</vt:lpstr>
      <vt:lpstr>'3394'!Total</vt:lpstr>
      <vt:lpstr>'3394 June Final'!Total</vt:lpstr>
      <vt:lpstr>'3395'!Total</vt:lpstr>
      <vt:lpstr>'3395 June Final'!Total</vt:lpstr>
      <vt:lpstr>'3396'!Total</vt:lpstr>
      <vt:lpstr>'3398'!Total</vt:lpstr>
      <vt:lpstr>'3400'!Total</vt:lpstr>
      <vt:lpstr>'3401'!Total</vt:lpstr>
      <vt:lpstr>'3411'!Total</vt:lpstr>
      <vt:lpstr>'3413'!Total</vt:lpstr>
      <vt:lpstr>'3413 June Final'!Total</vt:lpstr>
      <vt:lpstr>'3421'!Total</vt:lpstr>
      <vt:lpstr>'3431'!Total</vt:lpstr>
      <vt:lpstr>'3431 June Final'!Total</vt:lpstr>
      <vt:lpstr>'3441'!Total</vt:lpstr>
      <vt:lpstr>'3443'!Total</vt:lpstr>
      <vt:lpstr>'3941'!Total</vt:lpstr>
      <vt:lpstr>'3941 June Final'!Total</vt:lpstr>
      <vt:lpstr>'3961'!Total</vt:lpstr>
      <vt:lpstr>'3961 June Final'!Total</vt:lpstr>
      <vt:lpstr>'3971'!Total</vt:lpstr>
      <vt:lpstr>'4000'!Total</vt:lpstr>
      <vt:lpstr>'4000 June Final'!Total</vt:lpstr>
      <vt:lpstr>'4002'!Total</vt:lpstr>
      <vt:lpstr>'4002 June Final'!Total</vt:lpstr>
      <vt:lpstr>'4010'!Total</vt:lpstr>
      <vt:lpstr>'4012'!Total</vt:lpstr>
      <vt:lpstr>'4013'!Total</vt:lpstr>
      <vt:lpstr>'4020'!Total</vt:lpstr>
      <vt:lpstr>'4020 June Final'!Total</vt:lpstr>
      <vt:lpstr>'4020 June Tch Alloc.'!Total</vt:lpstr>
      <vt:lpstr>'4037'!Total</vt:lpstr>
      <vt:lpstr>'4037 June Final'!Total</vt:lpstr>
      <vt:lpstr>'4041'!Total</vt:lpstr>
      <vt:lpstr>'0054'!Total_Class_Size_Reduction_Funds</vt:lpstr>
      <vt:lpstr>'0054 June Final'!Total_Class_Size_Reduction_Funds</vt:lpstr>
      <vt:lpstr>'0642'!Total_Class_Size_Reduction_Funds</vt:lpstr>
      <vt:lpstr>'0642 June Final'!Total_Class_Size_Reduction_Funds</vt:lpstr>
      <vt:lpstr>'0664'!Total_Class_Size_Reduction_Funds</vt:lpstr>
      <vt:lpstr>'0664 June Final'!Total_Class_Size_Reduction_Funds</vt:lpstr>
      <vt:lpstr>'1461'!Total_Class_Size_Reduction_Funds</vt:lpstr>
      <vt:lpstr>'1571'!Total_Class_Size_Reduction_Funds</vt:lpstr>
      <vt:lpstr>'2521'!Total_Class_Size_Reduction_Funds</vt:lpstr>
      <vt:lpstr>'2531'!Total_Class_Size_Reduction_Funds</vt:lpstr>
      <vt:lpstr>'2531 June final'!Total_Class_Size_Reduction_Funds</vt:lpstr>
      <vt:lpstr>'2641'!Total_Class_Size_Reduction_Funds</vt:lpstr>
      <vt:lpstr>'2641 June Final'!Total_Class_Size_Reduction_Funds</vt:lpstr>
      <vt:lpstr>'2661'!Total_Class_Size_Reduction_Funds</vt:lpstr>
      <vt:lpstr>'2661 June Final'!Total_Class_Size_Reduction_Funds</vt:lpstr>
      <vt:lpstr>'2791'!Total_Class_Size_Reduction_Funds</vt:lpstr>
      <vt:lpstr>'2791 June final'!Total_Class_Size_Reduction_Funds</vt:lpstr>
      <vt:lpstr>'2801'!Total_Class_Size_Reduction_Funds</vt:lpstr>
      <vt:lpstr>'2801 June Final'!Total_Class_Size_Reduction_Funds</vt:lpstr>
      <vt:lpstr>'2911'!Total_Class_Size_Reduction_Funds</vt:lpstr>
      <vt:lpstr>'2911 June final'!Total_Class_Size_Reduction_Funds</vt:lpstr>
      <vt:lpstr>'2941'!Total_Class_Size_Reduction_Funds</vt:lpstr>
      <vt:lpstr>'2941 June final'!Total_Class_Size_Reduction_Funds</vt:lpstr>
      <vt:lpstr>'3083'!Total_Class_Size_Reduction_Funds</vt:lpstr>
      <vt:lpstr>'3344'!Total_Class_Size_Reduction_Funds</vt:lpstr>
      <vt:lpstr>'3345'!Total_Class_Size_Reduction_Funds</vt:lpstr>
      <vt:lpstr>'3347'!Total_Class_Size_Reduction_Funds</vt:lpstr>
      <vt:lpstr>'3381'!Total_Class_Size_Reduction_Funds</vt:lpstr>
      <vt:lpstr>'3381 June Final'!Total_Class_Size_Reduction_Funds</vt:lpstr>
      <vt:lpstr>'3382'!Total_Class_Size_Reduction_Funds</vt:lpstr>
      <vt:lpstr>'3382 June Final'!Total_Class_Size_Reduction_Funds</vt:lpstr>
      <vt:lpstr>'3384'!Total_Class_Size_Reduction_Funds</vt:lpstr>
      <vt:lpstr>'3384 June Final'!Total_Class_Size_Reduction_Funds</vt:lpstr>
      <vt:lpstr>'3385'!Total_Class_Size_Reduction_Funds</vt:lpstr>
      <vt:lpstr>'3385 June Final'!Total_Class_Size_Reduction_Funds</vt:lpstr>
      <vt:lpstr>'3386'!Total_Class_Size_Reduction_Funds</vt:lpstr>
      <vt:lpstr>'3391'!Total_Class_Size_Reduction_Funds</vt:lpstr>
      <vt:lpstr>'3392'!Total_Class_Size_Reduction_Funds</vt:lpstr>
      <vt:lpstr>'3392 June Final'!Total_Class_Size_Reduction_Funds</vt:lpstr>
      <vt:lpstr>'3394'!Total_Class_Size_Reduction_Funds</vt:lpstr>
      <vt:lpstr>'3394 June Final'!Total_Class_Size_Reduction_Funds</vt:lpstr>
      <vt:lpstr>'3395'!Total_Class_Size_Reduction_Funds</vt:lpstr>
      <vt:lpstr>'3395 June Final'!Total_Class_Size_Reduction_Funds</vt:lpstr>
      <vt:lpstr>'3396'!Total_Class_Size_Reduction_Funds</vt:lpstr>
      <vt:lpstr>'3398'!Total_Class_Size_Reduction_Funds</vt:lpstr>
      <vt:lpstr>'3400'!Total_Class_Size_Reduction_Funds</vt:lpstr>
      <vt:lpstr>'3401'!Total_Class_Size_Reduction_Funds</vt:lpstr>
      <vt:lpstr>'3411'!Total_Class_Size_Reduction_Funds</vt:lpstr>
      <vt:lpstr>'3413'!Total_Class_Size_Reduction_Funds</vt:lpstr>
      <vt:lpstr>'3413 June Final'!Total_Class_Size_Reduction_Funds</vt:lpstr>
      <vt:lpstr>'3421'!Total_Class_Size_Reduction_Funds</vt:lpstr>
      <vt:lpstr>'3431'!Total_Class_Size_Reduction_Funds</vt:lpstr>
      <vt:lpstr>'3431 June Final'!Total_Class_Size_Reduction_Funds</vt:lpstr>
      <vt:lpstr>'3441'!Total_Class_Size_Reduction_Funds</vt:lpstr>
      <vt:lpstr>'3443'!Total_Class_Size_Reduction_Funds</vt:lpstr>
      <vt:lpstr>'3941'!Total_Class_Size_Reduction_Funds</vt:lpstr>
      <vt:lpstr>'3941 June Final'!Total_Class_Size_Reduction_Funds</vt:lpstr>
      <vt:lpstr>'3961'!Total_Class_Size_Reduction_Funds</vt:lpstr>
      <vt:lpstr>'3961 June Final'!Total_Class_Size_Reduction_Funds</vt:lpstr>
      <vt:lpstr>'3971'!Total_Class_Size_Reduction_Funds</vt:lpstr>
      <vt:lpstr>'4000'!Total_Class_Size_Reduction_Funds</vt:lpstr>
      <vt:lpstr>'4000 June Final'!Total_Class_Size_Reduction_Funds</vt:lpstr>
      <vt:lpstr>'4002'!Total_Class_Size_Reduction_Funds</vt:lpstr>
      <vt:lpstr>'4002 June Final'!Total_Class_Size_Reduction_Funds</vt:lpstr>
      <vt:lpstr>'4010'!Total_Class_Size_Reduction_Funds</vt:lpstr>
      <vt:lpstr>'4012'!Total_Class_Size_Reduction_Funds</vt:lpstr>
      <vt:lpstr>'4013'!Total_Class_Size_Reduction_Funds</vt:lpstr>
      <vt:lpstr>'4020'!Total_Class_Size_Reduction_Funds</vt:lpstr>
      <vt:lpstr>'4020 June Final'!Total_Class_Size_Reduction_Funds</vt:lpstr>
      <vt:lpstr>'4020 June Tch Alloc.'!Total_Class_Size_Reduction_Funds</vt:lpstr>
      <vt:lpstr>'4037'!Total_Class_Size_Reduction_Funds</vt:lpstr>
      <vt:lpstr>'4037 June Final'!Total_Class_Size_Reduction_Funds</vt:lpstr>
      <vt:lpstr>'4041'!Total_Class_Size_Reduction_Funds</vt:lpstr>
      <vt:lpstr>'0054'!Total_from_ESE_Guarantee</vt:lpstr>
      <vt:lpstr>'0054 June Final'!Total_from_ESE_Guarantee</vt:lpstr>
      <vt:lpstr>'0642'!Total_from_ESE_Guarantee</vt:lpstr>
      <vt:lpstr>'0642 June Final'!Total_from_ESE_Guarantee</vt:lpstr>
      <vt:lpstr>'0664'!Total_from_ESE_Guarantee</vt:lpstr>
      <vt:lpstr>'0664 June Final'!Total_from_ESE_Guarantee</vt:lpstr>
      <vt:lpstr>'1461'!Total_from_ESE_Guarantee</vt:lpstr>
      <vt:lpstr>'1571'!Total_from_ESE_Guarantee</vt:lpstr>
      <vt:lpstr>'2521'!Total_from_ESE_Guarantee</vt:lpstr>
      <vt:lpstr>'2531'!Total_from_ESE_Guarantee</vt:lpstr>
      <vt:lpstr>'2531 June final'!Total_from_ESE_Guarantee</vt:lpstr>
      <vt:lpstr>'2641'!Total_from_ESE_Guarantee</vt:lpstr>
      <vt:lpstr>'2641 June Final'!Total_from_ESE_Guarantee</vt:lpstr>
      <vt:lpstr>'2661'!Total_from_ESE_Guarantee</vt:lpstr>
      <vt:lpstr>'2661 June Final'!Total_from_ESE_Guarantee</vt:lpstr>
      <vt:lpstr>'2791'!Total_from_ESE_Guarantee</vt:lpstr>
      <vt:lpstr>'2791 June final'!Total_from_ESE_Guarantee</vt:lpstr>
      <vt:lpstr>'2801'!Total_from_ESE_Guarantee</vt:lpstr>
      <vt:lpstr>'2801 June Final'!Total_from_ESE_Guarantee</vt:lpstr>
      <vt:lpstr>'2911'!Total_from_ESE_Guarantee</vt:lpstr>
      <vt:lpstr>'2911 June final'!Total_from_ESE_Guarantee</vt:lpstr>
      <vt:lpstr>'2941'!Total_from_ESE_Guarantee</vt:lpstr>
      <vt:lpstr>'2941 June final'!Total_from_ESE_Guarantee</vt:lpstr>
      <vt:lpstr>'3083'!Total_from_ESE_Guarantee</vt:lpstr>
      <vt:lpstr>'3344'!Total_from_ESE_Guarantee</vt:lpstr>
      <vt:lpstr>'3345'!Total_from_ESE_Guarantee</vt:lpstr>
      <vt:lpstr>'3347'!Total_from_ESE_Guarantee</vt:lpstr>
      <vt:lpstr>'3381'!Total_from_ESE_Guarantee</vt:lpstr>
      <vt:lpstr>'3381 June Final'!Total_from_ESE_Guarantee</vt:lpstr>
      <vt:lpstr>'3382'!Total_from_ESE_Guarantee</vt:lpstr>
      <vt:lpstr>'3382 June Final'!Total_from_ESE_Guarantee</vt:lpstr>
      <vt:lpstr>'3384'!Total_from_ESE_Guarantee</vt:lpstr>
      <vt:lpstr>'3384 June Final'!Total_from_ESE_Guarantee</vt:lpstr>
      <vt:lpstr>'3385'!Total_from_ESE_Guarantee</vt:lpstr>
      <vt:lpstr>'3385 June Final'!Total_from_ESE_Guarantee</vt:lpstr>
      <vt:lpstr>'3386'!Total_from_ESE_Guarantee</vt:lpstr>
      <vt:lpstr>'3391'!Total_from_ESE_Guarantee</vt:lpstr>
      <vt:lpstr>'3392'!Total_from_ESE_Guarantee</vt:lpstr>
      <vt:lpstr>'3392 June Final'!Total_from_ESE_Guarantee</vt:lpstr>
      <vt:lpstr>'3394'!Total_from_ESE_Guarantee</vt:lpstr>
      <vt:lpstr>'3394 June Final'!Total_from_ESE_Guarantee</vt:lpstr>
      <vt:lpstr>'3395'!Total_from_ESE_Guarantee</vt:lpstr>
      <vt:lpstr>'3395 June Final'!Total_from_ESE_Guarantee</vt:lpstr>
      <vt:lpstr>'3396'!Total_from_ESE_Guarantee</vt:lpstr>
      <vt:lpstr>'3398'!Total_from_ESE_Guarantee</vt:lpstr>
      <vt:lpstr>'3400'!Total_from_ESE_Guarantee</vt:lpstr>
      <vt:lpstr>'3401'!Total_from_ESE_Guarantee</vt:lpstr>
      <vt:lpstr>'3411'!Total_from_ESE_Guarantee</vt:lpstr>
      <vt:lpstr>'3413'!Total_from_ESE_Guarantee</vt:lpstr>
      <vt:lpstr>'3413 June Final'!Total_from_ESE_Guarantee</vt:lpstr>
      <vt:lpstr>'3421'!Total_from_ESE_Guarantee</vt:lpstr>
      <vt:lpstr>'3431'!Total_from_ESE_Guarantee</vt:lpstr>
      <vt:lpstr>'3431 June Final'!Total_from_ESE_Guarantee</vt:lpstr>
      <vt:lpstr>'3441'!Total_from_ESE_Guarantee</vt:lpstr>
      <vt:lpstr>'3443'!Total_from_ESE_Guarantee</vt:lpstr>
      <vt:lpstr>'3941'!Total_from_ESE_Guarantee</vt:lpstr>
      <vt:lpstr>'3941 June Final'!Total_from_ESE_Guarantee</vt:lpstr>
      <vt:lpstr>'3961'!Total_from_ESE_Guarantee</vt:lpstr>
      <vt:lpstr>'3961 June Final'!Total_from_ESE_Guarantee</vt:lpstr>
      <vt:lpstr>'3971'!Total_from_ESE_Guarantee</vt:lpstr>
      <vt:lpstr>'4000'!Total_from_ESE_Guarantee</vt:lpstr>
      <vt:lpstr>'4000 June Final'!Total_from_ESE_Guarantee</vt:lpstr>
      <vt:lpstr>'4002'!Total_from_ESE_Guarantee</vt:lpstr>
      <vt:lpstr>'4002 June Final'!Total_from_ESE_Guarantee</vt:lpstr>
      <vt:lpstr>'4010'!Total_from_ESE_Guarantee</vt:lpstr>
      <vt:lpstr>'4012'!Total_from_ESE_Guarantee</vt:lpstr>
      <vt:lpstr>'4013'!Total_from_ESE_Guarantee</vt:lpstr>
      <vt:lpstr>'4020'!Total_from_ESE_Guarantee</vt:lpstr>
      <vt:lpstr>'4020 June Final'!Total_from_ESE_Guarantee</vt:lpstr>
      <vt:lpstr>'4020 June Tch Alloc.'!Total_from_ESE_Guarantee</vt:lpstr>
      <vt:lpstr>'4037'!Total_from_ESE_Guarantee</vt:lpstr>
      <vt:lpstr>'4037 June Final'!Total_from_ESE_Guarantee</vt:lpstr>
      <vt:lpstr>'4041'!Total_from_ESE_Guarantee</vt:lpstr>
      <vt:lpstr>'0054'!Total_FTE_with_ESE_Services</vt:lpstr>
      <vt:lpstr>'0054 June Final'!Total_FTE_with_ESE_Services</vt:lpstr>
      <vt:lpstr>'0642'!Total_FTE_with_ESE_Services</vt:lpstr>
      <vt:lpstr>'0642 June Final'!Total_FTE_with_ESE_Services</vt:lpstr>
      <vt:lpstr>'0664'!Total_FTE_with_ESE_Services</vt:lpstr>
      <vt:lpstr>'0664 June Final'!Total_FTE_with_ESE_Services</vt:lpstr>
      <vt:lpstr>'1461'!Total_FTE_with_ESE_Services</vt:lpstr>
      <vt:lpstr>'1571'!Total_FTE_with_ESE_Services</vt:lpstr>
      <vt:lpstr>'2521'!Total_FTE_with_ESE_Services</vt:lpstr>
      <vt:lpstr>'2531'!Total_FTE_with_ESE_Services</vt:lpstr>
      <vt:lpstr>'2531 June final'!Total_FTE_with_ESE_Services</vt:lpstr>
      <vt:lpstr>'2641'!Total_FTE_with_ESE_Services</vt:lpstr>
      <vt:lpstr>'2641 June Final'!Total_FTE_with_ESE_Services</vt:lpstr>
      <vt:lpstr>'2661'!Total_FTE_with_ESE_Services</vt:lpstr>
      <vt:lpstr>'2661 June Final'!Total_FTE_with_ESE_Services</vt:lpstr>
      <vt:lpstr>'2791'!Total_FTE_with_ESE_Services</vt:lpstr>
      <vt:lpstr>'2791 June final'!Total_FTE_with_ESE_Services</vt:lpstr>
      <vt:lpstr>'2801'!Total_FTE_with_ESE_Services</vt:lpstr>
      <vt:lpstr>'2801 June Final'!Total_FTE_with_ESE_Services</vt:lpstr>
      <vt:lpstr>'2911'!Total_FTE_with_ESE_Services</vt:lpstr>
      <vt:lpstr>'2911 June final'!Total_FTE_with_ESE_Services</vt:lpstr>
      <vt:lpstr>'2941'!Total_FTE_with_ESE_Services</vt:lpstr>
      <vt:lpstr>'2941 June final'!Total_FTE_with_ESE_Services</vt:lpstr>
      <vt:lpstr>'3083'!Total_FTE_with_ESE_Services</vt:lpstr>
      <vt:lpstr>'3344'!Total_FTE_with_ESE_Services</vt:lpstr>
      <vt:lpstr>'3345'!Total_FTE_with_ESE_Services</vt:lpstr>
      <vt:lpstr>'3347'!Total_FTE_with_ESE_Services</vt:lpstr>
      <vt:lpstr>'3381'!Total_FTE_with_ESE_Services</vt:lpstr>
      <vt:lpstr>'3381 June Final'!Total_FTE_with_ESE_Services</vt:lpstr>
      <vt:lpstr>'3382'!Total_FTE_with_ESE_Services</vt:lpstr>
      <vt:lpstr>'3382 June Final'!Total_FTE_with_ESE_Services</vt:lpstr>
      <vt:lpstr>'3384'!Total_FTE_with_ESE_Services</vt:lpstr>
      <vt:lpstr>'3384 June Final'!Total_FTE_with_ESE_Services</vt:lpstr>
      <vt:lpstr>'3385'!Total_FTE_with_ESE_Services</vt:lpstr>
      <vt:lpstr>'3385 June Final'!Total_FTE_with_ESE_Services</vt:lpstr>
      <vt:lpstr>'3386'!Total_FTE_with_ESE_Services</vt:lpstr>
      <vt:lpstr>'3391'!Total_FTE_with_ESE_Services</vt:lpstr>
      <vt:lpstr>'3392'!Total_FTE_with_ESE_Services</vt:lpstr>
      <vt:lpstr>'3392 June Final'!Total_FTE_with_ESE_Services</vt:lpstr>
      <vt:lpstr>'3394'!Total_FTE_with_ESE_Services</vt:lpstr>
      <vt:lpstr>'3394 June Final'!Total_FTE_with_ESE_Services</vt:lpstr>
      <vt:lpstr>'3395'!Total_FTE_with_ESE_Services</vt:lpstr>
      <vt:lpstr>'3395 June Final'!Total_FTE_with_ESE_Services</vt:lpstr>
      <vt:lpstr>'3396'!Total_FTE_with_ESE_Services</vt:lpstr>
      <vt:lpstr>'3398'!Total_FTE_with_ESE_Services</vt:lpstr>
      <vt:lpstr>'3400'!Total_FTE_with_ESE_Services</vt:lpstr>
      <vt:lpstr>'3401'!Total_FTE_with_ESE_Services</vt:lpstr>
      <vt:lpstr>'3411'!Total_FTE_with_ESE_Services</vt:lpstr>
      <vt:lpstr>'3413'!Total_FTE_with_ESE_Services</vt:lpstr>
      <vt:lpstr>'3413 June Final'!Total_FTE_with_ESE_Services</vt:lpstr>
      <vt:lpstr>'3421'!Total_FTE_with_ESE_Services</vt:lpstr>
      <vt:lpstr>'3431'!Total_FTE_with_ESE_Services</vt:lpstr>
      <vt:lpstr>'3431 June Final'!Total_FTE_with_ESE_Services</vt:lpstr>
      <vt:lpstr>'3441'!Total_FTE_with_ESE_Services</vt:lpstr>
      <vt:lpstr>'3443'!Total_FTE_with_ESE_Services</vt:lpstr>
      <vt:lpstr>'3941'!Total_FTE_with_ESE_Services</vt:lpstr>
      <vt:lpstr>'3941 June Final'!Total_FTE_with_ESE_Services</vt:lpstr>
      <vt:lpstr>'3961'!Total_FTE_with_ESE_Services</vt:lpstr>
      <vt:lpstr>'3961 June Final'!Total_FTE_with_ESE_Services</vt:lpstr>
      <vt:lpstr>'3971'!Total_FTE_with_ESE_Services</vt:lpstr>
      <vt:lpstr>'4000'!Total_FTE_with_ESE_Services</vt:lpstr>
      <vt:lpstr>'4000 June Final'!Total_FTE_with_ESE_Services</vt:lpstr>
      <vt:lpstr>'4002'!Total_FTE_with_ESE_Services</vt:lpstr>
      <vt:lpstr>'4002 June Final'!Total_FTE_with_ESE_Services</vt:lpstr>
      <vt:lpstr>'4010'!Total_FTE_with_ESE_Services</vt:lpstr>
      <vt:lpstr>'4012'!Total_FTE_with_ESE_Services</vt:lpstr>
      <vt:lpstr>'4013'!Total_FTE_with_ESE_Services</vt:lpstr>
      <vt:lpstr>'4020'!Total_FTE_with_ESE_Services</vt:lpstr>
      <vt:lpstr>'4020 June Final'!Total_FTE_with_ESE_Services</vt:lpstr>
      <vt:lpstr>'4020 June Tch Alloc.'!Total_FTE_with_ESE_Services</vt:lpstr>
      <vt:lpstr>'4037'!Total_FTE_with_ESE_Services</vt:lpstr>
      <vt:lpstr>'4037 June Final'!Total_FTE_with_ESE_Services</vt:lpstr>
      <vt:lpstr>'4041'!Total_FTE_with_ESE_Services</vt:lpstr>
      <vt:lpstr>'0054'!Totals</vt:lpstr>
      <vt:lpstr>'0054 June Final'!Totals</vt:lpstr>
      <vt:lpstr>'0642'!Totals</vt:lpstr>
      <vt:lpstr>'0642 June Final'!Totals</vt:lpstr>
      <vt:lpstr>'0664'!Totals</vt:lpstr>
      <vt:lpstr>'0664 June Final'!Totals</vt:lpstr>
      <vt:lpstr>'1461'!Totals</vt:lpstr>
      <vt:lpstr>'1571'!Totals</vt:lpstr>
      <vt:lpstr>'2521'!Totals</vt:lpstr>
      <vt:lpstr>'2531'!Totals</vt:lpstr>
      <vt:lpstr>'2531 June final'!Totals</vt:lpstr>
      <vt:lpstr>'2641'!Totals</vt:lpstr>
      <vt:lpstr>'2641 June Final'!Totals</vt:lpstr>
      <vt:lpstr>'2661'!Totals</vt:lpstr>
      <vt:lpstr>'2661 June Final'!Totals</vt:lpstr>
      <vt:lpstr>'2791'!Totals</vt:lpstr>
      <vt:lpstr>'2791 June final'!Totals</vt:lpstr>
      <vt:lpstr>'2801'!Totals</vt:lpstr>
      <vt:lpstr>'2801 June Final'!Totals</vt:lpstr>
      <vt:lpstr>'2911'!Totals</vt:lpstr>
      <vt:lpstr>'2911 June final'!Totals</vt:lpstr>
      <vt:lpstr>'2941'!Totals</vt:lpstr>
      <vt:lpstr>'2941 June final'!Totals</vt:lpstr>
      <vt:lpstr>'3083'!Totals</vt:lpstr>
      <vt:lpstr>'3344'!Totals</vt:lpstr>
      <vt:lpstr>'3345'!Totals</vt:lpstr>
      <vt:lpstr>'3347'!Totals</vt:lpstr>
      <vt:lpstr>'3381'!Totals</vt:lpstr>
      <vt:lpstr>'3381 June Final'!Totals</vt:lpstr>
      <vt:lpstr>'3382'!Totals</vt:lpstr>
      <vt:lpstr>'3382 June Final'!Totals</vt:lpstr>
      <vt:lpstr>'3384'!Totals</vt:lpstr>
      <vt:lpstr>'3384 June Final'!Totals</vt:lpstr>
      <vt:lpstr>'3385'!Totals</vt:lpstr>
      <vt:lpstr>'3385 June Final'!Totals</vt:lpstr>
      <vt:lpstr>'3386'!Totals</vt:lpstr>
      <vt:lpstr>'3391'!Totals</vt:lpstr>
      <vt:lpstr>'3392'!Totals</vt:lpstr>
      <vt:lpstr>'3392 June Final'!Totals</vt:lpstr>
      <vt:lpstr>'3394'!Totals</vt:lpstr>
      <vt:lpstr>'3394 June Final'!Totals</vt:lpstr>
      <vt:lpstr>'3395'!Totals</vt:lpstr>
      <vt:lpstr>'3395 June Final'!Totals</vt:lpstr>
      <vt:lpstr>'3396'!Totals</vt:lpstr>
      <vt:lpstr>'3398'!Totals</vt:lpstr>
      <vt:lpstr>'3400'!Totals</vt:lpstr>
      <vt:lpstr>'3401'!Totals</vt:lpstr>
      <vt:lpstr>'3411'!Totals</vt:lpstr>
      <vt:lpstr>'3413'!Totals</vt:lpstr>
      <vt:lpstr>'3413 June Final'!Totals</vt:lpstr>
      <vt:lpstr>'3421'!Totals</vt:lpstr>
      <vt:lpstr>'3431'!Totals</vt:lpstr>
      <vt:lpstr>'3431 June Final'!Totals</vt:lpstr>
      <vt:lpstr>'3441'!Totals</vt:lpstr>
      <vt:lpstr>'3443'!Totals</vt:lpstr>
      <vt:lpstr>'3941'!Totals</vt:lpstr>
      <vt:lpstr>'3941 June Final'!Totals</vt:lpstr>
      <vt:lpstr>'3961'!Totals</vt:lpstr>
      <vt:lpstr>'3961 June Final'!Totals</vt:lpstr>
      <vt:lpstr>'3971'!Totals</vt:lpstr>
      <vt:lpstr>'4000'!Totals</vt:lpstr>
      <vt:lpstr>'4000 June Final'!Totals</vt:lpstr>
      <vt:lpstr>'4002'!Totals</vt:lpstr>
      <vt:lpstr>'4002 June Final'!Totals</vt:lpstr>
      <vt:lpstr>'4010'!Totals</vt:lpstr>
      <vt:lpstr>'4012'!Totals</vt:lpstr>
      <vt:lpstr>'4013'!Totals</vt:lpstr>
      <vt:lpstr>'4020'!Totals</vt:lpstr>
      <vt:lpstr>'4020 June Final'!Totals</vt:lpstr>
      <vt:lpstr>'4020 June Tch Alloc.'!Totals</vt:lpstr>
      <vt:lpstr>'4037'!Totals</vt:lpstr>
      <vt:lpstr>'4037 June Final'!Totals</vt:lpstr>
      <vt:lpstr>'4041'!Totals</vt:lpstr>
      <vt:lpstr>'0054'!Weighted_FTE____________b__x__c</vt:lpstr>
      <vt:lpstr>'0054 June Final'!Weighted_FTE____________b__x__c</vt:lpstr>
      <vt:lpstr>'0642'!Weighted_FTE____________b__x__c</vt:lpstr>
      <vt:lpstr>'0642 June Final'!Weighted_FTE____________b__x__c</vt:lpstr>
      <vt:lpstr>'0664'!Weighted_FTE____________b__x__c</vt:lpstr>
      <vt:lpstr>'0664 June Final'!Weighted_FTE____________b__x__c</vt:lpstr>
      <vt:lpstr>'1461'!Weighted_FTE____________b__x__c</vt:lpstr>
      <vt:lpstr>'1571'!Weighted_FTE____________b__x__c</vt:lpstr>
      <vt:lpstr>'2521'!Weighted_FTE____________b__x__c</vt:lpstr>
      <vt:lpstr>'2531'!Weighted_FTE____________b__x__c</vt:lpstr>
      <vt:lpstr>'2531 June final'!Weighted_FTE____________b__x__c</vt:lpstr>
      <vt:lpstr>'2641'!Weighted_FTE____________b__x__c</vt:lpstr>
      <vt:lpstr>'2641 June Final'!Weighted_FTE____________b__x__c</vt:lpstr>
      <vt:lpstr>'2661'!Weighted_FTE____________b__x__c</vt:lpstr>
      <vt:lpstr>'2661 June Final'!Weighted_FTE____________b__x__c</vt:lpstr>
      <vt:lpstr>'2791'!Weighted_FTE____________b__x__c</vt:lpstr>
      <vt:lpstr>'2791 June final'!Weighted_FTE____________b__x__c</vt:lpstr>
      <vt:lpstr>'2801'!Weighted_FTE____________b__x__c</vt:lpstr>
      <vt:lpstr>'2801 June Final'!Weighted_FTE____________b__x__c</vt:lpstr>
      <vt:lpstr>'2911'!Weighted_FTE____________b__x__c</vt:lpstr>
      <vt:lpstr>'2911 June final'!Weighted_FTE____________b__x__c</vt:lpstr>
      <vt:lpstr>'2941'!Weighted_FTE____________b__x__c</vt:lpstr>
      <vt:lpstr>'2941 June final'!Weighted_FTE____________b__x__c</vt:lpstr>
      <vt:lpstr>'3083'!Weighted_FTE____________b__x__c</vt:lpstr>
      <vt:lpstr>'3344'!Weighted_FTE____________b__x__c</vt:lpstr>
      <vt:lpstr>'3345'!Weighted_FTE____________b__x__c</vt:lpstr>
      <vt:lpstr>'3347'!Weighted_FTE____________b__x__c</vt:lpstr>
      <vt:lpstr>'3381'!Weighted_FTE____________b__x__c</vt:lpstr>
      <vt:lpstr>'3381 June Final'!Weighted_FTE____________b__x__c</vt:lpstr>
      <vt:lpstr>'3382'!Weighted_FTE____________b__x__c</vt:lpstr>
      <vt:lpstr>'3382 June Final'!Weighted_FTE____________b__x__c</vt:lpstr>
      <vt:lpstr>'3384'!Weighted_FTE____________b__x__c</vt:lpstr>
      <vt:lpstr>'3384 June Final'!Weighted_FTE____________b__x__c</vt:lpstr>
      <vt:lpstr>'3385'!Weighted_FTE____________b__x__c</vt:lpstr>
      <vt:lpstr>'3385 June Final'!Weighted_FTE____________b__x__c</vt:lpstr>
      <vt:lpstr>'3386'!Weighted_FTE____________b__x__c</vt:lpstr>
      <vt:lpstr>'3391'!Weighted_FTE____________b__x__c</vt:lpstr>
      <vt:lpstr>'3392'!Weighted_FTE____________b__x__c</vt:lpstr>
      <vt:lpstr>'3392 June Final'!Weighted_FTE____________b__x__c</vt:lpstr>
      <vt:lpstr>'3394'!Weighted_FTE____________b__x__c</vt:lpstr>
      <vt:lpstr>'3394 June Final'!Weighted_FTE____________b__x__c</vt:lpstr>
      <vt:lpstr>'3395'!Weighted_FTE____________b__x__c</vt:lpstr>
      <vt:lpstr>'3395 June Final'!Weighted_FTE____________b__x__c</vt:lpstr>
      <vt:lpstr>'3396'!Weighted_FTE____________b__x__c</vt:lpstr>
      <vt:lpstr>'3398'!Weighted_FTE____________b__x__c</vt:lpstr>
      <vt:lpstr>'3400'!Weighted_FTE____________b__x__c</vt:lpstr>
      <vt:lpstr>'3401'!Weighted_FTE____________b__x__c</vt:lpstr>
      <vt:lpstr>'3411'!Weighted_FTE____________b__x__c</vt:lpstr>
      <vt:lpstr>'3413'!Weighted_FTE____________b__x__c</vt:lpstr>
      <vt:lpstr>'3413 June Final'!Weighted_FTE____________b__x__c</vt:lpstr>
      <vt:lpstr>'3421'!Weighted_FTE____________b__x__c</vt:lpstr>
      <vt:lpstr>'3431'!Weighted_FTE____________b__x__c</vt:lpstr>
      <vt:lpstr>'3431 June Final'!Weighted_FTE____________b__x__c</vt:lpstr>
      <vt:lpstr>'3441'!Weighted_FTE____________b__x__c</vt:lpstr>
      <vt:lpstr>'3443'!Weighted_FTE____________b__x__c</vt:lpstr>
      <vt:lpstr>'3941'!Weighted_FTE____________b__x__c</vt:lpstr>
      <vt:lpstr>'3941 June Final'!Weighted_FTE____________b__x__c</vt:lpstr>
      <vt:lpstr>'3961'!Weighted_FTE____________b__x__c</vt:lpstr>
      <vt:lpstr>'3961 June Final'!Weighted_FTE____________b__x__c</vt:lpstr>
      <vt:lpstr>'3971'!Weighted_FTE____________b__x__c</vt:lpstr>
      <vt:lpstr>'4000'!Weighted_FTE____________b__x__c</vt:lpstr>
      <vt:lpstr>'4000 June Final'!Weighted_FTE____________b__x__c</vt:lpstr>
      <vt:lpstr>'4002'!Weighted_FTE____________b__x__c</vt:lpstr>
      <vt:lpstr>'4002 June Final'!Weighted_FTE____________b__x__c</vt:lpstr>
      <vt:lpstr>'4010'!Weighted_FTE____________b__x__c</vt:lpstr>
      <vt:lpstr>'4012'!Weighted_FTE____________b__x__c</vt:lpstr>
      <vt:lpstr>'4013'!Weighted_FTE____________b__x__c</vt:lpstr>
      <vt:lpstr>'4020'!Weighted_FTE____________b__x__c</vt:lpstr>
      <vt:lpstr>'4020 June Final'!Weighted_FTE____________b__x__c</vt:lpstr>
      <vt:lpstr>'4020 June Tch Alloc.'!Weighted_FTE____________b__x__c</vt:lpstr>
      <vt:lpstr>'4037'!Weighted_FTE____________b__x__c</vt:lpstr>
      <vt:lpstr>'4037 June Final'!Weighted_FTE____________b__x__c</vt:lpstr>
      <vt:lpstr>'4041'!Weighted_FTE____________b__x__c</vt:lpstr>
      <vt:lpstr>'0054'!Weighted_FTE__From_Section_1</vt:lpstr>
      <vt:lpstr>'0054 June Final'!Weighted_FTE__From_Section_1</vt:lpstr>
      <vt:lpstr>'0642'!Weighted_FTE__From_Section_1</vt:lpstr>
      <vt:lpstr>'0642 June Final'!Weighted_FTE__From_Section_1</vt:lpstr>
      <vt:lpstr>'0664'!Weighted_FTE__From_Section_1</vt:lpstr>
      <vt:lpstr>'0664 June Final'!Weighted_FTE__From_Section_1</vt:lpstr>
      <vt:lpstr>'1461'!Weighted_FTE__From_Section_1</vt:lpstr>
      <vt:lpstr>'1571'!Weighted_FTE__From_Section_1</vt:lpstr>
      <vt:lpstr>'2521'!Weighted_FTE__From_Section_1</vt:lpstr>
      <vt:lpstr>'2531'!Weighted_FTE__From_Section_1</vt:lpstr>
      <vt:lpstr>'2531 June final'!Weighted_FTE__From_Section_1</vt:lpstr>
      <vt:lpstr>'2641'!Weighted_FTE__From_Section_1</vt:lpstr>
      <vt:lpstr>'2641 June Final'!Weighted_FTE__From_Section_1</vt:lpstr>
      <vt:lpstr>'2661'!Weighted_FTE__From_Section_1</vt:lpstr>
      <vt:lpstr>'2661 June Final'!Weighted_FTE__From_Section_1</vt:lpstr>
      <vt:lpstr>'2791'!Weighted_FTE__From_Section_1</vt:lpstr>
      <vt:lpstr>'2791 June final'!Weighted_FTE__From_Section_1</vt:lpstr>
      <vt:lpstr>'2801'!Weighted_FTE__From_Section_1</vt:lpstr>
      <vt:lpstr>'2801 June Final'!Weighted_FTE__From_Section_1</vt:lpstr>
      <vt:lpstr>'2911'!Weighted_FTE__From_Section_1</vt:lpstr>
      <vt:lpstr>'2911 June final'!Weighted_FTE__From_Section_1</vt:lpstr>
      <vt:lpstr>'2941'!Weighted_FTE__From_Section_1</vt:lpstr>
      <vt:lpstr>'2941 June final'!Weighted_FTE__From_Section_1</vt:lpstr>
      <vt:lpstr>'3083'!Weighted_FTE__From_Section_1</vt:lpstr>
      <vt:lpstr>'3344'!Weighted_FTE__From_Section_1</vt:lpstr>
      <vt:lpstr>'3345'!Weighted_FTE__From_Section_1</vt:lpstr>
      <vt:lpstr>'3347'!Weighted_FTE__From_Section_1</vt:lpstr>
      <vt:lpstr>'3381'!Weighted_FTE__From_Section_1</vt:lpstr>
      <vt:lpstr>'3381 June Final'!Weighted_FTE__From_Section_1</vt:lpstr>
      <vt:lpstr>'3382'!Weighted_FTE__From_Section_1</vt:lpstr>
      <vt:lpstr>'3382 June Final'!Weighted_FTE__From_Section_1</vt:lpstr>
      <vt:lpstr>'3384'!Weighted_FTE__From_Section_1</vt:lpstr>
      <vt:lpstr>'3384 June Final'!Weighted_FTE__From_Section_1</vt:lpstr>
      <vt:lpstr>'3385'!Weighted_FTE__From_Section_1</vt:lpstr>
      <vt:lpstr>'3385 June Final'!Weighted_FTE__From_Section_1</vt:lpstr>
      <vt:lpstr>'3386'!Weighted_FTE__From_Section_1</vt:lpstr>
      <vt:lpstr>'3391'!Weighted_FTE__From_Section_1</vt:lpstr>
      <vt:lpstr>'3392'!Weighted_FTE__From_Section_1</vt:lpstr>
      <vt:lpstr>'3392 June Final'!Weighted_FTE__From_Section_1</vt:lpstr>
      <vt:lpstr>'3394'!Weighted_FTE__From_Section_1</vt:lpstr>
      <vt:lpstr>'3394 June Final'!Weighted_FTE__From_Section_1</vt:lpstr>
      <vt:lpstr>'3395'!Weighted_FTE__From_Section_1</vt:lpstr>
      <vt:lpstr>'3395 June Final'!Weighted_FTE__From_Section_1</vt:lpstr>
      <vt:lpstr>'3396'!Weighted_FTE__From_Section_1</vt:lpstr>
      <vt:lpstr>'3398'!Weighted_FTE__From_Section_1</vt:lpstr>
      <vt:lpstr>'3400'!Weighted_FTE__From_Section_1</vt:lpstr>
      <vt:lpstr>'3401'!Weighted_FTE__From_Section_1</vt:lpstr>
      <vt:lpstr>'3411'!Weighted_FTE__From_Section_1</vt:lpstr>
      <vt:lpstr>'3413'!Weighted_FTE__From_Section_1</vt:lpstr>
      <vt:lpstr>'3413 June Final'!Weighted_FTE__From_Section_1</vt:lpstr>
      <vt:lpstr>'3421'!Weighted_FTE__From_Section_1</vt:lpstr>
      <vt:lpstr>'3431'!Weighted_FTE__From_Section_1</vt:lpstr>
      <vt:lpstr>'3431 June Final'!Weighted_FTE__From_Section_1</vt:lpstr>
      <vt:lpstr>'3441'!Weighted_FTE__From_Section_1</vt:lpstr>
      <vt:lpstr>'3443'!Weighted_FTE__From_Section_1</vt:lpstr>
      <vt:lpstr>'3941'!Weighted_FTE__From_Section_1</vt:lpstr>
      <vt:lpstr>'3941 June Final'!Weighted_FTE__From_Section_1</vt:lpstr>
      <vt:lpstr>'3961'!Weighted_FTE__From_Section_1</vt:lpstr>
      <vt:lpstr>'3961 June Final'!Weighted_FTE__From_Section_1</vt:lpstr>
      <vt:lpstr>'3971'!Weighted_FTE__From_Section_1</vt:lpstr>
      <vt:lpstr>'4000'!Weighted_FTE__From_Section_1</vt:lpstr>
      <vt:lpstr>'4000 June Final'!Weighted_FTE__From_Section_1</vt:lpstr>
      <vt:lpstr>'4002'!Weighted_FTE__From_Section_1</vt:lpstr>
      <vt:lpstr>'4002 June Final'!Weighted_FTE__From_Section_1</vt:lpstr>
      <vt:lpstr>'4010'!Weighted_FTE__From_Section_1</vt:lpstr>
      <vt:lpstr>'4012'!Weighted_FTE__From_Section_1</vt:lpstr>
      <vt:lpstr>'4013'!Weighted_FTE__From_Section_1</vt:lpstr>
      <vt:lpstr>'4020'!Weighted_FTE__From_Section_1</vt:lpstr>
      <vt:lpstr>'4020 June Final'!Weighted_FTE__From_Section_1</vt:lpstr>
      <vt:lpstr>'4020 June Tch Alloc.'!Weighted_FTE__From_Section_1</vt:lpstr>
      <vt:lpstr>'4037'!Weighted_FTE__From_Section_1</vt:lpstr>
      <vt:lpstr>'4037 June Final'!Weighted_FTE__From_Section_1</vt:lpstr>
      <vt:lpstr>'4041'!Weighted_FTE__From_Section_1</vt:lpstr>
    </vt:vector>
  </TitlesOfParts>
  <Company>PBCSD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Nancy Samuels</dc:creator>
  <cp:lastModifiedBy>Tamara Dowdell</cp:lastModifiedBy>
  <cp:lastPrinted>2014-07-07T14:04:53Z</cp:lastPrinted>
  <dcterms:created xsi:type="dcterms:W3CDTF">2009-05-22T13:49:02Z</dcterms:created>
  <dcterms:modified xsi:type="dcterms:W3CDTF">2014-07-07T16:28:17Z</dcterms:modified>
</cp:coreProperties>
</file>